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328"/>
  <workbookPr defaultThemeVersion="202300"/>
  <mc:AlternateContent xmlns:mc="http://schemas.openxmlformats.org/markup-compatibility/2006">
    <mc:Choice Requires="x15">
      <x15ac:absPath xmlns:x15ac="http://schemas.microsoft.com/office/spreadsheetml/2010/11/ac" url="C:\Users\surya\Downloads\"/>
    </mc:Choice>
  </mc:AlternateContent>
  <xr:revisionPtr revIDLastSave="0" documentId="8_{457392EA-9EB7-49BB-BDC7-C1F79501D817}" xr6:coauthVersionLast="47" xr6:coauthVersionMax="47" xr10:uidLastSave="{00000000-0000-0000-0000-000000000000}"/>
  <bookViews>
    <workbookView xWindow="-120" yWindow="-120" windowWidth="29040" windowHeight="15720"/>
  </bookViews>
  <sheets>
    <sheet name="savedrec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T1666" i="1" l="1"/>
  <c r="BF1666" i="1"/>
  <c r="BT1665" i="1"/>
  <c r="BF1665" i="1"/>
  <c r="BT1664" i="1"/>
  <c r="BF1664" i="1"/>
  <c r="BT1663" i="1"/>
  <c r="BF1663" i="1"/>
  <c r="BT1662" i="1"/>
  <c r="BF1662" i="1"/>
  <c r="BT1661" i="1"/>
  <c r="BF1661" i="1"/>
  <c r="BT1660" i="1"/>
  <c r="BF1660" i="1"/>
  <c r="BT1659" i="1"/>
  <c r="BF1659" i="1"/>
  <c r="BT1658" i="1"/>
  <c r="BF1658" i="1"/>
  <c r="BT1657" i="1"/>
  <c r="BF1657" i="1"/>
  <c r="BT1656" i="1"/>
  <c r="BF1656" i="1"/>
  <c r="BT1655" i="1"/>
  <c r="BF1655" i="1"/>
  <c r="BT1654" i="1"/>
  <c r="BF1654" i="1"/>
  <c r="BT1653" i="1"/>
  <c r="BF1653" i="1"/>
  <c r="BT1652" i="1"/>
  <c r="BF1652" i="1"/>
  <c r="BT1651" i="1"/>
  <c r="BF1651" i="1"/>
  <c r="BT1650" i="1"/>
  <c r="BF1650" i="1"/>
  <c r="BT1649" i="1"/>
  <c r="BF1649" i="1"/>
  <c r="BT1648" i="1"/>
  <c r="BF1648" i="1"/>
  <c r="BT1647" i="1"/>
  <c r="BF1647" i="1"/>
  <c r="BT1646" i="1"/>
  <c r="BF1646" i="1"/>
  <c r="BT1645" i="1"/>
  <c r="BF1645" i="1"/>
  <c r="BT1644" i="1"/>
  <c r="BF1644" i="1"/>
  <c r="BT1643" i="1"/>
  <c r="BF1643" i="1"/>
  <c r="BT1642" i="1"/>
  <c r="BF1642" i="1"/>
  <c r="BT1641" i="1"/>
  <c r="BT1640" i="1"/>
  <c r="BT1639" i="1"/>
  <c r="BT1638" i="1"/>
  <c r="BT1637" i="1"/>
  <c r="BT1636" i="1"/>
  <c r="BT1635" i="1"/>
  <c r="BT1634" i="1"/>
  <c r="BT1633" i="1"/>
  <c r="BT1632" i="1"/>
  <c r="BF1632" i="1"/>
  <c r="BT1631" i="1"/>
  <c r="BT1630" i="1"/>
  <c r="BT1629" i="1"/>
  <c r="BF1629" i="1"/>
  <c r="BT1628" i="1"/>
  <c r="BT1627" i="1"/>
  <c r="BT1626" i="1"/>
  <c r="BT1625" i="1"/>
  <c r="BT1624" i="1"/>
  <c r="BT1623" i="1"/>
  <c r="BT1622" i="1"/>
  <c r="BT1621" i="1"/>
  <c r="BT1620" i="1"/>
  <c r="BT1619" i="1"/>
  <c r="BT1618" i="1"/>
  <c r="BT1617" i="1"/>
  <c r="BT1616" i="1"/>
  <c r="BT1615" i="1"/>
  <c r="BT1614" i="1"/>
  <c r="BT1613" i="1"/>
  <c r="BT1612" i="1"/>
  <c r="BT1611" i="1"/>
  <c r="BT1610" i="1"/>
  <c r="BT1609" i="1"/>
  <c r="BT1608" i="1"/>
  <c r="BT1607" i="1"/>
  <c r="BT1606" i="1"/>
  <c r="BT1605" i="1"/>
  <c r="BT1604" i="1"/>
  <c r="BT1603" i="1"/>
  <c r="BT1602" i="1"/>
  <c r="BT1601" i="1"/>
  <c r="BT1600" i="1"/>
  <c r="BT1599" i="1"/>
  <c r="BT1598" i="1"/>
  <c r="BT1597" i="1"/>
  <c r="BT1596" i="1"/>
  <c r="BT1595" i="1"/>
  <c r="BT1594" i="1"/>
  <c r="BT1593" i="1"/>
  <c r="BT1592" i="1"/>
  <c r="BT1591" i="1"/>
  <c r="BT1590" i="1"/>
  <c r="BT1589" i="1"/>
  <c r="BT1588" i="1"/>
  <c r="BT1587" i="1"/>
  <c r="BT1586" i="1"/>
  <c r="BT1585" i="1"/>
  <c r="BT1584" i="1"/>
  <c r="BF1584" i="1"/>
  <c r="BT1583" i="1"/>
  <c r="BT1582" i="1"/>
  <c r="BT1581" i="1"/>
  <c r="BT1580" i="1"/>
  <c r="BT1579" i="1"/>
  <c r="BT1578" i="1"/>
  <c r="BT1577" i="1"/>
  <c r="BT1576" i="1"/>
  <c r="BT1575" i="1"/>
  <c r="BT1574" i="1"/>
  <c r="BF1574" i="1"/>
  <c r="BT1573" i="1"/>
  <c r="BT1572" i="1"/>
  <c r="BF1572" i="1"/>
  <c r="BT1571" i="1"/>
  <c r="BF1571" i="1"/>
  <c r="BT1570" i="1"/>
  <c r="BF1570" i="1"/>
  <c r="BT1569" i="1"/>
  <c r="BF1569" i="1"/>
  <c r="BT1568" i="1"/>
  <c r="BF1568" i="1"/>
  <c r="BT1567" i="1"/>
  <c r="BF1567" i="1"/>
  <c r="BT1566" i="1"/>
  <c r="BF1566" i="1"/>
  <c r="BT1565" i="1"/>
  <c r="BF1565" i="1"/>
  <c r="BT1564" i="1"/>
  <c r="BF1564" i="1"/>
  <c r="BT1563" i="1"/>
  <c r="BF1563" i="1"/>
  <c r="BT1562" i="1"/>
  <c r="BF1562" i="1"/>
  <c r="BT1561" i="1"/>
  <c r="BF1561" i="1"/>
  <c r="BT1560" i="1"/>
  <c r="BF1560" i="1"/>
  <c r="BT1559" i="1"/>
  <c r="BF1559" i="1"/>
  <c r="BT1558" i="1"/>
  <c r="BF1558" i="1"/>
  <c r="BT1557" i="1"/>
  <c r="BF1557" i="1"/>
  <c r="BT1556" i="1"/>
  <c r="BF1556" i="1"/>
  <c r="BT1555" i="1"/>
  <c r="BF1555" i="1"/>
  <c r="BT1554" i="1"/>
  <c r="BF1554" i="1"/>
  <c r="BT1553" i="1"/>
  <c r="BF1553" i="1"/>
  <c r="BT1552" i="1"/>
  <c r="BF1552" i="1"/>
  <c r="BT1551" i="1"/>
  <c r="BT1550" i="1"/>
  <c r="BF1550" i="1"/>
  <c r="BT1549" i="1"/>
  <c r="BF1549" i="1"/>
  <c r="BT1548" i="1"/>
  <c r="BF1548" i="1"/>
  <c r="BT1547" i="1"/>
  <c r="BF1547" i="1"/>
  <c r="BT1546" i="1"/>
  <c r="BF1546" i="1"/>
  <c r="BT1545" i="1"/>
  <c r="BF1545" i="1"/>
  <c r="BT1544" i="1"/>
  <c r="BF1544" i="1"/>
  <c r="BT1543" i="1"/>
  <c r="BF1543" i="1"/>
  <c r="BT1542" i="1"/>
  <c r="BF1542" i="1"/>
  <c r="BT1541" i="1"/>
  <c r="BF1541" i="1"/>
  <c r="BT1540" i="1"/>
  <c r="BF1540" i="1"/>
  <c r="BT1539" i="1"/>
  <c r="BF1539" i="1"/>
  <c r="BT1538" i="1"/>
  <c r="BF1538" i="1"/>
  <c r="BT1537" i="1"/>
  <c r="BF1537" i="1"/>
  <c r="BT1536" i="1"/>
  <c r="BF1536" i="1"/>
  <c r="BT1535" i="1"/>
  <c r="BF1535" i="1"/>
  <c r="BT1534" i="1"/>
  <c r="BF1534" i="1"/>
  <c r="BT1533" i="1"/>
  <c r="BF1533" i="1"/>
  <c r="BT1532" i="1"/>
  <c r="BF1532" i="1"/>
  <c r="BT1531" i="1"/>
  <c r="BF1531" i="1"/>
  <c r="BT1530" i="1"/>
  <c r="BF1530" i="1"/>
  <c r="BT1529" i="1"/>
  <c r="BF1529" i="1"/>
  <c r="BT1528" i="1"/>
  <c r="BF1528" i="1"/>
  <c r="BT1527" i="1"/>
  <c r="BF1527" i="1"/>
  <c r="BT1526" i="1"/>
  <c r="BF1526" i="1"/>
  <c r="BT1525" i="1"/>
  <c r="BF1525" i="1"/>
  <c r="BT1524" i="1"/>
  <c r="BF1524" i="1"/>
  <c r="BT1523" i="1"/>
  <c r="BF1523" i="1"/>
  <c r="BT1522" i="1"/>
  <c r="BF1522" i="1"/>
  <c r="BT1521" i="1"/>
  <c r="BF1521" i="1"/>
  <c r="BT1520" i="1"/>
  <c r="BF1520" i="1"/>
  <c r="BT1519" i="1"/>
  <c r="BF1519" i="1"/>
  <c r="BT1518" i="1"/>
  <c r="BF1518" i="1"/>
  <c r="BT1517" i="1"/>
  <c r="BF1517" i="1"/>
  <c r="BT1516" i="1"/>
  <c r="BF1516" i="1"/>
  <c r="BT1515" i="1"/>
  <c r="BF1515" i="1"/>
  <c r="BT1514" i="1"/>
  <c r="BF1514" i="1"/>
  <c r="BT1513" i="1"/>
  <c r="BF1513" i="1"/>
  <c r="BT1512" i="1"/>
  <c r="BF1512" i="1"/>
  <c r="BT1511" i="1"/>
  <c r="BF1511" i="1"/>
  <c r="BT1510" i="1"/>
  <c r="BF1510" i="1"/>
  <c r="BT1509" i="1"/>
  <c r="BF1509" i="1"/>
  <c r="BT1508" i="1"/>
  <c r="BF1508" i="1"/>
  <c r="BT1507" i="1"/>
  <c r="BF1507" i="1"/>
  <c r="BT1506" i="1"/>
  <c r="BF1506" i="1"/>
  <c r="BT1505" i="1"/>
  <c r="BF1505" i="1"/>
  <c r="BT1504" i="1"/>
  <c r="BF1504" i="1"/>
  <c r="BT1503" i="1"/>
  <c r="BF1503" i="1"/>
  <c r="BT1502" i="1"/>
  <c r="BF1502" i="1"/>
  <c r="BT1501" i="1"/>
  <c r="BF1501" i="1"/>
  <c r="BT1500" i="1"/>
  <c r="BF1500" i="1"/>
  <c r="BT1499" i="1"/>
  <c r="BF1499" i="1"/>
  <c r="BT1498" i="1"/>
  <c r="BF1498" i="1"/>
  <c r="BT1497" i="1"/>
  <c r="BF1497" i="1"/>
  <c r="BT1496" i="1"/>
  <c r="BF1496" i="1"/>
  <c r="BT1495" i="1"/>
  <c r="BF1495" i="1"/>
  <c r="BT1494" i="1"/>
  <c r="BF1494" i="1"/>
  <c r="BT1493" i="1"/>
  <c r="BF1493" i="1"/>
  <c r="BT1492" i="1"/>
  <c r="BF1492" i="1"/>
  <c r="BT1491" i="1"/>
  <c r="BF1491" i="1"/>
  <c r="BT1490" i="1"/>
  <c r="BF1490" i="1"/>
  <c r="BT1489" i="1"/>
  <c r="BF1489" i="1"/>
  <c r="BT1488" i="1"/>
  <c r="BF1488" i="1"/>
  <c r="BT1487" i="1"/>
  <c r="BF1487" i="1"/>
  <c r="BT1486" i="1"/>
  <c r="BF1486" i="1"/>
  <c r="BT1485" i="1"/>
  <c r="BF1485" i="1"/>
  <c r="BT1484" i="1"/>
  <c r="BF1484" i="1"/>
  <c r="BT1483" i="1"/>
  <c r="BF1483" i="1"/>
  <c r="BT1482" i="1"/>
  <c r="BF1482" i="1"/>
  <c r="BT1481" i="1"/>
  <c r="BF1481" i="1"/>
  <c r="BT1480" i="1"/>
  <c r="BF1480" i="1"/>
  <c r="BT1479" i="1"/>
  <c r="BF1479" i="1"/>
  <c r="BT1478" i="1"/>
  <c r="BF1478" i="1"/>
  <c r="BT1477" i="1"/>
  <c r="BF1477" i="1"/>
  <c r="BT1476" i="1"/>
  <c r="BF1476" i="1"/>
  <c r="BT1475" i="1"/>
  <c r="BF1475" i="1"/>
  <c r="BT1474" i="1"/>
  <c r="BF1474" i="1"/>
  <c r="BT1473" i="1"/>
  <c r="BF1473" i="1"/>
  <c r="BT1472" i="1"/>
  <c r="BF1472" i="1"/>
  <c r="BT1471" i="1"/>
  <c r="BT1470" i="1"/>
  <c r="BF1470" i="1"/>
  <c r="BT1469" i="1"/>
  <c r="BF1469" i="1"/>
  <c r="BT1468" i="1"/>
  <c r="BF1468" i="1"/>
  <c r="BT1467" i="1"/>
  <c r="BF1467" i="1"/>
  <c r="BT1466" i="1"/>
  <c r="BF1466" i="1"/>
  <c r="BT1465" i="1"/>
  <c r="BF1465" i="1"/>
  <c r="BT1464" i="1"/>
  <c r="BT1463" i="1"/>
  <c r="BF1463" i="1"/>
  <c r="BT1462" i="1"/>
  <c r="BF1462" i="1"/>
  <c r="BT1461" i="1"/>
  <c r="BF1461" i="1"/>
  <c r="BT1460" i="1"/>
  <c r="BF1460" i="1"/>
  <c r="BT1459" i="1"/>
  <c r="BF1459" i="1"/>
  <c r="BT1458" i="1"/>
  <c r="BF1458" i="1"/>
  <c r="BT1457" i="1"/>
  <c r="BF1457" i="1"/>
  <c r="BT1456" i="1"/>
  <c r="BF1456" i="1"/>
  <c r="BT1455" i="1"/>
  <c r="BF1455" i="1"/>
  <c r="BT1454" i="1"/>
  <c r="BF1454" i="1"/>
  <c r="BT1453" i="1"/>
  <c r="BF1453" i="1"/>
  <c r="BT1452" i="1"/>
  <c r="BF1452" i="1"/>
  <c r="BT1451" i="1"/>
  <c r="BF1451" i="1"/>
  <c r="BT1450" i="1"/>
  <c r="BF1450" i="1"/>
  <c r="BT1449" i="1"/>
  <c r="BF1449" i="1"/>
  <c r="BT1448" i="1"/>
  <c r="BF1448" i="1"/>
  <c r="BT1447" i="1"/>
  <c r="BF1447" i="1"/>
  <c r="BT1446" i="1"/>
  <c r="BF1446" i="1"/>
  <c r="BT1445" i="1"/>
  <c r="BF1445" i="1"/>
  <c r="BT1444" i="1"/>
  <c r="BF1444" i="1"/>
  <c r="BT1443" i="1"/>
  <c r="BF1443" i="1"/>
  <c r="BT1442" i="1"/>
  <c r="BF1442" i="1"/>
  <c r="BT1441" i="1"/>
  <c r="BF1441" i="1"/>
  <c r="BT1440" i="1"/>
  <c r="BF1440" i="1"/>
  <c r="BT1439" i="1"/>
  <c r="BF1439" i="1"/>
  <c r="BT1438" i="1"/>
  <c r="BF1438" i="1"/>
  <c r="BT1437" i="1"/>
  <c r="BF1437" i="1"/>
  <c r="BT1436" i="1"/>
  <c r="BF1436" i="1"/>
  <c r="BT1435" i="1"/>
  <c r="BF1435" i="1"/>
  <c r="BT1434" i="1"/>
  <c r="BF1434" i="1"/>
  <c r="BT1433" i="1"/>
  <c r="BF1433" i="1"/>
  <c r="BT1432" i="1"/>
  <c r="BT1431" i="1"/>
  <c r="BF1431" i="1"/>
  <c r="BT1430" i="1"/>
  <c r="BF1430" i="1"/>
  <c r="BT1429" i="1"/>
  <c r="BF1429" i="1"/>
  <c r="BT1428" i="1"/>
  <c r="BF1428" i="1"/>
  <c r="BT1427" i="1"/>
  <c r="BF1427" i="1"/>
  <c r="BT1426" i="1"/>
  <c r="BF1426" i="1"/>
  <c r="BT1425" i="1"/>
  <c r="BF1425" i="1"/>
  <c r="BT1424" i="1"/>
  <c r="BF1424" i="1"/>
  <c r="BT1423" i="1"/>
  <c r="BF1423" i="1"/>
  <c r="BT1422" i="1"/>
  <c r="BF1422" i="1"/>
  <c r="BT1421" i="1"/>
  <c r="BF1421" i="1"/>
  <c r="BT1420" i="1"/>
  <c r="BF1420" i="1"/>
  <c r="BT1419" i="1"/>
  <c r="BF1419" i="1"/>
  <c r="BT1418" i="1"/>
  <c r="BF1418" i="1"/>
  <c r="BT1417" i="1"/>
  <c r="BF1417" i="1"/>
  <c r="BT1416" i="1"/>
  <c r="BF1416" i="1"/>
  <c r="BT1415" i="1"/>
  <c r="BF1415" i="1"/>
  <c r="BT1414" i="1"/>
  <c r="BF1414" i="1"/>
  <c r="BT1413" i="1"/>
  <c r="BF1413" i="1"/>
  <c r="BT1412" i="1"/>
  <c r="BF1412" i="1"/>
  <c r="BT1411" i="1"/>
  <c r="BF1411" i="1"/>
  <c r="BT1410" i="1"/>
  <c r="BF1410" i="1"/>
  <c r="BT1409" i="1"/>
  <c r="BF1409" i="1"/>
  <c r="BT1408" i="1"/>
  <c r="BF1408" i="1"/>
  <c r="BT1407" i="1"/>
  <c r="BF1407" i="1"/>
  <c r="BT1406" i="1"/>
  <c r="BF1406" i="1"/>
  <c r="BT1405" i="1"/>
  <c r="BF1405" i="1"/>
  <c r="BT1404" i="1"/>
  <c r="BF1404" i="1"/>
  <c r="BT1403" i="1"/>
  <c r="BF1403" i="1"/>
  <c r="BT1402" i="1"/>
  <c r="BF1402" i="1"/>
  <c r="BT1401" i="1"/>
  <c r="BF1401" i="1"/>
  <c r="BT1400" i="1"/>
  <c r="BF1400" i="1"/>
  <c r="BT1399" i="1"/>
  <c r="BF1399" i="1"/>
  <c r="BT1398" i="1"/>
  <c r="BF1398" i="1"/>
  <c r="BT1397" i="1"/>
  <c r="BF1397" i="1"/>
  <c r="BT1396" i="1"/>
  <c r="BF1396" i="1"/>
  <c r="BT1395" i="1"/>
  <c r="BF1395" i="1"/>
  <c r="BT1394" i="1"/>
  <c r="BF1394" i="1"/>
  <c r="BT1393" i="1"/>
  <c r="BF1393" i="1"/>
  <c r="BT1392" i="1"/>
  <c r="BF1392" i="1"/>
  <c r="BT1391" i="1"/>
  <c r="BF1391" i="1"/>
  <c r="BT1390" i="1"/>
  <c r="BF1390" i="1"/>
  <c r="BT1389" i="1"/>
  <c r="BF1389" i="1"/>
  <c r="BT1388" i="1"/>
  <c r="BF1388" i="1"/>
  <c r="BT1387" i="1"/>
  <c r="BF1387" i="1"/>
  <c r="BT1386" i="1"/>
  <c r="BF1386" i="1"/>
  <c r="BT1385" i="1"/>
  <c r="BF1385" i="1"/>
  <c r="BT1384" i="1"/>
  <c r="BF1384" i="1"/>
  <c r="BT1383" i="1"/>
  <c r="BF1383" i="1"/>
  <c r="BT1382" i="1"/>
  <c r="BF1382" i="1"/>
  <c r="BT1381" i="1"/>
  <c r="BF1381" i="1"/>
  <c r="BT1380" i="1"/>
  <c r="BF1380" i="1"/>
  <c r="BT1379" i="1"/>
  <c r="BF1379" i="1"/>
  <c r="BT1378" i="1"/>
  <c r="BF1378" i="1"/>
  <c r="BT1377" i="1"/>
  <c r="BF1377" i="1"/>
  <c r="BT1376" i="1"/>
  <c r="BF1376" i="1"/>
  <c r="BT1375" i="1"/>
  <c r="BF1375" i="1"/>
  <c r="BT1374" i="1"/>
  <c r="BF1374" i="1"/>
  <c r="BT1373" i="1"/>
  <c r="BF1373" i="1"/>
  <c r="BT1372" i="1"/>
  <c r="BF1372" i="1"/>
  <c r="BT1371" i="1"/>
  <c r="BF1371" i="1"/>
  <c r="BT1370" i="1"/>
  <c r="BF1370" i="1"/>
  <c r="BT1369" i="1"/>
  <c r="BF1369" i="1"/>
  <c r="BT1368" i="1"/>
  <c r="BF1368" i="1"/>
  <c r="BT1367" i="1"/>
  <c r="BF1367" i="1"/>
  <c r="BT1366" i="1"/>
  <c r="BF1366" i="1"/>
  <c r="BT1365" i="1"/>
  <c r="BF1365" i="1"/>
  <c r="BT1364" i="1"/>
  <c r="BF1364" i="1"/>
  <c r="BT1363" i="1"/>
  <c r="BF1363" i="1"/>
  <c r="BT1362" i="1"/>
  <c r="BF1362" i="1"/>
  <c r="BT1361" i="1"/>
  <c r="BF1361" i="1"/>
  <c r="BT1360" i="1"/>
  <c r="BF1360" i="1"/>
  <c r="BT1359" i="1"/>
  <c r="BF1359" i="1"/>
  <c r="BT1358" i="1"/>
  <c r="BF1358" i="1"/>
  <c r="BT1357" i="1"/>
  <c r="BF1357" i="1"/>
  <c r="BT1356" i="1"/>
  <c r="BF1356" i="1"/>
  <c r="BT1355" i="1"/>
  <c r="BF1355" i="1"/>
  <c r="BT1354" i="1"/>
  <c r="BF1354" i="1"/>
  <c r="BT1353" i="1"/>
  <c r="BF1353" i="1"/>
  <c r="BT1352" i="1"/>
  <c r="BF1352" i="1"/>
  <c r="BT1351" i="1"/>
  <c r="BF1351" i="1"/>
  <c r="BT1350" i="1"/>
  <c r="BF1350" i="1"/>
  <c r="BT1349" i="1"/>
  <c r="BF1349" i="1"/>
  <c r="BT1348" i="1"/>
  <c r="BT1347" i="1"/>
  <c r="BF1347" i="1"/>
  <c r="BT1346" i="1"/>
  <c r="BF1346" i="1"/>
  <c r="BT1345" i="1"/>
  <c r="BF1345" i="1"/>
  <c r="BT1344" i="1"/>
  <c r="BF1344" i="1"/>
  <c r="BT1343" i="1"/>
  <c r="BF1343" i="1"/>
  <c r="BT1342" i="1"/>
  <c r="BF1342" i="1"/>
  <c r="BT1341" i="1"/>
  <c r="BF1341" i="1"/>
  <c r="BT1340" i="1"/>
  <c r="BF1340" i="1"/>
  <c r="BT1339" i="1"/>
  <c r="BF1339" i="1"/>
  <c r="BT1338" i="1"/>
  <c r="BF1338" i="1"/>
  <c r="BT1337" i="1"/>
  <c r="BF1337" i="1"/>
  <c r="BT1336" i="1"/>
  <c r="BF1336" i="1"/>
  <c r="BT1335" i="1"/>
  <c r="BT1334" i="1"/>
  <c r="BF1334" i="1"/>
  <c r="BT1333" i="1"/>
  <c r="BF1333" i="1"/>
  <c r="BT1332" i="1"/>
  <c r="BF1332" i="1"/>
  <c r="BT1331" i="1"/>
  <c r="BF1331" i="1"/>
  <c r="BT1330" i="1"/>
  <c r="BF1330" i="1"/>
  <c r="BT1329" i="1"/>
  <c r="BF1329" i="1"/>
  <c r="BT1328" i="1"/>
  <c r="BF1328" i="1"/>
  <c r="BT1327" i="1"/>
  <c r="BF1327" i="1"/>
  <c r="BT1326" i="1"/>
  <c r="BF1326" i="1"/>
  <c r="BT1325" i="1"/>
  <c r="BF1325" i="1"/>
  <c r="BT1324" i="1"/>
  <c r="BF1324" i="1"/>
  <c r="BT1323" i="1"/>
  <c r="BF1323" i="1"/>
  <c r="BT1322" i="1"/>
  <c r="BF1322" i="1"/>
  <c r="BT1321" i="1"/>
  <c r="BF1321" i="1"/>
  <c r="BT1320" i="1"/>
  <c r="BF1320" i="1"/>
  <c r="BT1319" i="1"/>
  <c r="BF1319" i="1"/>
  <c r="BT1318" i="1"/>
  <c r="BF1318" i="1"/>
  <c r="BT1317" i="1"/>
  <c r="BF1317" i="1"/>
  <c r="BT1316" i="1"/>
  <c r="BF1316" i="1"/>
  <c r="BT1315" i="1"/>
  <c r="BF1315" i="1"/>
  <c r="BT1314" i="1"/>
  <c r="BF1314" i="1"/>
  <c r="BT1313" i="1"/>
  <c r="BF1313" i="1"/>
  <c r="BT1312" i="1"/>
  <c r="BF1312" i="1"/>
  <c r="BT1311" i="1"/>
  <c r="BF1311" i="1"/>
  <c r="BT1310" i="1"/>
  <c r="BF1310" i="1"/>
  <c r="BT1309" i="1"/>
  <c r="BF1309" i="1"/>
  <c r="BT1308" i="1"/>
  <c r="BF1308" i="1"/>
  <c r="BT1307" i="1"/>
  <c r="BF1307" i="1"/>
  <c r="BT1306" i="1"/>
  <c r="BF1306" i="1"/>
  <c r="BT1305" i="1"/>
  <c r="BF1305" i="1"/>
  <c r="BT1304" i="1"/>
  <c r="BF1304" i="1"/>
  <c r="BT1303" i="1"/>
  <c r="BF1303" i="1"/>
  <c r="BT1302" i="1"/>
  <c r="BF1302" i="1"/>
  <c r="BT1301" i="1"/>
  <c r="BF1301" i="1"/>
  <c r="BT1300" i="1"/>
  <c r="BF1300" i="1"/>
  <c r="BT1299" i="1"/>
  <c r="BF1299" i="1"/>
  <c r="BT1298" i="1"/>
  <c r="BF1298" i="1"/>
  <c r="BT1297" i="1"/>
  <c r="BF1297" i="1"/>
  <c r="BT1296" i="1"/>
  <c r="BF1296" i="1"/>
  <c r="BT1295" i="1"/>
  <c r="BF1295" i="1"/>
  <c r="BT1294" i="1"/>
  <c r="BF1294" i="1"/>
  <c r="BT1293" i="1"/>
  <c r="BF1293" i="1"/>
  <c r="BT1292" i="1"/>
  <c r="BF1292" i="1"/>
  <c r="BT1291" i="1"/>
  <c r="BF1291" i="1"/>
  <c r="BT1290" i="1"/>
  <c r="BT1289" i="1"/>
  <c r="BF1289" i="1"/>
  <c r="BT1288" i="1"/>
  <c r="BF1288" i="1"/>
  <c r="BT1287" i="1"/>
  <c r="BF1287" i="1"/>
  <c r="BT1286" i="1"/>
  <c r="BF1286" i="1"/>
  <c r="BT1285" i="1"/>
  <c r="BF1285" i="1"/>
  <c r="BT1284" i="1"/>
  <c r="BF1284" i="1"/>
  <c r="BT1283" i="1"/>
  <c r="BF1283" i="1"/>
  <c r="BT1282" i="1"/>
  <c r="BF1282" i="1"/>
  <c r="BT1281" i="1"/>
  <c r="BF1281" i="1"/>
  <c r="BT1280" i="1"/>
  <c r="BF1280" i="1"/>
  <c r="BT1279" i="1"/>
  <c r="BF1279" i="1"/>
  <c r="BT1278" i="1"/>
  <c r="BF1278" i="1"/>
  <c r="BT1277" i="1"/>
  <c r="BF1277" i="1"/>
  <c r="BT1276" i="1"/>
  <c r="BF1276" i="1"/>
  <c r="BT1275" i="1"/>
  <c r="BF1275" i="1"/>
  <c r="BT1274" i="1"/>
  <c r="BF1274" i="1"/>
  <c r="BT1273" i="1"/>
  <c r="BF1273" i="1"/>
  <c r="BT1272" i="1"/>
  <c r="BF1272" i="1"/>
  <c r="BT1271" i="1"/>
  <c r="BF1271" i="1"/>
  <c r="BT1270" i="1"/>
  <c r="BF1270" i="1"/>
  <c r="BT1269" i="1"/>
  <c r="BF1269" i="1"/>
  <c r="BT1268" i="1"/>
  <c r="BF1268" i="1"/>
  <c r="BT1267" i="1"/>
  <c r="BF1267" i="1"/>
  <c r="BT1266" i="1"/>
  <c r="BF1266" i="1"/>
  <c r="BT1265" i="1"/>
  <c r="BF1265" i="1"/>
  <c r="BT1264" i="1"/>
  <c r="BF1264" i="1"/>
  <c r="BT1263" i="1"/>
  <c r="BF1263" i="1"/>
  <c r="BT1262" i="1"/>
  <c r="BT1261" i="1"/>
  <c r="BT1260" i="1"/>
  <c r="BF1260" i="1"/>
  <c r="BT1259" i="1"/>
  <c r="BF1259" i="1"/>
  <c r="BT1258" i="1"/>
  <c r="BF1258" i="1"/>
  <c r="BT1257" i="1"/>
  <c r="BT1256" i="1"/>
  <c r="BF1256" i="1"/>
  <c r="BT1255" i="1"/>
  <c r="BF1255" i="1"/>
  <c r="BT1254" i="1"/>
  <c r="BF1254" i="1"/>
  <c r="BT1253" i="1"/>
  <c r="BF1253" i="1"/>
  <c r="BT1252" i="1"/>
  <c r="BF1252" i="1"/>
  <c r="BT1251" i="1"/>
  <c r="BF1251" i="1"/>
  <c r="BT1250" i="1"/>
  <c r="BT1249" i="1"/>
  <c r="BF1249" i="1"/>
  <c r="BT1248" i="1"/>
  <c r="BF1248" i="1"/>
  <c r="BT1247" i="1"/>
  <c r="BF1247" i="1"/>
  <c r="BT1246" i="1"/>
  <c r="BF1246" i="1"/>
  <c r="BT1245" i="1"/>
  <c r="BF1245" i="1"/>
  <c r="BT1244" i="1"/>
  <c r="BF1244" i="1"/>
  <c r="BT1243" i="1"/>
  <c r="BF1243" i="1"/>
  <c r="BT1242" i="1"/>
  <c r="BF1242" i="1"/>
  <c r="BT1241" i="1"/>
  <c r="BF1241" i="1"/>
  <c r="BT1240" i="1"/>
  <c r="BT1239" i="1"/>
  <c r="BF1239" i="1"/>
  <c r="BT1238" i="1"/>
  <c r="BF1238" i="1"/>
  <c r="BT1237" i="1"/>
  <c r="BF1237" i="1"/>
  <c r="BT1236" i="1"/>
  <c r="BF1236" i="1"/>
  <c r="BT1235" i="1"/>
  <c r="BF1235" i="1"/>
  <c r="BT1234" i="1"/>
  <c r="BF1234" i="1"/>
  <c r="BT1233" i="1"/>
  <c r="BF1233" i="1"/>
  <c r="BT1232" i="1"/>
  <c r="BF1232" i="1"/>
  <c r="BT1231" i="1"/>
  <c r="BF1231" i="1"/>
  <c r="BT1230" i="1"/>
  <c r="BF1230" i="1"/>
  <c r="BT1229" i="1"/>
  <c r="BF1229" i="1"/>
  <c r="BT1228" i="1"/>
  <c r="BF1228" i="1"/>
  <c r="BT1227" i="1"/>
  <c r="BF1227" i="1"/>
  <c r="BT1226" i="1"/>
  <c r="BF1226" i="1"/>
  <c r="BT1225" i="1"/>
  <c r="BF1225" i="1"/>
  <c r="BT1224" i="1"/>
  <c r="BF1224" i="1"/>
  <c r="BT1223" i="1"/>
  <c r="BF1223" i="1"/>
  <c r="BT1222" i="1"/>
  <c r="BF1222" i="1"/>
  <c r="BT1221" i="1"/>
  <c r="BF1221" i="1"/>
  <c r="BT1220" i="1"/>
  <c r="BT1219" i="1"/>
  <c r="BF1219" i="1"/>
  <c r="BT1218" i="1"/>
  <c r="BF1218" i="1"/>
  <c r="BT1217" i="1"/>
  <c r="BF1217" i="1"/>
  <c r="BT1216" i="1"/>
  <c r="BF1216" i="1"/>
  <c r="BT1215" i="1"/>
  <c r="BF1215" i="1"/>
  <c r="BT1214" i="1"/>
  <c r="BF1214" i="1"/>
  <c r="BT1213" i="1"/>
  <c r="BF1213" i="1"/>
  <c r="BT1212" i="1"/>
  <c r="BF1212" i="1"/>
  <c r="BT1211" i="1"/>
  <c r="BF1211" i="1"/>
  <c r="BT1210" i="1"/>
  <c r="BF1210" i="1"/>
  <c r="BT1209" i="1"/>
  <c r="BF1209" i="1"/>
  <c r="BT1208" i="1"/>
  <c r="BF1208" i="1"/>
  <c r="BT1207" i="1"/>
  <c r="BF1207" i="1"/>
  <c r="BT1206" i="1"/>
  <c r="BF1206" i="1"/>
  <c r="BT1205" i="1"/>
  <c r="BF1205" i="1"/>
  <c r="BT1204" i="1"/>
  <c r="BF1204" i="1"/>
  <c r="BT1203" i="1"/>
  <c r="BF1203" i="1"/>
  <c r="BT1202" i="1"/>
  <c r="BF1202" i="1"/>
  <c r="BT1201" i="1"/>
  <c r="BF1201" i="1"/>
  <c r="BT1200" i="1"/>
  <c r="BF1200" i="1"/>
  <c r="BT1199" i="1"/>
  <c r="BF1199" i="1"/>
  <c r="BT1198" i="1"/>
  <c r="BT1197" i="1"/>
  <c r="BF1197" i="1"/>
  <c r="BT1196" i="1"/>
  <c r="BF1196" i="1"/>
  <c r="BT1195" i="1"/>
  <c r="BF1195" i="1"/>
  <c r="BT1194" i="1"/>
  <c r="BF1194" i="1"/>
  <c r="BT1193" i="1"/>
  <c r="BF1193" i="1"/>
  <c r="BT1192" i="1"/>
  <c r="BF1192" i="1"/>
  <c r="BT1191" i="1"/>
  <c r="BF1191" i="1"/>
  <c r="BT1190" i="1"/>
  <c r="BF1190" i="1"/>
  <c r="BT1189" i="1"/>
  <c r="BF1189" i="1"/>
  <c r="BT1188" i="1"/>
  <c r="BF1188" i="1"/>
  <c r="BT1187" i="1"/>
  <c r="BF1187" i="1"/>
  <c r="BT1186" i="1"/>
  <c r="BF1186" i="1"/>
  <c r="BT1185" i="1"/>
  <c r="BF1185" i="1"/>
  <c r="BT1184" i="1"/>
  <c r="BF1184" i="1"/>
  <c r="BT1183" i="1"/>
  <c r="BF1183" i="1"/>
  <c r="BT1182" i="1"/>
  <c r="BF1182" i="1"/>
  <c r="BT1181" i="1"/>
  <c r="BF1181" i="1"/>
  <c r="BT1180" i="1"/>
  <c r="BF1180" i="1"/>
  <c r="BT1179" i="1"/>
  <c r="BF1179" i="1"/>
  <c r="BT1178" i="1"/>
  <c r="BF1178" i="1"/>
  <c r="BT1177" i="1"/>
  <c r="BF1177" i="1"/>
  <c r="BT1176" i="1"/>
  <c r="BF1176" i="1"/>
  <c r="BT1175" i="1"/>
  <c r="BF1175" i="1"/>
  <c r="BT1174" i="1"/>
  <c r="BF1174" i="1"/>
  <c r="BT1173" i="1"/>
  <c r="BF1173" i="1"/>
  <c r="BT1172" i="1"/>
  <c r="BF1172" i="1"/>
  <c r="BT1171" i="1"/>
  <c r="BF1171" i="1"/>
  <c r="BT1170" i="1"/>
  <c r="BF1170" i="1"/>
  <c r="BT1169" i="1"/>
  <c r="BF1169" i="1"/>
  <c r="BT1168" i="1"/>
  <c r="BF1168" i="1"/>
  <c r="BT1167" i="1"/>
  <c r="BF1167" i="1"/>
  <c r="BT1166" i="1"/>
  <c r="BF1166" i="1"/>
  <c r="BT1165" i="1"/>
  <c r="BF1165" i="1"/>
  <c r="BT1164" i="1"/>
  <c r="BF1164" i="1"/>
  <c r="BT1163" i="1"/>
  <c r="BF1163" i="1"/>
  <c r="BT1162" i="1"/>
  <c r="BF1162" i="1"/>
  <c r="BT1161" i="1"/>
  <c r="BF1161" i="1"/>
  <c r="BT1160" i="1"/>
  <c r="BF1160" i="1"/>
  <c r="BT1159" i="1"/>
  <c r="BF1159" i="1"/>
  <c r="BT1158" i="1"/>
  <c r="BF1158" i="1"/>
  <c r="BT1157" i="1"/>
  <c r="BF1157" i="1"/>
  <c r="BT1156" i="1"/>
  <c r="BF1156" i="1"/>
  <c r="BT1155" i="1"/>
  <c r="BF1155" i="1"/>
  <c r="BT1154" i="1"/>
  <c r="BF1154" i="1"/>
  <c r="BT1153" i="1"/>
  <c r="BF1153" i="1"/>
  <c r="BT1152" i="1"/>
  <c r="BT1151" i="1"/>
  <c r="BF1151" i="1"/>
  <c r="BT1150" i="1"/>
  <c r="BF1150" i="1"/>
  <c r="BT1149" i="1"/>
  <c r="BF1149" i="1"/>
  <c r="BT1148" i="1"/>
  <c r="BF1148" i="1"/>
  <c r="BT1147" i="1"/>
  <c r="BF1147" i="1"/>
  <c r="BT1146" i="1"/>
  <c r="BF1146" i="1"/>
  <c r="BT1145" i="1"/>
  <c r="BF1145" i="1"/>
  <c r="BT1144" i="1"/>
  <c r="BF1144" i="1"/>
  <c r="BT1143" i="1"/>
  <c r="BF1143" i="1"/>
  <c r="BT1142" i="1"/>
  <c r="BF1142" i="1"/>
  <c r="BT1141" i="1"/>
  <c r="BF1141" i="1"/>
  <c r="BT1140" i="1"/>
  <c r="BF1140" i="1"/>
  <c r="BT1139" i="1"/>
  <c r="BF1139" i="1"/>
  <c r="BT1138" i="1"/>
  <c r="BF1138" i="1"/>
  <c r="BT1137" i="1"/>
  <c r="BF1137" i="1"/>
  <c r="BT1136" i="1"/>
  <c r="BF1136" i="1"/>
  <c r="BT1135" i="1"/>
  <c r="BF1135" i="1"/>
  <c r="BT1134" i="1"/>
  <c r="BF1134" i="1"/>
  <c r="BT1133" i="1"/>
  <c r="BF1133" i="1"/>
  <c r="BT1132" i="1"/>
  <c r="BF1132" i="1"/>
  <c r="BT1131" i="1"/>
  <c r="BF1131" i="1"/>
  <c r="BT1130" i="1"/>
  <c r="BF1130" i="1"/>
  <c r="BT1129" i="1"/>
  <c r="BF1129" i="1"/>
  <c r="BT1128" i="1"/>
  <c r="BF1128" i="1"/>
  <c r="BT1127" i="1"/>
  <c r="BF1127" i="1"/>
  <c r="BT1126" i="1"/>
  <c r="BF1126" i="1"/>
  <c r="BT1125" i="1"/>
  <c r="BF1125" i="1"/>
  <c r="BT1124" i="1"/>
  <c r="BF1124" i="1"/>
  <c r="BT1123" i="1"/>
  <c r="BF1123" i="1"/>
  <c r="BT1122" i="1"/>
  <c r="BF1122" i="1"/>
  <c r="BT1121" i="1"/>
  <c r="BF1121" i="1"/>
  <c r="BT1120" i="1"/>
  <c r="BF1120" i="1"/>
  <c r="BT1119" i="1"/>
  <c r="BF1119" i="1"/>
  <c r="BT1118" i="1"/>
  <c r="BF1118" i="1"/>
  <c r="BT1117" i="1"/>
  <c r="BF1117" i="1"/>
  <c r="BT1116" i="1"/>
  <c r="BF1116" i="1"/>
  <c r="BT1115" i="1"/>
  <c r="BF1115" i="1"/>
  <c r="BT1114" i="1"/>
  <c r="BF1114" i="1"/>
  <c r="BT1113" i="1"/>
  <c r="BF1113" i="1"/>
  <c r="BT1112" i="1"/>
  <c r="BF1112" i="1"/>
  <c r="BT1111" i="1"/>
  <c r="BF1111" i="1"/>
  <c r="BT1110" i="1"/>
  <c r="BF1110" i="1"/>
  <c r="BT1109" i="1"/>
  <c r="BF1109" i="1"/>
  <c r="BT1108" i="1"/>
  <c r="BF1108" i="1"/>
  <c r="BT1107" i="1"/>
  <c r="BF1107" i="1"/>
  <c r="BT1106" i="1"/>
  <c r="BF1106" i="1"/>
  <c r="BT1105" i="1"/>
  <c r="BF1105" i="1"/>
  <c r="BT1104" i="1"/>
  <c r="BF1104" i="1"/>
  <c r="BT1103" i="1"/>
  <c r="BF1103" i="1"/>
  <c r="BT1102" i="1"/>
  <c r="BF1102" i="1"/>
  <c r="BT1101" i="1"/>
  <c r="BF1101" i="1"/>
  <c r="BT1100" i="1"/>
  <c r="BF1100" i="1"/>
  <c r="BT1099" i="1"/>
  <c r="BF1099" i="1"/>
  <c r="BT1098" i="1"/>
  <c r="BF1098" i="1"/>
  <c r="BT1097" i="1"/>
  <c r="BF1097" i="1"/>
  <c r="BT1096" i="1"/>
  <c r="BT1095" i="1"/>
  <c r="BF1095" i="1"/>
  <c r="BT1094" i="1"/>
  <c r="BF1094" i="1"/>
  <c r="BT1093" i="1"/>
  <c r="BT1092" i="1"/>
  <c r="BF1092" i="1"/>
  <c r="BT1091" i="1"/>
  <c r="BF1091" i="1"/>
  <c r="BT1090" i="1"/>
  <c r="BF1090" i="1"/>
  <c r="BT1089" i="1"/>
  <c r="BF1089" i="1"/>
  <c r="BT1088" i="1"/>
  <c r="BF1088" i="1"/>
  <c r="BT1087" i="1"/>
  <c r="BF1087" i="1"/>
  <c r="BT1086" i="1"/>
  <c r="BF1086" i="1"/>
  <c r="BT1085" i="1"/>
  <c r="BF1085" i="1"/>
  <c r="BT1084" i="1"/>
  <c r="BF1084" i="1"/>
  <c r="BT1083" i="1"/>
  <c r="BF1083" i="1"/>
  <c r="BT1082" i="1"/>
  <c r="BT1081" i="1"/>
  <c r="BF1081" i="1"/>
  <c r="BT1080" i="1"/>
  <c r="BF1080" i="1"/>
  <c r="BT1079" i="1"/>
  <c r="BF1079" i="1"/>
  <c r="BT1078" i="1"/>
  <c r="BF1078" i="1"/>
  <c r="BT1077" i="1"/>
  <c r="BF1077" i="1"/>
  <c r="BT1076" i="1"/>
  <c r="BF1076" i="1"/>
  <c r="BT1075" i="1"/>
  <c r="BF1075" i="1"/>
  <c r="BT1074" i="1"/>
  <c r="BF1074" i="1"/>
  <c r="BT1073" i="1"/>
  <c r="BF1073" i="1"/>
  <c r="BT1072" i="1"/>
  <c r="BF1072" i="1"/>
  <c r="BT1071" i="1"/>
  <c r="BF1071" i="1"/>
  <c r="BT1070" i="1"/>
  <c r="BF1070" i="1"/>
  <c r="BT1069" i="1"/>
  <c r="BF1069" i="1"/>
  <c r="BT1068" i="1"/>
  <c r="BF1068" i="1"/>
  <c r="BT1067" i="1"/>
  <c r="BF1067" i="1"/>
  <c r="BT1066" i="1"/>
  <c r="BF1066" i="1"/>
  <c r="BT1065" i="1"/>
  <c r="BF1065" i="1"/>
  <c r="BT1064" i="1"/>
  <c r="BF1064" i="1"/>
  <c r="BT1063" i="1"/>
  <c r="BF1063" i="1"/>
  <c r="BT1062" i="1"/>
  <c r="BT1061" i="1"/>
  <c r="BF1061" i="1"/>
  <c r="BT1060" i="1"/>
  <c r="BF1060" i="1"/>
  <c r="BT1059" i="1"/>
  <c r="BF1059" i="1"/>
  <c r="BT1058" i="1"/>
  <c r="BF1058" i="1"/>
  <c r="BT1057" i="1"/>
  <c r="BF1057" i="1"/>
  <c r="BT1056" i="1"/>
  <c r="BF1056" i="1"/>
  <c r="BT1055" i="1"/>
  <c r="BF1055" i="1"/>
  <c r="BT1054" i="1"/>
  <c r="BF1054" i="1"/>
  <c r="BT1053" i="1"/>
  <c r="BF1053" i="1"/>
  <c r="BT1052" i="1"/>
  <c r="BF1052" i="1"/>
  <c r="BT1051" i="1"/>
  <c r="BF1051" i="1"/>
  <c r="BT1050" i="1"/>
  <c r="BF1050" i="1"/>
  <c r="BT1049" i="1"/>
  <c r="BF1049" i="1"/>
  <c r="BT1048" i="1"/>
  <c r="BF1048" i="1"/>
  <c r="BT1047" i="1"/>
  <c r="BF1047" i="1"/>
  <c r="BT1046" i="1"/>
  <c r="BF1046" i="1"/>
  <c r="BT1045" i="1"/>
  <c r="BF1045" i="1"/>
  <c r="BT1044" i="1"/>
  <c r="BT1043" i="1"/>
  <c r="BF1043" i="1"/>
  <c r="BT1042" i="1"/>
  <c r="BF1042" i="1"/>
  <c r="BT1041" i="1"/>
  <c r="BF1041" i="1"/>
  <c r="BT1040" i="1"/>
  <c r="BF1040" i="1"/>
  <c r="BT1039" i="1"/>
  <c r="BF1039" i="1"/>
  <c r="BT1038" i="1"/>
  <c r="BF1038" i="1"/>
  <c r="BT1037" i="1"/>
  <c r="BF1037" i="1"/>
  <c r="BT1036" i="1"/>
  <c r="BF1036" i="1"/>
  <c r="BT1035" i="1"/>
  <c r="BF1035" i="1"/>
  <c r="BT1034" i="1"/>
  <c r="BF1034" i="1"/>
  <c r="BT1033" i="1"/>
  <c r="BF1033" i="1"/>
  <c r="BT1032" i="1"/>
  <c r="BF1032" i="1"/>
  <c r="BT1031" i="1"/>
  <c r="BF1031" i="1"/>
  <c r="BT1030" i="1"/>
  <c r="BF1030" i="1"/>
  <c r="BT1029" i="1"/>
  <c r="BF1029" i="1"/>
  <c r="BT1028" i="1"/>
  <c r="BF1028" i="1"/>
  <c r="BT1027" i="1"/>
  <c r="BF1027" i="1"/>
  <c r="BT1026" i="1"/>
  <c r="BF1026" i="1"/>
  <c r="BT1025" i="1"/>
  <c r="BT1024" i="1"/>
  <c r="BF1024" i="1"/>
  <c r="BT1023" i="1"/>
  <c r="BF1023" i="1"/>
  <c r="BT1022" i="1"/>
  <c r="BF1022" i="1"/>
  <c r="BT1021" i="1"/>
  <c r="BF1021" i="1"/>
  <c r="BT1020" i="1"/>
  <c r="BF1020" i="1"/>
  <c r="BT1019" i="1"/>
  <c r="BF1019" i="1"/>
  <c r="BT1018" i="1"/>
  <c r="BF1018" i="1"/>
  <c r="BT1017" i="1"/>
  <c r="BF1017" i="1"/>
  <c r="BT1016" i="1"/>
  <c r="BF1016" i="1"/>
  <c r="BT1015" i="1"/>
  <c r="BF1015" i="1"/>
  <c r="BT1014" i="1"/>
  <c r="BT1013" i="1"/>
  <c r="BF1013" i="1"/>
  <c r="BT1012" i="1"/>
  <c r="BF1012" i="1"/>
  <c r="BT1011" i="1"/>
  <c r="BF1011" i="1"/>
  <c r="BT1010" i="1"/>
  <c r="BF1010" i="1"/>
  <c r="BT1009" i="1"/>
  <c r="BF1009" i="1"/>
  <c r="BT1008" i="1"/>
  <c r="BF1008" i="1"/>
  <c r="BT1007" i="1"/>
  <c r="BF1007" i="1"/>
  <c r="BT1006" i="1"/>
  <c r="BF1006" i="1"/>
  <c r="BT1005" i="1"/>
  <c r="BF1005" i="1"/>
  <c r="BT1004" i="1"/>
  <c r="BT1003" i="1"/>
  <c r="BF1003" i="1"/>
  <c r="BT1002" i="1"/>
  <c r="BF1002" i="1"/>
  <c r="BF2" i="1"/>
  <c r="BT2" i="1"/>
  <c r="BF3" i="1"/>
  <c r="BT3" i="1"/>
  <c r="BF4" i="1"/>
  <c r="BT4" i="1"/>
  <c r="BF5" i="1"/>
  <c r="BT5" i="1"/>
  <c r="BF6" i="1"/>
  <c r="BT6" i="1"/>
  <c r="BF7" i="1"/>
  <c r="BT7" i="1"/>
  <c r="BF8" i="1"/>
  <c r="BT8" i="1"/>
  <c r="BF9" i="1"/>
  <c r="BT9" i="1"/>
  <c r="BF10" i="1"/>
  <c r="BT10" i="1"/>
  <c r="BF11" i="1"/>
  <c r="BT11" i="1"/>
  <c r="BF12" i="1"/>
  <c r="BT12" i="1"/>
  <c r="BF13" i="1"/>
  <c r="BT13" i="1"/>
  <c r="BF14" i="1"/>
  <c r="BT14" i="1"/>
  <c r="BF15" i="1"/>
  <c r="BT15" i="1"/>
  <c r="BF16" i="1"/>
  <c r="BT16" i="1"/>
  <c r="BF17" i="1"/>
  <c r="BT17" i="1"/>
  <c r="BF18" i="1"/>
  <c r="BT18" i="1"/>
  <c r="BF19" i="1"/>
  <c r="BT19" i="1"/>
  <c r="BF20" i="1"/>
  <c r="BT20" i="1"/>
  <c r="BF21" i="1"/>
  <c r="BT21" i="1"/>
  <c r="BF22" i="1"/>
  <c r="BT22" i="1"/>
  <c r="BF23" i="1"/>
  <c r="BT23" i="1"/>
  <c r="BF24" i="1"/>
  <c r="BT24" i="1"/>
  <c r="BF25" i="1"/>
  <c r="BT25" i="1"/>
  <c r="BT26" i="1"/>
  <c r="BT27" i="1"/>
  <c r="BF28" i="1"/>
  <c r="BT28" i="1"/>
  <c r="BF29" i="1"/>
  <c r="BT29" i="1"/>
  <c r="BF30" i="1"/>
  <c r="BT30" i="1"/>
  <c r="BF31" i="1"/>
  <c r="BT31" i="1"/>
  <c r="BF32" i="1"/>
  <c r="BT32" i="1"/>
  <c r="BF33" i="1"/>
  <c r="BT33" i="1"/>
  <c r="BF34" i="1"/>
  <c r="BT34" i="1"/>
  <c r="BF35" i="1"/>
  <c r="BT35" i="1"/>
  <c r="BF36" i="1"/>
  <c r="BT36" i="1"/>
  <c r="BF37" i="1"/>
  <c r="BT37" i="1"/>
  <c r="BF38" i="1"/>
  <c r="BT38" i="1"/>
  <c r="BF39" i="1"/>
  <c r="BT39" i="1"/>
  <c r="BF40" i="1"/>
  <c r="BT40" i="1"/>
  <c r="BF41" i="1"/>
  <c r="BT41" i="1"/>
  <c r="BF42" i="1"/>
  <c r="BT42" i="1"/>
  <c r="BF43" i="1"/>
  <c r="BT43" i="1"/>
  <c r="BT44" i="1"/>
  <c r="BF45" i="1"/>
  <c r="BT45" i="1"/>
  <c r="BF46" i="1"/>
  <c r="BT46" i="1"/>
  <c r="BF47" i="1"/>
  <c r="BT47" i="1"/>
  <c r="BF48" i="1"/>
  <c r="BT48" i="1"/>
  <c r="BF49" i="1"/>
  <c r="BT49" i="1"/>
  <c r="BF50" i="1"/>
  <c r="BT50" i="1"/>
  <c r="BF51" i="1"/>
  <c r="BT51" i="1"/>
  <c r="BF52" i="1"/>
  <c r="BT52" i="1"/>
  <c r="BF53" i="1"/>
  <c r="BT53" i="1"/>
  <c r="BF54" i="1"/>
  <c r="BT54" i="1"/>
  <c r="BF55" i="1"/>
  <c r="BT55" i="1"/>
  <c r="BF56" i="1"/>
  <c r="BT56" i="1"/>
  <c r="BT57" i="1"/>
  <c r="BF58" i="1"/>
  <c r="BT58" i="1"/>
  <c r="BF59" i="1"/>
  <c r="BT59" i="1"/>
  <c r="BF60" i="1"/>
  <c r="BT60" i="1"/>
  <c r="BF61" i="1"/>
  <c r="BT61" i="1"/>
  <c r="BF62" i="1"/>
  <c r="BT62" i="1"/>
  <c r="BF63" i="1"/>
  <c r="BT63" i="1"/>
  <c r="BF64" i="1"/>
  <c r="BT64" i="1"/>
  <c r="BF65" i="1"/>
  <c r="BT65" i="1"/>
  <c r="BF66" i="1"/>
  <c r="BT66" i="1"/>
  <c r="BF67" i="1"/>
  <c r="BT67" i="1"/>
  <c r="BF68" i="1"/>
  <c r="BT68" i="1"/>
  <c r="BF69" i="1"/>
  <c r="BT69" i="1"/>
  <c r="BF70" i="1"/>
  <c r="BT70" i="1"/>
  <c r="BF71" i="1"/>
  <c r="BT71" i="1"/>
  <c r="BF72" i="1"/>
  <c r="BT72" i="1"/>
  <c r="BF73" i="1"/>
  <c r="BT73" i="1"/>
  <c r="BF74" i="1"/>
  <c r="BT74" i="1"/>
  <c r="BF75" i="1"/>
  <c r="BT75" i="1"/>
  <c r="BF76" i="1"/>
  <c r="BT76" i="1"/>
  <c r="BF77" i="1"/>
  <c r="BT77" i="1"/>
  <c r="BF78" i="1"/>
  <c r="BT78" i="1"/>
  <c r="BF79" i="1"/>
  <c r="BT79" i="1"/>
  <c r="BF80" i="1"/>
  <c r="BT80" i="1"/>
  <c r="BF81" i="1"/>
  <c r="BT81" i="1"/>
  <c r="BF82" i="1"/>
  <c r="BT82" i="1"/>
  <c r="BF83" i="1"/>
  <c r="BT83" i="1"/>
  <c r="BF84" i="1"/>
  <c r="BT84" i="1"/>
  <c r="BF85" i="1"/>
  <c r="BT85" i="1"/>
  <c r="BF86" i="1"/>
  <c r="BT86" i="1"/>
  <c r="BF87" i="1"/>
  <c r="BT87" i="1"/>
  <c r="BF88" i="1"/>
  <c r="BT88" i="1"/>
  <c r="BF89" i="1"/>
  <c r="BT89" i="1"/>
  <c r="BF90" i="1"/>
  <c r="BT90" i="1"/>
  <c r="BF91" i="1"/>
  <c r="BT91" i="1"/>
  <c r="BF92" i="1"/>
  <c r="BT92" i="1"/>
  <c r="BF93" i="1"/>
  <c r="BT93" i="1"/>
  <c r="BF94" i="1"/>
  <c r="BT94" i="1"/>
  <c r="BF95" i="1"/>
  <c r="BT95" i="1"/>
  <c r="BF96" i="1"/>
  <c r="BT96" i="1"/>
  <c r="BF97" i="1"/>
  <c r="BT97" i="1"/>
  <c r="BF98" i="1"/>
  <c r="BT98" i="1"/>
  <c r="BF99" i="1"/>
  <c r="BT99" i="1"/>
  <c r="BT100" i="1"/>
  <c r="BF101" i="1"/>
  <c r="BT101" i="1"/>
  <c r="BF102" i="1"/>
  <c r="BT102" i="1"/>
  <c r="BF103" i="1"/>
  <c r="BT103" i="1"/>
  <c r="BF104" i="1"/>
  <c r="BT104" i="1"/>
  <c r="BF105" i="1"/>
  <c r="BT105" i="1"/>
  <c r="BF106" i="1"/>
  <c r="BT106" i="1"/>
  <c r="BF107" i="1"/>
  <c r="BT107" i="1"/>
  <c r="BF108" i="1"/>
  <c r="BT108" i="1"/>
  <c r="BF109" i="1"/>
  <c r="BT109" i="1"/>
  <c r="BF110" i="1"/>
  <c r="BT110" i="1"/>
  <c r="BF111" i="1"/>
  <c r="BT111" i="1"/>
  <c r="BF112" i="1"/>
  <c r="BT112" i="1"/>
  <c r="BF113" i="1"/>
  <c r="BT113" i="1"/>
  <c r="BF114" i="1"/>
  <c r="BT114" i="1"/>
  <c r="BF115" i="1"/>
  <c r="BT115" i="1"/>
  <c r="BF116" i="1"/>
  <c r="BT116" i="1"/>
  <c r="BT117" i="1"/>
  <c r="BF118" i="1"/>
  <c r="BT118" i="1"/>
  <c r="BF119" i="1"/>
  <c r="BT119" i="1"/>
  <c r="BF120" i="1"/>
  <c r="BT120" i="1"/>
  <c r="BF121" i="1"/>
  <c r="BT121" i="1"/>
  <c r="BF122" i="1"/>
  <c r="BT122" i="1"/>
  <c r="BF123" i="1"/>
  <c r="BT123" i="1"/>
  <c r="BF124" i="1"/>
  <c r="BT124" i="1"/>
  <c r="BF125" i="1"/>
  <c r="BT125" i="1"/>
  <c r="BF126" i="1"/>
  <c r="BT126" i="1"/>
  <c r="BF127" i="1"/>
  <c r="BT127" i="1"/>
  <c r="BF128" i="1"/>
  <c r="BT128" i="1"/>
  <c r="BF129" i="1"/>
  <c r="BT129" i="1"/>
  <c r="BF130" i="1"/>
  <c r="BT130" i="1"/>
  <c r="BF131" i="1"/>
  <c r="BT131" i="1"/>
  <c r="BF132" i="1"/>
  <c r="BT132" i="1"/>
  <c r="BF133" i="1"/>
  <c r="BT133" i="1"/>
  <c r="BF134" i="1"/>
  <c r="BT134" i="1"/>
  <c r="BF135" i="1"/>
  <c r="BT135" i="1"/>
  <c r="BF136" i="1"/>
  <c r="BT136" i="1"/>
  <c r="BF137" i="1"/>
  <c r="BT137" i="1"/>
  <c r="BF138" i="1"/>
  <c r="BT138" i="1"/>
  <c r="BF139" i="1"/>
  <c r="BT139" i="1"/>
  <c r="BF140" i="1"/>
  <c r="BT140" i="1"/>
  <c r="BF141" i="1"/>
  <c r="BT141" i="1"/>
  <c r="BF142" i="1"/>
  <c r="BT142" i="1"/>
  <c r="BF143" i="1"/>
  <c r="BT143" i="1"/>
  <c r="BF144" i="1"/>
  <c r="BT144" i="1"/>
  <c r="BF145" i="1"/>
  <c r="BT145" i="1"/>
  <c r="BF146" i="1"/>
  <c r="BT146" i="1"/>
  <c r="BF147" i="1"/>
  <c r="BT147" i="1"/>
  <c r="BF148" i="1"/>
  <c r="BT148" i="1"/>
  <c r="BF149" i="1"/>
  <c r="BT149" i="1"/>
  <c r="BF150" i="1"/>
  <c r="BT150" i="1"/>
  <c r="BF151" i="1"/>
  <c r="BT151" i="1"/>
  <c r="BF152" i="1"/>
  <c r="BT152" i="1"/>
  <c r="BF153" i="1"/>
  <c r="BT153" i="1"/>
  <c r="BF154" i="1"/>
  <c r="BT154" i="1"/>
  <c r="BF155" i="1"/>
  <c r="BT155" i="1"/>
  <c r="BF156" i="1"/>
  <c r="BT156" i="1"/>
  <c r="BF157" i="1"/>
  <c r="BT157" i="1"/>
  <c r="BF158" i="1"/>
  <c r="BT158" i="1"/>
  <c r="BF159" i="1"/>
  <c r="BT159" i="1"/>
  <c r="BF160" i="1"/>
  <c r="BT160" i="1"/>
  <c r="BF161" i="1"/>
  <c r="BT161" i="1"/>
  <c r="BF162" i="1"/>
  <c r="BT162" i="1"/>
  <c r="BF163" i="1"/>
  <c r="BT163" i="1"/>
  <c r="BF164" i="1"/>
  <c r="BT164" i="1"/>
  <c r="BF165" i="1"/>
  <c r="BT165" i="1"/>
  <c r="BF166" i="1"/>
  <c r="BT166" i="1"/>
  <c r="BF167" i="1"/>
  <c r="BT167" i="1"/>
  <c r="BF168" i="1"/>
  <c r="BT168" i="1"/>
  <c r="BF169" i="1"/>
  <c r="BT169" i="1"/>
  <c r="BF170" i="1"/>
  <c r="BT170" i="1"/>
  <c r="BF171" i="1"/>
  <c r="BT171" i="1"/>
  <c r="BF172" i="1"/>
  <c r="BT172" i="1"/>
  <c r="BF173" i="1"/>
  <c r="BT173" i="1"/>
  <c r="BF174" i="1"/>
  <c r="BT174" i="1"/>
  <c r="BF175" i="1"/>
  <c r="BT175" i="1"/>
  <c r="BF176" i="1"/>
  <c r="BT176" i="1"/>
  <c r="BT177" i="1"/>
  <c r="BF178" i="1"/>
  <c r="BT178" i="1"/>
  <c r="BF179" i="1"/>
  <c r="BT179" i="1"/>
  <c r="BF180" i="1"/>
  <c r="BT180" i="1"/>
  <c r="BF181" i="1"/>
  <c r="BT181" i="1"/>
  <c r="BF182" i="1"/>
  <c r="BT182" i="1"/>
  <c r="BF183" i="1"/>
  <c r="BT183" i="1"/>
  <c r="BF184" i="1"/>
  <c r="BT184" i="1"/>
  <c r="BF185" i="1"/>
  <c r="BT185" i="1"/>
  <c r="BF186" i="1"/>
  <c r="BT186" i="1"/>
  <c r="BF187" i="1"/>
  <c r="BT187" i="1"/>
  <c r="BF188" i="1"/>
  <c r="BT188" i="1"/>
  <c r="BF189" i="1"/>
  <c r="BT189" i="1"/>
  <c r="BF190" i="1"/>
  <c r="BT190" i="1"/>
  <c r="BF191" i="1"/>
  <c r="BT191" i="1"/>
  <c r="BF192" i="1"/>
  <c r="BT192" i="1"/>
  <c r="BF193" i="1"/>
  <c r="BT193" i="1"/>
  <c r="BF194" i="1"/>
  <c r="BT194" i="1"/>
  <c r="BF195" i="1"/>
  <c r="BT195" i="1"/>
  <c r="BF196" i="1"/>
  <c r="BT196" i="1"/>
  <c r="BT197" i="1"/>
  <c r="BF198" i="1"/>
  <c r="BT198" i="1"/>
  <c r="BF199" i="1"/>
  <c r="BT199" i="1"/>
  <c r="BF200" i="1"/>
  <c r="BT200" i="1"/>
  <c r="BF201" i="1"/>
  <c r="BT201" i="1"/>
  <c r="BF202" i="1"/>
  <c r="BT202" i="1"/>
  <c r="BT203" i="1"/>
  <c r="BF204" i="1"/>
  <c r="BT204" i="1"/>
  <c r="BF205" i="1"/>
  <c r="BT205" i="1"/>
  <c r="BF206" i="1"/>
  <c r="BT206" i="1"/>
  <c r="BF207" i="1"/>
  <c r="BT207" i="1"/>
  <c r="BF208" i="1"/>
  <c r="BT208" i="1"/>
  <c r="BF209" i="1"/>
  <c r="BT209" i="1"/>
  <c r="BF210" i="1"/>
  <c r="BT210" i="1"/>
  <c r="BF211" i="1"/>
  <c r="BT211" i="1"/>
  <c r="BF212" i="1"/>
  <c r="BT212" i="1"/>
  <c r="BF213" i="1"/>
  <c r="BT213" i="1"/>
  <c r="BF214" i="1"/>
  <c r="BT214" i="1"/>
  <c r="BF215" i="1"/>
  <c r="BT215" i="1"/>
  <c r="BF216" i="1"/>
  <c r="BT216" i="1"/>
  <c r="BF217" i="1"/>
  <c r="BT217" i="1"/>
  <c r="BT218" i="1"/>
  <c r="BF219" i="1"/>
  <c r="BT219" i="1"/>
  <c r="BF220" i="1"/>
  <c r="BT220" i="1"/>
  <c r="BF221" i="1"/>
  <c r="BT221" i="1"/>
  <c r="BF222" i="1"/>
  <c r="BT222" i="1"/>
  <c r="BF223" i="1"/>
  <c r="BT223" i="1"/>
  <c r="BF224" i="1"/>
  <c r="BT224" i="1"/>
  <c r="BF225" i="1"/>
  <c r="BT225" i="1"/>
  <c r="BF226" i="1"/>
  <c r="BT226" i="1"/>
  <c r="BF227" i="1"/>
  <c r="BT227" i="1"/>
  <c r="BF228" i="1"/>
  <c r="BT228" i="1"/>
  <c r="BF229" i="1"/>
  <c r="BT229" i="1"/>
  <c r="BF230" i="1"/>
  <c r="BT230" i="1"/>
  <c r="BF231" i="1"/>
  <c r="BT231" i="1"/>
  <c r="BF232" i="1"/>
  <c r="BT232" i="1"/>
  <c r="BF233" i="1"/>
  <c r="BT233" i="1"/>
  <c r="BF234" i="1"/>
  <c r="BT234" i="1"/>
  <c r="BF235" i="1"/>
  <c r="BT235" i="1"/>
  <c r="BF236" i="1"/>
  <c r="BT236" i="1"/>
  <c r="BF237" i="1"/>
  <c r="BT237" i="1"/>
  <c r="BF238" i="1"/>
  <c r="BT238" i="1"/>
  <c r="BF239" i="1"/>
  <c r="BT239" i="1"/>
  <c r="BF240" i="1"/>
  <c r="BT240" i="1"/>
  <c r="BF241" i="1"/>
  <c r="BT241" i="1"/>
  <c r="BF242" i="1"/>
  <c r="BT242" i="1"/>
  <c r="BF243" i="1"/>
  <c r="BT243" i="1"/>
  <c r="BF244" i="1"/>
  <c r="BT244" i="1"/>
  <c r="BF245" i="1"/>
  <c r="BT245" i="1"/>
  <c r="BF246" i="1"/>
  <c r="BT246" i="1"/>
  <c r="BF247" i="1"/>
  <c r="BT247" i="1"/>
  <c r="BF248" i="1"/>
  <c r="BT248" i="1"/>
  <c r="BF249" i="1"/>
  <c r="BT249" i="1"/>
  <c r="BF250" i="1"/>
  <c r="BT250" i="1"/>
  <c r="BF251" i="1"/>
  <c r="BT251" i="1"/>
  <c r="BF252" i="1"/>
  <c r="BT252" i="1"/>
  <c r="BF253" i="1"/>
  <c r="BT253" i="1"/>
  <c r="BF254" i="1"/>
  <c r="BT254" i="1"/>
  <c r="BF255" i="1"/>
  <c r="BT255" i="1"/>
  <c r="BF256" i="1"/>
  <c r="BT256" i="1"/>
  <c r="BF257" i="1"/>
  <c r="BT257" i="1"/>
  <c r="BF258" i="1"/>
  <c r="BT258" i="1"/>
  <c r="BF259" i="1"/>
  <c r="BT259" i="1"/>
  <c r="BF260" i="1"/>
  <c r="BT260" i="1"/>
  <c r="BF261" i="1"/>
  <c r="BT261" i="1"/>
  <c r="BF262" i="1"/>
  <c r="BT262" i="1"/>
  <c r="BF263" i="1"/>
  <c r="BT263" i="1"/>
  <c r="BF264" i="1"/>
  <c r="BT264" i="1"/>
  <c r="BF265" i="1"/>
  <c r="BT265" i="1"/>
  <c r="BF266" i="1"/>
  <c r="BT266" i="1"/>
  <c r="BF267" i="1"/>
  <c r="BT267" i="1"/>
  <c r="BF268" i="1"/>
  <c r="BT268" i="1"/>
  <c r="BF269" i="1"/>
  <c r="BT269" i="1"/>
  <c r="BF270" i="1"/>
  <c r="BT270" i="1"/>
  <c r="BF271" i="1"/>
  <c r="BT271" i="1"/>
  <c r="BF272" i="1"/>
  <c r="BT272" i="1"/>
  <c r="BF273" i="1"/>
  <c r="BT273" i="1"/>
  <c r="BF274" i="1"/>
  <c r="BT274" i="1"/>
  <c r="BT275" i="1"/>
  <c r="BF276" i="1"/>
  <c r="BT276" i="1"/>
  <c r="BF277" i="1"/>
  <c r="BT277" i="1"/>
  <c r="BF278" i="1"/>
  <c r="BT278" i="1"/>
  <c r="BF279" i="1"/>
  <c r="BT279" i="1"/>
  <c r="BF280" i="1"/>
  <c r="BT280" i="1"/>
  <c r="BF281" i="1"/>
  <c r="BT281" i="1"/>
  <c r="BF282" i="1"/>
  <c r="BT282" i="1"/>
  <c r="BF283" i="1"/>
  <c r="BT283" i="1"/>
  <c r="BF284" i="1"/>
  <c r="BT284" i="1"/>
  <c r="BF285" i="1"/>
  <c r="BT285" i="1"/>
  <c r="BF286" i="1"/>
  <c r="BT286" i="1"/>
  <c r="BF287" i="1"/>
  <c r="BT287" i="1"/>
  <c r="BF288" i="1"/>
  <c r="BT288" i="1"/>
  <c r="BF289" i="1"/>
  <c r="BT289" i="1"/>
  <c r="BF290" i="1"/>
  <c r="BT290" i="1"/>
  <c r="BF291" i="1"/>
  <c r="BT291" i="1"/>
  <c r="BF292" i="1"/>
  <c r="BT292" i="1"/>
  <c r="BF293" i="1"/>
  <c r="BT293" i="1"/>
  <c r="BF294" i="1"/>
  <c r="BT294" i="1"/>
  <c r="BF295" i="1"/>
  <c r="BT295" i="1"/>
  <c r="BF296" i="1"/>
  <c r="BT296" i="1"/>
  <c r="BF297" i="1"/>
  <c r="BT297" i="1"/>
  <c r="BF298" i="1"/>
  <c r="BT298" i="1"/>
  <c r="BF299" i="1"/>
  <c r="BT299" i="1"/>
  <c r="BF300" i="1"/>
  <c r="BT300" i="1"/>
  <c r="BF301" i="1"/>
  <c r="BT301" i="1"/>
  <c r="BF302" i="1"/>
  <c r="BT302" i="1"/>
  <c r="BF303" i="1"/>
  <c r="BT303" i="1"/>
  <c r="BF304" i="1"/>
  <c r="BT304" i="1"/>
  <c r="BF305" i="1"/>
  <c r="BT305" i="1"/>
  <c r="BF306" i="1"/>
  <c r="BT306" i="1"/>
  <c r="BF307" i="1"/>
  <c r="BT307" i="1"/>
  <c r="BF308" i="1"/>
  <c r="BT308" i="1"/>
  <c r="BF309" i="1"/>
  <c r="BT309" i="1"/>
  <c r="BF310" i="1"/>
  <c r="BT310" i="1"/>
  <c r="BF311" i="1"/>
  <c r="BT311" i="1"/>
  <c r="BF312" i="1"/>
  <c r="BT312" i="1"/>
  <c r="BT313" i="1"/>
  <c r="BF314" i="1"/>
  <c r="BT314" i="1"/>
  <c r="BF315" i="1"/>
  <c r="BT315" i="1"/>
  <c r="BF316" i="1"/>
  <c r="BT316" i="1"/>
  <c r="BF317" i="1"/>
  <c r="BT317" i="1"/>
  <c r="BF318" i="1"/>
  <c r="BT318" i="1"/>
  <c r="BF319" i="1"/>
  <c r="BT319" i="1"/>
  <c r="BF320" i="1"/>
  <c r="BT320" i="1"/>
  <c r="BF321" i="1"/>
  <c r="BT321" i="1"/>
  <c r="BF322" i="1"/>
  <c r="BT322" i="1"/>
  <c r="BF323" i="1"/>
  <c r="BT323" i="1"/>
  <c r="BF324" i="1"/>
  <c r="BT324" i="1"/>
  <c r="BF325" i="1"/>
  <c r="BT325" i="1"/>
  <c r="BF326" i="1"/>
  <c r="BT326" i="1"/>
  <c r="BF327" i="1"/>
  <c r="BT327" i="1"/>
  <c r="BF328" i="1"/>
  <c r="BT328" i="1"/>
  <c r="BF329" i="1"/>
  <c r="BT329" i="1"/>
  <c r="BF330" i="1"/>
  <c r="BT330" i="1"/>
  <c r="BT331" i="1"/>
  <c r="BF332" i="1"/>
  <c r="BT332" i="1"/>
  <c r="BF333" i="1"/>
  <c r="BT333" i="1"/>
  <c r="BF334" i="1"/>
  <c r="BT334" i="1"/>
  <c r="BF335" i="1"/>
  <c r="BT335" i="1"/>
  <c r="BF336" i="1"/>
  <c r="BT336" i="1"/>
  <c r="BF337" i="1"/>
  <c r="BT337" i="1"/>
  <c r="BT338" i="1"/>
  <c r="BF339" i="1"/>
  <c r="BT339" i="1"/>
  <c r="BF340" i="1"/>
  <c r="BT340" i="1"/>
  <c r="BF341" i="1"/>
  <c r="BT341" i="1"/>
  <c r="BF342" i="1"/>
  <c r="BT342" i="1"/>
  <c r="BF343" i="1"/>
  <c r="BT343" i="1"/>
  <c r="BT344" i="1"/>
  <c r="BF345" i="1"/>
  <c r="BT345" i="1"/>
  <c r="BF346" i="1"/>
  <c r="BT346" i="1"/>
  <c r="BF347" i="1"/>
  <c r="BT347" i="1"/>
  <c r="BF348" i="1"/>
  <c r="BT348" i="1"/>
  <c r="BF349" i="1"/>
  <c r="BT349" i="1"/>
  <c r="BF350" i="1"/>
  <c r="BT350" i="1"/>
  <c r="BF351" i="1"/>
  <c r="BT351" i="1"/>
  <c r="BF352" i="1"/>
  <c r="BT352" i="1"/>
  <c r="BF353" i="1"/>
  <c r="BT353" i="1"/>
  <c r="BF354" i="1"/>
  <c r="BT354" i="1"/>
  <c r="BF355" i="1"/>
  <c r="BT355" i="1"/>
  <c r="BF356" i="1"/>
  <c r="BT356" i="1"/>
  <c r="BF357" i="1"/>
  <c r="BT357" i="1"/>
  <c r="BF358" i="1"/>
  <c r="BT358" i="1"/>
  <c r="BF359" i="1"/>
  <c r="BT359" i="1"/>
  <c r="BF360" i="1"/>
  <c r="BT360" i="1"/>
  <c r="BF361" i="1"/>
  <c r="BT361" i="1"/>
  <c r="BF362" i="1"/>
  <c r="BT362" i="1"/>
  <c r="BF363" i="1"/>
  <c r="BT363" i="1"/>
  <c r="BF364" i="1"/>
  <c r="BT364" i="1"/>
  <c r="BF365" i="1"/>
  <c r="BT365" i="1"/>
  <c r="BF366" i="1"/>
  <c r="BT366" i="1"/>
  <c r="BF367" i="1"/>
  <c r="BT367" i="1"/>
  <c r="BF368" i="1"/>
  <c r="BT368" i="1"/>
  <c r="BF369" i="1"/>
  <c r="BT369" i="1"/>
  <c r="BF370" i="1"/>
  <c r="BT370" i="1"/>
  <c r="BF371" i="1"/>
  <c r="BT371" i="1"/>
  <c r="BF372" i="1"/>
  <c r="BT372" i="1"/>
  <c r="BF373" i="1"/>
  <c r="BT373" i="1"/>
  <c r="BT374" i="1"/>
  <c r="BF375" i="1"/>
  <c r="BT375" i="1"/>
  <c r="BF376" i="1"/>
  <c r="BT376" i="1"/>
  <c r="BF377" i="1"/>
  <c r="BT377" i="1"/>
  <c r="BF378" i="1"/>
  <c r="BT378" i="1"/>
  <c r="BF379" i="1"/>
  <c r="BT379" i="1"/>
  <c r="BF380" i="1"/>
  <c r="BT380" i="1"/>
  <c r="BF381" i="1"/>
  <c r="BT381" i="1"/>
  <c r="BF382" i="1"/>
  <c r="BT382" i="1"/>
  <c r="BF383" i="1"/>
  <c r="BT383" i="1"/>
  <c r="BF384" i="1"/>
  <c r="BT384" i="1"/>
  <c r="BF385" i="1"/>
  <c r="BT385" i="1"/>
  <c r="BF386" i="1"/>
  <c r="BT386" i="1"/>
  <c r="BF387" i="1"/>
  <c r="BT387" i="1"/>
  <c r="BF388" i="1"/>
  <c r="BT388" i="1"/>
  <c r="BF389" i="1"/>
  <c r="BT389" i="1"/>
  <c r="BF390" i="1"/>
  <c r="BT390" i="1"/>
  <c r="BF391" i="1"/>
  <c r="BT391" i="1"/>
  <c r="BF392" i="1"/>
  <c r="BT392" i="1"/>
  <c r="BF393" i="1"/>
  <c r="BT393" i="1"/>
  <c r="BF394" i="1"/>
  <c r="BT394" i="1"/>
  <c r="BF395" i="1"/>
  <c r="BT395" i="1"/>
  <c r="BF396" i="1"/>
  <c r="BT396" i="1"/>
  <c r="BF397" i="1"/>
  <c r="BT397" i="1"/>
  <c r="BF398" i="1"/>
  <c r="BT398" i="1"/>
  <c r="BT399" i="1"/>
  <c r="BF400" i="1"/>
  <c r="BT400" i="1"/>
  <c r="BF401" i="1"/>
  <c r="BT401" i="1"/>
  <c r="BF402" i="1"/>
  <c r="BT402" i="1"/>
  <c r="BF403" i="1"/>
  <c r="BT403" i="1"/>
  <c r="BF404" i="1"/>
  <c r="BT404" i="1"/>
  <c r="BF405" i="1"/>
  <c r="BT405" i="1"/>
  <c r="BF406" i="1"/>
  <c r="BT406" i="1"/>
  <c r="BF407" i="1"/>
  <c r="BT407" i="1"/>
  <c r="BF408" i="1"/>
  <c r="BT408" i="1"/>
  <c r="BF409" i="1"/>
  <c r="BT409" i="1"/>
  <c r="BF410" i="1"/>
  <c r="BT410" i="1"/>
  <c r="BF411" i="1"/>
  <c r="BT411" i="1"/>
  <c r="BF412" i="1"/>
  <c r="BT412" i="1"/>
  <c r="BF413" i="1"/>
  <c r="BT413" i="1"/>
  <c r="BF414" i="1"/>
  <c r="BT414" i="1"/>
  <c r="BF415" i="1"/>
  <c r="BT415" i="1"/>
  <c r="BF416" i="1"/>
  <c r="BT416" i="1"/>
  <c r="BF417" i="1"/>
  <c r="BT417" i="1"/>
  <c r="BF418" i="1"/>
  <c r="BT418" i="1"/>
  <c r="BF419" i="1"/>
  <c r="BT419" i="1"/>
  <c r="BF420" i="1"/>
  <c r="BT420" i="1"/>
  <c r="BF421" i="1"/>
  <c r="BT421" i="1"/>
  <c r="BF422" i="1"/>
  <c r="BT422" i="1"/>
  <c r="BF423" i="1"/>
  <c r="BT423" i="1"/>
  <c r="BF424" i="1"/>
  <c r="BT424" i="1"/>
  <c r="BF425" i="1"/>
  <c r="BT425" i="1"/>
  <c r="BF426" i="1"/>
  <c r="BT426" i="1"/>
  <c r="BF427" i="1"/>
  <c r="BT427" i="1"/>
  <c r="BF428" i="1"/>
  <c r="BT428" i="1"/>
  <c r="BF429" i="1"/>
  <c r="BT429" i="1"/>
  <c r="BF430" i="1"/>
  <c r="BT430" i="1"/>
  <c r="BT431" i="1"/>
  <c r="BF432" i="1"/>
  <c r="BT432" i="1"/>
  <c r="BF433" i="1"/>
  <c r="BT433" i="1"/>
  <c r="BF434" i="1"/>
  <c r="BT434" i="1"/>
  <c r="BF435" i="1"/>
  <c r="BT435" i="1"/>
  <c r="BF436" i="1"/>
  <c r="BT436" i="1"/>
  <c r="BF437" i="1"/>
  <c r="BT437" i="1"/>
  <c r="BF438" i="1"/>
  <c r="BT438" i="1"/>
  <c r="BF439" i="1"/>
  <c r="BT439" i="1"/>
  <c r="BF440" i="1"/>
  <c r="BT440" i="1"/>
  <c r="BT441" i="1"/>
  <c r="BF442" i="1"/>
  <c r="BT442" i="1"/>
  <c r="BF443" i="1"/>
  <c r="BT443" i="1"/>
  <c r="BF444" i="1"/>
  <c r="BT444" i="1"/>
  <c r="BF445" i="1"/>
  <c r="BT445" i="1"/>
  <c r="BF446" i="1"/>
  <c r="BT446" i="1"/>
  <c r="BF447" i="1"/>
  <c r="BT447" i="1"/>
  <c r="BF448" i="1"/>
  <c r="BT448" i="1"/>
  <c r="BF449" i="1"/>
  <c r="BT449" i="1"/>
  <c r="BF450" i="1"/>
  <c r="BT450" i="1"/>
  <c r="BF451" i="1"/>
  <c r="BT451" i="1"/>
  <c r="BF452" i="1"/>
  <c r="BT452" i="1"/>
  <c r="BF453" i="1"/>
  <c r="BT453" i="1"/>
  <c r="BF454" i="1"/>
  <c r="BT454" i="1"/>
  <c r="BF455" i="1"/>
  <c r="BT455" i="1"/>
  <c r="BF456" i="1"/>
  <c r="BT456" i="1"/>
  <c r="BF457" i="1"/>
  <c r="BT457" i="1"/>
  <c r="BF458" i="1"/>
  <c r="BT458" i="1"/>
  <c r="BF459" i="1"/>
  <c r="BT459" i="1"/>
  <c r="BF460" i="1"/>
  <c r="BT460" i="1"/>
  <c r="BF461" i="1"/>
  <c r="BT461" i="1"/>
  <c r="BF462" i="1"/>
  <c r="BT462" i="1"/>
  <c r="BF463" i="1"/>
  <c r="BT463" i="1"/>
  <c r="BF464" i="1"/>
  <c r="BT464" i="1"/>
  <c r="BF465" i="1"/>
  <c r="BT465" i="1"/>
  <c r="BF466" i="1"/>
  <c r="BT466" i="1"/>
  <c r="BF467" i="1"/>
  <c r="BT467" i="1"/>
  <c r="BF468" i="1"/>
  <c r="BT468" i="1"/>
  <c r="BF469" i="1"/>
  <c r="BT469" i="1"/>
  <c r="BF470" i="1"/>
  <c r="BT470" i="1"/>
  <c r="BF471" i="1"/>
  <c r="BT471" i="1"/>
  <c r="BF472" i="1"/>
  <c r="BT472" i="1"/>
  <c r="BF473" i="1"/>
  <c r="BT473" i="1"/>
  <c r="BF474" i="1"/>
  <c r="BT474" i="1"/>
  <c r="BF475" i="1"/>
  <c r="BT475" i="1"/>
  <c r="BF476" i="1"/>
  <c r="BT476" i="1"/>
  <c r="BF477" i="1"/>
  <c r="BT477" i="1"/>
  <c r="BF478" i="1"/>
  <c r="BT478" i="1"/>
  <c r="BF479" i="1"/>
  <c r="BT479" i="1"/>
  <c r="BF480" i="1"/>
  <c r="BT480" i="1"/>
  <c r="BF481" i="1"/>
  <c r="BT481" i="1"/>
  <c r="BF482" i="1"/>
  <c r="BT482" i="1"/>
  <c r="BF483" i="1"/>
  <c r="BT483" i="1"/>
  <c r="BF484" i="1"/>
  <c r="BT484" i="1"/>
  <c r="BF485" i="1"/>
  <c r="BT485" i="1"/>
  <c r="BF486" i="1"/>
  <c r="BT486" i="1"/>
  <c r="BF487" i="1"/>
  <c r="BT487" i="1"/>
  <c r="BF488" i="1"/>
  <c r="BT488" i="1"/>
  <c r="BF489" i="1"/>
  <c r="BT489" i="1"/>
  <c r="BF490" i="1"/>
  <c r="BT490" i="1"/>
  <c r="BT491" i="1"/>
  <c r="BF492" i="1"/>
  <c r="BT492" i="1"/>
  <c r="BF493" i="1"/>
  <c r="BT493" i="1"/>
  <c r="BT494" i="1"/>
  <c r="BF495" i="1"/>
  <c r="BT495" i="1"/>
  <c r="BF496" i="1"/>
  <c r="BT496" i="1"/>
  <c r="BF497" i="1"/>
  <c r="BT497" i="1"/>
  <c r="BF498" i="1"/>
  <c r="BT498" i="1"/>
  <c r="BF499" i="1"/>
  <c r="BT499" i="1"/>
  <c r="BF500" i="1"/>
  <c r="BT500" i="1"/>
  <c r="BF501" i="1"/>
  <c r="BT501" i="1"/>
  <c r="BF502" i="1"/>
  <c r="BT502" i="1"/>
  <c r="BF503" i="1"/>
  <c r="BT503" i="1"/>
  <c r="BT504" i="1"/>
  <c r="BF505" i="1"/>
  <c r="BT505" i="1"/>
  <c r="BF506" i="1"/>
  <c r="BT506" i="1"/>
  <c r="BF507" i="1"/>
  <c r="BT507" i="1"/>
  <c r="BF508" i="1"/>
  <c r="BT508" i="1"/>
  <c r="BF509" i="1"/>
  <c r="BT509" i="1"/>
  <c r="BF510" i="1"/>
  <c r="BT510" i="1"/>
  <c r="BF511" i="1"/>
  <c r="BT511" i="1"/>
  <c r="BF512" i="1"/>
  <c r="BT512" i="1"/>
  <c r="BF513" i="1"/>
  <c r="BT513" i="1"/>
  <c r="BF514" i="1"/>
  <c r="BT514" i="1"/>
  <c r="BF515" i="1"/>
  <c r="BT515" i="1"/>
  <c r="BF516" i="1"/>
  <c r="BT516" i="1"/>
  <c r="BF517" i="1"/>
  <c r="BT517" i="1"/>
  <c r="BF518" i="1"/>
  <c r="BT518" i="1"/>
  <c r="BF519" i="1"/>
  <c r="BT519" i="1"/>
  <c r="BF520" i="1"/>
  <c r="BT520" i="1"/>
  <c r="BF521" i="1"/>
  <c r="BT521" i="1"/>
  <c r="BF522" i="1"/>
  <c r="BT522" i="1"/>
  <c r="BF523" i="1"/>
  <c r="BT523" i="1"/>
  <c r="BF524" i="1"/>
  <c r="BT524" i="1"/>
  <c r="BF525" i="1"/>
  <c r="BT525" i="1"/>
  <c r="BF526" i="1"/>
  <c r="BT526" i="1"/>
  <c r="BF527" i="1"/>
  <c r="BT527" i="1"/>
  <c r="BF528" i="1"/>
  <c r="BT528" i="1"/>
  <c r="BF529" i="1"/>
  <c r="BT529" i="1"/>
  <c r="BF530" i="1"/>
  <c r="BT530" i="1"/>
  <c r="BF531" i="1"/>
  <c r="BT531" i="1"/>
  <c r="BF532" i="1"/>
  <c r="BT532" i="1"/>
  <c r="BF533" i="1"/>
  <c r="BT533" i="1"/>
  <c r="BF534" i="1"/>
  <c r="BT534" i="1"/>
  <c r="BF535" i="1"/>
  <c r="BT535" i="1"/>
  <c r="BF536" i="1"/>
  <c r="BT536" i="1"/>
  <c r="BT537" i="1"/>
  <c r="BF538" i="1"/>
  <c r="BT538" i="1"/>
  <c r="BF539" i="1"/>
  <c r="BT539" i="1"/>
  <c r="BF540" i="1"/>
  <c r="BT540" i="1"/>
  <c r="BF541" i="1"/>
  <c r="BT541" i="1"/>
  <c r="BF542" i="1"/>
  <c r="BT542" i="1"/>
  <c r="BT543" i="1"/>
  <c r="BF544" i="1"/>
  <c r="BT544" i="1"/>
  <c r="BF545" i="1"/>
  <c r="BT545" i="1"/>
  <c r="BF546" i="1"/>
  <c r="BT546" i="1"/>
  <c r="BF547" i="1"/>
  <c r="BT547" i="1"/>
  <c r="BF548" i="1"/>
  <c r="BT548" i="1"/>
  <c r="BT549" i="1"/>
  <c r="BF550" i="1"/>
  <c r="BT550" i="1"/>
  <c r="BF551" i="1"/>
  <c r="BT551" i="1"/>
  <c r="BF552" i="1"/>
  <c r="BT552" i="1"/>
  <c r="BF553" i="1"/>
  <c r="BT553" i="1"/>
  <c r="BF554" i="1"/>
  <c r="BT554" i="1"/>
  <c r="BF555" i="1"/>
  <c r="BT555" i="1"/>
  <c r="BF556" i="1"/>
  <c r="BT556" i="1"/>
  <c r="BF557" i="1"/>
  <c r="BT557" i="1"/>
  <c r="BF558" i="1"/>
  <c r="BT558" i="1"/>
  <c r="BF559" i="1"/>
  <c r="BT559" i="1"/>
  <c r="BF560" i="1"/>
  <c r="BT560" i="1"/>
  <c r="BF561" i="1"/>
  <c r="BT561" i="1"/>
  <c r="BF562" i="1"/>
  <c r="BT562" i="1"/>
  <c r="BF563" i="1"/>
  <c r="BT563" i="1"/>
  <c r="BF564" i="1"/>
  <c r="BT564" i="1"/>
  <c r="BF565" i="1"/>
  <c r="BT565" i="1"/>
  <c r="BF566" i="1"/>
  <c r="BT566" i="1"/>
  <c r="BF567" i="1"/>
  <c r="BT567" i="1"/>
  <c r="BF568" i="1"/>
  <c r="BT568" i="1"/>
  <c r="BF569" i="1"/>
  <c r="BT569" i="1"/>
  <c r="BF570" i="1"/>
  <c r="BT570" i="1"/>
  <c r="BF571" i="1"/>
  <c r="BT571" i="1"/>
  <c r="BF572" i="1"/>
  <c r="BT572" i="1"/>
  <c r="BF573" i="1"/>
  <c r="BT573" i="1"/>
  <c r="BF574" i="1"/>
  <c r="BT574" i="1"/>
  <c r="BF575" i="1"/>
  <c r="BT575" i="1"/>
  <c r="BF576" i="1"/>
  <c r="BT576" i="1"/>
  <c r="BF577" i="1"/>
  <c r="BT577" i="1"/>
  <c r="BF578" i="1"/>
  <c r="BT578" i="1"/>
  <c r="BF579" i="1"/>
  <c r="BT579" i="1"/>
  <c r="BF580" i="1"/>
  <c r="BT580" i="1"/>
  <c r="BF581" i="1"/>
  <c r="BT581" i="1"/>
  <c r="BF582" i="1"/>
  <c r="BT582" i="1"/>
  <c r="BF583" i="1"/>
  <c r="BT583" i="1"/>
  <c r="BF584" i="1"/>
  <c r="BT584" i="1"/>
  <c r="BF585" i="1"/>
  <c r="BT585" i="1"/>
  <c r="BF586" i="1"/>
  <c r="BT586" i="1"/>
  <c r="BF587" i="1"/>
  <c r="BT587" i="1"/>
  <c r="BF588" i="1"/>
  <c r="BT588" i="1"/>
  <c r="BF589" i="1"/>
  <c r="BT589" i="1"/>
  <c r="BF590" i="1"/>
  <c r="BT590" i="1"/>
  <c r="BF591" i="1"/>
  <c r="BT591" i="1"/>
  <c r="BF592" i="1"/>
  <c r="BT592" i="1"/>
  <c r="BF593" i="1"/>
  <c r="BT593" i="1"/>
  <c r="BF594" i="1"/>
  <c r="BT594" i="1"/>
  <c r="BF595" i="1"/>
  <c r="BT595" i="1"/>
  <c r="BF596" i="1"/>
  <c r="BT596" i="1"/>
  <c r="BF597" i="1"/>
  <c r="BT597" i="1"/>
  <c r="BF598" i="1"/>
  <c r="BT598" i="1"/>
  <c r="BF599" i="1"/>
  <c r="BT599" i="1"/>
  <c r="BF600" i="1"/>
  <c r="BT600" i="1"/>
  <c r="BF601" i="1"/>
  <c r="BT601" i="1"/>
  <c r="BF602" i="1"/>
  <c r="BT602" i="1"/>
  <c r="BF603" i="1"/>
  <c r="BT603" i="1"/>
  <c r="BF604" i="1"/>
  <c r="BT604" i="1"/>
  <c r="BF605" i="1"/>
  <c r="BT605" i="1"/>
  <c r="BF606" i="1"/>
  <c r="BT606" i="1"/>
  <c r="BF607" i="1"/>
  <c r="BT607" i="1"/>
  <c r="BF608" i="1"/>
  <c r="BT608" i="1"/>
  <c r="BF609" i="1"/>
  <c r="BT609" i="1"/>
  <c r="BF610" i="1"/>
  <c r="BT610" i="1"/>
  <c r="BF611" i="1"/>
  <c r="BT611" i="1"/>
  <c r="BF612" i="1"/>
  <c r="BT612" i="1"/>
  <c r="BF613" i="1"/>
  <c r="BT613" i="1"/>
  <c r="BF614" i="1"/>
  <c r="BT614" i="1"/>
  <c r="BF615" i="1"/>
  <c r="BT615" i="1"/>
  <c r="BF616" i="1"/>
  <c r="BT616" i="1"/>
  <c r="BF617" i="1"/>
  <c r="BT617" i="1"/>
  <c r="BF618" i="1"/>
  <c r="BT618" i="1"/>
  <c r="BF619" i="1"/>
  <c r="BT619" i="1"/>
  <c r="BF620" i="1"/>
  <c r="BT620" i="1"/>
  <c r="BF621" i="1"/>
  <c r="BT621" i="1"/>
  <c r="BF622" i="1"/>
  <c r="BT622" i="1"/>
  <c r="BF623" i="1"/>
  <c r="BT623" i="1"/>
  <c r="BF624" i="1"/>
  <c r="BT624" i="1"/>
  <c r="BF625" i="1"/>
  <c r="BT625" i="1"/>
  <c r="BF626" i="1"/>
  <c r="BT626" i="1"/>
  <c r="BF627" i="1"/>
  <c r="BT627" i="1"/>
  <c r="BF628" i="1"/>
  <c r="BT628" i="1"/>
  <c r="BF629" i="1"/>
  <c r="BT629" i="1"/>
  <c r="BF630" i="1"/>
  <c r="BT630" i="1"/>
  <c r="BT631" i="1"/>
  <c r="BF632" i="1"/>
  <c r="BT632" i="1"/>
  <c r="BF633" i="1"/>
  <c r="BT633" i="1"/>
  <c r="BF634" i="1"/>
  <c r="BT634" i="1"/>
  <c r="BF635" i="1"/>
  <c r="BT635" i="1"/>
  <c r="BT636" i="1"/>
  <c r="BF637" i="1"/>
  <c r="BT637" i="1"/>
  <c r="BF638" i="1"/>
  <c r="BT638" i="1"/>
  <c r="BF639" i="1"/>
  <c r="BT639" i="1"/>
  <c r="BF640" i="1"/>
  <c r="BT640" i="1"/>
  <c r="BF641" i="1"/>
  <c r="BT641" i="1"/>
  <c r="BF642" i="1"/>
  <c r="BT642" i="1"/>
  <c r="BF643" i="1"/>
  <c r="BT643" i="1"/>
  <c r="BF644" i="1"/>
  <c r="BT644" i="1"/>
  <c r="BF645" i="1"/>
  <c r="BT645" i="1"/>
  <c r="BF646" i="1"/>
  <c r="BT646" i="1"/>
  <c r="BF647" i="1"/>
  <c r="BT647" i="1"/>
  <c r="BF648" i="1"/>
  <c r="BT648" i="1"/>
  <c r="BF649" i="1"/>
  <c r="BT649" i="1"/>
  <c r="BF650" i="1"/>
  <c r="BT650" i="1"/>
  <c r="BF651" i="1"/>
  <c r="BT651" i="1"/>
  <c r="BF652" i="1"/>
  <c r="BT652" i="1"/>
  <c r="BF653" i="1"/>
  <c r="BT653" i="1"/>
  <c r="BF654" i="1"/>
  <c r="BT654" i="1"/>
  <c r="BF655" i="1"/>
  <c r="BT655" i="1"/>
  <c r="BF656" i="1"/>
  <c r="BT656" i="1"/>
  <c r="BF657" i="1"/>
  <c r="BT657" i="1"/>
  <c r="BF658" i="1"/>
  <c r="BT658" i="1"/>
  <c r="BF659" i="1"/>
  <c r="BT659" i="1"/>
  <c r="BF660" i="1"/>
  <c r="BT660" i="1"/>
  <c r="BF661" i="1"/>
  <c r="BT661" i="1"/>
  <c r="BF662" i="1"/>
  <c r="BT662" i="1"/>
  <c r="BF663" i="1"/>
  <c r="BT663" i="1"/>
  <c r="BF664" i="1"/>
  <c r="BT664" i="1"/>
  <c r="BF665" i="1"/>
  <c r="BT665" i="1"/>
  <c r="BF666" i="1"/>
  <c r="BT666" i="1"/>
  <c r="BF667" i="1"/>
  <c r="BT667" i="1"/>
  <c r="BF668" i="1"/>
  <c r="BT668" i="1"/>
  <c r="BF669" i="1"/>
  <c r="BT669" i="1"/>
  <c r="BF670" i="1"/>
  <c r="BT670" i="1"/>
  <c r="BF671" i="1"/>
  <c r="BT671" i="1"/>
  <c r="BF672" i="1"/>
  <c r="BT672" i="1"/>
  <c r="BF673" i="1"/>
  <c r="BT673" i="1"/>
  <c r="BF674" i="1"/>
  <c r="BT674" i="1"/>
  <c r="BF675" i="1"/>
  <c r="BT675" i="1"/>
  <c r="BF676" i="1"/>
  <c r="BT676" i="1"/>
  <c r="BF677" i="1"/>
  <c r="BT677" i="1"/>
  <c r="BF678" i="1"/>
  <c r="BT678" i="1"/>
  <c r="BT679" i="1"/>
  <c r="BF680" i="1"/>
  <c r="BT680" i="1"/>
  <c r="BF681" i="1"/>
  <c r="BT681" i="1"/>
  <c r="BF682" i="1"/>
  <c r="BT682" i="1"/>
  <c r="BF683" i="1"/>
  <c r="BT683" i="1"/>
  <c r="BF684" i="1"/>
  <c r="BT684" i="1"/>
  <c r="BF685" i="1"/>
  <c r="BT685" i="1"/>
  <c r="BF686" i="1"/>
  <c r="BT686" i="1"/>
  <c r="BF687" i="1"/>
  <c r="BT687" i="1"/>
  <c r="BF688" i="1"/>
  <c r="BT688" i="1"/>
  <c r="BF689" i="1"/>
  <c r="BT689" i="1"/>
  <c r="BF690" i="1"/>
  <c r="BT690" i="1"/>
  <c r="BF691" i="1"/>
  <c r="BT691" i="1"/>
  <c r="BF692" i="1"/>
  <c r="BT692" i="1"/>
  <c r="BF693" i="1"/>
  <c r="BT693" i="1"/>
  <c r="BF694" i="1"/>
  <c r="BT694" i="1"/>
  <c r="BF695" i="1"/>
  <c r="BT695" i="1"/>
  <c r="BF696" i="1"/>
  <c r="BT696" i="1"/>
  <c r="BF697" i="1"/>
  <c r="BT697" i="1"/>
  <c r="BF698" i="1"/>
  <c r="BT698" i="1"/>
  <c r="BF699" i="1"/>
  <c r="BT699" i="1"/>
  <c r="BF700" i="1"/>
  <c r="BT700" i="1"/>
  <c r="BF701" i="1"/>
  <c r="BT701" i="1"/>
  <c r="BF702" i="1"/>
  <c r="BT702" i="1"/>
  <c r="BF703" i="1"/>
  <c r="BT703" i="1"/>
  <c r="BF704" i="1"/>
  <c r="BT704" i="1"/>
  <c r="BF705" i="1"/>
  <c r="BT705" i="1"/>
  <c r="BT706" i="1"/>
  <c r="BF707" i="1"/>
  <c r="BT707" i="1"/>
  <c r="BF708" i="1"/>
  <c r="BT708" i="1"/>
  <c r="BF709" i="1"/>
  <c r="BT709" i="1"/>
  <c r="BF710" i="1"/>
  <c r="BT710" i="1"/>
  <c r="BF711" i="1"/>
  <c r="BT711" i="1"/>
  <c r="BF712" i="1"/>
  <c r="BT712" i="1"/>
  <c r="BF713" i="1"/>
  <c r="BT713" i="1"/>
  <c r="BF714" i="1"/>
  <c r="BT714" i="1"/>
  <c r="BF715" i="1"/>
  <c r="BT715" i="1"/>
  <c r="BF716" i="1"/>
  <c r="BT716" i="1"/>
  <c r="BF717" i="1"/>
  <c r="BT717" i="1"/>
  <c r="BF718" i="1"/>
  <c r="BT718" i="1"/>
  <c r="BF719" i="1"/>
  <c r="BT719" i="1"/>
  <c r="BF720" i="1"/>
  <c r="BT720" i="1"/>
  <c r="BF721" i="1"/>
  <c r="BT721" i="1"/>
  <c r="BF722" i="1"/>
  <c r="BT722" i="1"/>
  <c r="BF723" i="1"/>
  <c r="BT723" i="1"/>
  <c r="BF724" i="1"/>
  <c r="BT724" i="1"/>
  <c r="BF725" i="1"/>
  <c r="BT725" i="1"/>
  <c r="BF726" i="1"/>
  <c r="BT726" i="1"/>
  <c r="BF727" i="1"/>
  <c r="BT727" i="1"/>
  <c r="BF728" i="1"/>
  <c r="BT728" i="1"/>
  <c r="BF729" i="1"/>
  <c r="BT729" i="1"/>
  <c r="BF730" i="1"/>
  <c r="BT730" i="1"/>
  <c r="BF731" i="1"/>
  <c r="BT731" i="1"/>
  <c r="BF732" i="1"/>
  <c r="BT732" i="1"/>
  <c r="BT733" i="1"/>
  <c r="BF734" i="1"/>
  <c r="BT734" i="1"/>
  <c r="BF735" i="1"/>
  <c r="BT735" i="1"/>
  <c r="BF736" i="1"/>
  <c r="BT736" i="1"/>
  <c r="BF737" i="1"/>
  <c r="BT737" i="1"/>
  <c r="BF738" i="1"/>
  <c r="BT738" i="1"/>
  <c r="BF739" i="1"/>
  <c r="BT739" i="1"/>
  <c r="BT740" i="1"/>
  <c r="BF741" i="1"/>
  <c r="BT741" i="1"/>
  <c r="BF742" i="1"/>
  <c r="BT742" i="1"/>
  <c r="BF743" i="1"/>
  <c r="BT743" i="1"/>
  <c r="BF744" i="1"/>
  <c r="BT744" i="1"/>
  <c r="BF745" i="1"/>
  <c r="BT745" i="1"/>
  <c r="BF746" i="1"/>
  <c r="BT746" i="1"/>
  <c r="BF747" i="1"/>
  <c r="BT747" i="1"/>
  <c r="BF748" i="1"/>
  <c r="BT748" i="1"/>
  <c r="BF749" i="1"/>
  <c r="BT749" i="1"/>
  <c r="BF750" i="1"/>
  <c r="BT750" i="1"/>
  <c r="BF751" i="1"/>
  <c r="BT751" i="1"/>
  <c r="BF752" i="1"/>
  <c r="BT752" i="1"/>
  <c r="BF753" i="1"/>
  <c r="BT753" i="1"/>
  <c r="BF754" i="1"/>
  <c r="BT754" i="1"/>
  <c r="BF755" i="1"/>
  <c r="BT755" i="1"/>
  <c r="BF756" i="1"/>
  <c r="BT756" i="1"/>
  <c r="BF757" i="1"/>
  <c r="BT757" i="1"/>
  <c r="BT758" i="1"/>
  <c r="BF759" i="1"/>
  <c r="BT759" i="1"/>
  <c r="BF760" i="1"/>
  <c r="BT760" i="1"/>
  <c r="BF761" i="1"/>
  <c r="BT761" i="1"/>
  <c r="BF762" i="1"/>
  <c r="BT762" i="1"/>
  <c r="BF763" i="1"/>
  <c r="BT763" i="1"/>
  <c r="BF764" i="1"/>
  <c r="BT764" i="1"/>
  <c r="BF765" i="1"/>
  <c r="BT765" i="1"/>
  <c r="BF766" i="1"/>
  <c r="BT766" i="1"/>
  <c r="BF767" i="1"/>
  <c r="BT767" i="1"/>
  <c r="BF768" i="1"/>
  <c r="BT768" i="1"/>
  <c r="BF769" i="1"/>
  <c r="BT769" i="1"/>
  <c r="BF770" i="1"/>
  <c r="BT770" i="1"/>
  <c r="BF771" i="1"/>
  <c r="BT771" i="1"/>
  <c r="BF772" i="1"/>
  <c r="BT772" i="1"/>
  <c r="BF773" i="1"/>
  <c r="BT773" i="1"/>
  <c r="BF774" i="1"/>
  <c r="BT774" i="1"/>
  <c r="BF775" i="1"/>
  <c r="BT775" i="1"/>
  <c r="BF776" i="1"/>
  <c r="BT776" i="1"/>
  <c r="BF777" i="1"/>
  <c r="BT777" i="1"/>
  <c r="BF778" i="1"/>
  <c r="BT778" i="1"/>
  <c r="BF779" i="1"/>
  <c r="BT779" i="1"/>
  <c r="BF780" i="1"/>
  <c r="BT780" i="1"/>
  <c r="BF781" i="1"/>
  <c r="BT781" i="1"/>
  <c r="BF782" i="1"/>
  <c r="BT782" i="1"/>
  <c r="BF783" i="1"/>
  <c r="BT783" i="1"/>
  <c r="BF784" i="1"/>
  <c r="BT784" i="1"/>
  <c r="BF785" i="1"/>
  <c r="BT785" i="1"/>
  <c r="BF786" i="1"/>
  <c r="BT786" i="1"/>
  <c r="BF787" i="1"/>
  <c r="BT787" i="1"/>
  <c r="BF788" i="1"/>
  <c r="BT788" i="1"/>
  <c r="BF789" i="1"/>
  <c r="BT789" i="1"/>
  <c r="BF790" i="1"/>
  <c r="BT790" i="1"/>
  <c r="BF791" i="1"/>
  <c r="BT791" i="1"/>
  <c r="BF792" i="1"/>
  <c r="BT792" i="1"/>
  <c r="BF793" i="1"/>
  <c r="BT793" i="1"/>
  <c r="BF794" i="1"/>
  <c r="BT794" i="1"/>
  <c r="BF795" i="1"/>
  <c r="BT795" i="1"/>
  <c r="BF796" i="1"/>
  <c r="BT796" i="1"/>
  <c r="BF797" i="1"/>
  <c r="BT797" i="1"/>
  <c r="BF798" i="1"/>
  <c r="BT798" i="1"/>
  <c r="BF799" i="1"/>
  <c r="BT799" i="1"/>
  <c r="BF800" i="1"/>
  <c r="BT800" i="1"/>
  <c r="BF801" i="1"/>
  <c r="BT801" i="1"/>
  <c r="BF802" i="1"/>
  <c r="BT802" i="1"/>
  <c r="BF803" i="1"/>
  <c r="BT803" i="1"/>
  <c r="BF804" i="1"/>
  <c r="BT804" i="1"/>
  <c r="BF805" i="1"/>
  <c r="BT805" i="1"/>
  <c r="BF806" i="1"/>
  <c r="BT806" i="1"/>
  <c r="BF807" i="1"/>
  <c r="BT807" i="1"/>
  <c r="BF808" i="1"/>
  <c r="BT808" i="1"/>
  <c r="BF809" i="1"/>
  <c r="BT809" i="1"/>
  <c r="BF810" i="1"/>
  <c r="BT810" i="1"/>
  <c r="BF811" i="1"/>
  <c r="BT811" i="1"/>
  <c r="BF812" i="1"/>
  <c r="BT812" i="1"/>
  <c r="BF813" i="1"/>
  <c r="BT813" i="1"/>
  <c r="BF814" i="1"/>
  <c r="BT814" i="1"/>
  <c r="BF815" i="1"/>
  <c r="BT815" i="1"/>
  <c r="BF816" i="1"/>
  <c r="BT816" i="1"/>
  <c r="BF817" i="1"/>
  <c r="BT817" i="1"/>
  <c r="BF818" i="1"/>
  <c r="BT818" i="1"/>
  <c r="BF819" i="1"/>
  <c r="BT819" i="1"/>
  <c r="BF820" i="1"/>
  <c r="BT820" i="1"/>
  <c r="BF821" i="1"/>
  <c r="BT821" i="1"/>
  <c r="BF822" i="1"/>
  <c r="BT822" i="1"/>
  <c r="BF823" i="1"/>
  <c r="BT823" i="1"/>
  <c r="BF824" i="1"/>
  <c r="BT824" i="1"/>
  <c r="BF825" i="1"/>
  <c r="BT825" i="1"/>
  <c r="BF826" i="1"/>
  <c r="BT826" i="1"/>
  <c r="BF827" i="1"/>
  <c r="BT827" i="1"/>
  <c r="BF828" i="1"/>
  <c r="BT828" i="1"/>
  <c r="BF829" i="1"/>
  <c r="BT829" i="1"/>
  <c r="BF830" i="1"/>
  <c r="BT830" i="1"/>
  <c r="BF831" i="1"/>
  <c r="BT831" i="1"/>
  <c r="BF832" i="1"/>
  <c r="BT832" i="1"/>
  <c r="BF833" i="1"/>
  <c r="BT833" i="1"/>
  <c r="BF834" i="1"/>
  <c r="BT834" i="1"/>
  <c r="BF835" i="1"/>
  <c r="BT835" i="1"/>
  <c r="BF836" i="1"/>
  <c r="BT836" i="1"/>
  <c r="BF837" i="1"/>
  <c r="BT837" i="1"/>
  <c r="BF838" i="1"/>
  <c r="BT838" i="1"/>
  <c r="BF839" i="1"/>
  <c r="BT839" i="1"/>
  <c r="BF840" i="1"/>
  <c r="BT840" i="1"/>
  <c r="BF841" i="1"/>
  <c r="BT841" i="1"/>
  <c r="BF842" i="1"/>
  <c r="BT842" i="1"/>
  <c r="BF843" i="1"/>
  <c r="BT843" i="1"/>
  <c r="BF844" i="1"/>
  <c r="BT844" i="1"/>
  <c r="BF845" i="1"/>
  <c r="BT845" i="1"/>
  <c r="BF846" i="1"/>
  <c r="BT846" i="1"/>
  <c r="BF847" i="1"/>
  <c r="BT847" i="1"/>
  <c r="BF848" i="1"/>
  <c r="BT848" i="1"/>
  <c r="BF849" i="1"/>
  <c r="BT849" i="1"/>
  <c r="BF850" i="1"/>
  <c r="BT850" i="1"/>
  <c r="BF851" i="1"/>
  <c r="BT851" i="1"/>
  <c r="BF852" i="1"/>
  <c r="BT852" i="1"/>
  <c r="BF853" i="1"/>
  <c r="BT853" i="1"/>
  <c r="BF854" i="1"/>
  <c r="BT854" i="1"/>
  <c r="BF855" i="1"/>
  <c r="BT855" i="1"/>
  <c r="BF856" i="1"/>
  <c r="BT856" i="1"/>
  <c r="BF857" i="1"/>
  <c r="BT857" i="1"/>
  <c r="BF858" i="1"/>
  <c r="BT858" i="1"/>
  <c r="BF859" i="1"/>
  <c r="BT859" i="1"/>
  <c r="BF860" i="1"/>
  <c r="BT860" i="1"/>
  <c r="BF861" i="1"/>
  <c r="BT861" i="1"/>
  <c r="BF862" i="1"/>
  <c r="BT862" i="1"/>
  <c r="BF863" i="1"/>
  <c r="BT863" i="1"/>
  <c r="BF864" i="1"/>
  <c r="BT864" i="1"/>
  <c r="BF865" i="1"/>
  <c r="BT865" i="1"/>
  <c r="BF866" i="1"/>
  <c r="BT866" i="1"/>
  <c r="BF867" i="1"/>
  <c r="BT867" i="1"/>
  <c r="BF868" i="1"/>
  <c r="BT868" i="1"/>
  <c r="BF869" i="1"/>
  <c r="BT869" i="1"/>
  <c r="BF870" i="1"/>
  <c r="BT870" i="1"/>
  <c r="BF871" i="1"/>
  <c r="BT871" i="1"/>
  <c r="BT872" i="1"/>
  <c r="BF873" i="1"/>
  <c r="BT873" i="1"/>
  <c r="BF874" i="1"/>
  <c r="BT874" i="1"/>
  <c r="BF875" i="1"/>
  <c r="BT875" i="1"/>
  <c r="BF876" i="1"/>
  <c r="BT876" i="1"/>
  <c r="BF877" i="1"/>
  <c r="BT877" i="1"/>
  <c r="BF878" i="1"/>
  <c r="BT878" i="1"/>
  <c r="BF879" i="1"/>
  <c r="BT879" i="1"/>
  <c r="BF880" i="1"/>
  <c r="BT880" i="1"/>
  <c r="BF881" i="1"/>
  <c r="BT881" i="1"/>
  <c r="BF882" i="1"/>
  <c r="BT882" i="1"/>
  <c r="BF883" i="1"/>
  <c r="BT883" i="1"/>
  <c r="BF884" i="1"/>
  <c r="BT884" i="1"/>
  <c r="BF885" i="1"/>
  <c r="BT885" i="1"/>
  <c r="BF886" i="1"/>
  <c r="BT886" i="1"/>
  <c r="BF887" i="1"/>
  <c r="BT887" i="1"/>
  <c r="BF888" i="1"/>
  <c r="BT888" i="1"/>
  <c r="BF889" i="1"/>
  <c r="BT889" i="1"/>
  <c r="BF890" i="1"/>
  <c r="BT890" i="1"/>
  <c r="BF891" i="1"/>
  <c r="BT891" i="1"/>
  <c r="BF892" i="1"/>
  <c r="BT892" i="1"/>
  <c r="BF893" i="1"/>
  <c r="BT893" i="1"/>
  <c r="BF894" i="1"/>
  <c r="BT894" i="1"/>
  <c r="BF895" i="1"/>
  <c r="BT895" i="1"/>
  <c r="BF896" i="1"/>
  <c r="BT896" i="1"/>
  <c r="BT897" i="1"/>
  <c r="BF898" i="1"/>
  <c r="BT898" i="1"/>
  <c r="BF899" i="1"/>
  <c r="BT899" i="1"/>
  <c r="BF900" i="1"/>
  <c r="BT900" i="1"/>
  <c r="BF901" i="1"/>
  <c r="BT901" i="1"/>
  <c r="BF902" i="1"/>
  <c r="BT902" i="1"/>
  <c r="BF903" i="1"/>
  <c r="BT903" i="1"/>
  <c r="BF904" i="1"/>
  <c r="BT904" i="1"/>
  <c r="BF905" i="1"/>
  <c r="BT905" i="1"/>
  <c r="BF906" i="1"/>
  <c r="BT906" i="1"/>
  <c r="BF907" i="1"/>
  <c r="BT907" i="1"/>
  <c r="BF908" i="1"/>
  <c r="BT908" i="1"/>
  <c r="BF909" i="1"/>
  <c r="BT909" i="1"/>
  <c r="BF910" i="1"/>
  <c r="BT910" i="1"/>
  <c r="BF911" i="1"/>
  <c r="BT911" i="1"/>
  <c r="BF912" i="1"/>
  <c r="BT912" i="1"/>
  <c r="BF913" i="1"/>
  <c r="BT913" i="1"/>
  <c r="BF914" i="1"/>
  <c r="BT914" i="1"/>
  <c r="BF915" i="1"/>
  <c r="BT915" i="1"/>
  <c r="BF916" i="1"/>
  <c r="BT916" i="1"/>
  <c r="BF917" i="1"/>
  <c r="BT917" i="1"/>
  <c r="BF918" i="1"/>
  <c r="BT918" i="1"/>
  <c r="BF919" i="1"/>
  <c r="BT919" i="1"/>
  <c r="BF920" i="1"/>
  <c r="BT920" i="1"/>
  <c r="BF921" i="1"/>
  <c r="BT921" i="1"/>
  <c r="BF922" i="1"/>
  <c r="BT922" i="1"/>
  <c r="BF923" i="1"/>
  <c r="BT923" i="1"/>
  <c r="BF924" i="1"/>
  <c r="BT924" i="1"/>
  <c r="BF925" i="1"/>
  <c r="BT925" i="1"/>
  <c r="BF926" i="1"/>
  <c r="BT926" i="1"/>
  <c r="BF927" i="1"/>
  <c r="BT927" i="1"/>
  <c r="BF928" i="1"/>
  <c r="BT928" i="1"/>
  <c r="BF929" i="1"/>
  <c r="BT929" i="1"/>
  <c r="BF930" i="1"/>
  <c r="BT930" i="1"/>
  <c r="BF931" i="1"/>
  <c r="BT931" i="1"/>
  <c r="BF932" i="1"/>
  <c r="BT932" i="1"/>
  <c r="BF933" i="1"/>
  <c r="BT933" i="1"/>
  <c r="BF934" i="1"/>
  <c r="BT934" i="1"/>
  <c r="BF935" i="1"/>
  <c r="BT935" i="1"/>
  <c r="BF936" i="1"/>
  <c r="BT936" i="1"/>
  <c r="BF937" i="1"/>
  <c r="BT937" i="1"/>
  <c r="BF938" i="1"/>
  <c r="BT938" i="1"/>
  <c r="BF939" i="1"/>
  <c r="BT939" i="1"/>
  <c r="BF940" i="1"/>
  <c r="BT940" i="1"/>
  <c r="BF941" i="1"/>
  <c r="BT941" i="1"/>
  <c r="BF942" i="1"/>
  <c r="BT942" i="1"/>
  <c r="BF943" i="1"/>
  <c r="BT943" i="1"/>
  <c r="BF944" i="1"/>
  <c r="BT944" i="1"/>
  <c r="BF945" i="1"/>
  <c r="BT945" i="1"/>
  <c r="BF946" i="1"/>
  <c r="BT946" i="1"/>
  <c r="BF947" i="1"/>
  <c r="BT947" i="1"/>
  <c r="BF948" i="1"/>
  <c r="BT948" i="1"/>
  <c r="BF949" i="1"/>
  <c r="BT949" i="1"/>
  <c r="BF950" i="1"/>
  <c r="BT950" i="1"/>
  <c r="BF951" i="1"/>
  <c r="BT951" i="1"/>
  <c r="BF952" i="1"/>
  <c r="BT952" i="1"/>
  <c r="BF953" i="1"/>
  <c r="BT953" i="1"/>
  <c r="BF954" i="1"/>
  <c r="BT954" i="1"/>
  <c r="BF955" i="1"/>
  <c r="BT955" i="1"/>
  <c r="BF956" i="1"/>
  <c r="BT956" i="1"/>
  <c r="BF957" i="1"/>
  <c r="BT957" i="1"/>
  <c r="BF958" i="1"/>
  <c r="BT958" i="1"/>
  <c r="BF959" i="1"/>
  <c r="BT959" i="1"/>
  <c r="BF960" i="1"/>
  <c r="BT960" i="1"/>
  <c r="BF961" i="1"/>
  <c r="BT961" i="1"/>
  <c r="BF962" i="1"/>
  <c r="BT962" i="1"/>
  <c r="BF963" i="1"/>
  <c r="BT963" i="1"/>
  <c r="BF964" i="1"/>
  <c r="BT964" i="1"/>
  <c r="BF965" i="1"/>
  <c r="BT965" i="1"/>
  <c r="BF966" i="1"/>
  <c r="BT966" i="1"/>
  <c r="BF967" i="1"/>
  <c r="BT967" i="1"/>
  <c r="BF968" i="1"/>
  <c r="BT968" i="1"/>
  <c r="BF969" i="1"/>
  <c r="BT969" i="1"/>
  <c r="BF970" i="1"/>
  <c r="BT970" i="1"/>
  <c r="BF971" i="1"/>
  <c r="BT971" i="1"/>
  <c r="BF972" i="1"/>
  <c r="BT972" i="1"/>
  <c r="BF973" i="1"/>
  <c r="BT973" i="1"/>
  <c r="BF974" i="1"/>
  <c r="BT974" i="1"/>
  <c r="BF975" i="1"/>
  <c r="BT975" i="1"/>
  <c r="BF976" i="1"/>
  <c r="BT976" i="1"/>
  <c r="BF977" i="1"/>
  <c r="BT977" i="1"/>
  <c r="BF978" i="1"/>
  <c r="BT978" i="1"/>
  <c r="BF979" i="1"/>
  <c r="BT979" i="1"/>
  <c r="BF980" i="1"/>
  <c r="BT980" i="1"/>
  <c r="BF981" i="1"/>
  <c r="BT981" i="1"/>
  <c r="BF982" i="1"/>
  <c r="BT982" i="1"/>
  <c r="BF983" i="1"/>
  <c r="BT983" i="1"/>
  <c r="BF984" i="1"/>
  <c r="BT984" i="1"/>
  <c r="BF985" i="1"/>
  <c r="BT985" i="1"/>
  <c r="BF986" i="1"/>
  <c r="BT986" i="1"/>
  <c r="BF987" i="1"/>
  <c r="BT987" i="1"/>
  <c r="BF988" i="1"/>
  <c r="BT988" i="1"/>
  <c r="BF989" i="1"/>
  <c r="BT989" i="1"/>
  <c r="BF990" i="1"/>
  <c r="BT990" i="1"/>
  <c r="BF991" i="1"/>
  <c r="BT991" i="1"/>
  <c r="BF992" i="1"/>
  <c r="BT992" i="1"/>
  <c r="BF993" i="1"/>
  <c r="BT993" i="1"/>
  <c r="BF994" i="1"/>
  <c r="BT994" i="1"/>
  <c r="BF995" i="1"/>
  <c r="BT995" i="1"/>
  <c r="BF996" i="1"/>
  <c r="BT996" i="1"/>
  <c r="BF997" i="1"/>
  <c r="BT997" i="1"/>
  <c r="BF998" i="1"/>
  <c r="BT998" i="1"/>
  <c r="BF999" i="1"/>
  <c r="BT999" i="1"/>
  <c r="BF1000" i="1"/>
  <c r="BT1000" i="1"/>
  <c r="BF1001" i="1"/>
  <c r="BT1001" i="1"/>
</calcChain>
</file>

<file path=xl/sharedStrings.xml><?xml version="1.0" encoding="utf-8"?>
<sst xmlns="http://schemas.openxmlformats.org/spreadsheetml/2006/main" count="100804" uniqueCount="29607">
  <si>
    <t>Publication Type</t>
  </si>
  <si>
    <t>Authors</t>
  </si>
  <si>
    <t>Book Authors</t>
  </si>
  <si>
    <t>Book Editors</t>
  </si>
  <si>
    <t>Book Group Authors</t>
  </si>
  <si>
    <t>Author Full Names</t>
  </si>
  <si>
    <t>Book Author Full Names</t>
  </si>
  <si>
    <t>Group Authors</t>
  </si>
  <si>
    <t>Article Title</t>
  </si>
  <si>
    <t>Source Title</t>
  </si>
  <si>
    <t>Book Series Title</t>
  </si>
  <si>
    <t>Book Series Subtitle</t>
  </si>
  <si>
    <t>Language</t>
  </si>
  <si>
    <t>Document Type</t>
  </si>
  <si>
    <t>Conference Title</t>
  </si>
  <si>
    <t>Conference Date</t>
  </si>
  <si>
    <t>Conference Location</t>
  </si>
  <si>
    <t>Conference Sponsor</t>
  </si>
  <si>
    <t>Conference Host</t>
  </si>
  <si>
    <t>Author Keywords</t>
  </si>
  <si>
    <t>Keywords Plus</t>
  </si>
  <si>
    <t>Abstract</t>
  </si>
  <si>
    <t>Addresses</t>
  </si>
  <si>
    <t>Affiliations</t>
  </si>
  <si>
    <t>Reprint Addresses</t>
  </si>
  <si>
    <t>Email Addresses</t>
  </si>
  <si>
    <t>Researcher Ids</t>
  </si>
  <si>
    <t>ORCIDs</t>
  </si>
  <si>
    <t>Funding Orgs</t>
  </si>
  <si>
    <t>Funding Name Preferred</t>
  </si>
  <si>
    <t>Funding Text</t>
  </si>
  <si>
    <t>Cited References</t>
  </si>
  <si>
    <t>Cited Reference Count</t>
  </si>
  <si>
    <t>Times Cited, WoS Core</t>
  </si>
  <si>
    <t>Times Cited, All Databases</t>
  </si>
  <si>
    <t>180 Day Usage Count</t>
  </si>
  <si>
    <t>Since 2013 Usage Count</t>
  </si>
  <si>
    <t>Publisher</t>
  </si>
  <si>
    <t>Publisher City</t>
  </si>
  <si>
    <t>Publisher Address</t>
  </si>
  <si>
    <t>ISSN</t>
  </si>
  <si>
    <t>eISSN</t>
  </si>
  <si>
    <t>ISBN</t>
  </si>
  <si>
    <t>Journal Abbreviation</t>
  </si>
  <si>
    <t>Journal ISO Abbreviation</t>
  </si>
  <si>
    <t>Publication Date</t>
  </si>
  <si>
    <t>Publication Year</t>
  </si>
  <si>
    <t>Volume</t>
  </si>
  <si>
    <t>Issue</t>
  </si>
  <si>
    <t>Part Number</t>
  </si>
  <si>
    <t>Supplement</t>
  </si>
  <si>
    <t>Special Issue</t>
  </si>
  <si>
    <t>Meeting Abstract</t>
  </si>
  <si>
    <t>Start Page</t>
  </si>
  <si>
    <t>End Page</t>
  </si>
  <si>
    <t>Article Number</t>
  </si>
  <si>
    <t>DOI</t>
  </si>
  <si>
    <t>DOI Link</t>
  </si>
  <si>
    <t>Book DOI</t>
  </si>
  <si>
    <t>Early Access Date</t>
  </si>
  <si>
    <t>Number of Pages</t>
  </si>
  <si>
    <t>WoS Categories</t>
  </si>
  <si>
    <t>Web of Science Index</t>
  </si>
  <si>
    <t>Research Areas</t>
  </si>
  <si>
    <t>IDS Number</t>
  </si>
  <si>
    <t>Pubmed Id</t>
  </si>
  <si>
    <t>Open Access Designations</t>
  </si>
  <si>
    <t>Highly Cited Status</t>
  </si>
  <si>
    <t>Hot Paper Status</t>
  </si>
  <si>
    <t>Date of Export</t>
  </si>
  <si>
    <t>UT (Unique WOS ID)</t>
  </si>
  <si>
    <t>Web of Science Record</t>
  </si>
  <si>
    <t>C</t>
  </si>
  <si>
    <t>Bernstein, MS; Park, JS; Morris, MR; Amershi, S; Chilton, L; Gordon, ML</t>
  </si>
  <si>
    <t/>
  </si>
  <si>
    <t>ACM</t>
  </si>
  <si>
    <t>Bernstein, Michael S.; Park, Joon Sung; Morris, Meredith Ringel; Amershi, Saleema; Chilton, Lydia; Gordon, Mitchell L.</t>
  </si>
  <si>
    <t>Architecting Novel Interactions With Generative AI Models</t>
  </si>
  <si>
    <t>ADJUNCT PROCEEDINGS OF THE 36TH ANNUAL ACM SYMPOSIUM ON USER INTERFACE SOFTWARE &amp; TECHNOLOGY, UIST 2023 ADJUNCT</t>
  </si>
  <si>
    <t>English</t>
  </si>
  <si>
    <t>Proceedings Paper</t>
  </si>
  <si>
    <t>36th Annual ACM Symposium on User Interface Software and Technology (UIST)</t>
  </si>
  <si>
    <t>OCT 29-NOV 01, 2023</t>
  </si>
  <si>
    <t>San Francisco, CA</t>
  </si>
  <si>
    <t>Assoc Comp Machinery,ACM Special Interest Grp Comp Human Interact,ACM Special Interest Grp Comp Graph</t>
  </si>
  <si>
    <t>HCI; AI; Generative AI; Human-AI Interaction</t>
  </si>
  <si>
    <t>The new generation of generative AI models offers interactive opportunities that may fulfill long-standing aspirations in human-computer interaction and open doors to new forms of interaction that we have yet to imagine. The UIST community has a unique vantage point that can lead to critical contributions in envisioning a future of interactive computing that appropriately leverages the power of these new generative AI models. However, we are only just beginning to understand the research area that exists at the intersection of interaction and generative AI. By bringing together members of the UIST community interested in this intersection, we seek to initiate discussions on the potential of generative AI in architecting new forms of interactions. Key topics of interest include the exploration of novel categories of interactions made possible by generative AI, the development of methods for enabling more powerful and direct user control of generative AI, and the identification of model and architecture requirements for generative AI in interaction literature. The workshop will foster community building and produce concrete deliverables, including a research agenda, model/architecture requirements, and a simulated debate generated by a generative agent architecture.</t>
  </si>
  <si>
    <t>[Bernstein, Michael S.; Park, Joon Sung] Stanford Univ, Stanford, CA 94305 USA; [Morris, Meredith Ringel] Google DeepMind, Seattle, WA USA; [Amershi, Saleema] Microsoft Res, Seattle, WA USA; [Chilton, Lydia] Columbia Univ, New York, NY USA; [Gordon, Mitchell L.] MIT, Cambridge, MA USA; [Gordon, Mitchell L.] Univ Washington, Cambridge, MA USA</t>
  </si>
  <si>
    <t>Stanford University; Microsoft; Columbia University; Massachusetts Institute of Technology (MIT)</t>
  </si>
  <si>
    <t>Bernstein, MS (corresponding author), Stanford Univ, Stanford, CA 94305 USA.</t>
  </si>
  <si>
    <t>msb@cs.stanford.edu; joonspk@stanford.edu; merrie@google.com; samershi@microsoft.com; chilton@cs.columbia.edu; mgord@cs.stanford.edu</t>
  </si>
  <si>
    <t>Bernstein, Michael/0000-0001-8020-9434</t>
  </si>
  <si>
    <t>ASSOC COMPUTING MACHINERY</t>
  </si>
  <si>
    <t>NEW YORK</t>
  </si>
  <si>
    <t>1601 Broadway, 10th Floor, NEW YORK, NY, UNITED STATES</t>
  </si>
  <si>
    <t>979-8-4007-0096-5</t>
  </si>
  <si>
    <t>10.1145/3586182.3617431</t>
  </si>
  <si>
    <t>Computer Science, Cybernetics; Computer Science, Hardware &amp; Architecture; Computer Science, Interdisciplinary Applications; Computer Science, Software Engineering</t>
  </si>
  <si>
    <t>Conference Proceedings Citation Index - Science (CPCI-S)</t>
  </si>
  <si>
    <t>Computer Science</t>
  </si>
  <si>
    <t>BW2TP</t>
  </si>
  <si>
    <t>2024-03-30</t>
  </si>
  <si>
    <t>WOS:001125107000106</t>
  </si>
  <si>
    <t>J</t>
  </si>
  <si>
    <t>Sachan, S; Liu, X</t>
  </si>
  <si>
    <t>Sachan, Swati; Liu (Lisa), Xi</t>
  </si>
  <si>
    <t>Blockchain-based auditing of legal decisions supported by explainable AI and generative AI tools</t>
  </si>
  <si>
    <t>ENGINEERING APPLICATIONS OF ARTIFICIAL INTELLIGENCE</t>
  </si>
  <si>
    <t>Article</t>
  </si>
  <si>
    <t>Legal; Law; Explainable AI; Blockchain; Generative AI; Responsible AI</t>
  </si>
  <si>
    <t>EVIDENTIAL REASONING APPROACH; SCHEME; SECURE; RULE</t>
  </si>
  <si>
    <t>Generative AI tools powered by Large Language Models (LLMs) have demonstrated advanced capabilities in understanding and articulating legal facts closer to the level of legal practitioners. However, scholars hold contrasting views on the reliability of the reasoning behind a decision derived from LLMs due to its black-box nature. Law firms are vigilant in recognizing the potential risks of violating confidentiality and inappropriate exposure of sensitive legal data through the prompt sent to Generative AI. This research attempts to find an equilibrium between responsible usage and control of human legal professionals over content produced by Generative AI through regular audits. It investigates the potential of Generative AI in drafting correspondence for pre-litigation decisions derived from an eXplainable AI (XAI) algorithm. This research presents an end-to-end process of designing the architecture and methodology for a blockchain-based auditing system. It detects unauthorized alterations of data repositories containing the decisions by an XAI model and automated textual explanation by Generative AI. The automated auditing by blockchain facilitates responsible usage of AI technologies and reduces discrepancies in tracing the accountability of adversarial decisions. It conceptualizes the two algorithms. First, strategic on-chain (within blockchain) and off-chain (outside blockchain) data storage in compliance with the data protection laws and critical requirements of stakeholders in a legal firm. Second, auditing by comparison of the unique signature as Merkle roots of files stored off-chain with their immutable blockchain counterpart. A case study on liability cases under tort law demonstrates the system implementation results.</t>
  </si>
  <si>
    <t>[Sachan, Swati] Univ Liverpool, Management Sch, Artificial Intelligence Finance, Financial Technol FinTech &amp; Blockchain, Chatham St, Liverpool L69 7ZH, England; [Liu (Lisa), Xi] Kennedys Law LLP, 16 John Dalton St, Manchester M2 6HY, England</t>
  </si>
  <si>
    <t>University of Liverpool</t>
  </si>
  <si>
    <t>Sachan, S (corresponding author), Univ Liverpool, Management Sch, Artificial Intelligence Finance, Financial Technol FinTech &amp; Blockchain, Chatham St, Liverpool L69 7ZH, England.</t>
  </si>
  <si>
    <t>Swati.Sachan@liverpool.ac.uk; Lisa.Liu@kennedysiq.com</t>
  </si>
  <si>
    <t>Sachan, Dr. Swati/0000-0003-0136-0553</t>
  </si>
  <si>
    <t>University of Liverpool [106897]</t>
  </si>
  <si>
    <t>We are grateful to the four anonymous reviewers for their insightful comments, which significantly improved our manuscript. This work is fully funded by the University of Liverpool by the research grant 106897. We want to express gratitude to the law students who partici-pated in our experimental study; their contributions were invaluable.; their contributions were invaluable. The first author is thankful to Prof Walter Davis Jr. and Mr. Graham Fairclough for valuable advice on the integration of AI and Blockchain in legal practices.</t>
  </si>
  <si>
    <t>PERGAMON-ELSEVIER SCIENCE LTD</t>
  </si>
  <si>
    <t>OXFORD</t>
  </si>
  <si>
    <t>THE BOULEVARD, LANGFORD LANE, KIDLINGTON, OXFORD OX5 1GB, ENGLAND</t>
  </si>
  <si>
    <t>0952-1976</t>
  </si>
  <si>
    <t>1873-6769</t>
  </si>
  <si>
    <t>ENG APPL ARTIF INTEL</t>
  </si>
  <si>
    <t>Eng. Appl. Artif. Intell.</t>
  </si>
  <si>
    <t>MAR</t>
  </si>
  <si>
    <t>10.1016/j.engappai.2023.107666</t>
  </si>
  <si>
    <t>DEC 2023</t>
  </si>
  <si>
    <t>Automation &amp; Control Systems; Computer Science, Artificial Intelligence; Engineering, Multidisciplinary; Engineering, Electrical &amp; Electronic</t>
  </si>
  <si>
    <t>Science Citation Index Expanded (SCI-EXPANDED)</t>
  </si>
  <si>
    <t>Automation &amp; Control Systems; Computer Science; Engineering</t>
  </si>
  <si>
    <t>DZ9O6</t>
  </si>
  <si>
    <t>WOS:001136038900001</t>
  </si>
  <si>
    <t>Ferrari, F; van Dijck, J; van den Bosch, A</t>
  </si>
  <si>
    <t>Ferrari, Fabian; van Dijck, Jose; van den Bosch, Antal</t>
  </si>
  <si>
    <t>Observe, inspect, modify: Three conditions for generative AI governance</t>
  </si>
  <si>
    <t>NEW MEDIA &amp; SOCIETY</t>
  </si>
  <si>
    <t>Article; Early Access</t>
  </si>
  <si>
    <t>AI governance; AI regulation; generative AI; generative models; inspectability; large language models; modifiability; observability; regulatory objects</t>
  </si>
  <si>
    <t>In a world increasingly shaped by generative AI systems like ChatGPT, the absence of benchmarks to examine the efficacy of oversight mechanisms is a problem for research and policy. What are the structural conditions for governing generative AI systems? To answer this question, it is crucial to situate generative AI systems as regulatory objects: material items that can be governed. On this conceptual basis, we introduce three high-level conditions to structure research and policy agendas on generative AI governance: industrial observability, public inspectability, and technical modifiability. Empirically, we explicate those conditions with a focus on the EU's AI Act, grounding the analysis of oversight mechanisms for generative AI systems in their granular material properties as observable, inspectable, and modifiable objects. Those three conditions represent an action plan to help us perceive generative AI systems as negotiable objects, rather than seeing them as mysterious forces that pose existential risks for humanity.</t>
  </si>
  <si>
    <t>[Ferrari, Fabian; van Dijck, Jose; van den Bosch, Antal] Univ Utrecht, Utrecht, Netherlands; [Ferrari, Fabian] Univ Utrecht, Fac Humanities, Achter de Dom 20, NL-3512 JP Utrecht, Netherlands</t>
  </si>
  <si>
    <t>Utrecht University; Utrecht University</t>
  </si>
  <si>
    <t>Ferrari, F (corresponding author), Univ Utrecht, Fac Humanities, Achter de Dom 20, NL-3512 JP Utrecht, Netherlands.</t>
  </si>
  <si>
    <t>f.l.ferrari@uu.nl</t>
  </si>
  <si>
    <t>Ferrari, Fabian/0000-0003-0637-0232; van den Bosch, Antal/0000-0003-2493-656X</t>
  </si>
  <si>
    <t>Spinoza program of the Dutch Research Council (NWO)</t>
  </si>
  <si>
    <t>The author(s) disclosed receipt of the following financial support for the research, authorship, and/or publication of this article: The authors were supported by the Spinoza program of the Dutch Research Council (NWO).</t>
  </si>
  <si>
    <t>SAGE PUBLICATIONS LTD</t>
  </si>
  <si>
    <t>LONDON</t>
  </si>
  <si>
    <t>1 OLIVERS YARD, 55 CITY ROAD, LONDON EC1Y 1SP, ENGLAND</t>
  </si>
  <si>
    <t>1461-4448</t>
  </si>
  <si>
    <t>1461-7315</t>
  </si>
  <si>
    <t>NEW MEDIA SOC</t>
  </si>
  <si>
    <t>New Media Soc.</t>
  </si>
  <si>
    <t>2023 NOV 29</t>
  </si>
  <si>
    <t>10.1177/14614448231214811</t>
  </si>
  <si>
    <t>NOV 2023</t>
  </si>
  <si>
    <t>Communication</t>
  </si>
  <si>
    <t>Social Science Citation Index (SSCI)</t>
  </si>
  <si>
    <t>Z3KI4</t>
  </si>
  <si>
    <t>hybrid</t>
  </si>
  <si>
    <t>WOS:001111091300001</t>
  </si>
  <si>
    <t>Lin, L; Long, D</t>
  </si>
  <si>
    <t>Lin, Lauren; Long, Duri</t>
  </si>
  <si>
    <t>Generative AI Futures: A Speculative Design Exploration</t>
  </si>
  <si>
    <t>2023 PROCEEDINGS OF THE 15TH CONFERENCE ON CREATIVITY AND COGNITION, C&amp;C 2023</t>
  </si>
  <si>
    <t>15th Conference on Creativity and Cognition (C and C)</t>
  </si>
  <si>
    <t>JUN 19-21, 2023</t>
  </si>
  <si>
    <t>ELECTR NETWORK</t>
  </si>
  <si>
    <t>Assoc Comp Machinery,ACM SIGCHI</t>
  </si>
  <si>
    <t>Speculative Design; Generative AI; Creativity; Embodiment; Futures Studies</t>
  </si>
  <si>
    <t>What generative AI futures do we want-and what futures do we not want? To imagine what might exist in the future, we apply speculative design to explore plausible scenarios for generative AI and human coexistence. In this paper, we present gAIrden and Onion AI: two in-progress speculative concepts of future generative AI tools, their use cases, and the systems in which they exist. We analyze the designs through lenses of Environment, Data Privacy, Embodiment, and Play. This trip into the future is driven by the research question: how might generative AI tools change how we produce creativity and culture? When we return to the present, we ask ourselves, how might generative AI support positive outcomes for individuals and communities? Can we predict (and potentially mitigate) negative consequences of generative AI tools? The speculative designs purposefully engage viewers in futures thinking to reclaim conversation around the future of technology.</t>
  </si>
  <si>
    <t>[Lin, Lauren; Long, Duri] Northwestern Univ, Evanston, IL 60208 USA</t>
  </si>
  <si>
    <t>Northwestern University</t>
  </si>
  <si>
    <t>Lin, L (corresponding author), Northwestern Univ, Evanston, IL 60208 USA.</t>
  </si>
  <si>
    <t>laurenlin2025@u.northwestern.edu; duri@northwestern.edu</t>
  </si>
  <si>
    <t>979-8-4007-0180-1</t>
  </si>
  <si>
    <t>10.1145/3591196.3596616</t>
  </si>
  <si>
    <t>Art; Computer Science, Interdisciplinary Applications; Psychology, Multidisciplinary</t>
  </si>
  <si>
    <t>Conference Proceedings Citation Index - Science (CPCI-S); Conference Proceedings Citation Index - Social Science &amp; Humanities (CPCI-SSH)</t>
  </si>
  <si>
    <t>Art; Computer Science; Psychology</t>
  </si>
  <si>
    <t>BW2MQ</t>
  </si>
  <si>
    <t>WOS:001119074200057</t>
  </si>
  <si>
    <t>Fischer, JE</t>
  </si>
  <si>
    <t>Fischer, Joel E.</t>
  </si>
  <si>
    <t>Generative AI Considered Harmful</t>
  </si>
  <si>
    <t>PROCEEDINGS OF THE 5TH INTERNATIONAL CONFERENCE ON CONVERSATIONAL USER INTERFACES, CUI 2023</t>
  </si>
  <si>
    <t>5th International Conference on Conversational User Interfaces (CUI)</t>
  </si>
  <si>
    <t>JUL 19-21, 2023</t>
  </si>
  <si>
    <t>Eindhoven Univ Technol, Eindhoven, NETHERLANDS</t>
  </si>
  <si>
    <t>Assoc Comp Machinery,ACM SIGCHI,Bold Insight UK,Eindhoven Univ Technol, Eindhoven AI Syst Inst,HMD Res</t>
  </si>
  <si>
    <t>Eindhoven Univ Technol</t>
  </si>
  <si>
    <t>Large Language Models; LLM; GPT-3; GPT-4; ChatGPT; generative AI; text generation; natural language; NLP; NLG</t>
  </si>
  <si>
    <t>The recent months have seen an explosion of interest, hype, and concern about generative AI, driven by the release of ChatGPT. In this article I seek to explicate some potential and actual harms of the engineering and use of generative AI such as ChatGPT. With this I also suggest a reframing for researchers with an interest in interaction. With this reframing I seek to provoke researchers to consider studying the settings of ChatGPT development and use as active sites of production. Research should focus on the organisational, technological and interactional practices and contexts in and through which generative AI and its outputs-harmful and otherwise-are produced, by whom, to what end, and with what consequences on societies.</t>
  </si>
  <si>
    <t>[Fischer, Joel E.] Univ Nottingham, Mixed Real Lab, Sch Comp Sci, Nottingham, England</t>
  </si>
  <si>
    <t>University of Nottingham</t>
  </si>
  <si>
    <t>Fischer, JE (corresponding author), Univ Nottingham, Mixed Real Lab, Sch Comp Sci, Nottingham, England.</t>
  </si>
  <si>
    <t>joel.fischer@nottingham.ac.uk</t>
  </si>
  <si>
    <t>Fischer, Joel Ewert/0000-0001-8878-2454</t>
  </si>
  <si>
    <t>Engineering and Physical Sciences Research Council [EP/V00784X/1]</t>
  </si>
  <si>
    <t>Engineering and Physical Sciences Research Council(UK Research &amp; Innovation (UKRI)Engineering &amp; Physical Sciences Research Council (EPSRC))</t>
  </si>
  <si>
    <t>This work was supported by the Engineering and Physical Sciences Research Council [grant number EP/V00784X/1].</t>
  </si>
  <si>
    <t>979-8-4007-0014-9</t>
  </si>
  <si>
    <t>10.1145/3571884.3603756</t>
  </si>
  <si>
    <t>Computer Science, Cybernetics; Psychology</t>
  </si>
  <si>
    <t>Computer Science; Psychology</t>
  </si>
  <si>
    <t>BW2OK</t>
  </si>
  <si>
    <t>Green Accepted</t>
  </si>
  <si>
    <t>WOS:001122710800007</t>
  </si>
  <si>
    <t>Agrawal, K</t>
  </si>
  <si>
    <t>Agrawal, Kalyan Prasad</t>
  </si>
  <si>
    <t>Towards Adoption of Generative AI in Organizational Settings</t>
  </si>
  <si>
    <t>JOURNAL OF COMPUTER INFORMATION SYSTEMS</t>
  </si>
  <si>
    <t>Generative AI; innovation diffusion; TOE framework</t>
  </si>
  <si>
    <t>INFORMATION-TECHNOLOGY; COMPETITIVE ADVANTAGE; FIRM PERFORMANCE; E-BUSINESS; E-COMMERCE; ASSIMILATION; DIFFUSION; INNOVATION; PERSPECTIVE; DETERMINANTS</t>
  </si>
  <si>
    <t>As an emerging technology, Generative Artificial Intelligence (AI) holds immense potential for application across various levels of business and management. However, current studies have not yet investigated the elements that impact the acceptance and implementation of generative AI tools, such as ChatGPT, within organizational settings. To fully leverage its benefits, organizations must embrace and integrate Generative AI at a comprehensive and profound level, making it a valuable area of study. This study aims to put forth and examine the influencing factors impacting the adoption of generative AI technology by utilizing the Technology-Organization-Environment framework in conjunction with the institutional theory and the diffusion of innovation theory. Data from 108 organizations in India is collected and analyzed, leading to valuable insights and implications that contribute to a deeper understanding of the key determinants of generative AI adoption. The study digs out valuable knowledge for organizations looking to embrace this technology.</t>
  </si>
  <si>
    <t>[Agrawal, Kalyan Prasad] Chandragupt Inst Management, Patna, India; [Agrawal, Kalyan Prasad] Chandragupt Inst Management Patna CIMP, Mithapur Inst Area, Patna 800001, Bihar, India</t>
  </si>
  <si>
    <t>Agrawal, K (corresponding author), Chandragupt Inst Management Patna CIMP, Mithapur Inst Area, Patna 800001, Bihar, India.</t>
  </si>
  <si>
    <t>kalyan@cimp.ac.in</t>
  </si>
  <si>
    <t>TAYLOR &amp; FRANCIS INC</t>
  </si>
  <si>
    <t>PHILADELPHIA</t>
  </si>
  <si>
    <t>530 WALNUT STREET, STE 850, PHILADELPHIA, PA 19106 USA</t>
  </si>
  <si>
    <t>0887-4417</t>
  </si>
  <si>
    <t>2380-2057</t>
  </si>
  <si>
    <t>J COMPUT INFORM SYST</t>
  </si>
  <si>
    <t>J. Comput. Inf. Syst.</t>
  </si>
  <si>
    <t>2023 JUL 27</t>
  </si>
  <si>
    <t>10.1080/08874417.2023.2240744</t>
  </si>
  <si>
    <t>JUL 2023</t>
  </si>
  <si>
    <t>Computer Science, Information Systems</t>
  </si>
  <si>
    <t>N8OS3</t>
  </si>
  <si>
    <t>WOS:001039548700001</t>
  </si>
  <si>
    <t>Karapantelakis, A; Alizadeh, P; Alabassi, A; Dey, K; Nikou, A</t>
  </si>
  <si>
    <t>Karapantelakis, Athanasios; Alizadeh, Pegah; Alabassi, Abdulrahman; Dey, Kaushik; Nikou, Alexandros</t>
  </si>
  <si>
    <t>Generative AI in mobile networks: a survey</t>
  </si>
  <si>
    <t>ANNALS OF TELECOMMUNICATIONS</t>
  </si>
  <si>
    <t>Generative AI; Telecom; 6 G; 5 G; Survey; Application</t>
  </si>
  <si>
    <t>SEMANTIC COMMUNICATION-SYSTEMS; GAN; TECHNOLOGY; CHALLENGES; MODELS</t>
  </si>
  <si>
    <t>This paper provides a comprehensive review of recent challenges and results in the field of generative AI with application to mobile telecommunications networks. The objective is to classify the literature using an approach that encompasses the type of generative AI technology employed, the functional purpose, and the specific component of the mobile network that each solution targets. Moreover, performance requirements for generative AI applications are considered. Thereafter, state-of-the-art generative AI algorithms and an examination of their use cases across various industry verticals are presented. The discussion extends to the current level of AI integration in telecom standardization bodies, such as the 3rd Generation Partnership Project (3GPP). Finally, the open research challenges that the generative AI technology aims to address are thoroughly investigated.</t>
  </si>
  <si>
    <t>[Karapantelakis, Athanasios; Alabassi, Abdulrahman; Nikou, Alexandros] Ericsson AB, Ericsson Res, Torshamnsgatan 21, S-16483 Stockholm, Sweden; [Alizadeh, Pegah] Ericsson France, Ericsson Res, 25 Carnot, F-91300 Massy, France; [Dey, Kaushik] Ericsson India, Ericsson Res, Chennai 600096, Tamil Nadu, India</t>
  </si>
  <si>
    <t>Ericsson</t>
  </si>
  <si>
    <t>Karapantelakis, A (corresponding author), Ericsson AB, Ericsson Res, Torshamnsgatan 21, S-16483 Stockholm, Sweden.</t>
  </si>
  <si>
    <t>athanasios.karapantelakis@ericsson.com; pegah.alizadeh@ericsson.com; abdulrahman.alabassi@ericsson.com; deykaushik@ericsson.com; alexandros.nikou@ericsson.com</t>
  </si>
  <si>
    <t>SPRINGER INT PUBL AG</t>
  </si>
  <si>
    <t>CHAM</t>
  </si>
  <si>
    <t>GEWERBESTRASSE 11, CHAM, CH-6330, SWITZERLAND</t>
  </si>
  <si>
    <t>0003-4347</t>
  </si>
  <si>
    <t>1958-9395</t>
  </si>
  <si>
    <t>ANN TELECOMMUN</t>
  </si>
  <si>
    <t>Ann. Telecommun.</t>
  </si>
  <si>
    <t>FEB</t>
  </si>
  <si>
    <t>1-2</t>
  </si>
  <si>
    <t>SI</t>
  </si>
  <si>
    <t>10.1007/s12243-023-00980-9</t>
  </si>
  <si>
    <t>AUG 2023</t>
  </si>
  <si>
    <t>Telecommunications</t>
  </si>
  <si>
    <t>EP0Q2</t>
  </si>
  <si>
    <t>WOS:001051048200001</t>
  </si>
  <si>
    <t>Saetra, HS</t>
  </si>
  <si>
    <t>Saetra, Henrik Skaug</t>
  </si>
  <si>
    <t>Generative AI: Here to stay, but for good?</t>
  </si>
  <si>
    <t>TECHNOLOGY IN SOCIETY</t>
  </si>
  <si>
    <t>Generative AI; Large language models; Generative adversarial networks; Harms; Power; Inequality</t>
  </si>
  <si>
    <t>Generative AI has taken the world by storm, kicked off for real by ChatGPT and quickly followed by further development and the release of GPT-4 and similar models from OpenAI's competitors. The street has most certainly found its use for generative artificial intelligence (AI), and there is no longer much point in discussing whether generative AI will be influential. It will, and what remains to be discussed it how influential it will be, and what potential harms arise when we use AI to generate text and other forms of content. Technological change entails societal change, and we must always endeavor to ask how new technologies shapes, engenders, or potentially erodes the good society. In this sense, Generative AI is another instance of politically and culturally disruptive autonomous technology, and in this short commentary I highlight some of the key questions to be asked regarding consequences on the micro, meso, and macro level.</t>
  </si>
  <si>
    <t>[Saetra, Henrik Skaug] Ostfold Univ Coll, Halden, Norway</t>
  </si>
  <si>
    <t>Ostfold University College</t>
  </si>
  <si>
    <t>Saetra, HS (corresponding author), Ostfold Univ Coll, Halden, Norway.</t>
  </si>
  <si>
    <t>Henrik.satra@hiof.no</t>
  </si>
  <si>
    <t>Saetra, Henrik Skaug/0000-0002-7558-6451</t>
  </si>
  <si>
    <t>ELSEVIER SCI LTD</t>
  </si>
  <si>
    <t>THE BOULEVARD, LANGFORD LANE, KIDLINGTON, OXFORD OX5 1GB, OXON, ENGLAND</t>
  </si>
  <si>
    <t>0160-791X</t>
  </si>
  <si>
    <t>1879-3274</t>
  </si>
  <si>
    <t>TECHNOL SOC</t>
  </si>
  <si>
    <t>Technol. Soc.</t>
  </si>
  <si>
    <t>NOV</t>
  </si>
  <si>
    <t>10.1016/j.techsoc.2023.102372</t>
  </si>
  <si>
    <t>SEP 2023</t>
  </si>
  <si>
    <t>Social Issues; Social Sciences, Interdisciplinary</t>
  </si>
  <si>
    <t>Social Issues; Social Sciences - Other Topics</t>
  </si>
  <si>
    <t>T5PG5</t>
  </si>
  <si>
    <t>WOS:001078500600001</t>
  </si>
  <si>
    <t>Khlaisamniang, P; Khomduean, P; Saetan, K; Wonglapsuwan, S</t>
  </si>
  <si>
    <t>IEEE</t>
  </si>
  <si>
    <t>Khlaisamniang, Pitikorn; Khomduean, Prachaya; Saetan, Kriangkrai; Wonglapsuwan, Supasin</t>
  </si>
  <si>
    <t>Generative AI for Self-Healing Systems</t>
  </si>
  <si>
    <t>2023 18TH INTERNATIONAL JOINT SYMPOSIUM ON ARTIFICIAL INTELLIGENCE AND NATURAL LANGUAGE PROCESSING, ISAI-NLP</t>
  </si>
  <si>
    <t>International Joint Symposium on Artificial Intelligence and Natural Language Processing</t>
  </si>
  <si>
    <t>18th International Joint Symposium on Artificial Intelligence and Natural Language Processing (ISAI-NLP) / 4th International Conference on Artificial Intelligence and Internet of Things (AIoT)</t>
  </si>
  <si>
    <t>NOV 27-29, 2023</t>
  </si>
  <si>
    <t>Kasetsart Univ, Bangkok, THAILAND</t>
  </si>
  <si>
    <t>Artificial Intelligence Assoc Thailand,Rajamangala Univ Technol Thanyaburi,Artificial Intelligence Assoc Thailand,IEEE Thailand Sect,IEEE Syst, Man, &amp; Cybernet Soc Malaysia Chapter,Thammasat Univ,NSTDA, NECTEC,Kasetsart Univ,NRCT,TAIST TokyoTech</t>
  </si>
  <si>
    <t>Kasetsart Univ</t>
  </si>
  <si>
    <t>Self-Healing Systems; Generative AI; Anomaly Detection; Code Generation</t>
  </si>
  <si>
    <t>In large-scale system production, the risk of component failures like hardware issues, software bugs, network disruptions, and memory errors is a concern. To mitigate this, human experts such as IT analysts, system engineers, and infrastructure architects use system monitoring to detect and respond to failures. This study aims to integrate generative AI technology into self-healing systems to enhance the operations of large-scale systems and facilitate automatic repairs. The focus is on optimizing system functionality and efficiency at scale while reducing reactive tasks that require human intervention. Our proposed solutions involve leveraging generative AI for anomaly detection, code generation, debugging and auto generative report within self-healing systems. Furthermore, the automated response ansible scripts, generated by generative AI such as GPT-4 to create a comprehensive and efficient python code completion solution that enhances backend system functionality and repairs failing components.</t>
  </si>
  <si>
    <t>[Khlaisamniang, Pitikorn; Khomduean, Prachaya; Saetan, Kriangkrai; Wonglapsuwan, Supasin] Artificial Intelligence Assoc Thailand, Bangkok, Thailand</t>
  </si>
  <si>
    <t>Khlaisamniang, P (corresponding author), Artificial Intelligence Assoc Thailand, Bangkok, Thailand.</t>
  </si>
  <si>
    <t>pitikorn32@gmail.com; prachayakhomduean@gmail.com; kraitan.ss21@gmail.com; wonglapsuwan.s@gmail.com</t>
  </si>
  <si>
    <t>345 E 47TH ST, NEW YORK, NY 10017 USA</t>
  </si>
  <si>
    <t>2831-4557</t>
  </si>
  <si>
    <t>979-8-3503-7121-5</t>
  </si>
  <si>
    <t>Natural Lang Proc</t>
  </si>
  <si>
    <t>10.1109/iSAI-NLP60301.2023.10354608</t>
  </si>
  <si>
    <t>Computer Science, Artificial Intelligence</t>
  </si>
  <si>
    <t>BW3KY</t>
  </si>
  <si>
    <t>WOS:001139627800008</t>
  </si>
  <si>
    <t>Yin, M; Han, BX; Ryu, SH; Hua, M</t>
  </si>
  <si>
    <t>Degen, H; Ntoa, S; Moallem, A</t>
  </si>
  <si>
    <t>Yin, Ming; Han, Bingxu; Ryu, Sunghan; Hua, Min</t>
  </si>
  <si>
    <t>Acceptance of Generative AI in the Creative Industry: Examining the Role of AI Anxiety in the UTAUT2 Model</t>
  </si>
  <si>
    <t>HCI INTERNATIONAL 2023 LATE BREAKING PAPERS, HCII 2023, PT VI</t>
  </si>
  <si>
    <t>Lecture Notes in Computer Science</t>
  </si>
  <si>
    <t>25th International Conference on Human-Computer Interaction (HCI International)</t>
  </si>
  <si>
    <t>JUL 23-28, 2023</t>
  </si>
  <si>
    <t>Copenhagen, DENMARK</t>
  </si>
  <si>
    <t>UTAUT; Generative AI; AI anxiety; creative professionals</t>
  </si>
  <si>
    <t>INFORMATION-TECHNOLOGY; USER ACCEPTANCE; UNIFIED THEORY</t>
  </si>
  <si>
    <t>With the boosting entrenchment of Generative artificial intelligence (AI) across the creative markets, little is explored around the opinions of those who are within the influenced industries. How well professionals in the creative domains are viewing and embracing this newly emerged technology awaits verification. Using a survey method, this study shed light on the underpinning factors that could predict professionals' acceptance and usage intention of Generative AI under the status quo. By integrating the expanded Unified Theory of Acceptance and Use of Technology (UTAUT2) model, the study incorporates the dimension of AI anxiety into the framework. Regression analyses reveal that acceptance and usage intention of Generative AI can be predicted by factors including performance expectancy, social influence, hedonic motivation, habit, and AI anxiety, while effort expectancy, facility conditions, and price value cannot predict users' intention yet at current situations. The study shows the importance of the emotional attitudes of users and provides stakeholders with insights to develop Generative AI products to better fit the adaptability of users. Findings suggest that people who are actively involved in the creative and cultural economies favour using Generative AI, even when undergoing AI learning anxiety. Participants with a relatively higher level of education perform with more resilience and stability when faced with AI-related situations, as they are less possible to withdraw from future usage though undergoing the fear of Generative AI products, and they appear to less addictively rely on Generative AI tools despite all the merits.</t>
  </si>
  <si>
    <t>[Yin, Ming; Han, Bingxu; Ryu, Sunghan; Hua, Min] Shanghai Jiao Tong Univ, USC SJTU Inst Cultural &amp; Creat Ind, Shanghai 200241, Peoples R China</t>
  </si>
  <si>
    <t>Shanghai Jiao Tong University</t>
  </si>
  <si>
    <t>Hua, M (corresponding author), Shanghai Jiao Tong Univ, USC SJTU Inst Cultural &amp; Creat Ind, Shanghai 200241, Peoples R China.</t>
  </si>
  <si>
    <t>huamin@sjtu.edu.cn</t>
  </si>
  <si>
    <t>Shanghai Jiao Tong University's USC-SJTU Institute of Cultural and Creative Industry; Zizhu National High-Tech Industrial Development Zone, via the Zizhu New Media Management Research Center; International Association of Cultural and Creative Industry Research</t>
  </si>
  <si>
    <t>This research project received funding from Shanghai Jiao Tong University's USC-SJTU Institute of Cultural and Creative Industry, and from Zizhu National High-Tech Industrial Development Zone, via the Zizhu New Media Management Research Center and the International Association of Cultural and Creative Industry Research. The researchers acknowledge the generous financial and administrative support from the institutions and their staff.</t>
  </si>
  <si>
    <t>SPRINGER INTERNATIONAL PUBLISHING AG</t>
  </si>
  <si>
    <t>0302-9743</t>
  </si>
  <si>
    <t>1611-3349</t>
  </si>
  <si>
    <t>978-3-031-48056-0; 978-3-031-48057-7</t>
  </si>
  <si>
    <t>LECT NOTES COMPUT SC</t>
  </si>
  <si>
    <t>10.1007/978-3-031-48057-7_18</t>
  </si>
  <si>
    <t>Computer Science, Artificial Intelligence; Computer Science, Theory &amp; Methods</t>
  </si>
  <si>
    <t>BW5EW</t>
  </si>
  <si>
    <t>WOS:001159622900018</t>
  </si>
  <si>
    <t>Johnson, WL</t>
  </si>
  <si>
    <t>Johnson, W. Lewis</t>
  </si>
  <si>
    <t>How to Harness Generative AI to Accelerate Human Learning</t>
  </si>
  <si>
    <t>INTERNATIONAL JOURNAL OF ARTIFICIAL INTELLIGENCE IN EDUCATION</t>
  </si>
  <si>
    <t>Generative AI; ChatGPT; Pedagogical agents; Socratic tutors; Simulations</t>
  </si>
  <si>
    <t>The advent of generative AI has caused both excitement and anxiety among educators. Some school systems have gone so far as to ban it altogether. Generative AI has the potential to transform human learning; but like any new technology, it has both strengths and weaknesses, and adopting it involves some risks. There are risks that generative AI will mislead learners with wrong information, or that learners will use it to do their homework and take tests for them. This article presents some ways to take best advantage of generative AI, while managing and mitigating the risks. It also suggests some uses of generative AI to avoid. These insights are informed by learning science and extensive experience developing AI-enabled learning products. If applied properly, generative AI can dramatically accelerate human learning and do so at scale.</t>
  </si>
  <si>
    <t>[Johnson, W. Lewis] Alelo Inc, Los Angeles, CA 90045 USA</t>
  </si>
  <si>
    <t>Johnson, WL (corresponding author), Alelo Inc, Los Angeles, CA 90045 USA.</t>
  </si>
  <si>
    <t>ljohnson@alelo.com</t>
  </si>
  <si>
    <t>SPRINGER</t>
  </si>
  <si>
    <t>ONE NEW YORK PLAZA, SUITE 4600, NEW YORK, NY, UNITED STATES</t>
  </si>
  <si>
    <t>1560-4292</t>
  </si>
  <si>
    <t>1560-4306</t>
  </si>
  <si>
    <t>INT J ARTIF INTELL E</t>
  </si>
  <si>
    <t>Int. J. Artif. Intell. Educ.</t>
  </si>
  <si>
    <t>2023 AUG 8</t>
  </si>
  <si>
    <t>10.1007/s40593-023-00367-w</t>
  </si>
  <si>
    <t>Computer Science, Interdisciplinary Applications</t>
  </si>
  <si>
    <t>Emerging Sources Citation Index (ESCI)</t>
  </si>
  <si>
    <t>O5OH6</t>
  </si>
  <si>
    <t>WOS:001044297000001</t>
  </si>
  <si>
    <t>Li, J; Cai, XT; Cheng, L</t>
  </si>
  <si>
    <t>Li, Jian; Cai, Xintong; Cheng, Le</t>
  </si>
  <si>
    <t>Legal regulation of generative AI: a multidimensional construction</t>
  </si>
  <si>
    <t>INTERNATIONAL JOURNAL OF LEGAL DISCOURSE</t>
  </si>
  <si>
    <t>generative AI; ChatGPT; legal regulation; ethical principle; algorithm; data protection</t>
  </si>
  <si>
    <t>The technological adoption and widespread use of generative AI, as represented by ChatGPT, have altered the conventional mode of interaction between humans and AI and profoundly changed the way our society operates. In response to the multifarious risks associated with generative AI, spanning ethical considerations, intellectual property protection, privacy and data protection, market monopoly, cybercrime, and data security concerns, discussions on the status of AI subjects and legal regulation have surfaced both on a global and domestic scale. It is argued in the present study that generative AI governance should uphold the principle of reconciling safety and development, craft an AI code of ethics in line with the umbrella of the human-centered principle, and promote a comprehensive legal framework of AI based on general AI legislation, supplemented by specialized management approaches for generative AI, and underpinned by established legal norms.</t>
  </si>
  <si>
    <t>[Cai, Xintong; Cheng, Le] Zhejiang Univ, Guanghua Law Sch, Hangzhou, Peoples R China; [Li, Jian] Zhejiang Gongshang Univ, Hangzhou, Peoples R China; [Cheng, Le] Zhejiang Univ, Sch Cyber Sci &amp; Technol, Hangzhou, Peoples R China</t>
  </si>
  <si>
    <t>Zhejiang University; Zhejiang Gongshang University; Zhejiang University</t>
  </si>
  <si>
    <t>Cai, XT (corresponding author), Zhejiang Univ, Guanghua Law Sch, Hangzhou, Peoples R China.</t>
  </si>
  <si>
    <t>ljjane@foxmail.com; 22202139@zju.edu.cn; chengle163@hotmail.com</t>
  </si>
  <si>
    <t>This work was supported by the major project of the National Social Science Foundation under Grant 20ZDA062. [20ZDA062]; National Social Science Foundation</t>
  </si>
  <si>
    <t>This work was supported by the major project of the National Social Science Foundation under Grant 20ZDA062.; National Social Science Foundation</t>
  </si>
  <si>
    <t>This work was supported by the major project of the National Social Science Foundation under Grant 20ZDA062.</t>
  </si>
  <si>
    <t>DE GRUYTER MOUTON</t>
  </si>
  <si>
    <t>BERLIN</t>
  </si>
  <si>
    <t>GENTHINER STRASSE 13, 10785 BERLIN, GERMANY</t>
  </si>
  <si>
    <t>2364-8821</t>
  </si>
  <si>
    <t>2364-883X</t>
  </si>
  <si>
    <t>INT J LEGAL DISCOURS</t>
  </si>
  <si>
    <t>Int. J. Legal Discours.</t>
  </si>
  <si>
    <t>DEC 15</t>
  </si>
  <si>
    <t>10.1515/ijld-2023-2017</t>
  </si>
  <si>
    <t>Linguistics</t>
  </si>
  <si>
    <t>AH2W0</t>
  </si>
  <si>
    <t>WOS:001101716500001</t>
  </si>
  <si>
    <t>Okolo, CT</t>
  </si>
  <si>
    <t>Isafiade, O; Ogunyemi, A; Anya, O; Sakpere, A; Jat, DS; Jere, N</t>
  </si>
  <si>
    <t>Okolo, Chinasa T.</t>
  </si>
  <si>
    <t>The Promise and Perils of Generative AI: Case Studies in an African Context</t>
  </si>
  <si>
    <t>PROCEEDINGS OF THE 4TH AFRICAN CONFERENCE FOR HUMAN COMPUTER INTERACTION, AFRICHI 2023</t>
  </si>
  <si>
    <t>4th African Conference on Human Computer Interaction (AfriCHI) - Beyond Limits</t>
  </si>
  <si>
    <t>NOV 27-DEC 01, 2023</t>
  </si>
  <si>
    <t>Walter Sisulu Univ, East London, SOUTH AFRICA</t>
  </si>
  <si>
    <t>Pan African Informat Commun Technol Assoc,ACM In Cooperat,SIGCHI,Lelapa Ai,Univ S Africa,Tobii,E London Idz, Sci &amp; Technol Pk</t>
  </si>
  <si>
    <t>Walter Sisulu Univ</t>
  </si>
  <si>
    <t>generative AI; large language models; responsible AI; Africa; algorithmic bias</t>
  </si>
  <si>
    <t>ARTIFICIAL-INTELLIGENCE</t>
  </si>
  <si>
    <t>As generative AI applications such as ChatGPT, Midjourney, DALL center dot E, Bard, and others increase in ubiquity, concerns about the negative implications of these technologies are becoming more present in public discourse. However, little research has examined the impact that generative AI stands to have on African consumers and users who may be affected by its application in various fields such as education, healthcare, and social media. This work presents an early look into the implications of using generative AI within African contexts, exploring case studies of current generative AI use within Africa. These case studies examine the use of generative AI in marketing and for image and text generation. While the potential for generative AI in Africa is growing, this preliminary work aims to set a foundation for highlighting risks associated with generative AI while exploring how generative AI can be responsibly developed and used within African contexts.</t>
  </si>
  <si>
    <t>[Okolo, Chinasa T.] Cornell Univ, Comp Sci, Ithaca, NY 14850 USA</t>
  </si>
  <si>
    <t>Cornell University</t>
  </si>
  <si>
    <t>Okolo, CT (corresponding author), Cornell Univ, Comp Sci, Ithaca, NY 14850 USA.</t>
  </si>
  <si>
    <t>chinasa@cs.cornell.edu</t>
  </si>
  <si>
    <t>Okolo, Chinasa T./0000-0002-6474-3378</t>
  </si>
  <si>
    <t>979-8-4007-0887-9</t>
  </si>
  <si>
    <t>10.1145/3628096.3629066</t>
  </si>
  <si>
    <t>Computer Science, Cybernetics; Computer Science, Interdisciplinary Applications; Computer Science, Theory &amp; Methods</t>
  </si>
  <si>
    <t>BW5FM</t>
  </si>
  <si>
    <t>WOS:001159802500041</t>
  </si>
  <si>
    <t>Khosravi, H; Viberg, O; Kovanovic, V; Ferguson, R</t>
  </si>
  <si>
    <t>Khosravi, Hassan; Viberg, Olga; Kovanovic, Vitomir; Ferguson, Rebecca</t>
  </si>
  <si>
    <t>Generative AI and Learning Analytics</t>
  </si>
  <si>
    <t>JOURNAL OF LEARNING ANALYTICS</t>
  </si>
  <si>
    <t>Generative AI,; GenAI; learning analytics; research; practice</t>
  </si>
  <si>
    <t>SCIENCE</t>
  </si>
  <si>
    <t>This editorial looks back at the Journal of Learning Analytics (JLA) in 2023 and forward to 2024. Considering the recent proliferation of large language models such as GPT4 and Bard, the first section of this editorial points to the need for robust Generative AI (GenAI) analytics, calling for consideration of how GenAI may impact learning analytics research and practice. The second section looks back over the past year, providing statistics on submissions and considering the cost of publication in an open-access journal.</t>
  </si>
  <si>
    <t>[Khosravi, Hassan] Univ Queensland, Inst Teaching &amp; Learning Innovat, Res &amp; Educ Ctr Learning Sci, Brisbane, Qld 4072, Australia; [Viberg, Olga] KTH Royal Inst Technol, Dept Human Ctr Technol, Lindstedsvagen 3, S-1004 Stockholm, Sweden; [Kovanovic, Vitomir] Univ South Australia, UniSA Educ Futures, Campus Cent City West GPO Box 2471, Adelaide, SA 5001, Australia; [Ferguson, Rebecca] Open Univ, Inst Educ Technol, Walton Hall, Milton Keynes MK 6AA, England</t>
  </si>
  <si>
    <t>University of Queensland; Royal Institute of Technology; University of South Australia; Open University - UK</t>
  </si>
  <si>
    <t>Khosravi, H (corresponding author), Univ Queensland, Inst Teaching &amp; Learning Innovat, Res &amp; Educ Ctr Learning Sci, Brisbane, Qld 4072, Australia.</t>
  </si>
  <si>
    <t>h.khosravi@uq.edu.au; oviberg@kth.se; vitomir.kovanovic@unisa.edu.au; rf2656@open.ac.uk</t>
  </si>
  <si>
    <t>; Kovanovic, Vitomir/F-5862-2017</t>
  </si>
  <si>
    <t>Khosravi, Hassan/0000-0001-8664-6117; Ferguson, Rebecca/0000-0002-8566-8231; Kovanovic, Vitomir/0000-0001-9694-6033</t>
  </si>
  <si>
    <t>SOC LEARNING ANALYTICS RESEARCH-SOLAR</t>
  </si>
  <si>
    <t>BEAUMONT</t>
  </si>
  <si>
    <t>121 POINTE MARSAN, BEAUMONT, ALBERTA, CANADA</t>
  </si>
  <si>
    <t>1929-7750</t>
  </si>
  <si>
    <t>J LEARN ANAL</t>
  </si>
  <si>
    <t>J. Learn. Anal.</t>
  </si>
  <si>
    <t>10.18608/jla.2023.8333</t>
  </si>
  <si>
    <t>Education &amp; Educational Research</t>
  </si>
  <si>
    <t>DO8O5</t>
  </si>
  <si>
    <t>gold</t>
  </si>
  <si>
    <t>WOS:001133089300002</t>
  </si>
  <si>
    <t>Guha, A; Grewal, D; Atlas, S</t>
  </si>
  <si>
    <t>Guha, Abhijit; Grewal, Dhruv; Atlas, Stephen</t>
  </si>
  <si>
    <t>Generative AI and Marketing Education: What the Future Holds</t>
  </si>
  <si>
    <t>JOURNAL OF MARKETING EDUCATION</t>
  </si>
  <si>
    <t>ChatGPT; generative AI; marketing education</t>
  </si>
  <si>
    <t>To understand why and how marketing educators can best use generative artificial intelligence (AI), such as ChatGPT, this article integrates a literature survey, interviews with both marketing educators and managers, and surveys of both marketing educators and students. In leveraging these inputs, the authors argue that generative AI can significantly shape and improve the future of marketing education. Specifically, by including ChatGPT in their lessons, marketing educators can both materially enhance learning experiences and better prepare students for future jobs with marketing firms that rely on ChatGPT in practice. Noting that ChatGPT has downsides, this research identifies several steps educators should take to minimize the risks. Finally, the authors propose an agenda for continued research into how marketing educators can and should use ChatGPT, with the explicit recognition that ChatGPT is evolving rapidly, so that, the research agenda will need to adapt as well.</t>
  </si>
  <si>
    <t>[Guha, Abhijit] Univ South Carolina, Columbia, SC USA; [Grewal, Dhruv] Babson Coll, Babson Pk, MA USA; [Grewal, Dhruv] Univ Bath, Bath, England; [Grewal, Dhruv] Tecnol Monterrey, Monterrey, Mexico; [Atlas, Stephen] Univ Rhode Isl, Kingston, RI USA; [Grewal, Dhruv] Babson Coll, Dept Mkt, Babson Pk, MA 02457 USA</t>
  </si>
  <si>
    <t>University of South Carolina System; University of South Carolina Columbia; Babson College; University of Bath; Tecnologico de Monterrey; University of Rhode Island; Babson College</t>
  </si>
  <si>
    <t>Grewal, D (corresponding author), Babson Coll, Dept Mkt, Babson Pk, MA 02457 USA.</t>
  </si>
  <si>
    <t>dgrewal@babson.edu</t>
  </si>
  <si>
    <t>Grewal, Dhruv/0000-0002-7046-6063</t>
  </si>
  <si>
    <t>SAGE PUBLICATIONS INC</t>
  </si>
  <si>
    <t>THOUSAND OAKS</t>
  </si>
  <si>
    <t>2455 TELLER RD, THOUSAND OAKS, CA 91320 USA</t>
  </si>
  <si>
    <t>0273-4753</t>
  </si>
  <si>
    <t>1552-6550</t>
  </si>
  <si>
    <t>J MARKET EDUC</t>
  </si>
  <si>
    <t>J. Market. Educ.</t>
  </si>
  <si>
    <t>APR</t>
  </si>
  <si>
    <t>10.1177/02734753231215436</t>
  </si>
  <si>
    <t>KJ1R0</t>
  </si>
  <si>
    <t>WOS:001112276000001</t>
  </si>
  <si>
    <t>Walkowiak, E</t>
  </si>
  <si>
    <t>Walkowiak, Emmanuelle</t>
  </si>
  <si>
    <t>Task-interdependencies between Generative AI and Workers</t>
  </si>
  <si>
    <t>ECONOMICS LETTERS</t>
  </si>
  <si>
    <t>Generative AI; Interdependencies; Interaction; O-ring; Matching; AI risks</t>
  </si>
  <si>
    <t>Our paper formalizes a production function to give microeconomic foundations for the adoption of Generative AI (GAI) within workplaces. The production function accounts for task-interdependencies, the worker-GAI interaction and indistinguishability between human-created and AI-generated outputs. We show that workers and GAI represent two distinct but interdependent sides of the production, that jointly generate a network externality in learning that drives productivity. We find that in open learning organizations favoring the worker-GAI interaction, GAI should be matched to workers based on their ability to detect errors. We analyze configurations where the worker-GAI interaction is limited, referred as closed learning organizations, including firms banning the use of GAI, technological superclusters and emergence of small entrepreneurs innovating with GAI.&amp; COPY; 2023 The Author(s). Published by Elsevier B.V. This is an open access article under the CC BY license (http://creativecommons.org/licenses/by/4.0/).</t>
  </si>
  <si>
    <t>[Walkowiak, Emmanuelle] Royal Melbourne Inst Technol RMIT, Dept Econ Finance &amp; Mkt, Melbourne, Vic 3000, Australia</t>
  </si>
  <si>
    <t>Royal Melbourne Institute of Technology (RMIT)</t>
  </si>
  <si>
    <t>Walkowiak, E (corresponding author), Royal Melbourne Inst Technol RMIT, Dept Econ Finance &amp; Mkt, Melbourne, Vic 3000, Australia.</t>
  </si>
  <si>
    <t>emmanuelle.walkowiak@rmit.edu.au</t>
  </si>
  <si>
    <t>Walkowiak, Emmanuelle/0000-0002-7153-614X</t>
  </si>
  <si>
    <t>ELSEVIER SCIENCE SA</t>
  </si>
  <si>
    <t>LAUSANNE</t>
  </si>
  <si>
    <t>PO BOX 564, 1001 LAUSANNE, SWITZERLAND</t>
  </si>
  <si>
    <t>0165-1765</t>
  </si>
  <si>
    <t>1873-7374</t>
  </si>
  <si>
    <t>ECON LETT</t>
  </si>
  <si>
    <t>Econ. Lett.</t>
  </si>
  <si>
    <t>OCT</t>
  </si>
  <si>
    <t>10.1016/j.econlet.2023.111315</t>
  </si>
  <si>
    <t>Economics</t>
  </si>
  <si>
    <t>Business &amp; Economics</t>
  </si>
  <si>
    <t>S0HZ4</t>
  </si>
  <si>
    <t>WOS:001068080000001</t>
  </si>
  <si>
    <t>Schmitt, B</t>
  </si>
  <si>
    <t>Schmitt, Bernd</t>
  </si>
  <si>
    <t>Transforming qualitative research in phygital settings: the role of generative AI</t>
  </si>
  <si>
    <t>QUALITATIVE MARKET RESEARCH</t>
  </si>
  <si>
    <t>Qualitative research; Generative AI; Interpretative methods; New methodology</t>
  </si>
  <si>
    <t>Purpose- This commentary discusses the value of generative artificial intelligence (AI) for qualitative research in phygital settings to understand the customer experience.Design/methodology/approach- The critical and logical analysis is based on current knowledge of generative AI.Findings- Generative AI seems very useful for qualitative research in phygital settings to understand the customer experience and should be used in qualitative research projects. Generative AI can provide much-needed validation of the subjective nature of qualitative research and can also generate insights beyond human intuition.Research limitations/implications- The study is based on current technology, which changes fast. In the future, the skills of qualitative researchers may become outdated, relegating them to the role of prompt engineers.Practical implications- Technology, and especially generative AI, will be a key tool for practitioners as they conduct practical research.Social implications- Qualitative researchers should overcome potential anti-technology speciesism and embrace the potential of generative AI.Originality/value- This commentary provides insights into the role of generative AI for qualitative research in phygital settings.</t>
  </si>
  <si>
    <t>[Schmitt, Bernd] Columbia Business Sch, New York, NY 10027 USA</t>
  </si>
  <si>
    <t>Columbia University</t>
  </si>
  <si>
    <t>Schmitt, B (corresponding author), Columbia Business Sch, New York, NY 10027 USA.</t>
  </si>
  <si>
    <t>bhs1@columbia.edu</t>
  </si>
  <si>
    <t>EMERALD GROUP PUBLISHING LTD</t>
  </si>
  <si>
    <t>Leeds</t>
  </si>
  <si>
    <t>Floor 5, Northspring 21-23 Wellington Street, Leeds, W YORKSHIRE, ENGLAND</t>
  </si>
  <si>
    <t>1352-2752</t>
  </si>
  <si>
    <t>1758-7646</t>
  </si>
  <si>
    <t>QUAL MARK RES</t>
  </si>
  <si>
    <t>Qual. Mark. Res.</t>
  </si>
  <si>
    <t>2023 DEC 25</t>
  </si>
  <si>
    <t>10.1108/QMR-08-2023-0107</t>
  </si>
  <si>
    <t>Business</t>
  </si>
  <si>
    <t>CY4T8</t>
  </si>
  <si>
    <t>WOS:001128787000001</t>
  </si>
  <si>
    <t>Agrawal, KP</t>
  </si>
  <si>
    <t>Organizational Sustainability of Generative AI-Driven Optimization Intelligence</t>
  </si>
  <si>
    <t>Generative AI; optimization intelligence; normalization process theory</t>
  </si>
  <si>
    <t>CHALLENGES</t>
  </si>
  <si>
    <t>Generative Artificial Intelligence (AI) tools like ChatGPT offer significant potential in the corporate world and organizational leadership. Organizations are actively integrating Generative AI (GenAI) into their operations to leverage its benefits. However, research is yet to explore the factors supporting the continuity of GenAI-powered Optimization Intelligence (GenAI-OI) processes in organizational contexts. This study seeks to address this gap by focusing on the challenges of standardizing such optimization intelligence systems. It utilizes the Normalization Process Theory (NPT) to facilitate a theoretical exploration of this standardization process. From both a research and practical standpoint, it elucidates how NPT can be applied to provide a structured framework for understanding and theorizing the processes involved in embedding and sustaining GenAI-OI systems, which play a pivotal role in shaping the future of organizational agility. This research endeavors to uncover valuable insights for organizations seeking not only to adopt but sustain this technology effectively.</t>
  </si>
  <si>
    <t>[Agrawal, Kalyan Prasad] Chandragupt Inst Management Patna, Patna 800001, Bihar, India</t>
  </si>
  <si>
    <t>Agrawal, K (corresponding author), Chandragupt Inst Management Patna, Patna 800001, Bihar, India.</t>
  </si>
  <si>
    <t>2023 DEC 15</t>
  </si>
  <si>
    <t>10.1080/08874417.2023.2286540</t>
  </si>
  <si>
    <t>CM9H2</t>
  </si>
  <si>
    <t>WOS:001125779300001</t>
  </si>
  <si>
    <t>Knott, A; Pedreschi, D; Chatila, R; Chakraborti, T; Leavy, S; Baeza-Yates, R; Eyers, D; Trotman, A; Teal, PD; Biecek, P; Russell, S; Bengio, Y</t>
  </si>
  <si>
    <t>Knott, Alistair; Pedreschi, Dino; Chatila, Raja; Chakraborti, Tapabrata; Leavy, Susan; Baeza-Yates, Ricardo; Eyers, David; Trotman, Andrew; Teal, Paul D.; Biecek, Przemyslaw; Russell, Stuart; Bengio, Yoshua</t>
  </si>
  <si>
    <t>Generative AI models should include detection mechanisms as a condition for public release</t>
  </si>
  <si>
    <t>ETHICS AND INFORMATION TECHNOLOGY</t>
  </si>
  <si>
    <t>Generative AI; AI regulation; AI ethics; AI social impacts; Foundation models</t>
  </si>
  <si>
    <t>The new wave of 'foundation models'-general-purpose generative AI models, for production of text (e.g., ChatGPT) or images (e.g., MidJourney)-represent a dramatic advance in the state of the art for AI. But their use also introduces a range of new risks, which has prompted an ongoing conversation about possible regulatory mechanisms. Here we propose a specific principle that should be incorporated into legislation: that any organization developing a foundation model intended for public use must demonstrate a reliable detection mechanism for the content it generates, as a condition of its public release. The detection mechanism should be made publicly available in a tool that allows users to query, for an arbitrary item of content, whether the item was generated (wholly or partly) by the model. In this paper, we argue that this requirement is technically feasible and would play an important role in reducing certain risks from new AI models in many domains. We also outline a number of options for the tool's design, and summarize a number of points where further input from policymakers and researchers would be required.</t>
  </si>
  <si>
    <t>[Knott, Alistair; Teal, Paul D.] Victoria Univ Wellington, Sch Engn &amp; Comp Sci, Wellington, New Zealand; [Pedreschi, Dino] Univ Pisa, Dept Comp Sci, Pisa, Italy; [Chatila, Raja] Sorbonne Univ, Paris, France; [Chakraborti, Tapabrata] UCL, Alan Turing Inst, London, England; [Leavy, Susan] Univ Coll Dublin, Sch Informat &amp; Commun Studies, Dublin, Ireland; [Baeza-Yates, Ricardo] Northeastern Univ, Inst Experiential, Boston, MA USA; [Eyers, David; Trotman, Andrew] Univ Otago, Sch Comp, Dunedin, New Zealand; [Biecek, Przemyslaw] Warsaw Univ Technol, Warsaw, Poland; [Russell, Stuart] Univ Calif Berkeley, Berkeley, CA USA; [Bengio, Yoshua] Univ Montreal, Mila Quebec AI Inst, Montreal, PQ, Canada</t>
  </si>
  <si>
    <t>Victoria University Wellington; University of Pisa; Sorbonne Universite; University of London; University College London; University College Dublin; Northeastern University; University of Otago; Warsaw University of Technology; University of California System; University of California Berkeley; Universite de Montreal</t>
  </si>
  <si>
    <t>Knott, A (corresponding author), Victoria Univ Wellington, Sch Engn &amp; Comp Sci, Wellington, New Zealand.</t>
  </si>
  <si>
    <t>ali.knott@vuw.ac.nz</t>
  </si>
  <si>
    <t>Baeza-Yates, Ricardo/H-5692-2015</t>
  </si>
  <si>
    <t>Leavy, Susan/0000-0002-3679-2279; Knott, Alistair/0000-0003-3036-4668</t>
  </si>
  <si>
    <t>We are grateful to the Global Partnership on AI (GPAI) and the Montreal International Center of Expertise in Artificial Intelligence (CEIMIA) for supporting this project. Yoshua Bengio thanks CIFAR and NSERC; Stuart Russell thanks Open Philanthropy Foundat; Montreal International Center of Expertise in Artificial Intelligence (CEIMIA); CIFAR; NSERC; Open Philanthropy Foundation [PE0013]; European Commission under the NextGeneration Programme; EU</t>
  </si>
  <si>
    <t>We are grateful to the Global Partnership on AI (GPAI) and the Montreal International Center of Expertise in Artificial Intelligence (CEIMIA) for supporting this project. Yoshua Bengio thanks CIFAR and NSERC; Stuart Russell thanks Open Philanthropy Foundat; Montreal International Center of Expertise in Artificial Intelligence (CEIMIA); CIFAR(Canadian Institute for Advanced Research (CIFAR)); NSERC(Natural Sciences and Engineering Research Council of Canada (NSERC)); Open Philanthropy Foundation; European Commission under the NextGeneration Programme; EU(European Union (EU))</t>
  </si>
  <si>
    <t>We are grateful to the Global Partnership on AI (GPAI) and the Montreal International Center of Expertise in Artificial Intelligence (CEIMIA) for supporting this project. Yoshua Bengio thanks CIFAR and NSERC; Stuart Russell thanks Open Philanthropy Foundation for support of the Center for Human-Compatible AI at UC Berkeley. Dino Pedreschi has been supported by the European Commission under the NextGeneration Programme PE0013 - 'FAIR - Future Artificial Intelligence Research' Spoke 1, 'Human-Centered AI', and under the EU H2020 ICT-48 Network of Excellence n.952026 'Human-AI net'. We would like to thank colleagues at the EU (Lucilla Sioli's group at DG-CNECT) and the OECD (Sebastian Hallensleben's group) for useful discussions, and Marcin Betkier and Rebecca Downes for comments on an earlier draft of this article. We also thank the two anonymous reviewers for their useful comments. The views expressed here, and any remaining errors, are of course our own.</t>
  </si>
  <si>
    <t>DORDRECHT</t>
  </si>
  <si>
    <t>VAN GODEWIJCKSTRAAT 30, 3311 GZ DORDRECHT, NETHERLANDS</t>
  </si>
  <si>
    <t>1388-1957</t>
  </si>
  <si>
    <t>1572-8439</t>
  </si>
  <si>
    <t>ETHICS INF TECHNOL</t>
  </si>
  <si>
    <t>Ethics Inf. Technol.</t>
  </si>
  <si>
    <t>DEC</t>
  </si>
  <si>
    <t>10.1007/s10676-023-09728-4</t>
  </si>
  <si>
    <t>Ethics; Information Science &amp; Library Science; Philosophy</t>
  </si>
  <si>
    <t>Social Science Citation Index (SSCI); Arts &amp; Humanities Citation Index (A&amp;HCI)</t>
  </si>
  <si>
    <t>Social Sciences - Other Topics; Information Science &amp; Library Science; Philosophy</t>
  </si>
  <si>
    <t>W3MU7</t>
  </si>
  <si>
    <t>WOS:001090711300001</t>
  </si>
  <si>
    <t>Alasadi, EA; Baiz, CR</t>
  </si>
  <si>
    <t>Alasadi, Eman A. A.; Baiz, Carlos R. R.</t>
  </si>
  <si>
    <t>Generative AI in Education and Research: Opportunities, Concerns, and Solutions</t>
  </si>
  <si>
    <t>JOURNAL OF CHEMICAL EDUCATION</t>
  </si>
  <si>
    <t>Generative AI; Education; ChatGPT; AI Opinions; Use of AI; GPT-4; AI Integration; Tools; Technology</t>
  </si>
  <si>
    <t>In this article, we discuss the role of generative artificialintelligence(AI) in education. The integration of AI in education has sparkeda paradigm shift in teaching and learning, presenting both unparalleledopportunities and complex challenges. This paper explores criticalaspects of implementing AI in education to advance educational goals,ethical considerations in scientific publications, and the attributionof credit for AI-driven discoveries. We also examine the implicationsof using AI-generated content in professional activities and describeequity and accessibility concerns. By weaving these key questionsinto a comprehensive discussion, this article aims to provide a balancedperspective on the responsible and effective use of these technologiesin education, highlighting the need for a thoughtful, ethical, andinclusive approach to their integration.</t>
  </si>
  <si>
    <t>[Alasadi, Eman A. A.; Baiz, Carlos R. R.] Univ Texas Austin, Dept Chem, Austin, TX 78712 USA</t>
  </si>
  <si>
    <t>University of Texas System; University of Texas Austin</t>
  </si>
  <si>
    <t>Baiz, CR (corresponding author), Univ Texas Austin, Dept Chem, Austin, TX 78712 USA.</t>
  </si>
  <si>
    <t>cbaiz@cm.utexas.edu</t>
  </si>
  <si>
    <t>National Science Foundation [CHE-1847199]; Welch Foundation [F-1891]; CNS Dean's Fellowship University of Texas at Austin</t>
  </si>
  <si>
    <t>National Science Foundation(National Science Foundation (NSF)); Welch Foundation(The Welch Foundation); CNS Dean's Fellowship University of Texas at Austin</t>
  </si>
  <si>
    <t>We acknowledge funding from the National Science Foundation (CHE-1847199), Welch Foundation Funding (F-1891), and CNS Dean's Fellowship University of Texas at Austin (EAA). In addition, we acknowledge the insightful discussions with members of the Baiz Group.</t>
  </si>
  <si>
    <t>AMER CHEMICAL SOC</t>
  </si>
  <si>
    <t>WASHINGTON</t>
  </si>
  <si>
    <t>1155 16TH ST, NW, WASHINGTON, DC 20036 USA</t>
  </si>
  <si>
    <t>0021-9584</t>
  </si>
  <si>
    <t>1938-1328</t>
  </si>
  <si>
    <t>J CHEM EDUC</t>
  </si>
  <si>
    <t>J. Chem. Educ.</t>
  </si>
  <si>
    <t>JUL 27</t>
  </si>
  <si>
    <t>10.1021/acs.jchemed.3c00323</t>
  </si>
  <si>
    <t>Chemistry, Multidisciplinary; Education, Scientific Disciplines</t>
  </si>
  <si>
    <t>Chemistry; Education &amp; Educational Research</t>
  </si>
  <si>
    <t>O2WS7</t>
  </si>
  <si>
    <t>WOS:001037631400001</t>
  </si>
  <si>
    <t>Kang, J; Yi, Y</t>
  </si>
  <si>
    <t>Kang, Joohoon; Yi, Youngjoo</t>
  </si>
  <si>
    <t>Beyond ChatGPT: Multimodal generative AI for L2 writers</t>
  </si>
  <si>
    <t>JOURNAL OF SECOND LANGUAGE WRITING</t>
  </si>
  <si>
    <t>Multimodal generative AI; Affordances of multimodal generative AI; DALL center dot E 2; DALL center dot E.3; Fine-tuned prompt literacy</t>
  </si>
  <si>
    <t>In response to Warschauer et al.'s paper on the affordances and contradictions of AI-generated text, we as researchers in multimodal literacy focus on discussing the two affordances of multi -modal generative AI models for L2 writers, such as (1) exploring and fostering multimodal literacy and (2) developing fine-tuned prompt literacy.</t>
  </si>
  <si>
    <t>[Kang, Joohoon] Korea Natl Univ Transportat, Chungju, South Korea; [Yi, Youngjoo] Ohio State Univ, Columbus, OH 43210 USA</t>
  </si>
  <si>
    <t>Korea National University of Transportation; University System of Ohio; Ohio State University</t>
  </si>
  <si>
    <t>Yi, Y (corresponding author), Ohio State Univ, Columbus, OH 43210 USA.</t>
  </si>
  <si>
    <t>Yi.57@osu.edu</t>
  </si>
  <si>
    <t>Kang, Joohoon/AGY-5699-2022</t>
  </si>
  <si>
    <t>Kang, Joohoon/0000-0002-3566-2085</t>
  </si>
  <si>
    <t>1060-3743</t>
  </si>
  <si>
    <t>1873-1422</t>
  </si>
  <si>
    <t>J SECOND LANG WRIT</t>
  </si>
  <si>
    <t>J. Second. Lang. Writ.</t>
  </si>
  <si>
    <t>10.1016/j.jslw.2023.101070</t>
  </si>
  <si>
    <t>Y7GZ8</t>
  </si>
  <si>
    <t>WOS:001106922100001</t>
  </si>
  <si>
    <t>Griffith, H; Rathore, H</t>
  </si>
  <si>
    <t>Urien, P; Piramuthu, S</t>
  </si>
  <si>
    <t>Griffith, Henry; Rathore, Heena</t>
  </si>
  <si>
    <t>Personalized Aging-in-Place Support through Fine-Tuning of Generative AI Models</t>
  </si>
  <si>
    <t>2023 EIGHTH INTERNATIONAL CONFERENCE ON MOBILE AND SECURE SERVICES, MOBISECSERV</t>
  </si>
  <si>
    <t>Proceedings of the Conference on Mobile and Secure Services</t>
  </si>
  <si>
    <t>8th International Conference On Mobile And Secure Services (MobiSecServ)</t>
  </si>
  <si>
    <t>NOV 04-05, 2023</t>
  </si>
  <si>
    <t>Miami Beach, FL</t>
  </si>
  <si>
    <t>IEEE,Univ Florida,Telecom Paris,IP Paris</t>
  </si>
  <si>
    <t>generative AI; artificial intelligence; aging-inplace; compliance</t>
  </si>
  <si>
    <t>Artificial intelligence (AI) has long been proposed as an enabling technology for addressing the challenges of the impending demographic shifts in western countries. While AI tools for identifying, monitoring, and assessing adherence to best health practices have been previously proposed, recent developments in generative AI models offer unique capabilities to address compliance-related challenges. This manuscript proposes a framework for enhancing AI-assistive technology through personalization enabled by generative AI. Namely, emerging generative models are fine-tuned using training data mined from text, audio, and visual records of target individuals to produce customized user experiences which can be integrated within the technology ecosystem available to the end-user. In addition to proposing this framework, this work-in-progress manuscript also reviews recent advancements in technologies which enable its implementation.</t>
  </si>
  <si>
    <t>[Griffith, Henry] San Antonio Coll, Dept Engn, San Antonio, TX 78212 USA; [Rathore, Heena] Texas State Univ, Dept Comp Sci, San Marcos, TX USA</t>
  </si>
  <si>
    <t>Texas State University System; Texas State University San Marcos</t>
  </si>
  <si>
    <t>Griffith, H (corresponding author), San Antonio Coll, Dept Engn, San Antonio, TX 78212 USA.</t>
  </si>
  <si>
    <t>hgriffith5@alamo.edu; heena.rathore@txstate.edu</t>
  </si>
  <si>
    <t>2640-5598</t>
  </si>
  <si>
    <t>979-8-3503-1649-0</t>
  </si>
  <si>
    <t>PROC CONF MOBILE SEC</t>
  </si>
  <si>
    <t>10.1109/MOBISECSERV58080.2023.10329224</t>
  </si>
  <si>
    <t>Computer Science, Artificial Intelligence; Computer Science, Cybernetics; Computer Science, Software Engineering</t>
  </si>
  <si>
    <t>BW2LQ</t>
  </si>
  <si>
    <t>WOS:001118763400014</t>
  </si>
  <si>
    <t>Tacheva, J; Ramasubramanian, S</t>
  </si>
  <si>
    <t>Tacheva, Jasmina; Ramasubramanian, Srividya</t>
  </si>
  <si>
    <t>AI Empire: Unraveling the interlocking systems of oppression in generative AI's global order</t>
  </si>
  <si>
    <t>BIG DATA &amp; SOCIETY</t>
  </si>
  <si>
    <t>AI Empire; generative AI; critical AI; intersectionality; algorithmic oppression; and data colonialism</t>
  </si>
  <si>
    <t>As artificial intelligence (AI) continues to captivate the collective imagination through the latest generation of generative AI models such as DALL-E and ChatGPT, the dehumanizing and harmful features of the technology industry that have plagued it since its inception only seem to deepen and intensify. Far from a glitch or unintentional error, these endemic issues are a function of the interlocking systems of oppression upon which AI is built. Using the analytical framework of Empire, this paper demonstrates that we live not simply in the age of AI but in the age of AI Empire. Specifically, we show that this networked and distributed global order is rooted in heteropatriarchy, racial capitalism, white supremacy, and coloniality and perpetuates its influence through the mechanisms of extractivism, automation, essentialism, surveillance, and containment. Therefore, we argue that any attempt at reforming AI from within the same interlocking oppressive systems that created it is doomed to failure and, moreover, risks exacerbating existing harm. Instead, to advance justice, we must radically transform not just the technology itself, but our ideas about it, and develop it from the bottom up, from the perspectives of those who stand the most risk of being harmed.</t>
  </si>
  <si>
    <t>[Tacheva, Jasmina] Syracuse Univ, Sch Informat Studies, Syracuse, NY USA; [Ramasubramanian, Srividya] Syracuse Univ, Newhouse Sch Publ Commun, Syracuse, NY USA; [Tacheva, Jasmina] Syracuse Univ, Sch Informat Studies, Syracuse, NY 13210 USA</t>
  </si>
  <si>
    <t>Syracuse University; Syracuse University; Syracuse University</t>
  </si>
  <si>
    <t>Tacheva, J (corresponding author), Syracuse Univ, Sch Informat Studies, Syracuse, NY 13210 USA.</t>
  </si>
  <si>
    <t>ztacheva@syr.edu</t>
  </si>
  <si>
    <t>2053-9517</t>
  </si>
  <si>
    <t>BIG DATA SOC</t>
  </si>
  <si>
    <t>Big Data Soc.</t>
  </si>
  <si>
    <t>JUL</t>
  </si>
  <si>
    <t>10.1177/20539517231219241</t>
  </si>
  <si>
    <t>Social Sciences, Interdisciplinary</t>
  </si>
  <si>
    <t>Social Sciences - Other Topics</t>
  </si>
  <si>
    <t>CI6Y8</t>
  </si>
  <si>
    <t>WOS:001124675100001</t>
  </si>
  <si>
    <t>Ferrag, MA; Debbah, M; Al-Hawawreh, M</t>
  </si>
  <si>
    <t>Simmhan, Y; Altintas, I; Varbanescu, AL; Balaji, P; Prasad, AS; Carnevale, L</t>
  </si>
  <si>
    <t>Ferrag, Mohamed Amine; Debbah, Merouane; Al-Hawawreh, Muna</t>
  </si>
  <si>
    <t>Generative AI for Cyber Threat-Hunting in 6G-enabled IoT Networks</t>
  </si>
  <si>
    <t>2023 IEEE/ACM 23RD INTERNATIONAL SYMPOSIUM ON CLUSTER, CLOUD AND INTERNET COMPUTING WORKSHOPS, CCGRIDW</t>
  </si>
  <si>
    <t>23rd IEEE/ACM International Symposium on Cluster, Cloud and Internet Computing (CCGrid)</t>
  </si>
  <si>
    <t>MAY 01-04, 2023</t>
  </si>
  <si>
    <t>Bangalore, INDIA</t>
  </si>
  <si>
    <t>IEEE,Assoc Comp Machinery,IEEE Comp Soc,IEEE Tech Comm Scalable Comp,IEEE Tech Community Cloud Comp,Assoc Comp Machinery, Special Interest Grp Comp Architecture,Meta,HPE,IBM,Google,Microsoft</t>
  </si>
  <si>
    <t>Generative AI; Security; GPT; GAN; IoT; 6G</t>
  </si>
  <si>
    <t>The next generation of cellular technology, 6G, is being developed to enable a wide range of new applications and services for the Internet of Things (IoT). One of 6G's main advantages for IoT applications is its ability to support much higher data rates and bandwidth as well as to support ultra-low latency. However, with this increased connectivity will come to an increased risk of cyber threats, as attackers will be able to exploit the large network of connected devices. Generative Artificial Intelligence (AI) can be used to detect and prevent cyber attacks by continuously learning and adapting to new threats and vulnerabilities. In this paper, we discuss the use of generative AI for cyber threat-hunting (CTH) in 6G-enabled IoT networks. Then, we propose a new generative adversarial network (GAN) and Transformer-based model for CTH in 6G-enabled IoT Networks. The experimental analysis results with a new cyber security dataset demonstrate that the Transformer-based security model for CTH can detect IoT attacks with a high overall accuracy of 95%. We examine the challenges and opportunities and conclude by highlighting the potential of generative AI in enhancing the security of 6G-enabled IoT networks and call for further research to be conducted in this area.</t>
  </si>
  <si>
    <t>[Ferrag, Mohamed Amine; Debbah, Merouane] Technol Innovat Inst, Abu Dhabi 9639, U Arab Emirates; [Al-Hawawreh, Muna] Deakin Univ, Sch Informat Technol, Geelong, Australia</t>
  </si>
  <si>
    <t>Technology Innovation Institute; Deakin University</t>
  </si>
  <si>
    <t>Ferrag, MA (corresponding author), Technol Innovat Inst, Abu Dhabi 9639, U Arab Emirates.</t>
  </si>
  <si>
    <t>mohamed.ferrag@tii.ae; merouane.debbah@tii.ae; muna.alhawawreh@deakin.edu.au</t>
  </si>
  <si>
    <t>FERRAG, Mohamed Amine/M-2909-2016</t>
  </si>
  <si>
    <t>FERRAG, Mohamed Amine/0000-0002-0632-3172; Debbah, Merouane/0000-0001-8941-8080</t>
  </si>
  <si>
    <t>IEEE COMPUTER SOC</t>
  </si>
  <si>
    <t>LOS ALAMITOS</t>
  </si>
  <si>
    <t>10662 LOS VAQUEROS CIRCLE, PO BOX 3014, LOS ALAMITOS, CA 90720-1264 USA</t>
  </si>
  <si>
    <t>979-8-3503-0208-0</t>
  </si>
  <si>
    <t>10.1109/CCGridW59191.2023.00018</t>
  </si>
  <si>
    <t>Computer Science, Artificial Intelligence; Telecommunications</t>
  </si>
  <si>
    <t>Computer Science; Telecommunications</t>
  </si>
  <si>
    <t>BV4NR</t>
  </si>
  <si>
    <t>Green Submitted</t>
  </si>
  <si>
    <t>WOS:001037081200003</t>
  </si>
  <si>
    <t>Lee, J; Eom, SY; Lee, JH</t>
  </si>
  <si>
    <t>Lee, JaeJun; Eom, So-Youn; Lee, JunHee</t>
  </si>
  <si>
    <t>EMPOWERING GAME DESIGNERS WITH GENERATIVE AI</t>
  </si>
  <si>
    <t>IADIS-INTERNATIONAL JOURNAL ON COMPUTER SCIENCE AND INFORMATION SYSTEMS</t>
  </si>
  <si>
    <t>AI; Game Design; Generative AI; Midjourney; Novel AI</t>
  </si>
  <si>
    <t>This paper explores how AI-based game design affects the game development process and the role structure of game development teams, with a particular focus on the changes it brings during the early game project proposal phase. We present a comparison of game design proposal cases conducted by a game designer over a span of four years, showcasing how the utilization of artificial intelligence is re-empowering game designers. We envision a empowered game designer capable of market sensing, artwork creation, playable prototype development, subsequent game analysis, and operations all by oneself or with a very small team, a super game designer. This paper illustrates how AI is ushering in a new era for game designers, and discusses the potential to stimulate innovation within the game industry by fostering creativity and imagination of game designers.</t>
  </si>
  <si>
    <t>[Lee, JaeJun; Lee, JunHee] Sungkyunkwan Univ, Dept Game Design, Seoul, South Korea; [Eom, So-Youn] Sungkyunkwan Univ, SKKU Game Ctr, Seoul, South Korea</t>
  </si>
  <si>
    <t>Sungkyunkwan University (SKKU); Sungkyunkwan University (SKKU)</t>
  </si>
  <si>
    <t>Lee, J (corresponding author), Sungkyunkwan Univ, Dept Game Design, Seoul, South Korea.</t>
  </si>
  <si>
    <t>Ministry of Education and National Research Foundation of Korea</t>
  </si>
  <si>
    <t>Ministry of Education and National Research Foundation of Korea(Ministry of Education (MOE), Republic of Korea)</t>
  </si>
  <si>
    <t>This study was supported by Leaders in Industry-university Cooperation 3.0 Project from the Ministry of Education and National Research Foundation of Korea.</t>
  </si>
  <si>
    <t>IADIS</t>
  </si>
  <si>
    <t>LISBOA</t>
  </si>
  <si>
    <t>IADIS, LISBOA, 00000, PORTUGAL</t>
  </si>
  <si>
    <t>1646-3692</t>
  </si>
  <si>
    <t>IADIS-INT J COMPUT S</t>
  </si>
  <si>
    <t>IADIS-Int. J. Comput. Sci. Inf. Syst.</t>
  </si>
  <si>
    <t>CX0T9</t>
  </si>
  <si>
    <t>WOS:001128422300001</t>
  </si>
  <si>
    <t>Anggoro, KJ; Pratiwi, DI</t>
  </si>
  <si>
    <t>Anggoro, Kiki Juli; Pratiwi, Damar Isti</t>
  </si>
  <si>
    <t>Fostering Self-Assessment in English Learning with a Generative AI Platform: A Case of Quizizz AI</t>
  </si>
  <si>
    <t>STUDIES IN SELF-ACCESS LEARNING JOURNAL</t>
  </si>
  <si>
    <t>self-assessment; self-directed learning; generative AI; Quizizz AI</t>
  </si>
  <si>
    <t>The incorporation of Generative AI and platforms like Quizizz holds immense potential to deliver substantial benefits to both English students and teachers. Students can readily create their interactive self-assessment tools, allowing them to monitor their learning progress independently. Meanwhile, teachers can facilitate and enhance students' independent learning, easing their workload, offering personalized insights, and boosting student engagement. Additionally, Quizizz AI can serve as a valuable resource for teachers looking to advance their professional development. Importantly, both students and teachers can explore new concepts at their own pace without the fear of judgment from others. While the platform offers numerous advantages for both educators and learners, several enhancements could render it an even more potent tool. By diversifying the types of AI-generated questions, the platform could create a wider range of activities targeting various English language skills. Furthermore, expanding the variety of AI-generated responses, such as voice or video, could facilitate the practice of productive skills like speaking. Additionally, written-text responses could promote writing skills. To further enrich the learning experience, the integration of AI for checking and providing personalized feedback on these responses might be considered.</t>
  </si>
  <si>
    <t>[Anggoro, Kiki Juli] Walailak Univ, Nakhon Si Thammarat, Thailand; [Pratiwi, Damar Isti] Politekn Perkeretaapian Indonesia, Madiun Jawa Timur, Thailand</t>
  </si>
  <si>
    <t>Walailak University</t>
  </si>
  <si>
    <t>Anggoro, KJ (corresponding author), Walailak Univ, Nakhon Si Thammarat, Thailand.</t>
  </si>
  <si>
    <t>Pratiwi, Damar Isti/HZK-3938-2023</t>
  </si>
  <si>
    <t>Pratiwi, Damar Isti/0000-0002-8009-0215</t>
  </si>
  <si>
    <t>KANDA UNIV INT STUDIES</t>
  </si>
  <si>
    <t>CHIBA-SHI</t>
  </si>
  <si>
    <t>1-4-1 WAKAB, MIHAMA-KU, CHIBA-SHI, 261-0014, JAPAN</t>
  </si>
  <si>
    <t>2185-3762</t>
  </si>
  <si>
    <t>STUD SELF-ACCESS LEA</t>
  </si>
  <si>
    <t>Stud. Self-Access Learn. J.</t>
  </si>
  <si>
    <t>JJ8Z8</t>
  </si>
  <si>
    <t>WOS:001172904500002</t>
  </si>
  <si>
    <t>Zhang, CZ; Wang, WJ; Pangaro, P; Martelaro, N; Byrne, D</t>
  </si>
  <si>
    <t>Zhang, Chengzhi; Wang, Weijie; Pangaro, Paul; Martelaro, Nikolas; Byrne, Daragh</t>
  </si>
  <si>
    <t>Generative Image AI Using Design Sketches as input: Opportunities and Challenges</t>
  </si>
  <si>
    <t>generative model; image AI; design sketch; architectural design; qualitative study</t>
  </si>
  <si>
    <t>Generative image AI has sparked heated discussion among creative professionals. However, how it might be a tool for design practice is understudied, and it is not yet understood how designers may find image AI helpful across the stages of design practice. To address this, our preliminary study explores how designers use generative image AI accompanied by design sketches to inform early-stage 3D design. Further, we also examine the perceived limitations of text-to-image models. To do this, we recruited 11 Architecture graduate students with a median work experience of 2 years. Participants completed a design task using generative image AI packages and incorporated design sketches as inputs. The study findings provide insights into how image AI can or can not be a valuable resource for architectural design practitioners. Further, findings suggest possible directions for future image AI-assisted design tools and workflows.</t>
  </si>
  <si>
    <t>[Zhang, Chengzhi; Pangaro, Paul; Byrne, Daragh] Carnegie Mellon Univ, Sch Architecture, Pittsburgh, PA 15213 USA; [Wang, Weijie] Carnegie Mellon Univ, Sch Design, Pittsburgh, PA 15213 USA; [Martelaro, Nikolas] Carnegie Mellon Univ, Human Comp Interact Inst, Pittsburgh, PA 15213 USA</t>
  </si>
  <si>
    <t>Carnegie Mellon University; Carnegie Mellon University; Carnegie Mellon University</t>
  </si>
  <si>
    <t>Zhang, CZ (corresponding author), Carnegie Mellon Univ, Sch Architecture, Pittsburgh, PA 15213 USA.</t>
  </si>
  <si>
    <t>chengzhz@andrew.cmu.edu; weijiew@andrew.cmu.edu; ppangaro@andrew.cmu.edu; nikmart@cmu.edu; daraghb@andrew.cmu.edu</t>
  </si>
  <si>
    <t>Wang, Weijie/GYJ-2146-2022</t>
  </si>
  <si>
    <t>Zhang, Chengzhi/0000-0002-6868-2285</t>
  </si>
  <si>
    <t>Accenture Technology Labs; School of Architecture's Computational Design Research micro-grant</t>
  </si>
  <si>
    <t>We would like to extend our sincere thanks to the participants in this study. We thank Accenture Technology Labs and the School of Architecture's Computational Design Research micro-grant for supporting this research. Additionally, we would like to thank members of the CoDeLab for their feedback throughout the development of this project.</t>
  </si>
  <si>
    <t>10.1145/3591196.3596820</t>
  </si>
  <si>
    <t>WOS:001119074200033</t>
  </si>
  <si>
    <t>Lee, UG; Han, AR; Lee, JJ; Lee, ES; Kim, J; Kim, H; Lim, C</t>
  </si>
  <si>
    <t>Lee, Unggi; Han, Ariel; Lee, Jeongjin; Lee, Eunseo; Kim, Jiwon; Kim, Hyeoncheol; Lim, Cheolil</t>
  </si>
  <si>
    <t>Prompt Aloud!: Incorporating image-generative AI into STEAM class with learning analytics using prompt data</t>
  </si>
  <si>
    <t>EDUCATION AND INFORMATION TECHNOLOGIES</t>
  </si>
  <si>
    <t>Image-generative AI; Art-focused STEAM education; Prompt</t>
  </si>
  <si>
    <t>TORRANCE TESTS; THINKING; ARTS; GAME</t>
  </si>
  <si>
    <t>The rapid advancements in artificial intelligence (AI) have transformed various domains, including education. Generative AI models have garnered significant attention for their potential in educational settings, but image-generative AI models need to be more utilized. This study explores the potential of integrating generative AI, specifically Stable Diffusion, into art-focused STEAM classes. To this end, we combined STEAM education with image-generative AI. We designed and implemented a learning activity in which students used image-generative AI to generate creative images and wrote imaginative diaries inspired by AI-generated pictures. Using a mixed-methods approach, we collected and analyzed data from surveys, interviews, and prompt datasets to gain insights into students' perceptions, motivations, and behaviors concerning the integration of generative AI in art education. Our study found that incorporating generative AI into art-focused STEAM classes may reduce the gap between male and female students' interest in art practices. We also found that the number of subjects in students' prompt datasets is linked to their divergent and convergent thinking. Finally, we discovered a meaningful correlation between the number of unique words in students' diaries and the image scores that researchers assessed. Our findings shed light on the relationship between students' divergent and convergent behaviors, offering valuable insights into their creative thinking processes. This study underscores the potential of integrating image-generative AI models in STEAM education.</t>
  </si>
  <si>
    <t>[Lee, Unggi; Lee, Jeongjin; Kim, Hyeoncheol] Korea Univ, Dept Comp Sci &amp; Engn, Seoul, South Korea; [Han, Ariel] Univ Calif Irvine, Informat Dept, Irvine, CA 92697 USA; [Lee, Eunseo; Lim, Cheolil] Seoul Natl Univ, Dept Educ, Seoul, South Korea; [Kim, Jiwon] Seoul Natl Univ, Dept Intelligence &amp; Informat, Seoul, South Korea</t>
  </si>
  <si>
    <t>Korea University; University of California System; University of California Irvine; Seoul National University (SNU); Seoul National University (SNU)</t>
  </si>
  <si>
    <t>Kim, H (corresponding author), Korea Univ, Dept Comp Sci &amp; Engn, Seoul, South Korea.;Lim, C (corresponding author), Seoul Natl Univ, Dept Educ, Seoul, South Korea.</t>
  </si>
  <si>
    <t>codingchild@korea.ac.kr; hanjy3@uci.edu; wjdwls1013@korea.ac.kr; eunseolee@snu.ac.kr; tyg03136@snu.ac.kr; hkim64@gmail.com; chlim@snu.ac.kr</t>
  </si>
  <si>
    <t>LEE, UNGGI/0000-0002-0883-4128</t>
  </si>
  <si>
    <t>1360-2357</t>
  </si>
  <si>
    <t>1573-7608</t>
  </si>
  <si>
    <t>EDUC INF TECHNOL</t>
  </si>
  <si>
    <t>Educ. Inf. Technol.</t>
  </si>
  <si>
    <t>2023 SEP 18</t>
  </si>
  <si>
    <t>10.1007/s10639-023-12150-4</t>
  </si>
  <si>
    <t>S1OW5</t>
  </si>
  <si>
    <t>WOS:001068945200001</t>
  </si>
  <si>
    <t>Chen, BY; Wu, ZX; Zhao, RR</t>
  </si>
  <si>
    <t>Chen, Boyang; Wu, Zongxiao; Zhao, Ruoran</t>
  </si>
  <si>
    <t>From fiction to fact: the growing role of generative AI in business and finance</t>
  </si>
  <si>
    <t>JOURNAL OF CHINESE ECONOMIC AND BUSINESS STUDIES</t>
  </si>
  <si>
    <t>Generative AI; ChatGPT; Natural Language Processing; Sentiment Analysis; Practical Applications</t>
  </si>
  <si>
    <t>DEFAULT PREDICTION; CHATGPT</t>
  </si>
  <si>
    <t>Generative Artificial Intelligence (AI), such as ChatGPT by OpenAI, has revolutionized the business world, with benefits including improved accessibility, efficiency, and cost reduction. This article reviews recent developments of generative AI in business and finance, summarizes its practical applications, provides examples of the latest generative AI tools, and demonstrates that generative AI can revolutionize data analysis in industry and academia. To test the ability of generative AI to support decision-making in financial markets, we use the ChatGPT to capture corporate sentiments towards environmental policy by inputting text extracted from corporate financial statements. Our results demonstrate that the sentiment scores generated by ChatGPT can predict firms' risk-management capabilities and stock return performance. This study also highlights the potential challenges and limitations associated with generative AI. Finally, we propose several questions for future research at the intersection of generative AI with business and finance.</t>
  </si>
  <si>
    <t>[Chen, Boyang] China Agr Univ, Coll Econ &amp; Management, Beijing, Peoples R China; [Chen, Boyang; Wu, Zongxiao; Zhao, Ruoran] Univ Edinburgh, Business Sch, Edinburgh, Scotland</t>
  </si>
  <si>
    <t>China Agricultural University; University of Edinburgh</t>
  </si>
  <si>
    <t>Zhao, RR (corresponding author), Univ Edinburgh, Business Sch, Edinburgh, Scotland.</t>
  </si>
  <si>
    <t>ruoran.zhao@ed.ac.uk</t>
  </si>
  <si>
    <t>Zhao, Ruoran/0000-0002-9795-2774</t>
  </si>
  <si>
    <t>State Scholarship Fund [202206350067]</t>
  </si>
  <si>
    <t>State Scholarship Fund</t>
  </si>
  <si>
    <t>This study was supported by the State Scholarship Fund (No. 202206350067).</t>
  </si>
  <si>
    <t>ROUTLEDGE JOURNALS, TAYLOR &amp; FRANCIS LTD</t>
  </si>
  <si>
    <t>ABINGDON</t>
  </si>
  <si>
    <t>2-4 PARK SQUARE, MILTON PARK, ABINGDON OX14 4RN, OXON, ENGLAND</t>
  </si>
  <si>
    <t>1476-5284</t>
  </si>
  <si>
    <t>1476-5292</t>
  </si>
  <si>
    <t>J CHIN ECON BUS STUD</t>
  </si>
  <si>
    <t>J. Chin. Econ. Bus. Stud.</t>
  </si>
  <si>
    <t>OCT 2</t>
  </si>
  <si>
    <t>10.1080/14765284.2023.2245279</t>
  </si>
  <si>
    <t>Y0QH1</t>
  </si>
  <si>
    <t>WOS:001044938900001</t>
  </si>
  <si>
    <t>Wong, IA; Lian, QL; Sun, DN</t>
  </si>
  <si>
    <t>Wong, IpKin Anthony; Lian, Qi Lilith; Sun, Danni</t>
  </si>
  <si>
    <t>Autonomous travel decision-making: An early glimpse into ChatGPT and generative AI</t>
  </si>
  <si>
    <t>JOURNAL OF HOSPITALITY AND TOURISM MANAGEMENT</t>
  </si>
  <si>
    <t>Generative AI; ChatGPT; Tourism; Planning; Decision-making</t>
  </si>
  <si>
    <t>TOURISM</t>
  </si>
  <si>
    <t>Generative AI technologies, including large language models (LLMs), have the potential to bring significant advancements to the tourism and hospitality industry through an array of ingenious features. ChatGPT, as a type of generative AI, is a state-of-the-art LLM that is bundled with extensive capabilities. This commentary provides an early snapshot of ChatGPT's ability to enhance the tourist decision-making process in the pre-trip, en-route, and post-trip stages. Particularly, ChatGPT greatly differentiates itself from the traditional travel decision-making process by putting the tourist in the driver's seat to actively probe for highly relevant information through a question-and-answer mode. In this research note, we present different scenarios with cases demonstrating how ChatGPT can improve tourists' experience in these three travel stages, with trip planning efficiency, customized recommendations, 24/7 personal assistant, AI-mediated communication fluency, autonomous guided tours, enriched sharing experience, and AI-induced prolonged satisfaction. In summary, these value-added autonomous services provide tourists with travel solutions that are highly cost-effective, offering customized information that allows them to travel with ease.</t>
  </si>
  <si>
    <t>[Wong, IpKin Anthony] Univ Macau, Fac Business Adm, Ave da Univ, Taipa, Peoples R China; [Lian, Qi Lilith; Sun, Danni] Sun Yat Sen Univ, Sch Tourism Management, Tangzhou Rd 1, Zhuhai, Peoples R China; [Lian, Qi Lilith; Sun, Danni] Minist Culture &amp; Tourism, Key Lab Sustainable Tourism Smart Assessment Techn, Beijing, Peoples R China</t>
  </si>
  <si>
    <t>University of Macau; Sun Yat Sen University</t>
  </si>
  <si>
    <t>Lian, QL; Sun, DN (corresponding author), Sun Yat Sen Univ, Sch Tourism Management, Tangzhou Rd 1, Zhuhai, Peoples R China.</t>
  </si>
  <si>
    <t>anthonywong@um.edu.mo; lianq33@mail2.sysu.edu.cn; sundn5@mail2.sysu.edu.cn</t>
  </si>
  <si>
    <t>Wong, IpKin Anthony/AAV-1664-2021</t>
  </si>
  <si>
    <t>Lian, Qi/0009-0002-7382-0336; Sun, Danni/0000-0002-3372-4430</t>
  </si>
  <si>
    <t>National Natural Science Founda-tion of China [72074230]</t>
  </si>
  <si>
    <t>National Natural Science Founda-tion of China(National Natural Science Foundation of China (NSFC))</t>
  </si>
  <si>
    <t>Acknowledgement This research is supported by the National Natural Science Founda-tion of China (No. 72074230) .</t>
  </si>
  <si>
    <t>ELSEVIER</t>
  </si>
  <si>
    <t>AMSTERDAM</t>
  </si>
  <si>
    <t>RADARWEG 29, 1043 NX AMSTERDAM, NETHERLANDS</t>
  </si>
  <si>
    <t>1447-6770</t>
  </si>
  <si>
    <t>1839-5260</t>
  </si>
  <si>
    <t>J HOSP TOUR MANAG</t>
  </si>
  <si>
    <t>J. Hosp. Tour. Manag.</t>
  </si>
  <si>
    <t>SEP</t>
  </si>
  <si>
    <t>10.1016/j.jhtm.2023.06.022</t>
  </si>
  <si>
    <t>Hospitality, Leisure, Sport &amp; Tourism; Management</t>
  </si>
  <si>
    <t>Social Sciences - Other Topics; Business &amp; Economics</t>
  </si>
  <si>
    <t>P4FB7</t>
  </si>
  <si>
    <t>WOS:001050209200001</t>
  </si>
  <si>
    <t>Su, JH; Yang, WP</t>
  </si>
  <si>
    <t>Su, Jiahong; Yang, Weipeng</t>
  </si>
  <si>
    <t>Unlocking the Power of ChatGPT: A Framework for Applying Generative AI in Education</t>
  </si>
  <si>
    <t>ECNU REVIEW OF EDUCATION</t>
  </si>
  <si>
    <t>ChatGPT; educative AI; generative AI; GPT-4; IDEE framework</t>
  </si>
  <si>
    <t>Purpose: Artificial intelligence (AI) chatbots, such as ChatGPT and GPT-4, developed by OpenAI, have the potential to revolutionize education. This study explores the potential benefits and challenges of using ChatGPT in education (or educative AI). Design/Approach/Methods: This paper proposes a theoretical framework called IDEE for educative AI such as using ChatGPT and other generative AI in education, which includes identifying the desired outcomes, determining the appropriate level of automation, ensuring ethical considerations, and evaluating effectiveness. Findings: The benefits of using ChatGPT in education or more generally, educative AI, include a more personalized and efficient learning experience for students as well as easier and faster feedback for teachers. However, challenges such as the untested effectiveness of the technology, limitations in the quality of data, and ethical and safety concerns must also be considered. Originality/Value: This study explored the opportunities and challenges of using ChatGPT in education within the proposed theoretical framework.</t>
  </si>
  <si>
    <t>[Su, Jiahong] Univ Hong Kong, Room 219, Runme Shaw Bldg, Pokfulam Rd, Hong Kong, Peoples R China; [Yang, Weipeng] Educ Univ Hong Kong, Hong Kong, Peoples R China</t>
  </si>
  <si>
    <t>University of Hong Kong; Education University of Hong Kong (EdUHK)</t>
  </si>
  <si>
    <t>Su, JH (corresponding author), Univ Hong Kong, Room 219, Runme Shaw Bldg, Pokfulam Rd, Hong Kong, Peoples R China.</t>
  </si>
  <si>
    <t>maggiesu@connect.hku.hk</t>
  </si>
  <si>
    <t>2096-5311</t>
  </si>
  <si>
    <t>2632-1742</t>
  </si>
  <si>
    <t>ECNU REV EDUC</t>
  </si>
  <si>
    <t>ECNU Rev. Educ.</t>
  </si>
  <si>
    <t>AUG</t>
  </si>
  <si>
    <t>10.1177/20965311231168423</t>
  </si>
  <si>
    <t>APR 2023</t>
  </si>
  <si>
    <t>Y4BV7</t>
  </si>
  <si>
    <t>WOS:001097875300001</t>
  </si>
  <si>
    <t>Niszczota, P; Conway, P</t>
  </si>
  <si>
    <t>Niszczota, Pawel; Conway, Paul</t>
  </si>
  <si>
    <t>Judgements of research co-created by Generative AI: Experimental evidence</t>
  </si>
  <si>
    <t>ECONOMICS AND BUSINESS REVIEW</t>
  </si>
  <si>
    <t>trust in science; metascience; ChatGPT; GPT; large language models; Generative AI; experiment</t>
  </si>
  <si>
    <t>TURK</t>
  </si>
  <si>
    <t>The introduction of ChatGPT has fuelled a public debate on the appropriateness of using Generative AI (large language models; LLMs) in work, including a debate on how they might be used (and abused) by researchers. In the current work, we test whether delegating parts of the research process to LLMs leads people to distrust researchers and devalues their scientific work. Participants (N = 402) considered a researcher who delegates elements of the research process to a PhD student or LLM and rated three aspects of such delegation. Firstly, they rated whether it is morally appropriate to do so. Secondly, they judged whether-after deciding to delegate the research process-they would trust the scientist (that decided to delegate) to oversee future projects. Thirdly, they rated the expected accuracy and quality of the output from the delegated research process. Our results show that people judged delegating to an LLM as less morally acceptable than delegating to a human (d = -0.78). Delegation to an LLM also decreased trust to oversee future research projects (d = -0.80), and people thought the results would be less accurate and of lower quality (d = -0.85). We discuss how this devaluation might transfer into the underreporting of Generative AI use.</t>
  </si>
  <si>
    <t>[Niszczota, Pawel] Poznan Univ Econ &amp; Business, Dept Int Finance, Humans &amp; AI Lab, HAI Lab, Al Niepodleglosci 10, PL-61875 Poznan, Poland; [Conway, Paul] Univ Southampton, Dept Psychol, B44 Univ Rd, Southampton SO17 1PS, England</t>
  </si>
  <si>
    <t>Poznan University of Economics &amp; Business; University of Southampton</t>
  </si>
  <si>
    <t>Niszczota, P (corresponding author), Poznan Univ Econ &amp; Business, Dept Int Finance, Humans &amp; AI Lab, HAI Lab, Al Niepodleglosci 10, PL-61875 Poznan, Poland.</t>
  </si>
  <si>
    <t>pawel.niszczota@ue.poznan.pl; p.conway@soton.ac.uk</t>
  </si>
  <si>
    <t>Niszczota, Paweł/P-8289-2018</t>
  </si>
  <si>
    <t>Niszczota, Paweł/0000-0002-4150-3646</t>
  </si>
  <si>
    <t>SCIENDO</t>
  </si>
  <si>
    <t>WARSAW</t>
  </si>
  <si>
    <t>BOGUMILA ZUGA 32A, WARSAW, MAZOVIA, POLAND</t>
  </si>
  <si>
    <t>2392-1641</t>
  </si>
  <si>
    <t>2450-0097</t>
  </si>
  <si>
    <t>ECON BUS REV-POL</t>
  </si>
  <si>
    <t>Econ. Bus. Rev.</t>
  </si>
  <si>
    <t>APR 1</t>
  </si>
  <si>
    <t>10.18559/ebr.2023.2.744</t>
  </si>
  <si>
    <t>N5CC9</t>
  </si>
  <si>
    <t>gold, Green Accepted</t>
  </si>
  <si>
    <t>WOS:001037180500006</t>
  </si>
  <si>
    <t>Thanh, BN; Vo, DTH; Nhat, MN; Pham, TTT; Trung, HT; Zuan, SH</t>
  </si>
  <si>
    <t>Thanh, Binh Nguyen; Vo, Diem Thi Hong; Nhat, Minh Nguyen; Pham, Thi Thu Tra; Trung, Hieu Thai; Zuan, Son Ha</t>
  </si>
  <si>
    <t>Race with the machines: Assessing the capability of generative AI in solving authentic assessments</t>
  </si>
  <si>
    <t>AUSTRALASIAN JOURNAL OF EDUCATIONAL TECHNOLOGY</t>
  </si>
  <si>
    <t>authentic assessment; Bloom's taxonomy; generative AI; AI in tertiary education; quantitative; case study</t>
  </si>
  <si>
    <t>BLOOMS TAXONOMY; DESIGN; FRAMEWORK; TOOL</t>
  </si>
  <si>
    <t>In this study, we introduce a framework designed to help educators assess the effectiveness of popular generative artificial intelligence (AI) tools in solving authentic assessments. We employed Bloom's taxonomy as a guiding principle to create authentic assessments that evaluate the capabilities of generative AI tools. We applied this framework to assess the abilities of ChatGPT-4, ChatGPT-3.5, Google Bard and Microsoft Bing in solving authentic assessments in economics. We found that generative AI tools perform very well at the lower levels of Bloom's taxonomy while still maintaining a decent level of performance at the higher levels, with create being the weakest level of performance. Interestingly, these tools are better able to address numeric-based questions than text-based ones. Moreover, all the generative AI tools exhibit weaknesses in building arguments based on theoretical frameworks, maintaining the coherence of different arguments and providing appropriate references. Our study provides educators with a framework to assess the capabilities of generative AI tools, enabling them to make more informed decisions regarding assessments and learning activities. Our findings demand a strategic reimagining of educational goals and assessments, emphasising higher cognitive skills and calling for a concerted effort to enhance the capabilities of educators in preparing students for a rapidly transforming professional environment.</t>
  </si>
  <si>
    <t>[Thanh, Binh Nguyen; Vo, Diem Thi Hong; Nhat, Minh Nguyen; Pham, Thi Thu Tra; Trung, Hieu Thai] RMIT Univ Vietnam, Business Sch, Ho Chi Minh City, Vietnam</t>
  </si>
  <si>
    <t>Vo, DTH (corresponding author), RMIT Univ Vietnam, Business Sch, Ho Chi Minh City, Vietnam.</t>
  </si>
  <si>
    <t>diem.vo@rmit.edu.vn</t>
  </si>
  <si>
    <t>Vo, Diem/IRY-9015-2023</t>
  </si>
  <si>
    <t>Vo, Diem/0000-0002-5289-2325; Pham, Thi Thu Tra/0000-0001-7052-3323; Thai, Hieu/0000-0001-9774-4388</t>
  </si>
  <si>
    <t>AUSTRALASIAN SOC COMPUTERS LEARNING TERTIARY EDUCATION-ASCILITE</t>
  </si>
  <si>
    <t>TUGUN</t>
  </si>
  <si>
    <t>UNIT 5, 202 COODE ST, PO BOX 350, TUGUN, 4224, AUSTRALIA</t>
  </si>
  <si>
    <t>1449-3098</t>
  </si>
  <si>
    <t>1449-5554</t>
  </si>
  <si>
    <t>AUSTRALAS J EDUC TEC</t>
  </si>
  <si>
    <t>Australas. J. Educ. Technol.</t>
  </si>
  <si>
    <t>10.14742/ajet.8902</t>
  </si>
  <si>
    <t>DO3Z6</t>
  </si>
  <si>
    <t>WOS:001132966400001</t>
  </si>
  <si>
    <t>Qin, HX; Hui, P</t>
  </si>
  <si>
    <t>Qin, Hua Xuan; Hui, Pan</t>
  </si>
  <si>
    <t>Empowering the Metaverse with Generative AI: Survey and Future Directions</t>
  </si>
  <si>
    <t>2023 IEEE 43RD INTERNATIONAL CONFERENCE ON DISTRIBUTED COMPUTING SYSTEMS WORKSHOPS, ICDCSW</t>
  </si>
  <si>
    <t>IEEE International Conference on Distributed Computing Systems Workshops</t>
  </si>
  <si>
    <t>43rd IEEE International Conference on Distributed Computing Systems (ICDCS)</t>
  </si>
  <si>
    <t>JUL 18-21, 2023</t>
  </si>
  <si>
    <t>Hong Kong, HONG KONG</t>
  </si>
  <si>
    <t>IEEE,IEEE Comp Soc Tech Community Distributed Proc,Huawei,K C Wong Educ Fdn,NSF</t>
  </si>
  <si>
    <t>metaverse; generative AI; co-creative AI; virtual reality; augmented reality; AI-generated content (AIGC)</t>
  </si>
  <si>
    <t>This paper aims to motivate the development of the metaverse by highlighting the potential of artificial-intelligence-generated content (AIGC) for the metaverse. We present the first literature review on AIGC in the metaverse with state-of-the-art research classified into 5 key application areas (avatars and Non-player Characters (NPCs), content creation, virtual world generation, automatic digital twin, and personalization). Having noticed a notable gap in research through our review, we propose ways in which state-of-the-art generative AI can be applied to the metaverse. Additionally, we offer a roadmap for future research with related ethical implications.</t>
  </si>
  <si>
    <t>[Qin, Hua Xuan; Hui, Pan] Hong Kong Univ Sci &amp; Technol Guangzhou, Computat Media &amp; Arts, Guangzhou, Peoples R China</t>
  </si>
  <si>
    <t>Hong Kong University of Science &amp; Technology (Guangzhou)</t>
  </si>
  <si>
    <t>Hui, P (corresponding author), Hong Kong Univ Sci &amp; Technol Guangzhou, Computat Media &amp; Arts, Guangzhou, Peoples R China.</t>
  </si>
  <si>
    <t>hxqin682@connect.hkust-gz.edu.cn; panhui@ust.hk</t>
  </si>
  <si>
    <t>Qin, Hua Xuan/0000-0001-8496-6256</t>
  </si>
  <si>
    <t>1545-0678</t>
  </si>
  <si>
    <t>979-8-3503-2812-7</t>
  </si>
  <si>
    <t>IEEE INT CON DIS</t>
  </si>
  <si>
    <t>10.1109/ICDCSW60045.2023.00022</t>
  </si>
  <si>
    <t>Computer Science, Theory &amp; Methods; Telecommunications</t>
  </si>
  <si>
    <t>BW0LV</t>
  </si>
  <si>
    <t>WOS:001097480100015</t>
  </si>
  <si>
    <t>Chen, Z; Jiang, ZY; Yang, F; He, ZU; Hou, YP; Cho, E; McAuley, J; Galstyan, A; Hu, XH</t>
  </si>
  <si>
    <t>Chen, Zheng; Jiang, Ziyan; Yang, Fan; He, Zhankui; Hou, Yupeng; Cho, Eunah; McAuley, Julian; Galstyan, Aram; Hu, Xiaohua</t>
  </si>
  <si>
    <t>The First Workshop on Personalized Generative AI @ CIKM 2023: Personalization Meets Large Language Models</t>
  </si>
  <si>
    <t>PROCEEDINGS OF THE 32ND ACM INTERNATIONAL CONFERENCE ON INFORMATION AND KNOWLEDGE MANAGEMENT, CIKM 2023</t>
  </si>
  <si>
    <t>32nd ACM International Conference on Information and Knowledge Management (CIKM)</t>
  </si>
  <si>
    <t>OCT 21-25, 2023</t>
  </si>
  <si>
    <t>Birmingham, ENGLAND</t>
  </si>
  <si>
    <t>Assoc Comp Machinery,ACM Special Interest Grp Informat Retrieval,ACM SIGWEB</t>
  </si>
  <si>
    <t>Personalization; Large Language Models; Generative AI</t>
  </si>
  <si>
    <t>The First Workshop on Personalized Generative AI(1) aims to be a cornerstone event fostering innovation and collaboration in the dynamic field of personalized AI. Leveraging the potent capabilities of Large Language Models (LLMs) to enhance user experiences with tailored responses and recommendations, the workshop is designed to address a range of pressing challenges including knowledge gap bridging, hallucination mitigation, and efficiency optimization in handling extensive user profiles. As a nexus for academics and industry professionals, the event promises rich discussions on a plethora of topics such as the development and fine-tuning of foundational models, strategies for multi-modal personalization, and the imperative ethical and privacy considerations in LLM deployment. Through a curated series of keynote speeches, insightful panel discussions, and hands-on sessions, the workshop aspires to be a catalyst in the development of more precise, contextually relevant, and user-centric AI systems. It aims to foster a landscape where generative AI systems are not only responsive but also anticipatory of individual user needs, marking a significant stride in personalized experiences.</t>
  </si>
  <si>
    <t>[Chen, Zheng; Jiang, Ziyan; Yang, Fan; Cho, Eunah; Galstyan, Aram] Amazon Alexa, Seattle, WA 98121 USA; [He, Zhankui; Hou, Yupeng; McAuley, Julian] Univ Calif San Diego, San Diego, CA USA; [Hu, Xiaohua] Drexel Univ, Philadelphia, PA USA</t>
  </si>
  <si>
    <t>University of California System; University of California San Diego; Drexel University</t>
  </si>
  <si>
    <t>Chen, Z (corresponding author), Amazon Alexa, Seattle, WA 98121 USA.</t>
  </si>
  <si>
    <t>zgchen@amazon.com; ziyjiang@amazon.com; ffanyang@amazon.com; zhh004@ucsd.edu; yphou@ucsd.edu; eunahch@amazon.com; j.yang-3@tudelft.nl; argalsty@amazon.com; xh29@drexel.edu</t>
  </si>
  <si>
    <t>McAuley, Julian/0000-0003-0955-7588; Hou, Yupeng/0000-0002-0747-8010</t>
  </si>
  <si>
    <t>979-8-4007-0124-5</t>
  </si>
  <si>
    <t>10.1145/3583780.3615314</t>
  </si>
  <si>
    <t>Computer Science, Artificial Intelligence; Computer Science, Information Systems</t>
  </si>
  <si>
    <t>BW5IO</t>
  </si>
  <si>
    <t>WOS:001161549505066</t>
  </si>
  <si>
    <t>Liang, RJ; Agnesina, A; Pradipta, G; Chhabria, VA; Ren, HX</t>
  </si>
  <si>
    <t>Liang, Rongjian; Agnesina, Anthony; Pradipta, Geraldo; Chhabria, Vidya A.; Ren, Haoxing</t>
  </si>
  <si>
    <t>CircuitOps: An ML Infrastructure Enabling Generative AI for VLSI Circuit Optimization</t>
  </si>
  <si>
    <t>2023 IEEE/ACM INTERNATIONAL CONFERENCE ON COMPUTER AIDED DESIGN, ICCAD</t>
  </si>
  <si>
    <t>ICCAD-IEEE ACM International Conference on Computer-Aided Design</t>
  </si>
  <si>
    <t>42nd IEEE/ACM International Conference on Computer-Aided Design (ICCAD)</t>
  </si>
  <si>
    <t>OCT 28-NOV 02, 2023</t>
  </si>
  <si>
    <t>IEEE,Assoc Comp Machinery,IEEE Circuits &amp; Syst Soc,IEEE Council Elect Design Automat,ACM Special Interest Grp Design Automat,Cadence,Synopsys,Futurewei Technologies,AMD,EMPYREAN,DoraHacks,Singular Med,JP Morgan Chase &amp; Co</t>
  </si>
  <si>
    <t>Generative AI; Circuit optimization; ML infrastructure; Physical design</t>
  </si>
  <si>
    <t>An innovative ML infrastructure named CircuitOps is developed to streamline dataset generation and model inference for various generative AI (GAI)-based circuit optimization tasks. Addressing the challenges of the absence of a shared Intermediate Representation (IR), steep EDA learning curves, and AI-unfriendly data structures, we propose solutions that empower efficient data handling. Our contributions encompass the following: (1) labeled property graphs (LPGs) as IR for flexible netlist representation and efficient parallel processing; (2) tools-agnostic IR generation from standard EDA files; (3) customizable dataset generation facilitated through AI-friendly LPGs; (4) gRPC-based inference deployment. Compared with using Tcl interfaces of EDA design tools, CircuitOps achieves a significant 99x dataset generation speedup and 75K nets per second transfer throughput, validating its effectiveness in optimizing GAI tasks.</t>
  </si>
  <si>
    <t>[Liang, Rongjian; Agnesina, Anthony; Ren, Haoxing] NVIDIA, Austin, TX 78717 USA; [Pradipta, Geraldo] NVIDIA, Santa Clara, CA USA; [Chhabria, Vidya A.] Arizona State Univ, Tempe, AZ USA</t>
  </si>
  <si>
    <t>Nvidia Corporation; Arizona State University; Arizona State University-Tempe</t>
  </si>
  <si>
    <t>Liang, RJ (corresponding author), NVIDIA, Austin, TX 78717 USA.</t>
  </si>
  <si>
    <t>rliang@nvidia.com; aagnesina@nvidia.com; gpradipta@nvidia.com; vachhabr@asu.edu; haoxingr@nvidia.com</t>
  </si>
  <si>
    <t>Liang, Rongjian/0000-0001-8626-2359</t>
  </si>
  <si>
    <t>1933-7760</t>
  </si>
  <si>
    <t>979-8-3503-2225-5</t>
  </si>
  <si>
    <t>ICCAD-IEEE ACM INT</t>
  </si>
  <si>
    <t>10.1109/ICCAD57390.2023.10323611</t>
  </si>
  <si>
    <t>Computer Science, Theory &amp; Methods; Engineering, Manufacturing; Engineering, Electrical &amp; Electronic</t>
  </si>
  <si>
    <t>Computer Science; Engineering</t>
  </si>
  <si>
    <t>BW2HI</t>
  </si>
  <si>
    <t>WOS:001116715100005</t>
  </si>
  <si>
    <t>Kenthapadi, K; Lakkaraju, H; Rajani, N</t>
  </si>
  <si>
    <t>Kenthapadi, Krishnaram; Lakkaraju, Himabindu; Rajani, Nazneen</t>
  </si>
  <si>
    <t>Generative AI Meets Responsible AI: Practical Challenges and Opportunities</t>
  </si>
  <si>
    <t>PROCEEDINGS OF THE 29TH ACM SIGKDD CONFERENCE ON KNOWLEDGE DISCOVERY AND DATA MINING, KDD 2023</t>
  </si>
  <si>
    <t>29th ACM SIGKDD Conference on Knowledge Discovery and Data Mining (KDD)</t>
  </si>
  <si>
    <t>AUG 06-10, 2023</t>
  </si>
  <si>
    <t>Long Beach, CA</t>
  </si>
  <si>
    <t>Assoc Comp Machinery,ACM SIGKDD,ACM SIGMOD</t>
  </si>
  <si>
    <t>Generative AI models and applications are being rapidly developed and deployed across a wide spectrum of industries and applications ranging from writing and email assistants to graphic design and art generation to educational assistants to coding to drug discovery [12]. However, there are several ethical and social considerations associated with generative AI models and applications. These concerns include lack of interpretability, bias and discrimination, privacy, lack of model robustness, fake and misleading content, copyright implications, plagiarism, and environmental impact associated with training and inference of generative AI models. In this tutorial, we first motivate the need for adopting responsible AI principles when developing and deploying large language models (LLMs) and other generative AI models, as part of a broader AI model governance and responsible AI framework, from societal, legal, user, and model developer perspectives, and provide a roadmap for thinking about responsible AI for generative AI in practice. We provide a brief technical overview of text and image generation models, and highlight the key responsible AI desiderata associated with these models. We then describe the technical considerations and challenges associated with realizing the above desiderata in practice. We focus on real-world generative AI use cases spanning domains such as media generation, writing assistants, copywriting, code generation, and conversational assistants, present practical solution approaches / guidelines for applying responsible AI techniques effectively, discuss lessons learned from deploying responsible AI approaches for generative AI applications in practice, and highlight the key open research problems. We hope that our tutorial will inform both researchers and practitioners, stimulate further research on responsible AI in the context of generative AI, and pave the way for building more reliable and trustworthy generative AI applications in the future.</t>
  </si>
  <si>
    <t>[Kenthapadi, Krishnaram] Fiddler AI, Palo Alto, CA 94306 USA; [Lakkaraju, Himabindu] Harvard Univ, Cambridge, MA 02138 USA; [Rajani, Nazneen] Hugging Face, Cambridge, MA USA</t>
  </si>
  <si>
    <t>Harvard University</t>
  </si>
  <si>
    <t>Kenthapadi, K (corresponding author), Fiddler AI, Palo Alto, CA 94306 USA.</t>
  </si>
  <si>
    <t>krishnaram@fiddler.ai; hlakkaraju@hbs.edu; nazneen@huggingface.co</t>
  </si>
  <si>
    <t>979-8-4007-0103-0</t>
  </si>
  <si>
    <t>10.1145/3580305.3599557</t>
  </si>
  <si>
    <t>Computer Science, Information Systems; Computer Science, Interdisciplinary Applications; Computer Science, Theory &amp; Methods</t>
  </si>
  <si>
    <t>BW2LZ</t>
  </si>
  <si>
    <t>WOS:001118896305086</t>
  </si>
  <si>
    <t>Relmasira, SC; Lai, YC; Donaldson, JP</t>
  </si>
  <si>
    <t>Relmasira, Stefanus Christian; Lai, Yiu Chi; Donaldson, Jonan Phillip</t>
  </si>
  <si>
    <t>Fostering AI Literacy in Elementary Science, Technology, Engineering, Art, and Mathematics (STEAM) Education in the Age of Generative AI</t>
  </si>
  <si>
    <t>SUSTAINABILITY</t>
  </si>
  <si>
    <t>AI literacy; generative AI; STEAM education; elementary school; design-based research; network analysis</t>
  </si>
  <si>
    <t>DESIGN-BASED RESEARCH</t>
  </si>
  <si>
    <t>The advancement of generative AI technologies underscores the need for AI literacy, particularly in Southeast Asia's elementary Science, Technology, Engineering, Art, and Mathematics (STEAM) education. This study explores the development of AI literacy principles for elementary students. Utilizing existing AI literacy models, a three-session classroom intervention was implemented in an Indonesian school, grounded in constructivist, constructionist, and transformative learning theories. Through design-based research (DBR) and network analysis of reflection papers (n = 77), the intervention was evaluated and redesigned. Findings revealed clusters of interdependent elements of learner experiences, categorized into successes, struggles, and alignments with learning theories. These were translated into design moves for future intervention iterations, forming design principles for AI literacy development. The study contributes insights into optimizing the positive effects and minimizing the negative impacts of AI in education.</t>
  </si>
  <si>
    <t>[Relmasira, Stefanus Christian; Lai, Yiu Chi] Educ Univ Hong Kong, Dept Math &amp; Informat Technol, Hong Kong, Peoples R China; [Relmasira, Stefanus Christian] Satya Wacana Christian Univ, Primary Sch Teacher Educ, Salatiga 50711, Indonesia; [Donaldson, Jonan Phillip] Univ Alabama Birmingham, Dept Curriculum &amp; Instruct, Birmingham, AL 35294 USA</t>
  </si>
  <si>
    <t>Education University of Hong Kong (EdUHK); Universitas Kristen Satya Wacana; University of Alabama System; University of Alabama Birmingham</t>
  </si>
  <si>
    <t>Relmasira, SC (corresponding author), Educ Univ Hong Kong, Dept Math &amp; Informat Technol, Hong Kong, Peoples R China.;Relmasira, SC (corresponding author), Satya Wacana Christian Univ, Primary Sch Teacher Educ, Salatiga 50711, Indonesia.</t>
  </si>
  <si>
    <t>s1131878@s.eduhk.hk; yiuchi@eduhk.hk</t>
  </si>
  <si>
    <t>Donaldson, Jonan/0000-0003-1469-6275</t>
  </si>
  <si>
    <t>MDPI</t>
  </si>
  <si>
    <t>BASEL</t>
  </si>
  <si>
    <t>ST ALBAN-ANLAGE 66, CH-4052 BASEL, SWITZERLAND</t>
  </si>
  <si>
    <t>2071-1050</t>
  </si>
  <si>
    <t>SUSTAINABILITY-BASEL</t>
  </si>
  <si>
    <t>Sustainability</t>
  </si>
  <si>
    <t>10.3390/su151813595</t>
  </si>
  <si>
    <t>Green &amp; Sustainable Science &amp; Technology; Environmental Sciences; Environmental Studies</t>
  </si>
  <si>
    <t>Science Citation Index Expanded (SCI-EXPANDED); Social Science Citation Index (SSCI)</t>
  </si>
  <si>
    <t>Science &amp; Technology - Other Topics; Environmental Sciences &amp; Ecology</t>
  </si>
  <si>
    <t>S9RF7</t>
  </si>
  <si>
    <t>WOS:001074458100001</t>
  </si>
  <si>
    <t>González, GG; Casas, P; Fernández, A</t>
  </si>
  <si>
    <t>Garcia Gonzalez, Gaston; Casas, Pedro; Fernandez, Alicia</t>
  </si>
  <si>
    <t>Fake it till you Detect it: Continual Anomaly Detection in Multivariate Time -Series using Generative AI</t>
  </si>
  <si>
    <t>2023 IEEE EUROPEAN SYMPOSIUM ON SECURITY AND PRIVACY WORKSHOPS, EUROS&amp;PW</t>
  </si>
  <si>
    <t>IEEE European Symposium on Security and Privacy Workshops</t>
  </si>
  <si>
    <t>8th IEEE European Symposium on Security and Privacy (EuroS and P)</t>
  </si>
  <si>
    <t>JUL 03-07, 2023</t>
  </si>
  <si>
    <t>TU Delft, ECHO, Delft, NETHERLANDS</t>
  </si>
  <si>
    <t>IEEE,IEEE Comp Soc</t>
  </si>
  <si>
    <t>TU Delft, ECHO</t>
  </si>
  <si>
    <t>Anomaly Detection; Generative AI; VAE; Multivariate Time-Series; GenDeX</t>
  </si>
  <si>
    <t>Anomaly detection in Multivariate Time-Series (MTS) data plays an important role in multiple domains, especially in cybersecurity, for the detection of unknown attacks. DC-VAE is a recent approach we have proposed for anomaly detection in network measurement multivariate data, which uses Variational Auto Encoders (VAEs) and Dilated Convolutional Neural Networks (DCNNs) to model complex and high-dimensional MTS data. However, detecting anomalies using VAEs can result in performance degradation and even catastrophic forgetting when trained on dynamic and evolving network measurements, particularly in the event of concept drifts. We extend DC-VAE to a continual learning setup, leveraging the generative AI properties of the underlying models to deal with continually evolving data. We introduce GenDeX, an approach to Generative AI-based anomaly detection which compresses the patterns extracted from past measurements into a generative model that can synthesize MTS data out of input Gaussian noise, mimicking the characteristics of the MTS data used for training. GenDeX relies on a Deep Generative Replay paradigm to realize continual learning, combining synthesized past MTS measurements with new observations to update the detection model. Using a large-scale, multi-dimensional network monitoring dataset collected from an operational mobile Internet Service Provider (ISP), we showcase the functionality of DCVAE in the event of concept drifts, and study in-depth its generative characteristics, assessing GenDeX synthetically generated MTS examples. GenDeX enables DC-VAE adapting to continually evolving data, overcoming the limitations of catastrophic forgetting.</t>
  </si>
  <si>
    <t>[Garcia Gonzalez, Gaston; Fernandez, Alicia] Univ Republica, IIE FING, Montevideo, Uruguay; [Casas, Pedro] Austrian Inst Technol, Digital Safety &amp; Secur, Vienna, Austria</t>
  </si>
  <si>
    <t>Universidad de la Republica, Uruguay; Austrian Institute of Technology (AIT)</t>
  </si>
  <si>
    <t>González, GG (corresponding author), Univ Republica, IIE FING, Montevideo, Uruguay.</t>
  </si>
  <si>
    <t>gastong@fing.edu.uy; pedro.casas@ait.ac.at; alicia@fing.edu.uy</t>
  </si>
  <si>
    <t>Casas, Pedro/0000-0002-0951-2331</t>
  </si>
  <si>
    <t>Austrian FFG ICT-of-the-Future project DynAISEC - Adaptive AI/ML for Dynamic Cybersecurity Systems [887504]; Uruguayan CSIC project [CSIC-I+D-22520220100371UD]; ANII scholarship [POS-FMV-2020-1-1009239]; CSIC, under program Movilidad e Intercambios Academicos 2022</t>
  </si>
  <si>
    <t>Austrian FFG ICT-of-the-Future project DynAISEC - Adaptive AI/ML for Dynamic Cybersecurity Systems; Uruguayan CSIC project; ANII scholarship; CSIC, under program Movilidad e Intercambios Academicos 2022</t>
  </si>
  <si>
    <t>This work has been partially supported by the Austrian FFG ICT-of-the-Future project DynAISEC - Adaptive AI/ML for Dynamic Cybersecurity Systems - ID 887504, and by the Uruguayan CSIC project with reference CSIC-I+D-22520220100371UD Generalization and Domain Adaptation in Time-Series Anomaly Detection. Gaston Garcia was supported by the ANII scholarship POS-FMV-2020-1-1009239, and by CSIC, under program Movilidad e Intercambios Academicos 2022.</t>
  </si>
  <si>
    <t>2768-0649</t>
  </si>
  <si>
    <t>979-8-3503-2720-5</t>
  </si>
  <si>
    <t>Security and Privacy</t>
  </si>
  <si>
    <t>10.1109/EuroSPW59978.2023.00068</t>
  </si>
  <si>
    <t>BV5DA</t>
  </si>
  <si>
    <t>WOS:001046699200064</t>
  </si>
  <si>
    <t>Han, A; Cai, ZY</t>
  </si>
  <si>
    <t>Han, Ariel; Cai, Zhenyao</t>
  </si>
  <si>
    <t>Design implications of generative AI systems for visual storytelling for young learners</t>
  </si>
  <si>
    <t>22ND ANNUAL ACM INTERACTION DESIGN AND CHILDREN CONFERENCE, IDC 2023: Rediscovering Childhood</t>
  </si>
  <si>
    <t>22nd Annual ACM Interaction Design and Children Conference (IDC)</t>
  </si>
  <si>
    <t>JUN 19-SEP 22, 2023</t>
  </si>
  <si>
    <t>NW Univ, Ctr Comp Sci &amp; Learning Sci, Chicago, IL</t>
  </si>
  <si>
    <t>Assoc Comp Machinery,SIGCHI,Bennett Day Sch,Honda Res Inst JP,NW Sch Educ &amp; Social Policy,Meta,Foundry10,Lando,NW Ctr Human Comp Interact + Design,Apple,MIT Press,Eccentr Orbit</t>
  </si>
  <si>
    <t>NW Univ, Ctr Comp Sci &amp; Learning Sci</t>
  </si>
  <si>
    <t>AI for education; AI literacy; Creativity; Storytelling</t>
  </si>
  <si>
    <t>The study examines the design implications of leveraging generative AI tools such as ChatGPT, Stable Diffusion, Midjourney for literacy development and creative expression for children [6, 8, 18]. We sought to elicit insights on the applicability of generative AI for educational purposes from various stakeholders (i.e., parents, teachers, and AI researchers). We recruited nine participants to elicit their perspectives on designing a visual narrative app with generative AI. We examined the opportunities and limitations of the current generative AI tools. Using the implications from our evaluation, we propose AIStory, an AI-powered visual storytelling application prototype that can be used for children's creative expression, storytelling, and literacy development.</t>
  </si>
  <si>
    <t>[Han, Ariel; Cai, Zhenyao] Univ Calif Irvine, Irvine, CA 92697 USA</t>
  </si>
  <si>
    <t>University of California System; University of California Irvine</t>
  </si>
  <si>
    <t>Han, AR (corresponding author), Univ Calif Irvine, Irvine, CA 92697 USA.</t>
  </si>
  <si>
    <t>hanjy3@uci.edu; zhenyaoc@uci.edu</t>
  </si>
  <si>
    <t>979-8-4007-0131-3</t>
  </si>
  <si>
    <t>10.1145/3585088.3593867</t>
  </si>
  <si>
    <t>Computer Science, Interdisciplinary Applications; Computer Science, Software Engineering</t>
  </si>
  <si>
    <t>BW1BS</t>
  </si>
  <si>
    <t>WOS:001103422700044</t>
  </si>
  <si>
    <t>Mannuru, NR; Shahriar, S; Teel, ZA; Wang, T; Lund, BD; Tijani, S; Pohboon, CO; Agbaji, D; Alhassan, J; Galley, J; Kousari, R; Ogbadu-Oladapo, L; Saurav, SK; Srivastava, A; Tummuru, SP; Uppala, S; Vaidya, P</t>
  </si>
  <si>
    <t>Mannuru, Nishith Reddy; Shahriar, Sakib; Teel, Zoe A.; Wang, Ting; Lund, Brady D.; Tijani, Solomon; Pohboon, Chalermchai Oak; Agbaji, Daniel; Alhassan, Joy; Galley, Jaklyn; Kousari, Raana; Ogbadu-Oladapo, Lydia; Saurav, Shubham Kumar; Srivastava, Aishwarya; Tummuru, Sai Priya; Uppala, Sravya; Vaidya, Praveenkumar</t>
  </si>
  <si>
    <t>Artificial intelligence in developing countries: The impact of generative artificial intelligence (AI) technologies for development</t>
  </si>
  <si>
    <t>INFORMATION DEVELOPMENT</t>
  </si>
  <si>
    <t>generative AI; artificial intelligence; fourth industrial revolution; developing countries; technological change</t>
  </si>
  <si>
    <t>HEALTH-CARE; INDUSTRIAL-REVOLUTION; INNOVATION; POLICY</t>
  </si>
  <si>
    <t>This paper explores the potential impact of Generative Artificial Intelligence (Generative AI) on developing countries, considering both positive and negative effects across various domains of information, culture, and industry. Generative Artificial Intelligence refers to artificial intelligence (AI) systems that generate content, such as text, audio, or video, aiming to produce novel and creative outputs based on training data. Compared to conversational artificial intelligence, generative artificial intelligence systems have the unique capability of not only providing replies but also generating the content of those responses. Recent advancements in Artificial Intelligence during the Fourth Industrial Revolution, exemplified by tools like ChatGPT, have gained popularity and reshaped content production and creation. However, the benefits of generative artificial intelligence are not equally accessible to all, especially in developing countries, where limited access to cutting-edge technologies and inadequate infrastructure pose challenges. This paper seeks to understand the potential impact of generative AI technologies on developing countries, considering economic growth, access to technology, and the potential paradigm shift in education, healthcare, and the environment. The findings emphasize the importance of providing the necessary support and infrastructure to ensure that generative AI contributes to inclusive development rather than deepening existing inequalities. The study highlights the significance of integrating Generative AI into the context of the Fourth Industrial Revolution in developing countries, where technological change is a crucial determinant of progress and equitable growth.</t>
  </si>
  <si>
    <t>[Mannuru, Nishith Reddy; Teel, Zoe A.; Lund, Brady D.; Pohboon, Chalermchai Oak; Agbaji, Daniel; Ogbadu-Oladapo, Lydia; Tummuru, Sai Priya; Uppala, Sravya] Univ North Texas, Dept Informat Sci, Denton, TX 76205 USA; [Shahriar, Sakib] Univ Guelph, Sch Comp Sci, Guelph, ON, Canada; [Wang, Ting; Galley, Jaklyn] Emporia State Univ, Sch Lib &amp; Informat Management, Emporia, KS USA; [Tijani, Solomon] Nigerian Inst Social &amp; Econ Res, Ibadan, Nigeria; [Kousari, Raana] Iran Univ Med Sci, Sch Hlth Management &amp; Informat Sci, Dept Med Lib &amp; Informat Sci, Tehran, Iran; [Saurav, Shubham Kumar] Indian Stat Inst, Documentat Res &amp; Training Ctr, Bangalore, India; [Srivastava, Aishwarya] Seth MR Jaipuria Sch, Rajajipuram Campus, Lucknow, India; [Vaidya, Praveenkumar] CHRIST Univ Pune Lavasa India, Pune, Maharashtra, India</t>
  </si>
  <si>
    <t>University of North Texas System; University of North Texas Denton; University of Guelph; Iran University of Medical Sciences; Indian Statistical Institute; Indian Statistical Institute Bangalore</t>
  </si>
  <si>
    <t>Lund, BD (corresponding author), Univ North Texas, Dept Informat Sci, Denton, TX 76205 USA.</t>
  </si>
  <si>
    <t>Brady.Lund@unt.edu</t>
  </si>
  <si>
    <t>Teel, Zoe Abbie/KFS-1378-2024; kousari, raana/AAF-1520-2021; Agbaji, Daniel/Y-3950-2018</t>
  </si>
  <si>
    <t>Teel, Zoe Abbie/0009-0007-0569-6114; kousari, raana/0000-0001-8956-3309; Ogbadu-Oladapo, Lydia/0000-0003-2973-9805; Vaidya, Praveenkumar/0000-0002-5678-5682; Agbaji, Daniel/0000-0001-6904-1829; Lund, Brady/0000-0002-4819-8162</t>
  </si>
  <si>
    <t>0266-6669</t>
  </si>
  <si>
    <t>1741-6469</t>
  </si>
  <si>
    <t>INFORM DEV</t>
  </si>
  <si>
    <t>Inf. Dev.</t>
  </si>
  <si>
    <t>2023 SEP 14</t>
  </si>
  <si>
    <t>10.1177/02666669231200628</t>
  </si>
  <si>
    <t>Information Science &amp; Library Science</t>
  </si>
  <si>
    <t>R8BL1</t>
  </si>
  <si>
    <t>WOS:001066552100001</t>
  </si>
  <si>
    <t>Orchard, T; Tasiemski, L</t>
  </si>
  <si>
    <t>Orchard, Tim; Tasiemski, Leszek</t>
  </si>
  <si>
    <t>The rise of Generative AI and possible effects on the economy</t>
  </si>
  <si>
    <t>disruptive technology; artificial intelligence (AI); Large Language Models (LLM); Generative AI; business models</t>
  </si>
  <si>
    <t>The aim of the paper is to analyse the likely implications of Generative AI (GAI) on various aspects of business and the economy. Amid the rapid growth and maturing of Generative AI technologies such as Large Language Models (like ChatGPT by OpenAI) a rapid growth of both immediate and potential applications can be seen. The implications for the economy and industries of this technological shift will be discussed. The foreseeable scenarios for the level and types of adoption that GAI might achieve-from useful analytical tool, invaluable assistant to the white-collar workers of the world to being trusted with a wide array of business and life-critical decision making. Both disruptive and premium service opportunities are foreseen. For instance, general purpose models may provide quality service-such as copywriting-to overserved customers leaving human writers as the premium option. In this context, overserved customers would be those who would be satisfied with a non-human, potentially less creative content. On the other hand highly specialized models-specifically trained in a given domain and with access to proprietary knowledge can possibly provide a premium service over that provided by human experts. It is expected that some jobs will be replaced by new AI applications. However, new workplaces will emerge. Not only the obvious expert-level data scientist roles but also low grade, model supervisors-people training the models, assessing the quality of responses given and handling escalations. Lastly new cybercrime risks emerging from the rise of GAI are discussed.</t>
  </si>
  <si>
    <t>[Orchard, Tim] WithSecure WITHHE, 77 Weston St, London SE1 3RS, England; [Tasiemski, Leszek] WithSecure WITHHE, ul Rataje 164, PL-61168 Poznan, Poland</t>
  </si>
  <si>
    <t>Orchard, T (corresponding author), WithSecure WITHHE, 77 Weston St, London SE1 3RS, England.</t>
  </si>
  <si>
    <t>tim.orchard@withsecure.com; leszek.tasiemski@withsecure.com</t>
  </si>
  <si>
    <t>10.18559/ebr.2023.2.732</t>
  </si>
  <si>
    <t>WOS:001037180500002</t>
  </si>
  <si>
    <t>Crawford, K</t>
  </si>
  <si>
    <t>Morales, GD; Perlich, C; Ruchansky, N; Kourtellis, N; Baralis, E; Bonchi, F</t>
  </si>
  <si>
    <t>Crawford, Kate</t>
  </si>
  <si>
    <t>Mapping Generative AI</t>
  </si>
  <si>
    <t>MACHINE LEARNING AND KNOWLEDGE DISCOVERY IN DATABASES: APPLIED DATA SCIENCE AND DEMO TRACK, ECML PKDD 2023, PT VII</t>
  </si>
  <si>
    <t>Lecture Notes in Artificial Intelligence</t>
  </si>
  <si>
    <t>European Conference on Machine Learning and Principles and Practice of Knowledge Discovery in Databases (ECML PKDD)</t>
  </si>
  <si>
    <t>SEP 18-22, 2023</t>
  </si>
  <si>
    <t>Turin, ITALY</t>
  </si>
  <si>
    <t>CENTAI,Politecnico Torino,AFC Digital Hub,ASML,ThermoFisher Sci,Volkswagen Grp,AstraZeneca,CRITEO,Google,Mercari,Bosch,KNIME,SoBigData,Two Sigma,SIG Susquehanna</t>
  </si>
  <si>
    <t>Training data is foundational to generative AI systems. From Common Crawl's 3.1 billion web pages to LAION-5B's corpus of almost 6 billion image-text pairs, these vast collections - scraped from the internet and treated as ground truth - play a critical role in shaping the epistemic boundaries that govern generative AI models. Yet training data is beset with complex social, political, and epistemological challenges. What happens when data is stripped of context, meaning, and provenance? How does training data limit what and how machine learning systems interpret the world? What are the copyright implications of these datasets? And most importantly, what forms of power do these approaches enhance and enable? This keynote is an invitation to reflect on the epistemic foundations of generative AI, and to consider the wide-ranging impacts of the current generative turn.</t>
  </si>
  <si>
    <t>[Crawford, Kate] USC Annenberg, Los Angeles, CA 90089 USA</t>
  </si>
  <si>
    <t>Crawford, K (corresponding author), USC Annenberg, Los Angeles, CA 90089 USA.</t>
  </si>
  <si>
    <t>2945-9133</t>
  </si>
  <si>
    <t>978-3-031-43429-7; 978-3-031-43430-3</t>
  </si>
  <si>
    <t>LECT NOTES ARTIF INT</t>
  </si>
  <si>
    <t>BW4WF</t>
  </si>
  <si>
    <t>WOS:001156145400003</t>
  </si>
  <si>
    <t>García-Penalvo, FJ; Vázquez-Ingelmo, A</t>
  </si>
  <si>
    <t>Garcia-Penalvo, Francisco Jose; Vazquez-Ingelmo, Andrea</t>
  </si>
  <si>
    <t>What Do We Mean by GenAI? A Systematic Mapping of The Evolution, Trends, and Techniques Involved in Generative AI</t>
  </si>
  <si>
    <t>INTERNATIONAL JOURNAL OF INTERACTIVE MULTIMEDIA AND ARTIFICIAL INTELLIGENCE</t>
  </si>
  <si>
    <t>Artificial Intelligence; Content Generation; Generative AI; Generative Models; Machine Learning; Systematic Literature Mapping</t>
  </si>
  <si>
    <t>Artificial Intelligence has become a focal point of interest across various sectors due to its ability to generate creative and realistic outputs. A specific subset, generative artificial intelligence, has seen significant growth, particularly in late 2022. Tools like ChatGPT, Dall-E, or Midjourney have democratized access to Large Language Models, enabling the creation of human-like content. However, the concept 'Generative Artificial Intelligence' lacks a universally accepted definition, leading to potential misunderstandings. While a model that produces any output can be technically seen as generative, the Artificial Intelligent research community often reserves the term for complex models that generate high-quality, human-like material. This paper presents a literature mapping of AI-driven content generation, analyzing 631 solutions published over the last five years to better understand and characterize the Generative Artificial Intelligence landscape. Our findings suggest a dichotomy in the understanding and application of the term Generative AI. While the broader public often interprets Generative AI as AI-driven creation of tangible content, the AI research community mainly discusses generative implementations with an emphasis on the models in use, without explicitly categorizing their work under the term Generative AI.</t>
  </si>
  <si>
    <t>[Garcia-Penalvo, Francisco Jose; Vazquez-Ingelmo, Andrea] Univ Salamanca, Comp Sci Dept, GRIAL Res Grp, Salamanca, Spain</t>
  </si>
  <si>
    <t>University of Salamanca</t>
  </si>
  <si>
    <t>Vázquez-Ingelmo, A (corresponding author), Univ Salamanca, Comp Sci Dept, GRIAL Res Grp, Salamanca, Spain.</t>
  </si>
  <si>
    <t>fgarcia@usal.es; andreavazquez@usal.es</t>
  </si>
  <si>
    <t>GARCÍA-PEÑALVO, Francisco José/D-5445-2013</t>
  </si>
  <si>
    <t>GARCÍA-PEÑALVO, Francisco José/0000-0001-9987-5584</t>
  </si>
  <si>
    <t>Ministry of Science and Innovation [PID2020-118345RB-I00]</t>
  </si>
  <si>
    <t>Ministry of Science and Innovation(Spanish Government)</t>
  </si>
  <si>
    <t>This research was partially funded by the Ministry of Science and Innovation through the AvisSA project grant number (PID2020-118345RB-I00).</t>
  </si>
  <si>
    <t>UNIV INT RIOJA-UNIR</t>
  </si>
  <si>
    <t>LOGRONO</t>
  </si>
  <si>
    <t>RECTORADO, AVENIDA DE LA PAZ, 137, LOGRONO, 26006, SPAIN</t>
  </si>
  <si>
    <t>1989-1660</t>
  </si>
  <si>
    <t>INT J INTERACT MULTI</t>
  </si>
  <si>
    <t>Int. J. Interact. Multimed. Artif. Intell.</t>
  </si>
  <si>
    <t>10.9781/ijimai.2023.07.006</t>
  </si>
  <si>
    <t>Computer Science, Artificial Intelligence; Computer Science, Interdisciplinary Applications</t>
  </si>
  <si>
    <t>DE9W2</t>
  </si>
  <si>
    <t>Green Submitted, gold</t>
  </si>
  <si>
    <t>WOS:001130481400013</t>
  </si>
  <si>
    <t>Heidrich, D; Schreiber, A</t>
  </si>
  <si>
    <t>Heidrich, David; Schreiber, Andreas</t>
  </si>
  <si>
    <t>Visualizing Source Code as Comics Using Generative AI</t>
  </si>
  <si>
    <t>2023 IEEE WORKING CONFERENCE ON SOFTWARE VISUALIZATION, VISSOFT</t>
  </si>
  <si>
    <t>IEEE International Workshop on Visualizing Software for Understanding and Analysis VISSOFT</t>
  </si>
  <si>
    <t>IEEE Working Conference on Software Visualization (VISSOFT)</t>
  </si>
  <si>
    <t>OCT 01-02, 2023</t>
  </si>
  <si>
    <t>Bogota, COLOMBIA</t>
  </si>
  <si>
    <t>visualization; software visualization; comics; generative ai; stable diffusion</t>
  </si>
  <si>
    <t>The architecture and inner structure of software is often only implicitly available in the form of its source code and thus not tangible and intuitively easy to understand for non-programmers and laymen. Our goal is to create visualizations as automatically as possible, with which such people can nevertheless understand the software or parts of the software and get a feel for the structure of the software and how its methods work. Especially for newcomers to software projects, for management or even for students and pupils, it can be helpful to get a nontechnical insight into the software. We use the concept of visualizing information as comics to present aspects of the software as strikingly as possible, as comics are an effective way to present complex systems and interrelationships for certain target groups. For this purpose, we present a method to generate comics from source code. Our semi-automated process is based on generating a prompt for an LLM from source code, which in turn generates a prompt for a comic image generation using the text-to-image model Stable Diffusion. We show that generative AI methods can be used to rapidly generate human-compatible artistic representations from source code. However, further research is needed to validate the understandability of the results.</t>
  </si>
  <si>
    <t>[Heidrich, David] German Aerosp Ctr DLR, Inst Software Technol, Wessling, Germany; [Schreiber, Andreas] German Aerosp Ctr DLR, Inst Software Technol, Cologne, Germany</t>
  </si>
  <si>
    <t>Helmholtz Association; German Aerospace Centre (DLR); Helmholtz Association; German Aerospace Centre (DLR)</t>
  </si>
  <si>
    <t>Heidrich, D (corresponding author), German Aerosp Ctr DLR, Inst Software Technol, Wessling, Germany.</t>
  </si>
  <si>
    <t>david.heidrich@dlr.de; andreas.schreiber@dlr.de</t>
  </si>
  <si>
    <t>Schreiber, Andreas/B-3792-2016</t>
  </si>
  <si>
    <t>Schreiber, Andreas/0000-0001-5750-5649</t>
  </si>
  <si>
    <t>2379-7576</t>
  </si>
  <si>
    <t>979-8-3503-0829-7</t>
  </si>
  <si>
    <t>IEEE INT WORK VIS SO</t>
  </si>
  <si>
    <t>10.1109/VISSOFT60811.2023.00014</t>
  </si>
  <si>
    <t>Computer Science, Software Engineering; Computer Science, Theory &amp; Methods</t>
  </si>
  <si>
    <t>BW3VQ</t>
  </si>
  <si>
    <t>WOS:001144172500005</t>
  </si>
  <si>
    <t>Morales, S; Planas, E; Clariso, R; Gogolla, M</t>
  </si>
  <si>
    <t>Morales, Sergio; Planas, Elena; Clariso, Robert; Gogolla, Martin</t>
  </si>
  <si>
    <t>Generative AI in Model-Driven Software Engineering Education: Friend or Foe?</t>
  </si>
  <si>
    <t>2023 ACM/IEEE INTERNATIONAL CONFERENCE ON MODEL DRIVEN ENGINEERING LANGUAGES AND SYSTEMS COMPANION, MODELS-C</t>
  </si>
  <si>
    <t>ACM/IEEE International Conference on Model Driven Engineering Languages and Systems (MODELS)</t>
  </si>
  <si>
    <t>OCT 01-06, 2023</t>
  </si>
  <si>
    <t>Vasteras, SWEDEN</t>
  </si>
  <si>
    <t>IEEE,Assoc Comp Machinery,IEEE Comp Soc</t>
  </si>
  <si>
    <t>Generative AI; education; software engineering; model-driven software engineering; modeling</t>
  </si>
  <si>
    <t>The availability and effectiveness of generative AI tools challenge the currently established methods for learning, teaching and assessment. In this paper, we discuss their potential impact for model-driven software engineering education, both from the point of view of educators and students. The discussion highlights several opportunities and risks, which support the need of a critical perspective in the application of these tools.</t>
  </si>
  <si>
    <t>[Morales, Sergio; Planas, Elena; Clariso, Robert] Univ Oberta Catalunya, Barcelona, Spain; [Gogolla, Martin] Univ Bremen, Bremen, Germany</t>
  </si>
  <si>
    <t>UOC Universitat Oberta de Catalunya; University of Bremen</t>
  </si>
  <si>
    <t>Morales, S (corresponding author), Univ Oberta Catalunya, Barcelona, Spain.</t>
  </si>
  <si>
    <t>; Clariso, Robert/B-5450-2009</t>
  </si>
  <si>
    <t>Morales, Sergio/0000-0002-5921-9440; Clariso, Robert/0000-0001-9639-0186</t>
  </si>
  <si>
    <t>Spanish government [PID2020-114615RB-I00/AEI/10.13039/501100011033]</t>
  </si>
  <si>
    <t>Spanish government(Spanish Government)</t>
  </si>
  <si>
    <t>This work has been partially funded by the Spanish government (PID2020-114615RB-I00/AEI/10.13039/501100011033, project LOCOSS).</t>
  </si>
  <si>
    <t>979-8-3503-2498-3</t>
  </si>
  <si>
    <t>10.1109/MODELS-C59198.2023.00034</t>
  </si>
  <si>
    <t>BW3FC</t>
  </si>
  <si>
    <t>WOS:001137051500024</t>
  </si>
  <si>
    <t>Fenwick, M; Jurcys, P</t>
  </si>
  <si>
    <t>Fenwick, Mark; Jurcys, Paulius</t>
  </si>
  <si>
    <t>Originality and the future of copyright in an age of generative AI</t>
  </si>
  <si>
    <t>COMPUTER LAW &amp; SECURITY REVIEW</t>
  </si>
  <si>
    <t>AI; Generative AI; Copyright; Creativity; Originality; Artificial intelligence; Data; Feist; David Guetta; ChatGPT; Input; Output; Machine Learning; Authorship; Intellectual Property</t>
  </si>
  <si>
    <t>LAW</t>
  </si>
  <si>
    <t>This paper takes the occasion of French DJ David Guetta's use of generative AI tools to create lyrics and a voice in the style of Eminem, which he then used in one of his concerts, as the basis for an exploration of the shifting meaning of creativity and originality in the age of generative AI. Our main contention is that the Guetta form of creativity with generative AI tools differs in certain important respects from what has come before.The paper describes an iterative, dynamic process of conception, prompting, generation, refining, and deployment to characterise creativity in this context. Nevertheless, we contend that copyright - specifically the concept of originality as articulated in US federal law - is a sufficiently durable legal mechanism that can manage these new cultural forms, and that the two basic requirements of modern copyright law (a tangible medium of expression and a modest degree of creativity) remain relevant in identifying the scope of legal protection. The paper argues that the David Guetta story reveals something more general about creativity in a digital age, namely that while hybrid-networked (i.e., human - corporate - machine) creators have always created hybridnetworked cultural forms (i.e., creations that blend human and technology-constituted elements), such hybridity becomes increasingly visible and complex in the context of a new world of generative AI. At the very least, earlier - and influential - models of creativity as human-driven involving creation ex nihilo become harder to sustain in a new age of generative AI. But this does not mean copyright or notions of originality are redundant or that copyright law cannot accommodate Guetta and other cases. Such an account seems important as it challenges the hegemonic and reductive view that AI generates artistic works autonomously and avoids reducing the copyright issues raised by such creative works to the related but distinct question of whether learning models rely on copyrighted data. As such, copyright law should remain an important mechanism to facilitate genuine creators who are using AI systems in innovative and unique ways to push the boundaries of their creativity.</t>
  </si>
  <si>
    <t>[Fenwick, Mark] Kyushu Univ, Grad Sch Law, Fukuoka, Japan; [Jurcys, Paulius] Vilnius Univ, Law Fac, Vilnius, Lithuania; [Jurcys, Paulius] Prifina Inc, San Francisco, CA USA; [Jurcys, Paulius] 1090 Eddy St Atp 403, San Francisco, CA 94109 USA</t>
  </si>
  <si>
    <t>Kyushu University; Vilnius University</t>
  </si>
  <si>
    <t>Jurcys, P (corresponding author), 1090 Eddy St Atp 403, San Francisco, CA 94109 USA.</t>
  </si>
  <si>
    <t>pjurcys@gmail.com</t>
  </si>
  <si>
    <t>ELSEVIER ADVANCED TECHNOLOGY</t>
  </si>
  <si>
    <t>OXFORD FULFILLMENT CENTRE THE BOULEVARD, LANGFORD LANE, KIDLINGTON, OXFORD OX5 1GB, OXON, ENGLAND</t>
  </si>
  <si>
    <t>0267-3649</t>
  </si>
  <si>
    <t>COMPUT LAW SECUR REV</t>
  </si>
  <si>
    <t>Comput. Law Secur. Rev.</t>
  </si>
  <si>
    <t>10.1016/j.clsr.2023.105892</t>
  </si>
  <si>
    <t>Law</t>
  </si>
  <si>
    <t>Government &amp; Law</t>
  </si>
  <si>
    <t>Z4MR0</t>
  </si>
  <si>
    <t>WOS:001111839200001</t>
  </si>
  <si>
    <t>Zhang, YH; Gosline, R</t>
  </si>
  <si>
    <t>Zhang, Yunhao; Gosline, Renee</t>
  </si>
  <si>
    <t>Human favoritism, not AI aversion: People's perceptions (and bias) toward generative AI, human experts, and human-GAI collaboration in persuasive content generation</t>
  </si>
  <si>
    <t>JUDGMENT AND DECISION MAKING</t>
  </si>
  <si>
    <t>Generative AI; Algorithm Aversion; Human Favortism; Consumer Perception</t>
  </si>
  <si>
    <t>With the wide availability of large language models and generative AI, there are four primary paradigms for human-AI collaboration: human-only, AI-only (ChatGPT-4), augmented human (where a human makes the final decision with AI output as a reference), or augmented AI (where the AI makes the final decision with human output as a reference). In partnership with one of the world's leading consulting firms, we enlisted professional content creators and ChatGPT-4 to create advertising content for products and persuasive content for campaigns following the aforementioned paradigms. First, we find that, contrary to the expectations of some of the existing algorithm aversion literature on conventional predictive AI, the content generated by generative AI and augmented AI is perceived as of higher quality than that produced by human experts and augmented human experts. Second, revealing the source of content production reduces-but does not reverse-the perceived quality gap between human- and AI-generated content. This bias in evaluation is predominantly driven by human favoritism rather than AI aversion: Knowing that the same content is created by a human expert increases its (reported) perceived quality, but knowing that AI is involved in the creation process does not affect its perceived quality. Further analysis suggests this bias is not due to a 'quality prime' as knowing the content they are about to evaluate comes from competent creators (e.g., industry professionals and state-of-the-art AI) without knowing exactly that the creator of each piece of content does not increase participants' perceived quality.</t>
  </si>
  <si>
    <t>[Zhang, Yunhao] MIT Sloan, Berkeley Haas, Berkeley, CA 94720 USA; [Gosline, Renee] MIT Sloan, Cambridge, MA USA</t>
  </si>
  <si>
    <t>Massachusetts Institute of Technology (MIT)</t>
  </si>
  <si>
    <t>Zhang, YH (corresponding author), MIT Sloan, Berkeley Haas, Berkeley, CA 94720 USA.</t>
  </si>
  <si>
    <t>zyhjerry@mit.edu</t>
  </si>
  <si>
    <t>Zhang, Yunhao/0000-0001-8576-0612</t>
  </si>
  <si>
    <t>Accenture Applied Intelligence; MIT Initiative on the Digital Economy</t>
  </si>
  <si>
    <t>The authors appreciate Jon Baron, the two anonymous reviewers, and seminar participants from MIT B-Lab for their constructive feedback. The authors are grateful to Accenture Applied Intelligence and the MIT Initiative on the Digital Economy for financial support. We thank Patrick Connolly, Shraavya Koppole, and Philippe Roussiere for facilitating our communication and collaboration with Accenture and helping us recruit and collect responses from the professional content creators from the firm that were used as part of our stimulus.</t>
  </si>
  <si>
    <t>CAMBRIDGE UNIV PRESS</t>
  </si>
  <si>
    <t>CAMBRIDGE</t>
  </si>
  <si>
    <t>EDINBURGH BLDG, SHAFTESBURY RD, CB2 8RU CAMBRIDGE, ENGLAND</t>
  </si>
  <si>
    <t>1930-2975</t>
  </si>
  <si>
    <t>JUDGM DECIS MAK</t>
  </si>
  <si>
    <t>Judgm. Decis. Mak.</t>
  </si>
  <si>
    <t>NOV 28</t>
  </si>
  <si>
    <t>e41</t>
  </si>
  <si>
    <t>10.1017/jdm.2023.37</t>
  </si>
  <si>
    <t>Psychology, Multidisciplinary</t>
  </si>
  <si>
    <t>Psychology</t>
  </si>
  <si>
    <t>Z5NN8</t>
  </si>
  <si>
    <t>WOS:001112542000001</t>
  </si>
  <si>
    <t>Smolansky, A; Cram, A; Raduescu, C; Zeivots, S; Huber, E; Kizilcec, RF</t>
  </si>
  <si>
    <t>Smolansky, Adele; Cram, Andrew; Raduescu, Corina; Zeivots, Sandris; Huber, Elaine; Kizilcec, Rene F.</t>
  </si>
  <si>
    <t>Educator and Student Perspectives on the Impact of Generative AI on Assessments in Higher Education</t>
  </si>
  <si>
    <t>PROCEEDINGS OF THE TENTH ACM CONFERENCE ON LEARNING @ SCALE, L@S 2023</t>
  </si>
  <si>
    <t>10th ACM Conference on Learning at Scale (L at S)</t>
  </si>
  <si>
    <t>JUL 20-22, 2023</t>
  </si>
  <si>
    <t>Univ Copenhagen, Copenhagen, DENMARK</t>
  </si>
  <si>
    <t>Assoc Comp Machinery,KTH Royal Inst Technol</t>
  </si>
  <si>
    <t>Univ Copenhagen</t>
  </si>
  <si>
    <t>Assessment; Generative AI; ChatGPT; Educators; Students; Survey</t>
  </si>
  <si>
    <t>The sudden popularity and availability of generative AI tools, such as ChatGPT that can write compelling essays on any topic, code in various programming languages, and ace standardized tests across domains, raises questions about the sustainability of traditional assessment practices. To seize this opportunity for innovation in assessment practice, we conducted a survey to understand both the educators' and students' perspectives on the issue. We measure and compare attitudes of both stakeholders across various assessment scenarios, building on an established framework for examining the quality of online assessments along six dimensions. Responses from 389 students and 36 educators across two universities indicate moderate usage of generative AI, consensus for which types of assessments are most impacted, and concerns about academic integrity. Educators prefer adapted assessments that assume AI will be used and encourage critical thinking, but students' reaction is mixed, in part due to concerns about a loss of creativity. The findings show the importance of engaging educators and students in assessment reform efforts to focus on the process of learning over its outputs, higher-order thinking, and authentic applications.</t>
  </si>
  <si>
    <t>[Smolansky, Adele] Cornell Univ, Dept Comp Sci, Ithaca, NY 14850 USA; [Cram, Andrew; Zeivots, Sandris; Huber, Elaine] Univ Sydney, Sch Business, Business Co Design, Sydney, NSW, Australia; [Raduescu, Corina] Univ Sydney, Business Informat Syst, Sch Business, Sydney, NSW, Australia; [Kizilcec, Rene F.] Cornell Univ, Dept Informat, Ithaca, NY USA</t>
  </si>
  <si>
    <t>Cornell University; University of Sydney; University of Sydney; Cornell University</t>
  </si>
  <si>
    <t>Smolansky, A (corresponding author), Cornell Univ, Dept Comp Sci, Ithaca, NY 14850 USA.</t>
  </si>
  <si>
    <t>as2953@cornell.edu; andrew.cram@sydney.edu.au; corina.raduescu@sydney.edu.au; sandris.zeivots@sydney.edu.au; elaine.huber@sydney.edu.au; kizilcec@cornell.edu</t>
  </si>
  <si>
    <t>Huber, Elaine/AAN-3648-2021</t>
  </si>
  <si>
    <t>Huber, Elaine/0000-0001-7964-9096; Zeivots, Sandris/0000-0001-5450-2530; Cram, Andrew/0000-0002-4125-386X; Smolansky, Adele/0000-0002-4555-0933</t>
  </si>
  <si>
    <t>USyd-Cornell Global Strategic Partnership Collaboration Award</t>
  </si>
  <si>
    <t>We thank our survey respondents. This work is supported by a USyd-Cornell Global Strategic Partnership Collaboration Award.</t>
  </si>
  <si>
    <t>979-8-4007-0025-5</t>
  </si>
  <si>
    <t>10.1145/3573051.3596191</t>
  </si>
  <si>
    <t>Computer Science, Interdisciplinary Applications; Computer Science, Theory &amp; Methods; Education &amp; Educational Research; Education, Scientific Disciplines</t>
  </si>
  <si>
    <t>Computer Science; Education &amp; Educational Research</t>
  </si>
  <si>
    <t>BW2TW</t>
  </si>
  <si>
    <t>WOS:001125787500053</t>
  </si>
  <si>
    <t>Khosrowi, D; Finn, F; Clark, E</t>
  </si>
  <si>
    <t>Khosrowi, Donal; Finn, Finola; Clark, Elinor</t>
  </si>
  <si>
    <t>Diffusing the Creator: Attributing Credit for Generative AI Outputs</t>
  </si>
  <si>
    <t>PROCEEDINGS OF THE 2023 AAAI/ACM CONFERENCE ON AI, ETHICS, AND SOCIETY, AIES 2023</t>
  </si>
  <si>
    <t>AAAI/ACM Conference on Artificial Intelligence, Ethics, and Society (AIES)</t>
  </si>
  <si>
    <t>AUG 08-10, 2023</t>
  </si>
  <si>
    <t>Montreal, CANADA</t>
  </si>
  <si>
    <t>Assoc Comp Machinery,AAAI,ACM SIGAI,US Natil Sci Fdn</t>
  </si>
  <si>
    <t>Generative AI; image synthesis; credit attribution; creatorship; collective-centered; ethics; copyright</t>
  </si>
  <si>
    <t>AUTHORSHIP</t>
  </si>
  <si>
    <t>The recent wave of generative AI (GAI) systems like Stable Diffusion that can produce images from human prompts raises controversial issues about creatorship, originality, creativity and copyright. This paper focuses on creatorship: who creates and should be credited with the outputs made with the help of GAI? Existing views on creatorship are mixed: some insist that GAI systems are mere tools, and human prompters are creators proper; others are more open to acknowledging more significant roles for GAI, but most conceive of creatorship in an all-or-nothing fashion. We develop a novel view, called CCC (collective-centered creation), that improves on these existing positions. On CCC, GAI outputs are created by collectives in the first instance. Claims to creatorship come in degrees and depend on the nature and significance of individual contributions made by the various agents and entities involved, including users, GAI systems, developers, producers of training data and others. Importantly, CCC maintains that GAI systems can sometimes be part of a co-creating collective. We detail how CCC can advance existing debates and resolve controversies around creatorship involving GAI.</t>
  </si>
  <si>
    <t>[Khosrowi, Donal; Finn, Finola; Clark, Elinor] Leibniz Univ Hannover, Inst Philosophie, Hannover, Germany</t>
  </si>
  <si>
    <t>Leibniz University Hannover</t>
  </si>
  <si>
    <t>Khosrowi, D (corresponding author), Leibniz Univ Hannover, Inst Philosophie, Hannover, Germany.</t>
  </si>
  <si>
    <t>donal.khosrowi@philos.uni-hannover.de; finola.finn@philos.uni-hannover.de; elinor.clark2@gmail.com</t>
  </si>
  <si>
    <t>Clark, Elinor/0000-0002-5355-2963; Khosrowi, Donal/0000-0002-9927-2000; Finn, Finola/0009-0000-1805-0442</t>
  </si>
  <si>
    <t>Ministry of Science and Culture of Lower Saxony (MWK) [11-7620-1155/2021]</t>
  </si>
  <si>
    <t>Ministry of Science and Culture of Lower Saxony (MWK)</t>
  </si>
  <si>
    <t>We wish to thank Andrew Law, Jannik Zeiser and Ahmad Dawud for helpful comments on earlier versions of this article. Our research was supported by a grant from the Ministry of Science and Culture of Lower Saxony (MWK), Grant No.: 11-7620-1155/2021.</t>
  </si>
  <si>
    <t>979-8-4007-0231-0</t>
  </si>
  <si>
    <t>10.1145/3600211.3604716</t>
  </si>
  <si>
    <t>Computer Science, Artificial Intelligence; Computer Science, Interdisciplinary Applications; Ethics</t>
  </si>
  <si>
    <t>Computer Science; Social Sciences - Other Topics</t>
  </si>
  <si>
    <t>BW2KK</t>
  </si>
  <si>
    <t>Green Published, hybrid</t>
  </si>
  <si>
    <t>WOS:001117838100067</t>
  </si>
  <si>
    <t>El-Zanfaly, D; Dong, YW; Huang, YW</t>
  </si>
  <si>
    <t>El-Zanfaly, Dina; Dong, Yanwen; Huang, Yiwei</t>
  </si>
  <si>
    <t>Sand-in-the-loop: Investigating embodied co-creation for shared understandings of generative AI</t>
  </si>
  <si>
    <t>COMPANION PROCEEDINGS OF THE 2023 ACM DESIGNING INTERACTIVE SYSTEMS CONFERENCE, DIS COMPANION 2023</t>
  </si>
  <si>
    <t>ACM Designing Interactive Systems Conference (DIS)</t>
  </si>
  <si>
    <t>JUL 10-14, 2023</t>
  </si>
  <si>
    <t>Carnegie Mellon Univ, Pittsburgh, PA</t>
  </si>
  <si>
    <t>Assoc Comp Machinery</t>
  </si>
  <si>
    <t>Carnegie Mellon Univ</t>
  </si>
  <si>
    <t>Explainable AI; Graspable AI; human-AI co-creation</t>
  </si>
  <si>
    <t>Generative Artificial Intelligence (AI) applications in creative practices have grown tremendously over the past few years. However, these generative AI applications lack clarity on how they work and operate for their users. Revealing how generative AI tools work enables designers to understand these tools' limitations and capabilities. We developed a tangible interface with sand as a medium for human-AI co-creation, Sand Playground. It extends the work in human-AI drawing practices beyond two-dimensional digital surfaces. Sand playground has three co-drawing modes, artistic mimicry, zen garden and doodling. We conducted a user study with ten designers. One of our fndings is that the interface enabled users to predict the AI agent's actions. Our research introduces novel insights into the role of tangible interactions and physical interfaces in generative AI literacy and explainability in design tools.</t>
  </si>
  <si>
    <t>[El-Zanfaly, Dina; Dong, Yanwen; Huang, Yiwei] Carnegie Mellon Univ, Pittsburgh, PA 15213 USA</t>
  </si>
  <si>
    <t>Carnegie Mellon University</t>
  </si>
  <si>
    <t>El-Zanfaly, D (corresponding author), Carnegie Mellon Univ, Pittsburgh, PA 15213 USA.</t>
  </si>
  <si>
    <t>delzanfa@andrew.cmu.edu; yanwen.ywd@gmail.com; yiweihdes@gmail.com</t>
  </si>
  <si>
    <t>El-Zanfaly, Dina/0000-0002-6839-796X</t>
  </si>
  <si>
    <t>Google Scholar Research awards</t>
  </si>
  <si>
    <t>This research was generously supported by Google Scholar Research awards. We thank our colleagues for their feedback and our user study participants.</t>
  </si>
  <si>
    <t>10.1145/3563703.3596652</t>
  </si>
  <si>
    <t>Computer Science, Interdisciplinary Applications; Computer Science, Theory &amp; Methods; Ergonomics</t>
  </si>
  <si>
    <t>BV4HX</t>
  </si>
  <si>
    <t>Bronze</t>
  </si>
  <si>
    <t>WOS:001031537800059</t>
  </si>
  <si>
    <t>Missaoui, S; Gerasimou, S; Matragkas, N</t>
  </si>
  <si>
    <t>Missaoui, Sondess; Gerasimou, Simos; Matragkas, Nicholas</t>
  </si>
  <si>
    <t>Semantic Data Augmentation for Deep Learning Testing using Generative AI</t>
  </si>
  <si>
    <t>2023 38TH IEEE/ACM INTERNATIONAL CONFERENCE ON AUTOMATED SOFTWARE ENGINEERING, ASE</t>
  </si>
  <si>
    <t>IEEE ACM International Conference on Automated Software Engineering</t>
  </si>
  <si>
    <t>38th IEEE/ACM International Conference on Automated Software Engineering (ASE)</t>
  </si>
  <si>
    <t>SEP 11-15, 2023</t>
  </si>
  <si>
    <t>Echternach, LUXEMBOURG</t>
  </si>
  <si>
    <t>Generative AI; Deep Learning Testing; Coverage Guided Fuzzing; Data Augmentation; Safe AI</t>
  </si>
  <si>
    <t>The performance of state-of-the-art Deep Learning models heavily depends on the availability of well-curated training and testing datasets that sufficiently capture the operational domain. Data augmentation is an effective technique in alleviating data scarcity, reducing the time-consuming and expensive data collection and labelling processes. Despite their potential, existing data augmentation techniques primarily focus on simple geometric and colour space transformations, like noise, flipping and resizing, producing datasets with limited diversity. When the augmented dataset is used for testing the Deep Learning models, the derived results are typically uninformative about the robustness of the models. We address this gap by introducing GENFUZZER, a novel coverage-guided data augmentation fuzzing technique for Deep Learning models underpinned by generative AI. We demonstrate our approach using widely-adopted datasets and models employed for image classification, illustrating its effectiveness in generating informative datasets leading up to a 26% increase in widely-used coverage criteria.</t>
  </si>
  <si>
    <t>[Missaoui, Sondess; Gerasimou, Simos] Univ York, Dept Comp Sci, York, N Yorkshire, England; [Matragkas, Nicholas] Univ Paris Saclay, CEA, List, Paris, France</t>
  </si>
  <si>
    <t>University of York - UK; Universite Paris Saclay; Universite Paris Cite; CEA</t>
  </si>
  <si>
    <t>Missaoui, S (corresponding author), Univ York, Dept Comp Sci, York, N Yorkshire, England.</t>
  </si>
  <si>
    <t>sondess.missaoui@york.ac.uk; simos.gerasimou@york.ac.uk; nikolaos.matragkas@cea.fr</t>
  </si>
  <si>
    <t>1527-1366</t>
  </si>
  <si>
    <t>979-8-3503-2996-4</t>
  </si>
  <si>
    <t>IEEE INT CONF AUTOM</t>
  </si>
  <si>
    <t>10.1109/ASE56229.2023.00194</t>
  </si>
  <si>
    <t>Automation &amp; Control Systems; Computer Science, Software Engineering</t>
  </si>
  <si>
    <t>Automation &amp; Control Systems; Computer Science</t>
  </si>
  <si>
    <t>BW1BK</t>
  </si>
  <si>
    <t>WOS:001103357200136</t>
  </si>
  <si>
    <t>Nagy, P; Frey, S; Sapora, S; Li, K; Calinescu, A; Zohren, S; Foerster, J</t>
  </si>
  <si>
    <t>Nagy, Peer; Frey, Sascha; Sapora, Silvia; Li, Kang; Calinescu, Anisoara; Zohren, Stefan; Foerster, Jakob</t>
  </si>
  <si>
    <t>Generative AI for End-to-End Limit Order Book Modelling A Token-Level Autoregressive Generative Model of Message Flow Using a Deep State Space Network</t>
  </si>
  <si>
    <t>PROCEEDINGS OF THE 4TH ACM INTERNATIONAL CONFERENCE ON AI IN FINANCE, ICAIF 2023</t>
  </si>
  <si>
    <t>4th ACM International Conference on AI in Finance (ICAIF)</t>
  </si>
  <si>
    <t>Brooklyn, NY</t>
  </si>
  <si>
    <t>Assoc Comp Machinery,J P Morgan Chase &amp; Co,U S Bank</t>
  </si>
  <si>
    <t>generative AI; structured state space models; limit order books; ML</t>
  </si>
  <si>
    <t>Developing a generative model of realistic order flow in financial markets is a challenging open problem, with numerous applications for market participants. Addressing this, we propose the first end-to-end autoregressive generative model that generates tokenized limit order book (LOB) messages. These messages are interpreted by the JAX-LOB simulator, which updates the LOB state. To handle long sequences efficiently, the model employs simplified structured state-space layers to process sequences of order book states and tokenized messages. Using LOBSTER data of NASDAQ equity LOBs, we develop a custom tokenizer for message data, converting groups of successive digits to tokens, similar to tokenization in large language models. Out-of-sample results show promising performance in approximating the data distribution, as evidenced by low model perplexity. Furthermore, the mid-price returns calculated from the generated order flow exhibit a significant correlation with the data, indicating impressive conditional forecast performance. Due to the granularity of generated data, and the accuracy of the model, it offers new application areas for future work beyond forecasting, e.g. acting as a world model in high-frequency financial reinforcement learning applications. Overall, our results invite the use and extension of the model in the direction of autoregressive large financial models for the generation of high-frequency financial data. (1)</t>
  </si>
  <si>
    <t>[Nagy, Peer; Zohren, Stefan] Univ Oxford, Oxford Man Inst Quantitat Finance, Oxford, England; [Frey, Sascha; Calinescu, Anisoara] Univ Oxford, Dept Comp Sci, Oxford, England; [Sapora, Silvia; Foerster, Jakob] Univ Oxford, Foerster Lab AI Res, Oxford, England; [Li, Kang] Univ Oxford, Dept Stat, Oxford, England; [Calinescu, Anisoara] Alan Turing Inst, Oxford, England; [Zohren, Stefan] Man Grp, London, England</t>
  </si>
  <si>
    <t>University of Oxford; University of Oxford; University of Oxford; University of Oxford</t>
  </si>
  <si>
    <t>Nagy, P (corresponding author), Univ Oxford, Oxford Man Inst Quantitat Finance, Oxford, England.</t>
  </si>
  <si>
    <t>peer.nagy@eng.ox.ac.uk</t>
  </si>
  <si>
    <t>Sapora, Silvia/0009-0000-0715-983X</t>
  </si>
  <si>
    <t>UKRI AI World Leading Researcher Fellowship [EP/W002949/1]; Trustworthy AI - Integrating Learning, Optimisation and Reasoning (TAILOR) - European Union [952215]</t>
  </si>
  <si>
    <t>UKRI AI World Leading Researcher Fellowship; Trustworthy AI - Integrating Learning, Optimisation and Reasoning (TAILOR) - European Union</t>
  </si>
  <si>
    <t>A. Calinescu acknowledges financial support from a UKRI AI World Leading Researcher Fellowship (grant EP/W002949/1), and from Trustworthy AI - Integrating Learning, Optimisation and Reasoning (TAILOR) (https://tailor-network.eu/), a project funded by European Union Horizon2020 research and innovation program under Grant Agreement 952215. We thank Jan-Peter Calliess and Chris Lu for interesting and helpful discussions at different stages of this project. We also thank Foerster Lab for AI Research (FLAIR) and the Oxford-Man Institute of Quantitative Finance for providing compute resources. For the purpose of Open Access, the authors have applied a CC BY public copyright licence to any Author Accepted Manuscript version arising from this submission.</t>
  </si>
  <si>
    <t>979-8-4007-0240-2</t>
  </si>
  <si>
    <t>10.1145/3604237.3626898</t>
  </si>
  <si>
    <t>Business, Finance; Computer Science, Artificial Intelligence; Computer Science, Interdisciplinary Applications</t>
  </si>
  <si>
    <t>Business &amp; Economics; Computer Science</t>
  </si>
  <si>
    <t>BW2TI</t>
  </si>
  <si>
    <t>WOS:001124982700011</t>
  </si>
  <si>
    <t>Jauhiainen, JS; Guerra, AG</t>
  </si>
  <si>
    <t>Jauhiainen, Jussi S.; Guerra, Agustin Garagorry</t>
  </si>
  <si>
    <t>Generative AI and ChatGPT in School Children's Education: Evidence from a School Lesson</t>
  </si>
  <si>
    <t>generative AI; ChatGPT; school education; learning; school children; cognitive ergonomics; Spanish; history; sustainable development; inclusion</t>
  </si>
  <si>
    <t>In 2023, the global use of generative AI, particularly ChatGPT-3.5 and -4, witnessed a significant surge, sparking discussions on its sustainable implementation across various domains, including education from primary schools to universities. However, practical testing and evaluation in school education are still relatively unexplored. This article examines the utilization of generative AI in primary school education. The study involved 110 pupils, aged 8-14 years old, studying in the 4th-6th grades across four classes in two schools. Using laptops, pupils participated in test lessons where content, text, figures, and exercises were generated and modified using generative AI, specifically ChatGPT-3.5. The results demonstrated that it was possible to use ChatGPT-3.5, as one example of generative AI, to personify learning material so that it would meet the knowledge and learning skills of pupils with different levels of knowledge. A clear majority of pupils enjoyed learning the generative AI-modified material. There is a promising potential of generative AI use in school education, supporting pupils' motivated learning and skills development. However, these tools need to be developed, refined and optimized to ensure proper adaptation and to create impactful, inclusive, and sustainable learning in schools to benefit pupils, teachers and education managers alike.</t>
  </si>
  <si>
    <t>[Jauhiainen, Jussi S.; Guerra, Agustin Garagorry] Univ Turku, Dept Geog &amp; Geol, Turku 20014, Finland; [Jauhiainen, Jussi S.] Univ Tartu, Inst Ecol &amp; Earth Sci, EE-50409 Tartu, Estonia</t>
  </si>
  <si>
    <t>University of Turku; University of Tartu; Tartu University Institute of Ecology &amp; Earth Sciences</t>
  </si>
  <si>
    <t>Jauhiainen, JS (corresponding author), Univ Turku, Dept Geog &amp; Geol, Turku 20014, Finland.;Jauhiainen, JS (corresponding author), Univ Tartu, Inst Ecol &amp; Earth Sci, EE-50409 Tartu, Estonia.</t>
  </si>
  <si>
    <t>jusaja@utu.fi; agustin.garagorryguerra@utu.fi</t>
  </si>
  <si>
    <t>Garagorry, Agustin/0009-0005-4038-4437</t>
  </si>
  <si>
    <t>University of Turku; Business Finland [4153/31/2022]</t>
  </si>
  <si>
    <t>University of Turku; Business Finland</t>
  </si>
  <si>
    <t>The research was partially funded by the University of Turku and by the Business Finland co-creation project Digileac nr. 4153/31/2022.</t>
  </si>
  <si>
    <t>10.3390/su151814025</t>
  </si>
  <si>
    <t>S9RU5</t>
  </si>
  <si>
    <t>WOS:001074473700001</t>
  </si>
  <si>
    <t>Chien, AA; Lin, LZX; Nguyen, H; Rao, V; Sharma, T; Wijayawardana, R</t>
  </si>
  <si>
    <t>Chien, Andrew A.; Lin, Liuzixuan; Hai Nguyen; Rao, Varsha; Sharma, Tristan; Wijayawardana, Rajini</t>
  </si>
  <si>
    <t>Reducing the Carbon Impact of Generative AI Inference (today and in 2035)</t>
  </si>
  <si>
    <t>PROCEEDINGS OF THE 2ND ACM WORKSHOP ON SUSTAINABLE COMPUTER SYSTEMS, HOTCARBON 2023</t>
  </si>
  <si>
    <t>2nd ACM Workshop on Sustainable Computer Systems (ACM HotCarbon)</t>
  </si>
  <si>
    <t>JUL09, 2023</t>
  </si>
  <si>
    <t>Boston Univ, Boston, MA</t>
  </si>
  <si>
    <t>Boston Univ</t>
  </si>
  <si>
    <t>Generative AI; Sustainability; Carbon emissions; Large language models; Geographic shifting</t>
  </si>
  <si>
    <t>Generative AI, exemplified in ChatGPT, Dall-E 2, and Stable Diffusion, are exciting new applications consuming growing quantities of computing. We study the compute, energy, and carbon impacts of generative AI inference. Using ChatGPT as an exemplar, we create a workload model and compare request direction approaches (Local, Balance, CarbonMin), assessing their power use and carbon impacts. Our workload model shows that for ChatGPT-like services, inference dominates emissions, in one year producing 25x the carbon-emissions of training GPT-3. The workload model characterizes user experience, and experiments show that carbon emissions-aware algorithms (CarbonMin) can both maintain user experience and reduce carbon emissions dramatically (35%). We also consider a future scenario (2035 workload and power grids), and show that CarbonMin can reduce emissions by 56%. In both cases, the key is intelligent direction of requests to locations with low-carbon power. Combined with hardware technology advances, CarbonMin can keep emissions increase to only 20% compared to 2022 levels for 55x greater workload. Finally we consider datacenter headroom to increase effectiveness of shifting. With headroom, CarbonMin reduces 2035 emissions by 71%.</t>
  </si>
  <si>
    <t>[Chien, Andrew A.; Lin, Liuzixuan; Hai Nguyen; Rao, Varsha; Sharma, Tristan; Wijayawardana, Rajini] Univ Chicago, Chicago, IL 60637 USA; [Chien, Andrew A.] Argonne Natl Lab, Chicago, IL 60439 USA</t>
  </si>
  <si>
    <t>University of Chicago; United States Department of Energy (DOE); Argonne National Laboratory</t>
  </si>
  <si>
    <t>Chien, AA (corresponding author), Univ Chicago, Chicago, IL 60637 USA.;Chien, AA (corresponding author), Argonne Natl Lab, Chicago, IL 60439 USA.</t>
  </si>
  <si>
    <t>achien@cs.uchicago.edu; lzixuan@uchicago.edu; ndhai@cs.uchicago.edu; varsharao@uchicago.edu; tristansharma@uchicago.edu; rajini@uchicago.edu</t>
  </si>
  <si>
    <t>NSF [CMMI-1832230, OAC-2019506, CNS-1901466]; VMware University Research Fund</t>
  </si>
  <si>
    <t>NSF(National Science Foundation (NSF)); VMware University Research Fund</t>
  </si>
  <si>
    <t>We thank the anonymous reviewers for their insightful reviews. This work is supported in part by NSF Grants CMMI-1832230, OAC-2019506, CNS-1901466, and the VMware University Research Fund. We also thank Pierre Segonne from Electricity Maps for providing power grid data, and the Large-scale Sustainable Systems Group members for their support of this work!</t>
  </si>
  <si>
    <t>979-8-4007-0242-6</t>
  </si>
  <si>
    <t>10.1145/3604930.3605705</t>
  </si>
  <si>
    <t>Computer Science, Theory &amp; Methods; Green &amp; Sustainable Science &amp; Technology</t>
  </si>
  <si>
    <t>Computer Science; Science &amp; Technology - Other Topics</t>
  </si>
  <si>
    <t>BW2ST</t>
  </si>
  <si>
    <t>WOS:001124735600011</t>
  </si>
  <si>
    <t>Rowland, DR</t>
  </si>
  <si>
    <t>Rowland, David R.</t>
  </si>
  <si>
    <t>Two frameworks to guide discussions around levels of acceptable use of generative AI in student academic research and writing</t>
  </si>
  <si>
    <t>JOURNAL OF ACADEMIC LANGUAGE AND LEARNING</t>
  </si>
  <si>
    <t>Generative AI; academic integrity; academic writing pedagogy</t>
  </si>
  <si>
    <t>The capacity of generative AI tools, such as ChatGPT, to perform at human-like levels on a range of tasks has created a challenging pedagogical tension within education. On the one hand, such tools pose significant threats to academic integrity, but on the other hand, employers will also expect graduating students to be proficient in the use of such tools so as to improve their productivity and performance levels. How best to balance this tension and produce students who can both work proficiently with discipline-relevant generative AI tools and also add significant value to anything a generative AI system can produce will be a long-term research project for educators. In the short term, however, since many students are already widely using or exploring the use of such tools, it is important for educators to clearly delineate for students what level of use is acceptable or unacceptable for each assessment task. To help educators frame any discussion with their students about levels of acceptable use, this paper proposes two frameworks for the uses of generative AI to support academic writing. The first framework is relatively simple, and generalises ideas from long term discussions around the support-collaboration-collusion continuum to the case of generative AI support for academic writing. The second proposed framework is two dimensional, considering the different levels of support possible at each of six stages in the academic writing process. In addition, since helping students learn effective prompt engineering will need to be a pedagogical goal, use examples at each level of the second framework are provided, together with commentary about effective prompt engineering, issues to watch out for, and possible ways to acknowledge any such use. It is hoped that the analyses and examples provided in this paper will provide useful foundations for both discussions between educators and their students, and future research into how best to integrate the use of generative AI tools in higher education pedagogy. Some suggestions for the needed research are also given. Since similar issues as those discussed above arise for research students when writing for publication, some discussion of these issues in relation to (evolving) academic journal policies in this area is also provided.</t>
  </si>
  <si>
    <t>[Rowland, David R.] Univ Queensland, Student Serv, St Lucia, Qld, Australia</t>
  </si>
  <si>
    <t>University of Queensland</t>
  </si>
  <si>
    <t>Rowland, DR (corresponding author), Univ Queensland, Student Serv, St Lucia, Qld, Australia.</t>
  </si>
  <si>
    <t>d.rowland@uq.edu.au</t>
  </si>
  <si>
    <t>ASSOC ACAD LANGUAGE LEARNING</t>
  </si>
  <si>
    <t>BRISBANE</t>
  </si>
  <si>
    <t>C/O DAVID ROWLAND, STUDENT SERVICES, BRISBANE, QLD 4072, AUSTRALIA</t>
  </si>
  <si>
    <t>1835-5196</t>
  </si>
  <si>
    <t>J ACAD LANG LEARN</t>
  </si>
  <si>
    <t>J. Acad. Lang. Learn.</t>
  </si>
  <si>
    <t>T31</t>
  </si>
  <si>
    <t>T69</t>
  </si>
  <si>
    <t>HZ8E4</t>
  </si>
  <si>
    <t>WOS:001163419200002</t>
  </si>
  <si>
    <t>Ungureanu, CT; Amironesei, AE</t>
  </si>
  <si>
    <t>Ungureanu, Carmen Tamara; Amironesei, Aura Elena</t>
  </si>
  <si>
    <t>Legal issues concerning Generative AI technologies</t>
  </si>
  <si>
    <t>EASTERN JOURNAL OF EUROPEAN STUDIES</t>
  </si>
  <si>
    <t>generative artificial intelligence; training data; civil liability; advertising</t>
  </si>
  <si>
    <t>We are witnessing an accelerated technological evolution that has enabled the development of artificial intelligence in various fields, allowing it to gradually infiltrate the entire society. We intend to cover only a small subset of AI technologies in our paper, that of Generative Artificial Intelligence (GenAI). Our objectives are to shed light on the legal issues that GenAI can cause and to find solutions to them. We begin with a definition of GenAI in the much broader context of AI technologies. Answers to a few essential questions are to be found: 'How does GenAI work?', 'What could GenAI be used for?', 'What legal issues could arise from using a GenAI?'. To accomplish our goals, we first conduct a literature review to define artificial intelligence (AI) in general and GenAI in particular. Several lawsuits are chosen to illustrate the magnitude of the legal problems and to test the feasibility of possible solutions in both the national and EU legal systems. Then, we analyse GenAI's output, liability for its contents and for its use, altogether with examples of related contractual clauses.</t>
  </si>
  <si>
    <t>[Ungureanu, Carmen Tamara; Amironesei, Aura Elena] Alexandru Ioan Cuza Univ, Iasi, Romania; [Ungureanu, Carmen Tamara] Alexandru Ioan Cuza Univ, Fac Law, Iasi, Romania</t>
  </si>
  <si>
    <t>Alexandru Ioan Cuza University; Alexandru Ioan Cuza University</t>
  </si>
  <si>
    <t>Ungureanu, CT (corresponding author), Alexandru Ioan Cuza Univ, Fac Law, Iasi, Romania.</t>
  </si>
  <si>
    <t>carmen.ungureanu@uaic.ro</t>
  </si>
  <si>
    <t>Ministry of Research, Innovation and Digitization, CNCS - UEFISCDI [PN- III-P4-PCE-2021- 1878]; PNCDI III 'Institutions, digitalization and regional development in the European Union</t>
  </si>
  <si>
    <t>Ministry of Research, Innovation and Digitization, CNCS - UEFISCDI; PNCDI III 'Institutions, digitalization and regional development in the European Union</t>
  </si>
  <si>
    <t>This work was supported by a grant of the Ministry of Research, Innovation and Digitization, CNCS - UEFISCDI, project number PN- III-P4-PCE-2021- 1878, within PNCDI III 'Institutions, digitalization and regional development in the European Union'.</t>
  </si>
  <si>
    <t>UNIV ALEXANDRU IOAN CUZA, CENTRUL STUDII EUROPENE</t>
  </si>
  <si>
    <t>IASI</t>
  </si>
  <si>
    <t>BULEVARDUL CAROL I, NR 19, IASI, 700507, ROMANIA</t>
  </si>
  <si>
    <t>2068-651X</t>
  </si>
  <si>
    <t>2068-6633</t>
  </si>
  <si>
    <t>EAST J EUR STUD</t>
  </si>
  <si>
    <t>East. J. Eur. Stud.</t>
  </si>
  <si>
    <t>10.47743/ejes-2023-0203</t>
  </si>
  <si>
    <t>Area Studies</t>
  </si>
  <si>
    <t>ED6V8</t>
  </si>
  <si>
    <t>WOS:001137028500012</t>
  </si>
  <si>
    <t>Hussain, M</t>
  </si>
  <si>
    <t>Hussain, Muhammad</t>
  </si>
  <si>
    <t>When, Where, and Which?: Navigating the Intersection of Computer Vision and Generative AI for Strategic Business Integration</t>
  </si>
  <si>
    <t>IEEE ACCESS</t>
  </si>
  <si>
    <t>Computer vision; generative AI; machine vision; business intelligence; automation</t>
  </si>
  <si>
    <t>ARTIFICIAL-INTELLIGENCE; RECOGNITION; CHARACTERS; PRODUCTS</t>
  </si>
  <si>
    <t>In today's rapidly evolving digital landscape, Artificial Intelligence (AI) exerts a profound influence on our daily lives, from predictive text in emails to the ever-present virtual assistants like Alexa and Siri. This scholarly article embarks on a comprehensive exploration of the expansive world of Artificial Intelligence, with a keen focus on the domains of generative AI and computer vision. Our objective is to provide businesses with a nuanced and in-depth understanding of these critical AI subfields. By doing so, we empower organizations to make informed and strategic decisions regarding the adoption of generative AI and computer vision technologies. Our ultimate goal is to equip businesses with the knowledge and insights necessary to harness the potential of these AI domains effectively, driving innovation and bolstering their competitive edge in an increasingly technology-driven world.</t>
  </si>
  <si>
    <t>[Hussain, Muhammad] Univ Huddersfield, Dept Comp Sci, Huddersfield HD1 3DH, England</t>
  </si>
  <si>
    <t>University of Huddersfield</t>
  </si>
  <si>
    <t>Hussain, M (corresponding author), Univ Huddersfield, Dept Comp Sci, Huddersfield HD1 3DH, England.</t>
  </si>
  <si>
    <t>m.hussain@hud.ac.uk</t>
  </si>
  <si>
    <t>Hussain, Muhammad/0000-0001-8458-6202</t>
  </si>
  <si>
    <t>IEEE-INST ELECTRICAL ELECTRONICS ENGINEERS INC</t>
  </si>
  <si>
    <t>PISCATAWAY</t>
  </si>
  <si>
    <t>445 HOES LANE, PISCATAWAY, NJ 08855-4141 USA</t>
  </si>
  <si>
    <t>2169-3536</t>
  </si>
  <si>
    <t>IEEE Access</t>
  </si>
  <si>
    <t>10.1109/ACCESS.2023.3332468</t>
  </si>
  <si>
    <t>Computer Science, Information Systems; Engineering, Electrical &amp; Electronic; Telecommunications</t>
  </si>
  <si>
    <t>Computer Science; Engineering; Telecommunications</t>
  </si>
  <si>
    <t>Z3ME5</t>
  </si>
  <si>
    <t>WOS:001111139800001</t>
  </si>
  <si>
    <t>Golab-Andrzejak, E</t>
  </si>
  <si>
    <t>Golab-Andrzejak, Edyta</t>
  </si>
  <si>
    <t>The Impact of Generative AI and ChatGPT on Creating Digital Advertising Campaigns</t>
  </si>
  <si>
    <t>CYBERNETICS AND SYSTEMS</t>
  </si>
  <si>
    <t>Artificial intelligence (AI); ChatGPT; digital advertising campaign; digital marketing; generative AI (GAI)</t>
  </si>
  <si>
    <t>ARTIFICIAL-INTELLIGENCE; TECHNOLOGIES</t>
  </si>
  <si>
    <t>The use of AI-based solutions is currently discussed in relation to various industries. The proliferation of tools based on generative artificial intelligence (GAI), including the emergence of ChatGPT, has resulted in testing as a first step and implementations in further areas of business life, including marketing, as a second step. Still only a few studies have analyzed and evaluated specific solutions for different areas of marketing, including advert design. In order to fill this gap, areas where GAI and ChatGPT are used during the various stages of creating a digital advertising campaign have been identified. Therefore, the aim of this paper is to investigate the impact of GAI and ChatGPT on theory and practice on different stages of the digital advertising campaign building process. This objective is followed by a research question: how can marketers use GAI and ChatGPT to create an effective digital advertising campaign? The process of building a digital advertising campaign should be considered and analyzed in terms of the impact of using GAI and ChatGPT technology and, at the same time, the role played by marketers at each stage and their contribution to this process in collaboration with GAI-based tools. This article is intended as a preliminary exploration of the impact of using GAI and ChatGPT on the digital marketing campaign building process. Therefore, the methodology applied includes critical literature analysis, secondary data analysis and individual in depth interview (IDI) with an expert (CEO of a advertising agency). This represents a first step in the study, to be followed by in-depth empirical research (qualitative as well as quantitative) to verify and develop the conclusions drawn. The article analyses the impact of using generative AI and ChatGPT on the process of creating an advertising campaign in digital media from a theoretical and practical point of view. Theoretical and managerial implications are also presented.</t>
  </si>
  <si>
    <t>[Golab-Andrzejak, Edyta] Gdansk Univ Technol, Fac Management &amp; Econ, Gdansk, Poland; [Golab-Andrzejak, Edyta] Gdansk Univ Technol, Fac Management &amp; Econ, Ul G Narutowicza 11-12, PL-80233 Gdansk, Poland</t>
  </si>
  <si>
    <t>Fahrenheit Universities; Gdansk University of Technology; Fahrenheit Universities; Gdansk University of Technology</t>
  </si>
  <si>
    <t>Golab-Andrzejak, E (corresponding author), Gdansk Univ Technol, Fac Management &amp; Econ, Ul G Narutowicza 11-12, PL-80233 Gdansk, Poland.</t>
  </si>
  <si>
    <t>edyandrz@pg.edu.pl</t>
  </si>
  <si>
    <t>Gołąb-Andrzejak, Edyta/W-7327-2018</t>
  </si>
  <si>
    <t>Gołąb-Andrzejak, Edyta/0000-0002-7969-3019</t>
  </si>
  <si>
    <t>0196-9722</t>
  </si>
  <si>
    <t>1087-6553</t>
  </si>
  <si>
    <t>CYBERNET SYST</t>
  </si>
  <si>
    <t>Cybern. Syst.</t>
  </si>
  <si>
    <t>2023 DEC 16</t>
  </si>
  <si>
    <t>10.1080/01969722.2023.2296253</t>
  </si>
  <si>
    <t>Computer Science, Cybernetics</t>
  </si>
  <si>
    <t>CY0F4</t>
  </si>
  <si>
    <t>WOS:001128668500001</t>
  </si>
  <si>
    <t>Dwivedi, YK; Kshetri, N; Hughes, L; Slade, EL; Jeyaraj, A; Kar, AK; Baabdullah, AM; Koohang, A; Raghavan, V; Ahuja, M; Albanna, H; Albashrawi, MA; Al-Busaidi, AS; Balakrishnan, J; Barlette, Y; Basu, S; Bose, I; Brooks, L; Buhalis, D; Carter, L; Chowdhury, S; Crick, T; Cunningham, SW; Davies, GH; Davison, RM; De, RH; Dennehy, D; Duan, YQ; Dubey, R; Dwivedi, R; Edwards, JS; Flavian, C; Gauld, R; Grover, V; Hu, MC; Janssen, M; Jones, P; Junglas, I; Khorana, S; Kraus, S; Larsen, KR; Latreille, P; Laumer, S; Malik, FT; Mardani, A; Mariani, M; Mithas, S; Mogaji, E; Nord, JH; O'Connor, S; Okumus, F; Pagani, M; Pandey, N; Papagiannidis, S; Pappas, IO; Pathak, N; Pries-Heje, J; Raman, R; Rana, NP; Rehm, SV; Ribeiro-Navarrete, S; Richter, A; Rowe, F; Sarker, S; Stahl, BC; Tiwari, MK; van der Aalst, W; Venkatesh, V; Viglia, G; Wade, M; Walton, P; Wirtz, J; Wright, R</t>
  </si>
  <si>
    <t>Dwivedi, Yogesh K.; Kshetri, Nir; Hughes, Laurie; Slade, Emma Louise; Jeyaraj, Anand; Kar, Arpan Kumar; Baabdullah, Abdullah M.; Koohang, Alex; Raghavan, Vishnupriya; Ahuja, Manju; Albanna, Hanaa; Albashrawi, Mousa Ahmad; Al-Busaidi, Adil S.; Balakrishnan, Janarthanan; Barlette, Yves; Basu, Sriparna; Bose, Indranil; Brooks, Laurence; Buhalis, Dimitrios; Carter, Lemuria; Chowdhury, Soumyadeb; Crick, Tom; Cunningham, Scott W.; Davies, Gareth H.; Davison, Robert M.; De, Rahul; Dennehy, Denis; Duan, Yanqing; Dubey, Rameshwar; Dwivedi, Rohita; Edwards, John S.; Flavian, Carlos; Gauld, Robin; Grover, Varun; Hu, Mei-Chih; Janssen, Marijn; Jones, Paul; Junglas, Iris; Khorana, Sangeeta; Kraus, Sascha; Larsen, Kai R.; Latreille, Paul; Laumer, Sven; Malik, F. Tegwen; Mardani, Abbas; Mariani, Marcello; Mithas, Sunil; Mogaji, Emmanuel; Nord, Jeretta Horn; O'Connor, Siobhan; Okumus, Fevzi; Pagani, Margherita; Pandey, Neeraj; Papagiannidis, Savvas; Pappas, Ilias O.; Pathak, Nishith; Pries-Heje, Jan; Raman, Ramakrishnan; Rana, Nripendra P.; Rehm, Sven-Volker; Ribeiro-Navarrete, Samuel; Richter, Alexander; Rowe, Frantz; Sarker, Suprateek; Stahl, Bernd Carsten; Tiwari, Manoj Kumar; van der Aalst, Wil; Venkatesh, Viswanath; Viglia, Giampaolo; Wade, Michael; Walton, Paul; Wirtz, Jochen; Wright, Ryan</t>
  </si>
  <si>
    <t>So what if ChatGPT wrote it? Multidisciplinary perspectives on opportunities, challenges and implications of generative conversational AI for research, practice and policy</t>
  </si>
  <si>
    <t>INTERNATIONAL JOURNAL OF INFORMATION MANAGEMENT</t>
  </si>
  <si>
    <t>Conversational agent; Generative artificial intelligence; Generative AI; ChatGPT; Large language models</t>
  </si>
  <si>
    <t>ARTIFICIAL-INTELLIGENCE; HIGHER-EDUCATION; DECISION-MAKING; SYSTEMS; FUTURE; TRANSFORMATION; RESISTANCE; SERVICES; CALCULATORS; TECHNOLOGY</t>
  </si>
  <si>
    <t>Transformative artificially intelligent tools, such as ChatGPT, designed to generate sophisticated text indistin-guishable from that produced by a human, are applicable across a wide range of contexts. The technology presents opportunities as well as, often ethical and legal, challenges, and has the potential for both positive and negative impacts for organisations, society, and individuals. Offering multi-disciplinary insight into some of these, this article brings together 43 contributions from experts in fields such as computer science, marketing, information systems, education, policy, hospitality and tourism, management, publishing, and nursing. The contributors acknowledge ChatGPT's capabilities to enhance productivity and suggest that it is likely to offer significant gains in the banking, hospitality and tourism, and information technology industries, and enhance business activities, such as management and marketing. Nevertheless, they also consider its limitations, dis-ruptions to practices, threats to privacy and security, and consequences of biases, misuse, and misinformation. However, opinion is split on whether ChatGPT's use should be restricted or legislated. Drawing on these con-tributions, the article identifies questions requiring further research across three thematic areas: knowledge, transparency, and ethics; digital transformation of organisations and societies; and teaching, learning, and scholarly research. The avenues for further research include: identifying skills, resources, and capabilities needed to handle generative AI; examining biases of generative AI attributable to training datasets and processes; exploring business and societal contexts best suited for generative AI implementation; determining optimal combinations of human and generative AI for various tasks; identifying ways to assess accuracy of text produced by generative AI; and uncovering the ethical and legal issues in using generative AI across different contexts.</t>
  </si>
  <si>
    <t>[Dwivedi, Yogesh K.; Hughes, Laurie; Dennehy, Denis] Swansea Univ, Sch Management, Digital Futures Sustainable Business &amp; Soc Res Grp, Bay Campus, Swansea, Wales; [Dwivedi, Yogesh K.] Pune &amp; Symbiosis Int Deemed Univ, Symbiosis Inst Business Management, Dept Management, Pune, Maharashtra, India; [Kshetri, Nir] Univ North Carolina Greensboro, Bryan Sch Business &amp; Econ, Greensboro, NC USA; [Slade, Emma Louise] Univ Bristol, Business Sch, Bristol BS8 1S, England; [Jeyaraj, Anand] Wright State Univ, Raj Soin Coll Business, Information Syst, 3640 Colonel Glenn Highway, Dayton, OH 45435 USA; [Kar, Arpan Kumar] Indian Inst Technol Delhi, Sch Artificial Intelligence, Hauz Khas, New Delhi, India; [Kar, Arpan Kumar] Indian Inst Technol Delhi, Dept Management Studies, Hauz Khas, New Delhi, India; [Baabdullah, Abdullah M.] King Abdulaziz Univ, Fac Econ &amp; Adm, Dept Management Informat Syst, Jeddah, Saudi Arabia; [Koohang, Alex] Middle Georgia State Univ, Sch Comp, Macon, GA USA; [Raghavan, Vishnupriya] NIIT Ltd, Client Advisory &amp; Transformat, Stackroute, Bengaluru, India; [Ahuja, Manju] Univ Louisville, Coll Business, Dept Informat Syst Analyt &amp; Operat, Louisville, KY USA; [Albanna, Hanaa] Northumbria Univ London, London, England; [Albashrawi, Mousa Ahmad] KFUPM Business Sch, IRC FDE, KFUPM, ISOM, Dhahran, Saudi Arabia; [Al-Busaidi, Adil S.] Sultan Qaboos Univ, Innovat &amp; Technol Transfer Ctr, Seeb, Oman; [Al-Busaidi, Adil S.] Sultan Qaboos Univ, Dept Business Commun, Seeb, Oman; [Balakrishnan, Janarthanan] Natl Inst Technol, Dept Management Studies, Tiruchirappalli, India; [Barlette, Yves] Montpellier Business Sch MBS, Montpellier, France; [Basu, Sriparna] FORE Sch Management, New Delhi, India; [Bose, Indranil] Indian Inst Management Ahmedabad, Ahmadabad 380015, India; [Brooks, Laurence] Univ Sheffield, Informat Sch, Sheffield, England; [Buhalis, Dimitrios] Bournemouth Univ Business Sch, Poole, Dorset, England; [Carter, Lemuria] Univ New South Wales, Sch Informat Syst &amp; Technol Management, Sydney, Australia; [Chowdhury, Soumyadeb] TBS Business Sch, Informat Operat &amp; Management Sci Dept, 1 Pl Alphonse Jourdain, F-31068 Toulouse, France; [Crick, Tom] Swansea Univ, Dept Educ &amp; Childhood Studies, Swansea, Wales; [Cunningham, Scott W.] Univ Strathclyde, Fac Humanities &amp; Social Sci, Glasgow G1 1XQ, Scotland; [Davies, Gareth H.] Swansea Univ, Sch Management, Swansea, Wales; [Davison, Robert M.] City Univ Hong Kong, Dept Informat Syst, Hong Kong, Peoples R China; [De, Rahul] Indian Inst Management Bangalore, Bangalore, India; [Duan, Yanqing] Univ Bedfordshire, Business &amp; Management Res Inst, Luton, England; [Dubey, Rameshwar] Montpellier Business Sch, Montpellier, France; [Dubey, Rameshwar] Liverpool John Moores Univ, Liverpool Business Sch, Liverpool, England; [Dwivedi, Rohita] Prin L N Welingkar Inst Management Dev &amp; Res, Mumbai, India; [Edwards, John S.] Aston Business Sch, Operat &amp; Informat Management Dept, Birmingham, England; [Flavian, Carlos] Univ Zaragoza, Fac Econ &amp; Business, Dept Mkt &amp; Mkt Management, Zaragoza, Spain; [Gauld, Robin] Univ Otago, Ctr Hlth Syst &amp; Technol, Otago Business Sch, Dunedin, New Zealand; [Grover, Varun] Univ Arkansas, Walton Coll Business, Distinguished Prof &amp; George &amp; Boyce Billingsley E, IS Doctoral Program, Room 216, Fayetteville, AR 72703 USA; [Hu, Mei-Chih] Natl Tsing Hua Univ, Inst Technol Management, Hsinchu 300, Taiwan; [Janssen, Marijn] Delft Univ Technol, Fac Technol Policy &amp; Management, Delft, Netherlands; [Jones, Paul] Swansea Univ, Sch Management, Swansea, Wales; [Junglas, Iris] Coll Charleston, Sch Business, Charleston, SC USA; [Khorana, Sangeeta] Bournemouth Univ, Business Sch, Poole, England; [Kraus, Sascha] Free Univ Bozen Bolzano, Univ Johannesburg, Johannesburg, South Africa; [Larsen, Kai R.] Univ Colorado, Leeds Sch Business, Boulder, CO USA; [Latreille, Paul] Univ Sheffield, Sheffield Univ Management Sch, Sheffield, England; [Laumer, Sven] Friedrich Alexander Univ Erlangen Nuremberg, Inst Informat Syst Nurnberg, Scholler Endowed Chair Informat Syst, Sch Business, Nurnberg, Germany; [Malik, F. Tegwen] Swansea Univ, Sch Management, Bay Campus, Swansea SA1 8EN, Wales; [Mardani, Abbas] Worcester Polytech Inst, Business Sch, Worcester, MA 01609 USA; [Mariani, Marcello] Univ Reading, Henley Business Sch, Henley On Thames, Oxon, England; [Mariani, Marcello] Univ Bologna, Dept Management, Bologna, Italy; [Mithas, Sunil] Univ S Florida, Sch Informat Syst &amp; Management, Tampa, FL USA; [Mogaji, Emmanuel] Univ Greenwich, Greenwich Business Sch, London SE10 9LS, England; [Nord, Jeretta Horn] Oklahoma State Univ, Spears Sch Business, Management Sci &amp; Informat Syst, Stillwater, OK 74078 USA; [O'Connor, Siobhan] Univ Manchester, Sch Hlth Sci, Div Nursing Midwifery &amp; Social Work, Manchester, Lancs, England; [Okumus, Fevzi] Univ Cent Florida, Rosen Coll Hospitality Management, 9907 Universal Blvd, Orlando, FL 32819 USA; [Okumus, Fevzi] WSB Univ, Dept Business, Wroclaw, Poland; [Pagani, Margherita] SKEMA Res Ctr Artificial Intelligence, SKEMA Business Sch, 5 quai Marcel Dassault, Suresnes, France; [Pandey, Neeraj] Natl Inst Ind Engn NITIE, Mumbai, India; [Papagiannidis, Savvas] Newcastle Univ, Business Sch, Newcastle Upon Tyne, Northumberland, England; [Pappas, Ilias O.] Univ Agder, Dept Informat Syst, Kristiansand, Norway; [Pappas, Ilias O.] Norwegian Univ Sci &amp; Technol, Dept Comp Sci, Trondheim, Norway; [Pathak, Nishith] Microsoft AI MVP &amp; Microsoft Reg DirectorGlobal l, Delhi, India; [Pries-Heje, Jan] Roskilde Univ, Dept People &amp; Technol, Roskilde, Denmark; [Raman, Ramakrishnan] Pune &amp; Symbiosis Int Deemed Univ, Symbiosis Inst Business Management, Pune, India; [Rana, Nripendra P.] Qatar Univ, Coll Business &amp; Econ, Dept Management &amp; Mkt, POB 2713, Doha, Qatar; [Rehm, Sven-Volker] Univ Strasbourg, HuManiS Res Ctr Humans &amp; Management Soc, EM Strasbourg Business Sch, UR 7308, Strasbourg, France; [Ribeiro-Navarrete, Samuel] ES Univ, Spain &amp; Univ Econ &amp; Human Sci, Warsaw, Poland; [Richter, Alexander] Wellington Sch Business &amp; Govt, Rutherford House, 23 Lambton Quay, Wellington, New Zealand; [Rowe, Frantz] Nantes Univ, SKEMA Business Sch, LEMNA, Nantes, France; [Sarker, Suprateek] Univ Virginia, McIntire Sch Commerce, Rolls Royce Commonwealth Commerce, Charlottesville, VA USA; [Stahl, Bernd Carsten] Univ Nottingham, Sch Comp Sci, Nottingham, England; [van der Aalst, Wil] Rhein Westfal TH Aachen, Proc &amp; Data Sci, Ahornstr 55, D-52074 Aachen, Germany; [Venkatesh, Viswanath] Virginia TechBlacksburg, Pamplin Coll Business, Business, Blacksburg, VA USA; [Viglia, Giampaolo] Univ Portsmouth, Dept Strategy Mkt &amp; Innovat, Richmond Bldg, Portsmouth, Hampshire, England; [Viglia, Giampaolo] Univ Aosta Valley, Dept Econ &amp; Polit Sci, Aosta, Italy; [Wade, Michael] IMD Business Sch, Global Ctr Digital Business Transformat, Digital Transformat, Lausanne, Switzerland; [Walton, Paul] Capgemini UK Ltd, London, England; [Wirtz, Jochen] Natl Univ Singapore, Dept Mkt, Singapore, Singapore</t>
  </si>
  <si>
    <t>Swansea University; Symbiosis International University; Symbiosis Institute of Business Management (SIBM) Pune; University of North Carolina; University of North Carolina Greensboro; University of Bristol; University System of Ohio; Wright State University Dayton; Indian Institute of Technology System (IIT System); Indian Institute of Technology (IIT) - Delhi; Indian Institute of Technology System (IIT System); Indian Institute of Technology (IIT) - Delhi; King Abdulaziz University; University of Louisville; King Fahd University of Petroleum &amp; Minerals; National Institute of Technology (NIT System); National Institute of Technology Tiruchirappalli; FORE School of Management; Indian Institute of Management (IIM System); Indian Institute of Management Ahmedabad; University of Sheffield; University of New South Wales Sydney; Swansea University; University of Strathclyde; Swansea University; City University of Hong Kong; Indian Institute of Management (IIM System); Indian Institute of Management Bangalore; University of Bedfordshire; Montpellier Business School; University of Liverpool; Liverpool John Moores University; Aston University; University of Zaragoza; University of Otago; University of Arkansas System; University of Arkansas Fayetteville; National Tsing Hua University; Delft University of Technology; Swansea University; College of Charleston; Bournemouth University; University of Johannesburg; University of Colorado System; University of Colorado Boulder; University of Sheffield; University of Erlangen Nuremberg; Swansea University; Worcester Polytechnic Institute; University of Reading; University of Bologna; State University System of Florida; University of South Florida; University of Greenwich; Oklahoma State University System; Oklahoma State University - Stillwater; University of Manchester; State University System of Florida; University of Central Florida; SKEMA Business School; National Institute of Industrial Engineering (NITIE); Newcastle University - UK; University of Agder; Norwegian University of Science &amp; Technology (NTNU); Roskilde University; Symbiosis International University; Symbiosis Institute of Business Management (SIBM) Pune; Qatar University; Universites de Strasbourg Etablissements Associes; Universite de Strasbourg; SKEMA Business School; Nantes Universite; University of Virginia; University of Nottingham; RWTH Aachen University; Virginia Polytechnic Institute &amp; State University; University of Portsmouth; Universita Della Valle D'aosta; International Institute for Management Development (IMD); National University of Singapore</t>
  </si>
  <si>
    <t>Dwivedi, YK (corresponding author), Swansea Univ, Sch Management, Digital Futures Sustainable Business &amp; Soc Res Grp, Bay Campus, Swansea, Wales.</t>
  </si>
  <si>
    <t>y.k.dwivedi@swansea.ac.uk</t>
  </si>
  <si>
    <t>Balakrishnan, Janarthanan/H-9687-2012; Brooks, Laurence/AAN-8456-2021; Janssen, Marijn/H-6223-2013; Mariani, Marcello/ABW-5250-2022; Edwards, John Steven/AAC-9878-2020; Al-Busaidi, Adil/ABG-4934-2020; Pandey, Neeraj/D-1968-2013; Larsen, Kai/AAF-7117-2021; Mardani, Abbas/D-5700-2015; Pappas, Ilias/JPA-1685-2023; Raman, Ramakrishnan/U-2170-2017; Malik, Tegwen/JMQ-0671-2023; Venkatesh, Viswanath/ABD-9343-2020; Stahl, Bernd Carsten/AAK-4828-2021; Wright, Ryan/ABG-3527-2021; Dwivedi, Yogesh Kumar/A-5362-2008; Mogaji, Emmanuel/B-8900-2014; Ribeiro-Navarrete, Samuel/GXW-2229-2022; Viglia, Giampaolo/Q-1537-2019; Wirtz, Jochen/P-3235-2015; Crick, Tom/C-8481-2011; Baabdullah, Abdullah M./AAX-8282-2020; Gauld, Robin/JXW-8425-2024; DUBEY, Rameshwar/U-7022-2018; Kar, Arpan Kumar/B-9999-2009; Wright, Ryan Timothy/L-4600-2019; BARLETTE, Yves/S-5893-2016; Davison, Robert/E-4383-2013; O'Connor, Siobhan/D-8140-2015</t>
  </si>
  <si>
    <t>Brooks, Laurence/0000-0002-5456-8799; Janssen, Marijn/0000-0001-6211-8790; Mariani, Marcello/0000-0002-7916-2576; Edwards, John Steven/0000-0003-3979-017X; Al-Busaidi, Adil/0000-0002-0959-7419; Pandey, Neeraj/0000-0002-6238-6397; Mardani, Abbas/0000-0003-1010-3655; Raman, Ramakrishnan/0000-0003-3642-6989; Malik, Tegwen/0000-0003-4315-5726; Venkatesh, Viswanath/0000-0001-8473-376X; Stahl, Bernd Carsten/0000-0002-4058-4456; Dwivedi, Yogesh Kumar/0000-0002-5547-9990; Mogaji, Emmanuel/0000-0003-0544-4842; Viglia, Giampaolo/0000-0001-8521-4988; Wirtz, Jochen/0000-0002-6297-4498; Crick, Tom/0000-0001-5196-9389; DUBEY, Rameshwar/0000-0002-3913-030X; Kar, Arpan Kumar/0000-0003-4186-4887; Wright, Ryan Timothy/0000-0002-9719-415X; Cunningham, Scott/0000-0001-7140-916X; BARLETTE, Yves/0000-0001-6106-7274; Davison, Robert/0000-0002-7243-3521; Rehm, Sven-Volker/0000-0002-9785-6707; O'Connor, Siobhan/0000-0001-8579-1718</t>
  </si>
  <si>
    <t>London</t>
  </si>
  <si>
    <t>125 London Wall, London, ENGLAND</t>
  </si>
  <si>
    <t>0268-4012</t>
  </si>
  <si>
    <t>1873-4707</t>
  </si>
  <si>
    <t>INT J INFORM MANAGE</t>
  </si>
  <si>
    <t>Int. J. Inf. Manage.</t>
  </si>
  <si>
    <t>10.1016/j.ijinfomgt.2023.102642</t>
  </si>
  <si>
    <t>MAR 2023</t>
  </si>
  <si>
    <t>A3SX6</t>
  </si>
  <si>
    <t>Green Published, hybrid, Green Accepted</t>
  </si>
  <si>
    <t>Y</t>
  </si>
  <si>
    <t>WOS:000954374300001</t>
  </si>
  <si>
    <t>Vartiainen, H; Tedre, M; Jormanainen, I</t>
  </si>
  <si>
    <t>Vartiainen, Henriikka; Tedre, Matti; Jormanainen, Ilkka</t>
  </si>
  <si>
    <t>Co-creating digital art with generative AI in K-9 education: Socio-material insights</t>
  </si>
  <si>
    <t>INTERNATIONAL JOURNAL OF EDUCATION THROUGH ART</t>
  </si>
  <si>
    <t>artificial intelligence; text-to-image genera-tive models; generative AI; Midjourney; K-12; school education; prompt crafting; prompt engineering</t>
  </si>
  <si>
    <t>The rise of image-generating artificial intelligence (AI) tools has triggered changes in digital art and graphic design, provoking debates in the creative industry. However, scant research exists about children's and youths' insights into and encounters with generative AI. Building on sociocultural and new materialist perspectives, this exploratory study proposed to address this gap by exploring middle schoolers' (N = 10) creative interaction with generative AI, particularly with text-to-image generative models. Qualitative content analyses of emerging learning activities evidenced how generative AI-formed relations were external-ized through novel digital artefacts and collaborative discussions. Ideas evolved through peer collaboration organized around creative making with AI. Teachers facilitated relations between people and technology using dialogic teaching, provid-ing room for unpredictability and critical reflection on the impacts of generative</t>
  </si>
  <si>
    <t>[Vartiainen, Henriikka] Univ Eastern Finland, Sch Appl Educ Sci &amp; Teacher Educ, POB 111, FI-80101 Joensuu, Finland; [Tedre, Matti; Jormanainen, Ilkka] Univ Eastern Finland, Sch Comp, POB 111, FI-80101 Joensuu, Finland</t>
  </si>
  <si>
    <t>University of Eastern Finland; University of Eastern Finland</t>
  </si>
  <si>
    <t>Vartiainen, H (corresponding author), Univ Eastern Finland, Sch Appl Educ Sci &amp; Teacher Educ, POB 111, FI-80101 Joensuu, Finland.</t>
  </si>
  <si>
    <t>henriikka.vartiainen@uef.fi; matti.tedre@uef.fi; ilkka.jormanainen@uef.fi</t>
  </si>
  <si>
    <t>Jormanainen, Ilkka/0000-0003-3254-2480</t>
  </si>
  <si>
    <t>Strategic Research Council (SRC) within the Academy of Finland [352859, 352876]</t>
  </si>
  <si>
    <t>Strategic Research Council (SRC) within the Academy of Finland</t>
  </si>
  <si>
    <t>This study received funding from the Strategic Research Council (SRC) established within the Academy of Finland, grants #352859 and #352876.</t>
  </si>
  <si>
    <t>INTELLECT LTD</t>
  </si>
  <si>
    <t>BRISTOL</t>
  </si>
  <si>
    <t>THE MILL, PARNALL RD, BRISTOL, BS16 3JG, ENGLAND</t>
  </si>
  <si>
    <t>1743-5234</t>
  </si>
  <si>
    <t>2040-090X</t>
  </si>
  <si>
    <t>INT J EDUC ART</t>
  </si>
  <si>
    <t>Int. J. Educ. Art</t>
  </si>
  <si>
    <t>SEP 1</t>
  </si>
  <si>
    <t>10.1386/eta_00143_1</t>
  </si>
  <si>
    <t>W4KV3</t>
  </si>
  <si>
    <t>WOS:001091338500008</t>
  </si>
  <si>
    <t>Park, D; An, GT; Kamyod, C; Kim, CG</t>
  </si>
  <si>
    <t>Park, Daeseung; An, Gi-taek; Kamyod, Chayapol; Kim, Cheong Ghil</t>
  </si>
  <si>
    <t>A Study on Performance Improvement of Prompt Engineering for Generative AI with a Large Language Model</t>
  </si>
  <si>
    <t>JOURNAL OF WEB ENGINEERING</t>
  </si>
  <si>
    <t>AI; large language model; generative AI; few-shot learning; prompt engineering; AI Chatbot.</t>
  </si>
  <si>
    <t>In the realm of Generative AI, where various models are introduced, prompt engineering emerges as a significant technique within natural language processing-based Generative AI. Its primary function lies in effectively enhancing the results of sentence generation by large language models (LLMs). Notably, prompt engineering has gained attention as a method capable of improving LLM performance by modifying the structure of input prompts alone. In this study, we apply prompt engineering to Korean-based LLMs, presenting an efficient approach for generating specific conversational responses with less data. We achieve this through the utilization of the query transformation module (QTM). Our proposed QTM transforms input prompt sentences into three distinct query methods, breaking them down into objectives and key points, making them more comprehensible for LLMs. For performance validation, we employ Korean versions of LLMs, specifically SKT GPT-2 and Kakaobrain KoGPT-3. We compare four different query methods, including the original unmodified query, using Google SSA to assess the naturalness and specificity of generated sentences. The results demonstrate an average improvement of 11.46% when compared to the unmodified query, underscoring the efficacy of the proposed QTM in achieving enhanced performance.</t>
  </si>
  <si>
    <t>[Park, Daeseung; Kim, Cheong Ghil] Namseoul Univ, Dept Comp Sci, Cheonan, South Korea; [An, Gi-taek] Korea Food Res Inst, Wonju 55365, South Korea; [Kamyod, Chayapol] Mae Fah Luang Univ, Sch Informat Technol, Comp &amp; Commun Engn Capac Bldg Res Ctr, Chiang Rai 57100, Thailand</t>
  </si>
  <si>
    <t>Namseoul University; Korea Food Research Institute (KFRI); Mae Fah Luang University</t>
  </si>
  <si>
    <t>Kim, CG (corresponding author), Namseoul Univ, Dept Comp Sci, Cheonan, South Korea.</t>
  </si>
  <si>
    <t>dspark@daeseungpark.com; gt@kfri.re.kr; chayapol.kam@mfu.ac.th; cgkim@nsu.ac.kr</t>
  </si>
  <si>
    <t>National Research Foundation of Korea Grant - Korean Government [NRF-2021R1I1A4A01049755]; MSIT (Ministry of Science and ICT), Korea, under the ITRC (Information Technology Research Center) support program [IITP-2020-001846]</t>
  </si>
  <si>
    <t>National Research Foundation of Korea Grant - Korean Government(National Research Foundation of Korea); MSIT (Ministry of Science and ICT), Korea, under the ITRC (Information Technology Research Center) support program(Ministry of Science &amp; ICT (MSIT), Republic of KoreaMinistry of Science, ICT &amp; Future Planning, Republic of Korea)</t>
  </si>
  <si>
    <t>This work was supported by the National Research Foundation of Korea Grant funded by the Korean Government (NRF-2021R1I1A4A01049755) and by the MSIT (Ministry of Science and ICT), Korea, under the ITRC (Information Technology Research Center) support program (IITP-2020-001846) supervised by the IITP (Institute of Information and Communications Technology Planning and Evaluation).</t>
  </si>
  <si>
    <t>RIVER PUBLISHERS</t>
  </si>
  <si>
    <t>GISTRUP</t>
  </si>
  <si>
    <t>ALSBJERGVEJ 10, GISTRUP, 9260, DENMARK</t>
  </si>
  <si>
    <t>1540-9589</t>
  </si>
  <si>
    <t>1544-5976</t>
  </si>
  <si>
    <t>J WEB ENG</t>
  </si>
  <si>
    <t>J. Web Eng.</t>
  </si>
  <si>
    <t>10.13052/jwe1540-9589.2285</t>
  </si>
  <si>
    <t>KY5W4</t>
  </si>
  <si>
    <t>WOS:001183552300005</t>
  </si>
  <si>
    <t>Philbin, CA</t>
  </si>
  <si>
    <t>Sentance, S; Grillenberger, M</t>
  </si>
  <si>
    <t>Philbin, Carrie Anne</t>
  </si>
  <si>
    <t>Impact of Generative AI on K-12 Students' Perceptions of Computing: A Research Proposal</t>
  </si>
  <si>
    <t>PROCEEDINGS OF THE 18TH WIPSCE CONFERENCE IN PRIMARY AND SECONDARY COMPUTING EDUCATION RESEARCH, WIPSCE 2023</t>
  </si>
  <si>
    <t>18th WiPSCE Conference on Primary and Secondary Computing Education Research (WiPSCE)</t>
  </si>
  <si>
    <t>SEP 27-29, 2023</t>
  </si>
  <si>
    <t>Cambridge, ENGLAND</t>
  </si>
  <si>
    <t>Univ Cambridge,Raspberry Pi Fdn,Raspberry Pl Comp Educ Res Ctr,German Informat Soc,, Comp Sci Educ,ACM In Cooperat,Google</t>
  </si>
  <si>
    <t>K-12 education; Artificial Intelligence education; Generative AI; Creative computing; Student perceptions</t>
  </si>
  <si>
    <t>The rapid progress of generative artificial intelligence (AI) is fundamentally reshaping traditional perspectives on knowledge and skills, with profound implications for computing education. This necessitates a thorough examination of the relevance and timeliness of computing as a subject, especially for K-12 students who are making critical decisions about their future qualifications. This abstract proposes an empirical research study that aims to explore the effects of integrating generative AI in the creation of digital artefacts on K-12 students' perceptions of the value of computing, as well as their understanding of ownership and achievement. Constructive discussions regarding the outlined approach are encouraged.</t>
  </si>
  <si>
    <t>[Philbin, Carrie Anne] Kings Coll London, Sch Educ Commun &amp; Policy, London, England</t>
  </si>
  <si>
    <t>University of London; King's College London</t>
  </si>
  <si>
    <t>Philbin, CA (corresponding author), Kings Coll London, Sch Educ Commun &amp; Policy, London, England.</t>
  </si>
  <si>
    <t>carrie.anne.philbin@kcl.ac.uk</t>
  </si>
  <si>
    <t>979-8-4007-0851-0</t>
  </si>
  <si>
    <t>10.1145/3605468.3609775</t>
  </si>
  <si>
    <t>Computer Science, Interdisciplinary Applications; Education &amp; Educational Research; Education, Scientific Disciplines</t>
  </si>
  <si>
    <t>BW2UE</t>
  </si>
  <si>
    <t>WOS:001125967700026</t>
  </si>
  <si>
    <t>Cardon, P; Fleischmann, C; Aritz, J; Logemann, M; Heidewald, J</t>
  </si>
  <si>
    <t>Cardon, Peter; Fleischmann, Carolin; Aritz, Jolanta; Logemann, Minna; Heidewald, Jeanette</t>
  </si>
  <si>
    <t>The Challenges and Opportunities of AI-Assisted Writing: Developing AI Literacy for the AI Age</t>
  </si>
  <si>
    <t>BUSINESS AND PROFESSIONAL COMMUNICATION QUARTERLY</t>
  </si>
  <si>
    <t>AI-assisted writing; generative AI; AI-mediated communication; AI literacy</t>
  </si>
  <si>
    <t>IN-THE-LOOP; INFORMATION-TECHNOLOGY; COMMUNICATION; ACCEPTANCE</t>
  </si>
  <si>
    <t>Generative AI may significantly disrupt the teaching and practice of business communication. This study of 343 communication instructors revealed a collective view that AI-assisted writing will be widely adopted in the workplace and will require significant changes to instruction. Key perceived challenges include less critical thinking and authenticity in writing. Key perceived benefits include more efficiency and better idea generation in writing. Students will need to develop AI literacy-composed of application, authenticity, accountability, and agency-to succeed in the workplace. Recommendations are provided for instructors and administrators to ensure the benefits of AI-assisted writing can outweigh the challenges.</t>
  </si>
  <si>
    <t>[Cardon, Peter; Aritz, Jolanta] Univ Southern Calif, South Jordan, UT USA; [Fleischmann, Carolin] Rosenheim Tech Univ Appl Sci, Rosenheim, Germany; [Logemann, Minna] Baruch Coll, New York, NY USA; [Heidewald, Jeanette] Indiana Univ, Bloomington, IN USA; [Cardon, Peter] Univ Southern Calif, 3225 W Mossey Creek Ln, South Jordan, UT 84095 USA</t>
  </si>
  <si>
    <t>University of Southern California; City University of New York (CUNY) System; Baruch College (CUNY); Indiana University System; Indiana University Bloomington; University of Southern California</t>
  </si>
  <si>
    <t>Cardon, P (corresponding author), Univ Southern Calif, 3225 W Mossey Creek Ln, South Jordan, UT 84095 USA.</t>
  </si>
  <si>
    <t>cardon@marshall.usc.edu</t>
  </si>
  <si>
    <t>Heidewald, Jeanette/JRX-9144-2023</t>
  </si>
  <si>
    <t>Fleischmann, Carolin/0009-0001-5475-994X; Cardon, Peter/0000-0002-4574-4439</t>
  </si>
  <si>
    <t>2329-4906</t>
  </si>
  <si>
    <t>2329-4922</t>
  </si>
  <si>
    <t>BUS PROF COMMUN Q</t>
  </si>
  <si>
    <t>Bus. Prof. Commun. Q.</t>
  </si>
  <si>
    <t>10.1177/23294906231176517</t>
  </si>
  <si>
    <t>M7WK6</t>
  </si>
  <si>
    <t>WOS:001032281200002</t>
  </si>
  <si>
    <t>Nakagawa, H; Honiden, S</t>
  </si>
  <si>
    <t>Schneider, K; Dalpiaz, F; Horkoff, J</t>
  </si>
  <si>
    <t>Nakagawa, Hiroyuki; Honiden, Shinichi</t>
  </si>
  <si>
    <t>MAPE-K Loop-based Goal Model Generation Using Generative AI</t>
  </si>
  <si>
    <t>2023 IEEE 31ST INTERNATIONAL REQUIREMENTS ENGINEERING CONFERENCE WORKSHOPS, REW</t>
  </si>
  <si>
    <t>IEEE International Requirements Engineering Conference Workshops</t>
  </si>
  <si>
    <t>31st IEEE International Requirements Engineering Conference (RE)</t>
  </si>
  <si>
    <t>SEP 04-05, 2023</t>
  </si>
  <si>
    <t>Hannover, GERMANY</t>
  </si>
  <si>
    <t>Goal models; requirements analysis; large language models; generative AI; MAPE-K loop mechanism</t>
  </si>
  <si>
    <t>Goal modeling constitutes a systematic modeling of representation, specifically crafted to capture and depict stakeholders' intentions, desires, and objectives. Notwithstanding its importance, describing the entire scope of goals to be achieved remains a complex task. To address this challenge, we propose a semi-automatic goal model generation process. The feature of the process lies in its use of a generative AI based on the MAPE-K loop mechanism. We conducted two case studies that built goal models using this proposed process. The results demonstrate that our process, grounded on the MAPE-K loop mechanism, efficiently aids goal model construction.</t>
  </si>
  <si>
    <t>[Nakagawa, Hiroyuki] Osaka Univ, 51-5 Yamadaoka, Suita, Osaka 5650871, Japan; [Honiden, Shinichi] Natl Inst Informat, 2-1-2 Hitotsubashi,Chiyoda Ku, Tokyo 1018430, Japan</t>
  </si>
  <si>
    <t>Osaka University; Research Organization of Information &amp; Systems (ROIS); National Institute of Informatics (NII) - Japan</t>
  </si>
  <si>
    <t>Nakagawa, H (corresponding author), Osaka Univ, 51-5 Yamadaoka, Suita, Osaka 5650871, Japan.</t>
  </si>
  <si>
    <t>nakagawa@ist.osaka-u.ac.jp; honiden@nii.ac.jp</t>
  </si>
  <si>
    <t>2770-6826</t>
  </si>
  <si>
    <t>979-8-3503-2691-8</t>
  </si>
  <si>
    <t>Intern Req Engg Work</t>
  </si>
  <si>
    <t>10.1109/REW57809.2023.00050</t>
  </si>
  <si>
    <t>BV9BJ</t>
  </si>
  <si>
    <t>WOS:001085223300045</t>
  </si>
  <si>
    <t>Ebert, C; Louridas, P</t>
  </si>
  <si>
    <t>Ebert, Christof; Louridas, Panos</t>
  </si>
  <si>
    <t>Generative AI for Software Practitioners</t>
  </si>
  <si>
    <t>IEEE SOFTWARE</t>
  </si>
  <si>
    <t>Productivity; Industries; Auditory system; Chatbots; Software; Artificial intelligence; Software engineering</t>
  </si>
  <si>
    <t>Generative artificial intelligence (AI) tools, such as Bard, ChatGPT, and CoPilot, have rapidly gained widespread usage. They also have the potential to boost software engineering productivity. In this article, we elaborate technologies and usage of generative AI in the software industry. We address questions, such as: How does generative AI improve software productivity? How to connect generative AI to software development, and what are the risks? Which technologies have what sorts of benefits? Practitioner guidance and case studies are shared from our industry context. I look forward to hearing from you about this column and the technologies that matter most for your work.-Christof Ebert</t>
  </si>
  <si>
    <t>[Ebert, Christof] Vector Consulting Serv, D-70499 Stuttgart, Germany; [Louridas, Panos] Athens Univ Econ &amp; Business, Dept Management Sci &amp; Technol, Athens 10434, Greece; [Louridas, Panos] GRNET SA, Res &amp; Dev, Athens 11523, Greece</t>
  </si>
  <si>
    <t>Athens University of Economics &amp; Business</t>
  </si>
  <si>
    <t>Ebert, C (corresponding author), Vector Consulting Serv, D-70499 Stuttgart, Germany.</t>
  </si>
  <si>
    <t>christof.ebert@vector.com; louridas@aueb.gr</t>
  </si>
  <si>
    <t>Ebert, Christof/JXM-5500-2024</t>
  </si>
  <si>
    <t>Ebert, Christof/0000-0003-2287-1854</t>
  </si>
  <si>
    <t>10662 LOS VAQUEROS CIRCLE, PO BOX 3014, LOS ALAMITOS, CA 90720-1314 USA</t>
  </si>
  <si>
    <t>0740-7459</t>
  </si>
  <si>
    <t>1937-4194</t>
  </si>
  <si>
    <t>IEEE Softw.</t>
  </si>
  <si>
    <t>JUL-AUG</t>
  </si>
  <si>
    <t>10.1109/MS.2023.3265877</t>
  </si>
  <si>
    <t>Computer Science, Software Engineering</t>
  </si>
  <si>
    <t>M8KI3</t>
  </si>
  <si>
    <t>WOS:001032645500006</t>
  </si>
  <si>
    <t>Bozkurt, A</t>
  </si>
  <si>
    <t>Bozkurt, Aras</t>
  </si>
  <si>
    <t>Generative AI, Synthetic Contents, Open Educational Resources (OER), and Open Educational Practices (OEP): A New Front in the Openness Landscape</t>
  </si>
  <si>
    <t>OPEN PRAXIS</t>
  </si>
  <si>
    <t>Generative AI; co-creation with AI; AIEd; open educational resources (OER); open educational practices (OEP)</t>
  </si>
  <si>
    <t>This paper critically examines the transformation of the educational landscape through the integration of generative AI with Open Educational Resources (OER) and Open Educational Practices (OEP). The emergence of AI in content creation has ignited debate regarding its potential to comprehend and generate human language, creating content that is often indistinguishable from that produced by humans. This shift from organic (human-created) to synthetic (AI-created) content presents a new frontier in the educational sphere, particularly in the context of OER and OEP. The paper explores the generative AI's capabilities in OER and OEP, such as automatic content generation, resource curation, updating existing resources, co-creation and facilitating collaborative learning. Nevertheless, it underscores the importance of addressing challenges like the quality and reliability of AI-generated content, data privacy, and equitable access to AI technologies. The critical discussion extends to a contentious issue, ownership in OER/OEP. While AI-generated works lack human authorship and copyright protection, the question of legal liability and recognition of authorship remains a significant concern. In response, the concept of prompt engineering and co-creation with AI is presented as a potential solution, viewing AI not as authors, but powerful tools augmenting authors' abilities. By examining generative AI's integration with OER and OEP, this paper encourages further research and discussion to harness AI's power while addressing potential concerns, thereby contributing to the dialogue on responsible and effective use of generative AI in education.</t>
  </si>
  <si>
    <t>[Bozkurt, Aras] Anadolu Univ, Eskisehir, Turkiye</t>
  </si>
  <si>
    <t>Anadolu University</t>
  </si>
  <si>
    <t>Bozkurt, A (corresponding author), Anadolu Univ, Eskisehir, Turkiye.</t>
  </si>
  <si>
    <t>arasbozkurt@gmail.com</t>
  </si>
  <si>
    <t>BOZKURT, Aras/O-3654-2017</t>
  </si>
  <si>
    <t>BOZKURT, Aras/0000-0002-4520-642X</t>
  </si>
  <si>
    <t>Anadolu University, Scientific Research Projects Department [2207E099, SBA -2023-1852]</t>
  </si>
  <si>
    <t>Anadolu University, Scientific Research Projects Department</t>
  </si>
  <si>
    <t>Aras Bozkurt acknowledges the support of the Anadolu University, Scientific Research Projects Department with grant number 2207E099 and SBA -2023-1852.</t>
  </si>
  <si>
    <t>INT COUNCIL OPEN &amp; DISTANCE EDUCATION</t>
  </si>
  <si>
    <t>OSLO</t>
  </si>
  <si>
    <t>LILLEAKERVEIEN 23, OSLO, 0283, NORWAY</t>
  </si>
  <si>
    <t>2304-070X</t>
  </si>
  <si>
    <t>OPEN PRAX</t>
  </si>
  <si>
    <t>Open Prax.</t>
  </si>
  <si>
    <t>10.55982/openpraxis.15.3.579</t>
  </si>
  <si>
    <t>IA8H8</t>
  </si>
  <si>
    <t>WOS:001163687500009</t>
  </si>
  <si>
    <t>Devanny, J; Dylan, H; Grossfeld, E</t>
  </si>
  <si>
    <t>Devanny, Joe; Dylan, Huw; Grossfeld, Elena</t>
  </si>
  <si>
    <t>Generative AI and Intelligence Assessment</t>
  </si>
  <si>
    <t>RUSI JOURNAL</t>
  </si>
  <si>
    <t>AI has been used for years to improve collection and analysis in signals intelligence but this article explores the range of tasks generative AI can perform for strategic intelligence analysts. It argues that the most prudent integration of generative AI into intelligence assessment is as a 'co-pilot' for human analysts. Notwithstanding issues of inaccuracy, imported bias and 'hallucination', generative AI can liberate time-poor analysts to focus on tasks where humans add most value - applying their expertise, tacit knowledge and 'sense of reality'.</t>
  </si>
  <si>
    <t>[Devanny, Joe; Grossfeld, Elena] Kings Coll London, Dept War Studies, London, England; [Dylan, Huw] Kings Coll London, Dept War Studies, Intelligence &amp; Int Secur, London, England</t>
  </si>
  <si>
    <t>University of London; King's College London; University of London; King's College London</t>
  </si>
  <si>
    <t>Devanny, J (corresponding author), Kings Coll London, Dept War Studies, London, England.</t>
  </si>
  <si>
    <t>Dylan, Huw/0000-0003-4154-2300; Devanny, Joseph/0000-0001-6031-2397</t>
  </si>
  <si>
    <t>0307-1847</t>
  </si>
  <si>
    <t>1744-0378</t>
  </si>
  <si>
    <t>RUSI J</t>
  </si>
  <si>
    <t>RUSI J.</t>
  </si>
  <si>
    <t>2023 NOV 27</t>
  </si>
  <si>
    <t>10.1080/03071847.2023.2286775</t>
  </si>
  <si>
    <t>Political Science</t>
  </si>
  <si>
    <t>Z3QI2</t>
  </si>
  <si>
    <t>WOS:001111248000001</t>
  </si>
  <si>
    <t>De Freitas, J; Uguralp, AK; Oguz-Uguralp, Z; Puntoni, S</t>
  </si>
  <si>
    <t>De Freitas, Julian; Uguralp, Ahmet Kaan; Oguz-Uguralp, Zeliha; Puntoni, Stefano</t>
  </si>
  <si>
    <t>Chatbots and mental health: Insights into the safety of generative AI</t>
  </si>
  <si>
    <t>JOURNAL OF CONSUMER PSYCHOLOGY</t>
  </si>
  <si>
    <t>artificial intelligence; chatbots; ethics; generative AI; large language models; mental health</t>
  </si>
  <si>
    <t>PEOPLE; DISCRIMINATION; DEPRESSION; ALGORITHM; RESPONSES; IMPACT; HELP</t>
  </si>
  <si>
    <t>Chatbots are now able to engage in sophisticated conversations with consumers. Due to the black box nature of the algorithms, it is impossible to predict in advance how these conversations will unfold. Behavioral research provides little insight into potential safety issues emerging from the current rapid deployment of this technology at scale. We begin to address this urgent question by focusing on the context of mental health and companion AI: Applications designed to provide consumers with synthetic interaction partners. Studies 1a and 1b present field evidence: Actual consumer interactions with two different companion AIs. Study 2 reports an extensive performance test of several commercially available companion AIs. Study 3 is an experiment testing consumer reaction to risky and unhelpful chatbot responses. The findings show that (1) mental health crises are apparent in a nonnegligible minority of conversations with users; (2) companion AIs are often unable to recognize, and respond appropriately to, signs of distress; and (3) consumers display negative reactions to unhelpful and risky chatbot responses, highlighting emerging reputational risks for generative AI companies.</t>
  </si>
  <si>
    <t>[De Freitas, Julian] Harvard Sch Business, Mkt, Soldiers Field Morgan Hall 161, Boston, MA 02163 USA; [Uguralp, Ahmet Kaan] Bilkent Univ, Comp Sci, Ankara, Turkiye; [Oguz-Uguralp, Zeliha] Bilkent Univ, Psychol, Ankara, Turkiye; [Puntoni, Stefano] Univ Penn, Wharton Sch, Mkt, Philadelphia, PA USA</t>
  </si>
  <si>
    <t>Harvard University; Ihsan Dogramaci Bilkent University; Ihsan Dogramaci Bilkent University; University of Pennsylvania</t>
  </si>
  <si>
    <t>De Freitas, J (corresponding author), Harvard Sch Business, Mkt, Soldiers Field Morgan Hall 161, Boston, MA 02163 USA.</t>
  </si>
  <si>
    <t>jdefreitas@hbs.edu</t>
  </si>
  <si>
    <t>Puntoni, Stefano/0000-0002-3259-2325</t>
  </si>
  <si>
    <t>JOHN WILEY &amp; SONS LTD</t>
  </si>
  <si>
    <t>CHICHESTER</t>
  </si>
  <si>
    <t>THE ATRIUM, SOUTHERN GATE, CHICHESTER PO19 8SQ, W SUSSEX, ENGLAND</t>
  </si>
  <si>
    <t>1057-7408</t>
  </si>
  <si>
    <t>1532-7663</t>
  </si>
  <si>
    <t>J CONSUM PSYCHOL</t>
  </si>
  <si>
    <t>J. Consum. Psychol.</t>
  </si>
  <si>
    <t>2023 DEC 19</t>
  </si>
  <si>
    <t>10.1002/jcpy.1393</t>
  </si>
  <si>
    <t>Business; Psychology, Applied</t>
  </si>
  <si>
    <t>Business &amp; Economics; Psychology</t>
  </si>
  <si>
    <t>CT8Q1</t>
  </si>
  <si>
    <t>WOS:001127585600001</t>
  </si>
  <si>
    <t>Wang, YL; Shen, SY; Lim, BY</t>
  </si>
  <si>
    <t>Wang, Yunlong; Shen, Shuyuan; Lim, Brian Y.</t>
  </si>
  <si>
    <t>RePrompt: Automatic Prompt Editing to Refine AI-Generative Art Towards Precise Expressions</t>
  </si>
  <si>
    <t>PROCEEDINGS OF THE 2023 CHI CONFERENCE ON HUMAN FACTORS IN COMPUTING SYSTEMS (CHI 2023)</t>
  </si>
  <si>
    <t>CHI conference on Human Factors in Computing Systems (CHI)</t>
  </si>
  <si>
    <t>APR 23-28, 2023</t>
  </si>
  <si>
    <t>Hamburg, GERMANY</t>
  </si>
  <si>
    <t>Assoc Comp Machinery,ACM SIGCHI,Google,Siemens,Bloomberg</t>
  </si>
  <si>
    <t>Text-to-image generated model; prompt engineering; AI-generated visual art; emotion expression; explainable AI</t>
  </si>
  <si>
    <t>Generative AI models have shown impressive ability to produce images with text prompts, which could benefit creativity in visual art creation and self-expression. However, it is unclear how precisely the generated images express contexts and emotions from the input texts. We explored the emotional expressiveness of AI-generated images and developed RePrompt, an automatic method to refine text prompts toward precise expression of the generated images. Inspired by crowdsourced editing strategies, we curated intuitive text features, such as the number and concreteness of nouns, and trained a proxy model to analyze the feature effects on the AI-generated image. With model explanations of the proxy model, we curated a rubric to adjust text prompts to optimize image generation for precise emotion expression. We conducted simulation and user studies, which showed that RePrompt significantly improves the emotional expressiveness of AI-generated images, especially for negative emotions.</t>
  </si>
  <si>
    <t>[Wang, Yunlong] ASTAR, Inst High Performance Comp IHPC, Singapore, Singapore; [Wang, Yunlong; Shen, Shuyuan] Natl Univ Singapore, Singapore, Singapore; [Lim, Brian Y.] Natl Univ Singapore, Dept Comp Sci, Singapore, Singapore</t>
  </si>
  <si>
    <t>Agency for Science Technology &amp; Research (A*STAR); A*STAR - Institute of High Performance Computing (IHPC); National University of Singapore; National University of Singapore</t>
  </si>
  <si>
    <t>Wang, YL (corresponding author), ASTAR, Inst High Performance Comp IHPC, Singapore, Singapore.</t>
  </si>
  <si>
    <t>wang_yunlong@ihpc.a-star.edu.sg; e0950159@u.nus.edu; brianlim@comp.nus.edu.sg</t>
  </si>
  <si>
    <t>Wang, Yunlong/0000-0003-0611-0078</t>
  </si>
  <si>
    <t>Singapore Ministry of Education (MOE) Academic Research Fund Tier 2 [T2EP20121-004]; NUS iHealthtech Smart Sensors and Artificial Intelligence (AI) for Health grant</t>
  </si>
  <si>
    <t>Singapore Ministry of Education (MOE) Academic Research Fund Tier 2(Ministry of Education, Singapore); NUS iHealthtech Smart Sensors and Artificial Intelligence (AI) for Health grant</t>
  </si>
  <si>
    <t>This work was supported by the Singapore Ministry of Education (MOE) Academic Research Fund Tier 2 (T2EP20121-004) and NUS iHealthtech Smart Sensors and Artificial Intelligence (AI) for Health grant.</t>
  </si>
  <si>
    <t>978-1-4503-9421-5</t>
  </si>
  <si>
    <t>10.1145/3544548.3581402</t>
  </si>
  <si>
    <t>Computer Science, Information Systems; Computer Science, Theory &amp; Methods; Robotics</t>
  </si>
  <si>
    <t>Computer Science; Robotics</t>
  </si>
  <si>
    <t>BV5HH</t>
  </si>
  <si>
    <t>WOS:001048393804049</t>
  </si>
  <si>
    <t>Sandrini, L; Somogyi, R</t>
  </si>
  <si>
    <t>Sandrini, Luca; Somogyi, Robert</t>
  </si>
  <si>
    <t>Generative AI and deceptive news consumption</t>
  </si>
  <si>
    <t>Generative AI; News media market; Online advertising; Clickbait; Fake news</t>
  </si>
  <si>
    <t>In this paper, we analyze the effects of advancements in generative Artificial Intelligence (GenAI) on the news media market. We model a representative consumer who allocates their time between reading news and deceptive articles. We find that GenAI may induce consumers to inefficiently reallocate their time and increase the consumption of the lower value good, i.e. deceptive content (clickbait articles or fake news). Therefore, early-stage GenAI distorts the incentives of consumers and reduces their welfare. After GenAI technology reaches a certain threshold, however, consumers start benefiting from its advancements. Finally, we find that the negative effects of early-stage GenAI are exacerbated as they induce a lower level of investment in news production.&amp; COPY; 2023 The Author(s). Published by Elsevier B.V. This is an open access article under the CC BY-NC-ND license (http://creativecommons.org/licenses/by-nc-nd/4.0/).</t>
  </si>
  <si>
    <t>[Sandrini, Luca] Budapest Univ Technol &amp; Econ, QSMS Res Ctr, Muegyet rkp 3, H-1111 Budapest, Hungary; [Somogyi, Robert] Budapest Univ Technol &amp; Econ, Dept Finance, Muegyet Rkp 3, H-1111 Budapest, Hungary; [Somogyi, Robert] Ctr Econ &amp; Reg Studies, Toth Kalman Utca 4, H-1097 Budapest, Hungary</t>
  </si>
  <si>
    <t>Budapest University of Technology &amp; Economics; Budapest University of Technology &amp; Economics; Hungarian Academy of Sciences; Hungarian Research Network; HUN-REN Centre for Economic &amp; Regional Studies</t>
  </si>
  <si>
    <t>Sandrini, L (corresponding author), Budapest Univ Technol &amp; Econ, QSMS Res Ctr, Muegyet rkp 3, H-1111 Budapest, Hungary.</t>
  </si>
  <si>
    <t>sandrini.luca@gtk.bme.hu</t>
  </si>
  <si>
    <t>Somogyi, Robert/C-7476-2019</t>
  </si>
  <si>
    <t>Somogyi, Robert/0000-0003-1033-1754</t>
  </si>
  <si>
    <t>National Research Development and Innovation Office (NKFIH) [OTKA FK-142492]</t>
  </si>
  <si>
    <t>National Research Development and Innovation Office (NKFIH)(National Research, Development &amp; Innovation Office (NRDIO) - Hungary)</t>
  </si>
  <si>
    <t>We thank Aniko Grad-Gyenge, Laszlo A. Koczy, Melika Liporace, Leonardo Madio and seminar participants at the QSMS seminar for useful comments. Robert Somogyi thanks the support of the National Research Development and Innovation Office (NKFIH) under grant number OTKA FK-142492.</t>
  </si>
  <si>
    <t>10.1016/j.econlet.2023.111317</t>
  </si>
  <si>
    <t>S5JA1</t>
  </si>
  <si>
    <t>WOS:001071515900001</t>
  </si>
  <si>
    <t>Lim, WM; Gunasekara, A; Pallant, JL; Pallant, JI; Pechenkina, E</t>
  </si>
  <si>
    <t>Lim, Weng Marc; Gunasekara, Asanka; Pallant, Jessica Leigh; Pallant, Jason Ian; Pechenkina, Ekaterina</t>
  </si>
  <si>
    <t>Generative AI and the future of education: Ragnarok or reformation? A paradoxical perspective from management educators</t>
  </si>
  <si>
    <t>INTERNATIONAL JOURNAL OF MANAGEMENT EDUCATION</t>
  </si>
  <si>
    <t>Academic integrity; Bard; ChatGPT; Critical analysis; DALL-E; Ethics; Future of education; Generative AI; Generative artificial intelligence; Google; Education; Educator; Management education; Management educator; OpenAI; Paradox; Paradox theory; Ragnarok; Reformation; Transformation; Transformative education</t>
  </si>
  <si>
    <t>Generative artificial intelligence (AI) has taken the world by storm, with notable tension transpiring in the field of education. Given that Generative AI is rapidly emerging as a transformative innovation, this article endeavors to offer a seminal rejoinder that aims to (i) reconcile the great debate on Generative AI in order to (ii) lay the foundation for Generative AI to co-exist as a transformative resource in the future of education. Using critical analysis as a method and paradox theory as a theoretical lens (i.e., the how), this article (i) defines Generative AI and transformative education (i.e., the ideas), (ii) establishes the paradoxes of Generative AI (i.e., the what), and (iii) provides implications for the future of education from the perspective of management educators (i.e., the so what). Noteworthily, the paradoxes of Generative AI are four-fold: (Paradox #1) Generative AI is a 'friend' yet a 'foe', (Paradox #2) Generative AI is 'capable' yet 'dependent', (Paradox #3) Generative AI is 'accessible' yet 'restrictive', and (Paradox #4) Generative AI gets even 'popular' when 'banned' (i.e., the what). Through a position that seeks to embrace rather than reject Generative AI, the lessons and implications that emerge from the discussion herein represent a seminal contribution from management educators on this trending topic and should be useful for approaching Generative AI as a game-changer for education reformation in management and the field of education at large, and by extension, mitigating a situation where Generative AI develops into a Ragnarok that dooms the future of education of which management education is a part of (i.e., the so what).</t>
  </si>
  <si>
    <t>[Lim, Weng Marc] Sunway Univ, Sunway Business Sch, Sunway City, Selangor, Malaysia; [Lim, Weng Marc; Gunasekara, Asanka; Pallant, Jessica Leigh; Pallant, Jason Ian] Swinburne Univ Technol, Sch Business Law &amp; Entrepreneurship, Hawthorn, Vic, Australia; [Lim, Weng Marc] Swinburne Univ Technol Sarawak Campus, Fac Business Design &amp; Arts, Kuching, Sarawak, Malaysia; [Pechenkina, Ekaterina] Swinburne Univ Technol, Learning Transformat Unit, Hawthorn, Vic, Australia</t>
  </si>
  <si>
    <t>Sunway University; Swinburne University of Technology; Swinburne University of Technology Sarawak; Swinburne University of Technology</t>
  </si>
  <si>
    <t>Lim, WM (corresponding author), Sunway Univ, Sunway Business Sch, Sunway City, Selangor, Malaysia.</t>
  </si>
  <si>
    <t>lim@wengmarc.com; agunasekara@swin.edu.au; jlpallant@swin.edu.au; jipallant@swin.edu.au; epechenkina@swin.edu.au</t>
  </si>
  <si>
    <t>Gunasekara, Asanka/AAL-7782-2020; Lim, Weng Marc/I-1723-2019</t>
  </si>
  <si>
    <t>Gunasekara, Asanka/0000-0002-0858-8668; Lim, Weng Marc/0000-0001-7196-1923; Pechenkina, Ekaterina/0000-0001-6997-6974; Pallant, Jason/0000-0002-1000-6719</t>
  </si>
  <si>
    <t>1472-8117</t>
  </si>
  <si>
    <t>2352-3565</t>
  </si>
  <si>
    <t>INT J MANAG EDUC-OXF</t>
  </si>
  <si>
    <t>Int. J. Manag. Educ.</t>
  </si>
  <si>
    <t>10.1016/j.ijme.2023.100790</t>
  </si>
  <si>
    <t>Business; Education &amp; Educational Research; Management</t>
  </si>
  <si>
    <t>Business &amp; Economics; Education &amp; Educational Research</t>
  </si>
  <si>
    <t>A1DF9</t>
  </si>
  <si>
    <t>WOS:000952598000001</t>
  </si>
  <si>
    <t>Chan, CKY; Hu, WJ</t>
  </si>
  <si>
    <t>Chan, Cecilia Ka Yuk; Hu, Wenjie</t>
  </si>
  <si>
    <t>Students' voices on generative AI: perceptions, benefits, and challenges in higher education</t>
  </si>
  <si>
    <t>INTERNATIONAL JOURNAL OF EDUCATIONAL TECHNOLOGY IN HIGHER EDUCATION</t>
  </si>
  <si>
    <t>ChatGPT; Generative AI; Student perception; AI literacy; Risks; Advantages; Holistic competencies</t>
  </si>
  <si>
    <t>This study explores university students' perceptions of generative AI (GenAI) technologies, such as ChatGPT, in higher education, focusing on familiarity, their willingness to engage, potential benefits and challenges, and effective integration. A survey of 399 undergraduate and postgraduate students from various disciplines in Hong Kong revealed a generally positive attitude towards GenAI in teaching and learning. Students recognized the potential for personalized learning support, writing and brainstorming assistance, and research and analysis capabilities. However, concerns about accuracy, privacy, ethical issues, and the impact on personal development, career prospects, and societal values were also expressed. According to John Biggs' 3P model, student perceptions significantly influence learning approaches and outcomes. By understanding students' perceptions, educators and policymakers can tailor GenAI technologies to address needs and concerns while promoting effective learning outcomes. Insights from this study can inform policy development around the integration of GenAI technologies into higher education. By understanding students' perceptions and addressing their concerns, policymakers can create well-informed guidelines and strategies for the responsible and effective implementation of GenAI tools, ultimately enhancing teaching and learning experiences in higher education.</t>
  </si>
  <si>
    <t>[Chan, Cecilia Ka Yuk; Hu, Wenjie] Univ Hong Kong, Hong Kong, Peoples R China</t>
  </si>
  <si>
    <t>University of Hong Kong</t>
  </si>
  <si>
    <t>Chan, CKY (corresponding author), Univ Hong Kong, Hong Kong, Peoples R China.</t>
  </si>
  <si>
    <t>Cecilia.Chan@cetl.hku.hk</t>
  </si>
  <si>
    <t>2365-9440</t>
  </si>
  <si>
    <t>INT J EDUC TECHNOL H</t>
  </si>
  <si>
    <t>Int. J. Educ. Technol. High. Educ.</t>
  </si>
  <si>
    <t>JUL 17</t>
  </si>
  <si>
    <t>10.1186/s41239-023-00411-8</t>
  </si>
  <si>
    <t>M3CH3</t>
  </si>
  <si>
    <t>gold, Green Submitted</t>
  </si>
  <si>
    <t>WOS:001028985800001</t>
  </si>
  <si>
    <t>Takefuji, Y</t>
  </si>
  <si>
    <t>Takefuji, Yoshiyasu</t>
  </si>
  <si>
    <t>Generative AI for analysis and identification of Medicare improper payments by provider type and HCPC code</t>
  </si>
  <si>
    <t>EXPLORATORY RESEARCH IN CLINICAL AND SOCIAL PHARMACY</t>
  </si>
  <si>
    <t>Generative AI; Medicare improper payments; Provider types and HCPC codes; Medicare expenditure reduction</t>
  </si>
  <si>
    <t>The 2022 Medicare Fee-For-Service Improper Payments Report reveals an estimated $80.57 billion in improper payments, with a payment error rate of 15.62%. This paper uses generative AI to analyze and identify which provider types and HCPC codes are most strongly associated with these errors. The paper employs generative AI to produce two Python codes: one generates a time-series trend graph of Medicare improper payments from 2010 to 2022, and the other calculates the number of payment errors by provider type and HCPC code. These codes are designed for novice and non-programmers. Three datasets are used, such as Medicare Fee-for-Service Comprehensive Error Rate Testing dataset released on March 8, 2023, merged codes such as HCPC codes and PCT codes. The result suggests what systems should be improved to reduce Medicare improper payments. Generative AI is being introduced to help novice and non-programmers analyze Medicare improper payments with datasets, aiding researchers in conducting similar tasks in the future.</t>
  </si>
  <si>
    <t>[Takefuji, Yoshiyasu] Musashino Univ, Fac Data Sci, 3-3-3 Ariake,Koto Ku, Tokyo 1358181, Japan</t>
  </si>
  <si>
    <t>Takefuji, Y (corresponding author), Musashino Univ, Fac Data Sci, 3-3-3 Ariake,Koto Ku, Tokyo 1358181, Japan.</t>
  </si>
  <si>
    <t>takefuji@keio.jp</t>
  </si>
  <si>
    <t>2667-2766</t>
  </si>
  <si>
    <t>EXPLOR RES CLIN SOC</t>
  </si>
  <si>
    <t>Explor. Res. Clin. Soc. Pharm.</t>
  </si>
  <si>
    <t>10.1016/j.rcsop.2023.100387</t>
  </si>
  <si>
    <t>Pharmacology &amp; Pharmacy</t>
  </si>
  <si>
    <t>DP9F7</t>
  </si>
  <si>
    <t>gold, Green Published</t>
  </si>
  <si>
    <t>WOS:001133371900001</t>
  </si>
  <si>
    <t>Pereyra, MM</t>
  </si>
  <si>
    <t>Pereyra, Melina Milagros</t>
  </si>
  <si>
    <t>Generative AI, higher education and communication: the challenges ahead</t>
  </si>
  <si>
    <t>QUESTION</t>
  </si>
  <si>
    <t>Spanish</t>
  </si>
  <si>
    <t>AI; communication; undergraduates; Chat GPT; transmedia skills</t>
  </si>
  <si>
    <t>Generative Artificial Intelligence is occupying all spheres of our daily lives: work, economics, culture, education, politics, and the key lies in harnessing its potential to our advantage. It is a phenomenon that poses new and complex challenges for higher education, especially the teaching role if we take into account the training of the professionals of the future. Open AI's chatbot, known worldwide as Chat GPT, still has a record 3.5 million users on its first day of life. A year after its release, young people are using it every day at university, and we are curious to know how and what for. This is a moment in which the university should be oriented towards the production of sovereign and critical knowledge mediated by AI. What potential is there in the intersection between education and work from generative AI and why is its development and promotion essential? What competences and skills become crucial? And most of all, what students are we educating? Concerns that arise from the field of Communication in Argentina, taking as a case study a research project that is being carried out with Communication undergraduates and related careers.</t>
  </si>
  <si>
    <t>[Pereyra, Melina Milagros] Univ Nacl La Plata, Fac Periodismo &amp; Comunicac Social, Comis Invest Cient Prov Buenos Aires CICBA, Inst Invest Comunicac, La Plata, Argentina</t>
  </si>
  <si>
    <t>National University of La Plata; Comision de Investigaciones Cientificas</t>
  </si>
  <si>
    <t>Pereyra, MM (corresponding author), Univ Nacl La Plata, Fac Periodismo &amp; Comunicac Social, Comis Invest Cient Prov Buenos Aires CICBA, Inst Invest Comunicac, La Plata, Argentina.</t>
  </si>
  <si>
    <t>pereyramel.99@gmail.com</t>
  </si>
  <si>
    <t>UNIV NACIONAL PLATA, INST INVESTIGACIONES &amp; COMUNICACION-IICOM</t>
  </si>
  <si>
    <t>BUENOS AIRES</t>
  </si>
  <si>
    <t>FAC PERIODISMO &amp; COMUNICACION SOCIAL, AVE 44 NO 676, LA PLATA, BUENOS AIRES, 1900, ARGENTINA</t>
  </si>
  <si>
    <t>1669-6581</t>
  </si>
  <si>
    <t>Question</t>
  </si>
  <si>
    <t>e858</t>
  </si>
  <si>
    <t>10.24215/16696581e858</t>
  </si>
  <si>
    <t>HT0A3</t>
  </si>
  <si>
    <t>WOS:001161626700002</t>
  </si>
  <si>
    <t>Mao, YL; Rafner, J; Wang, Y; Sherson, J</t>
  </si>
  <si>
    <t>Lukowicz, P; Mayer, S; Koch, J; Shawe-Taylor, J; Tiddi, I</t>
  </si>
  <si>
    <t>Mao, Yaoli; Rafner, Janet; Wang, Yi; Sherson, Jacob</t>
  </si>
  <si>
    <t>A Hybrid Intelligence Approach to Training Generative Design Assistants: Partnership Between Human Experts and AI Enhanced Co-Creative Tools</t>
  </si>
  <si>
    <t>HHAI 2023: AUGMENTING HUMAN INTELLECT</t>
  </si>
  <si>
    <t>Frontiers in Artificial Intelligence and Applications</t>
  </si>
  <si>
    <t>2nd International Conference on Hybrid Human-Artificial Intelligence (HHAI)</t>
  </si>
  <si>
    <t>JUN 26-30, 2023</t>
  </si>
  <si>
    <t>Munich, GERMANY</t>
  </si>
  <si>
    <t>Munich Ctr Machine Learning,German Entrepreneurship,AI Journal,MDPI, Multimodal Technologies &amp; Interact</t>
  </si>
  <si>
    <t>Communication; Co-creation; Human AI language; Partnership; Personalization; Tool adoption; Training generative AI assistants; Technology Acceptance Model</t>
  </si>
  <si>
    <t>The emergence of generative design (GD) has introduced a new paradigm for co-creation between human experts and AI systems. Empirical findings have shown promising outcomes such as augmented human cognition and highly creative design products. Barriers still remain that prevent individuals from perceiving and adopting AI, entering into collaboration with AI and sustaining it over time. It is even more challenging for creative design industries to adopt and trust AI where these professionals value individual style and expression, and therefore require highly personalized and specialized AI assistance. In this paper, we present a holistic hybrid intelligence (HI) approach for individual experts to train and personalize their GD assistants on the fly. Our contribution to human-AI interaction is three-fold including i) a programmable common language between human and AI to represent the expert's design goals to the generative algorithm, ii) a human-centered continual training loop to seamlessly integrate AI-training into the expert's task workflow, iii) a hybrid intelligence narrative to address the psychological willingness to spend time and effort training such a virtual assistant. This integral approach enables individuals to directly communicate design goals to AI and seeks to create a psychologically safe space for adopting, training and improving AI without the fear of job-replacement. We concertize these constructs through a newly developed Hybrid Intelligence Technology Acceptance Model (HI-TAM). We used mixed methods to empirically evaluate this approach through the lens of HI-TAM with 8 architectural professionals working individually with a GD assistant to co-create floor plan layouts of office buildings. We believe that the proposed approach enables individual professionals, even non-technical ones, to adopt and trust AI-enhanced co-creative tools.</t>
  </si>
  <si>
    <t>[Mao, Yaoli; Wang, Yi] Autodesk Res, Boston, MA USA; [Rafner, Janet; Sherson, Jacob] Aarhus Univ, Sch Business &amp; Social Sci, Dept Management, Ctr Hybrid Intelligence, Aarhus, Denmark</t>
  </si>
  <si>
    <t>Aarhus University</t>
  </si>
  <si>
    <t>Sherson, J (corresponding author), Aarhus Univ, Sch Business &amp; Social Sci, Dept Management, Ctr Hybrid Intelligence, Aarhus, Denmark.</t>
  </si>
  <si>
    <t>sherson@mgmt.au.dk</t>
  </si>
  <si>
    <t>IOS PRESS</t>
  </si>
  <si>
    <t>NIEUWE HEMWEG 6B, 1013 BG AMSTERDAM, NETHERLANDS</t>
  </si>
  <si>
    <t>0922-6389</t>
  </si>
  <si>
    <t>1879-8314</t>
  </si>
  <si>
    <t>978-1-64368-394-2; 978-1-64368-395-9</t>
  </si>
  <si>
    <t>FRONT ARTIF INTEL AP</t>
  </si>
  <si>
    <t>10.3233/FAIA230078</t>
  </si>
  <si>
    <t>BW4KF</t>
  </si>
  <si>
    <t>WOS:001150361600008</t>
  </si>
  <si>
    <t>Yu, J; Weng, YW; Yu, JT; Chen, WG; Lu, SA; Yu, KQ</t>
  </si>
  <si>
    <t>Yu, Jie; Weng, Yiwei; Yu, Jiangtao; Chen, Wenguang; Lu, Shuainan; Yu, Kequan</t>
  </si>
  <si>
    <t>Generative AI for performance-based design of engineered cementitious composite</t>
  </si>
  <si>
    <t>COMPOSITES PART B-ENGINEERING</t>
  </si>
  <si>
    <t>Engineered cementitious composite; Generative AI; Performance-based design; Tensile performance; Polyethylene fiber</t>
  </si>
  <si>
    <t>PREDICTION; CONCRETE</t>
  </si>
  <si>
    <t>Engineered cementitious composite (ECC) has been intensively studied due to its excellent tensile performance. However, classical micro-mechanical design theory of ECC is qualitative and fails to give detailed ECC mixtures at specific tensile parameters. This study aims to develop a performance-based mixture design model to generate ECC mixtures using generative AI method. An experimental database consisting of 129 polyethylene fiber reinforced ECC (PE-ECC) records has been built. The database was used to train one invertible neural network model and two artificial neural network models. A series of PE-ECC mixtures were generated by the proposed model based on desired mechanical performance and sustainable requirements. Based on the experimental results, the developed model was proven to compose PE-ECC mixtures that satisfy the target requirements with a maximum deviation of less than 16%. The neural network-based model can be used in various application scenarios (e.g., low-cost ECC and low-carbon ECC), thus promoting the development of ECC materials in the area of research and engineering application.</t>
  </si>
  <si>
    <t>[Yu, Jie; Yu, Jiangtao; Chen, Wenguang; Lu, Shuainan; Yu, Kequan] Tongji Univ, Coll Civil Engn, Dept Disaster Mitigat Struct, Siping Rd 1239, Shanghai 200092, Peoples R China; [Yu, Jie; Weng, Yiwei] Hong Kong Polytech Univ, Fac Construction &amp; Environm, Dept Bldg &amp; Real Estate, Hong Kong, Peoples R China; [Yu, Jiangtao] Tongji Univ, State Key Lab Disaster Reduct Civil Engn, Shanghai 200092, Peoples R China</t>
  </si>
  <si>
    <t>Tongji University; Hong Kong Polytechnic University; Tongji University</t>
  </si>
  <si>
    <t>Yu, KQ (corresponding author), Tongji Univ, Coll Civil Engn, Dept Disaster Mitigat Struct, Siping Rd 1239, Shanghai 200092, Peoples R China.</t>
  </si>
  <si>
    <t>1910334@tongji.edu.cn; yiwei.weng@polyu.edu.hk; yujiangtao@tongji.edu.cn; wenguang_chen@tongji.edu.cn; lucien867@163.com; 12yukequan@tongji.edu.cn</t>
  </si>
  <si>
    <t>YU, Kequan/M-4557-2019</t>
  </si>
  <si>
    <t>YU, Kequan/0000-0002-8396-4213; Weng, Yiwei/0000-0001-5637-1415</t>
  </si>
  <si>
    <t>National Natural Science Foundation of China [51978504, 52108243]; Fundamental Research Funds for the Central Universities; Natural Science Foundation of Chongqing [2022NSCQ-MSX5639]; Hong Kong Polytechnic University [P0044561]</t>
  </si>
  <si>
    <t>National Natural Science Foundation of China(National Natural Science Foundation of China (NSFC)); Fundamental Research Funds for the Central Universities(Fundamental Research Funds for the Central Universities); Natural Science Foundation of Chongqing(Natural Science Foundation of Chongqing); Hong Kong Polytechnic University(Hong Kong Polytechnic University)</t>
  </si>
  <si>
    <t>The authors gratefully acknowledge to the National Natural Science Foundation of China (51978504 and 52108243) , Fundamental Research Funds for the Central Universities, Natural Science Foundation of Chongqing (No. 2022NSCQ-MSX5639) and The Hong Kong Polytechnic University (P0044561) .</t>
  </si>
  <si>
    <t>1359-8368</t>
  </si>
  <si>
    <t>1879-1069</t>
  </si>
  <si>
    <t>COMPOS PART B-ENG</t>
  </si>
  <si>
    <t>Compos. Pt. B-Eng.</t>
  </si>
  <si>
    <t>10.1016/j.compositesb.2023.110993</t>
  </si>
  <si>
    <t>Engineering, Multidisciplinary; Materials Science, Composites</t>
  </si>
  <si>
    <t>Engineering; Materials Science</t>
  </si>
  <si>
    <t>W0TS4</t>
  </si>
  <si>
    <t>WOS:001088847300001</t>
  </si>
  <si>
    <t>Wong, M; Ong, YS; Gupta, A; Bali, KK; Chen, C</t>
  </si>
  <si>
    <t>Wong, Melvin; Ong, Yew -Soon; Gupta, Abhishek; Bali, Kavitesh Kumar; Chen, Caishun</t>
  </si>
  <si>
    <t>Prompt Evolution for Generative AI: A Classifier-Guided Approach</t>
  </si>
  <si>
    <t>2023 IEEE CONFERENCE ON ARTIFICIAL INTELLIGENCE, CAI</t>
  </si>
  <si>
    <t>IEEE Conference on Artificial Intelligence (IEEE CAI)</t>
  </si>
  <si>
    <t>JUN 05-06, 2023</t>
  </si>
  <si>
    <t>Santa Clara, CA</t>
  </si>
  <si>
    <t>IEEE,IEEE Comp Soc,IEEE Signal Proc Soc,IEEE Syst, Man, &amp; Cybernet Soc</t>
  </si>
  <si>
    <t>prompt evolution; generative model; user preference; single-objective; multi-X evolutionary computation</t>
  </si>
  <si>
    <t>Synthesis of digital artifacts conditioned on user prompts has become an important paradigm facilitating an explosion of use cases with generative AI. However, such models often fail to connect the generated outputs and desired target concepts/preferences implied by the prompts. Current research addressing this limitation has largely focused on enhancing the prompts before output generation or improving the model's performance up front. In contrast, this paper conceptualizes prompt evolution, imparting evolutionary selection pressure and variation during the generative process to produce multiple outputs that satisfy the target concepts/preferences better. We propose a multi-objective instantiation of this broader idea that uses a multi-label image classifier-guided approach. The predicted labels from the classifiers serve as multiple objectives to optimize, with the aim of producing diversified images that meet user preferences. A novelty of our evolutionary algorithm is that the pre-trained generative model gives us implicit mutation operations, leveraging the model's stochastic generative capability to automate the creation of Pareto-optimized images more faithful to user preferences.</t>
  </si>
  <si>
    <t>[Wong, Melvin; Ong, Yew -Soon] Nanyang Technol Univ NTU, Sch Comp Sci &amp; Engn SCSE, Singapore, Singapore; [Ong, Yew -Soon; Bali, Kavitesh Kumar; Chen, Caishun] ASTAR, Ctr Frontier AI Res CFAR, Singapore, Singapore; [Gupta, Abhishek] ASTAR, Singapore Inst Mfg Technol SIMTech, Singapore, Singapore</t>
  </si>
  <si>
    <t>Nanyang Technological University; Agency for Science Technology &amp; Research (A*STAR); Agency for Science Technology &amp; Research (A*STAR); A*STAR - Singapore Institute of Manufacturing Technology (SIMTech)</t>
  </si>
  <si>
    <t>Wong, M (corresponding author), Nanyang Technol Univ NTU, Sch Comp Sci &amp; Engn SCSE, Singapore, Singapore.</t>
  </si>
  <si>
    <t>wong1250@ntu.edu.sg; asysong@ntu.edu.sg; abhishek_gupta@simtech.a-star.edu.sg; balikk@cfar.a-star.edu.sg; chen_caishun@cfar.a-star.edu.sg</t>
  </si>
  <si>
    <t>Chen, Caishun/JMB-9230-2023; Wong, Melvin/AAW-4837-2020</t>
  </si>
  <si>
    <t>Chen, Caishun/0000-0003-1143-3138; Wong, Melvin/0000-0001-5323-2313; Gupta, Abhishek/0000-0002-6080-855X</t>
  </si>
  <si>
    <t>979-8-3503-3984-0</t>
  </si>
  <si>
    <t>10.1109/CAI54212.2023.00105</t>
  </si>
  <si>
    <t>BV5BQ</t>
  </si>
  <si>
    <t>WOS:001046447800095</t>
  </si>
  <si>
    <t>Brandtzaeg, PB; You, YK; Wang, X; Lao, YC</t>
  </si>
  <si>
    <t>Brandtzaeg, Petter Bae; You, Yukun; Wang, Xi; Lao, Yucong</t>
  </si>
  <si>
    <t>Good and Bad Machine Agency in the Context of Human-AI Communication: The Case of ChatGPT</t>
  </si>
  <si>
    <t>Machine Agency; Generative AI; Human-AI Communication</t>
  </si>
  <si>
    <t>FEARS; RISE</t>
  </si>
  <si>
    <t>Machine agency, defined as the ability of machines to act autonomously and interact with users, is becoming increasingly significant in the field of human-machine interaction research. This is especially evident in relation to ChatGPT and other generative artificial intelligence (AI) tools. In this paper, we present an initial extension of S. Shyam Sundar's theory of machine agency, specifically in the context of human-AI communication. We review existing literature on this topic and use real-life news reports on ChatGPT from November 2022 to April 2023 as a basis for illustrating the factors that influence people's perceptions of machine agency as either positive or negative. These perceptions are influenced by a range of factors, including ethical alignment, privacy, transparency, social inclusiveness, human autonomy, and well-being. We propose a more explicit differentiation between good and bad machine agency, a conceptualization that can enhance our understanding of the complexities of human-AI communication. We believe this approach can contribute to the development of guidelines and best practices for using generative AI tools and similar AI technologies. Finally, this conceptualizationmay help people and the public to better benefit from generative AI and identify its risks.</t>
  </si>
  <si>
    <t>[Brandtzaeg, Petter Bae; You, Yukun] Univ Oslo, Gaustadalleen 21,Forskningspk, N-0349 Oslo, Norway; [Wang, Xi] Zhengzhou Univ, 100 Sci Ave, Zhengzhou 450001, Peoples R China; [Lao, Yucong] Univ Oulu, Pentti Kaiteran Katu 1, Oulu 90570, Finland</t>
  </si>
  <si>
    <t>University of Oslo; Zhengzhou University; University of Oulu</t>
  </si>
  <si>
    <t>Wang, X (corresponding author), Zhengzhou Univ, 100 Sci Ave, Zhengzhou 450001, Peoples R China.</t>
  </si>
  <si>
    <t>p.b.brandtzag@media.uio.no; yukun.you@media.uio.no; wangxi.fr@zzu.edu.cn; Yucong.Lao@oulu.fi</t>
  </si>
  <si>
    <t>You, Yukun/0000-0003-0188-0751; Brandtzaeg, Petter Bae/0000-0002-9010-0800</t>
  </si>
  <si>
    <t>Norwegian Media Authority; research project An AI-Powered Society</t>
  </si>
  <si>
    <t>This research is partly financed by the Norwegian Media Authority, and the research project An AI-Powered Society.</t>
  </si>
  <si>
    <t>10.1007/978-3-031-48057-7_1</t>
  </si>
  <si>
    <t>WOS:001159622900001</t>
  </si>
  <si>
    <t>Liu, ZW</t>
  </si>
  <si>
    <t>Liu, Ziwei</t>
  </si>
  <si>
    <t>Multi-Modal Generative AI with Foundation Models</t>
  </si>
  <si>
    <t>PROCEEDINGS OF THE 1ST WORKSHOP ON LARGE GENERATIVE MODELS MEET MULTIMODAL APPLICATIONS, LGM3A 2023</t>
  </si>
  <si>
    <t>1st Workshop on Large Generative Models Meet Multimodal Applications (LGM3A)</t>
  </si>
  <si>
    <t>NOV 02, 2023</t>
  </si>
  <si>
    <t>Ottawa, CANADA</t>
  </si>
  <si>
    <t>Assoc Comp Machinery,ACM SIGMM</t>
  </si>
  <si>
    <t>Computer vision; deep learning; generative AI; multimodal learning; foundation models</t>
  </si>
  <si>
    <t>[Liu, Ziwei] Nanyang Technol Univ, Singapore, Singapore</t>
  </si>
  <si>
    <t>Nanyang Technological University</t>
  </si>
  <si>
    <t>Liu, ZW (corresponding author), Nanyang Technol Univ, Singapore, Singapore.</t>
  </si>
  <si>
    <t>ziwei.liu@ntu.edu.sg</t>
  </si>
  <si>
    <t>Liu, Ziwei/AAG-6939-2021</t>
  </si>
  <si>
    <t>979-8-4007-0283-9</t>
  </si>
  <si>
    <t>10.1145/3607827.3616845</t>
  </si>
  <si>
    <t>Computer Science, Artificial Intelligence; Computer Science, Interdisciplinary Applications; Computer Science, Theory &amp; Methods</t>
  </si>
  <si>
    <t>BW4KH</t>
  </si>
  <si>
    <t>WOS:001150367900003</t>
  </si>
  <si>
    <t>Faruqi, F; Katary, A; Hasic, T; Abdel-Rahman, A; Rahman, N; Tejedor, L; Leake, M; Hofmann, M; Mueller, S</t>
  </si>
  <si>
    <t>Faruqi, Faraz; Katary, Ahmed; Hasic, Tarik; Abdel-Rahman, Amira; Rahman, Nayeemur; Tejedor, Leandra; Leake, Mackenzie; Hofmann, Megan; Mueller, Stefanie</t>
  </si>
  <si>
    <t>Demonstration of Style2Fab: Functionality-Aware Segmentation for Fabricating Personalized 3D Models with Generative AI</t>
  </si>
  <si>
    <t>personal fabrication; digital fabrication; 3d printing; generative AI</t>
  </si>
  <si>
    <t>With recent advances in Generative AI, it is becoming easier to automatically manipulate 3D models. However, current methods tend to apply edits to models globally, which risks compromising the intended functionality of the 3D model when fabricated in the physical world. For example, modifying functional segments in 3D models, such as the base of a vase, could break the original functionality of the model, thus causing the vase to fall over. We introduce Style2Fab, a system for automatically segmenting 3D models into functional and aesthetic elements, and selectively modifying the aesthetic segments, without affecting the functional segments. Style2Fab uses a semi-automatic classification method to decompose 3D models into functional and aesthetic elements, and differentiable rendering to selectively stylize the functional segments. We demonstrate the functionality of this tool with six application examples across domains of Home Interior Design, Medical Applications, and Personal Accessories.</t>
  </si>
  <si>
    <t>[Faruqi, Faraz; Katary, Ahmed; Hasic, Tarik; Rahman, Nayeemur; Tejedor, Leandra; Leake, Mackenzie; Mueller, Stefanie] MIT, CSAIL, 77 Massachusetts Ave, Cambridge, MA 02139 USA; [Abdel-Rahman, Amira] MIT, Ctr Bits &amp; Atoms, 77 Massachusetts Ave, Cambridge, MA 02139 USA; [Hofmann, Megan] Northeastern Univ, Khoury Coll Comp Sci, Boston, MA 02115 USA</t>
  </si>
  <si>
    <t>Massachusetts Institute of Technology (MIT); Massachusetts Institute of Technology (MIT); Northeastern University</t>
  </si>
  <si>
    <t>Faruqi, F (corresponding author), MIT, CSAIL, 77 Massachusetts Ave, Cambridge, MA 02139 USA.</t>
  </si>
  <si>
    <t>faruqi@mit.edu; akatary@mit.edu; thasic@mit.edu; amira.abdel-rahman@cba.mit.edu; nayeem31@mit.edu; leandra0@mit.edu; leake@mit.edu; stefanie.mueller@mit.edu</t>
  </si>
  <si>
    <t>Leake, Mackenzie/0000-0002-8070-4918</t>
  </si>
  <si>
    <t>10.1145/3586182.3615769</t>
  </si>
  <si>
    <t>WOS:001125107000097</t>
  </si>
  <si>
    <t>Adams, R; Alayande, A; Brey, Z; Browning, B; Gastrow, M; Kponyo, JJ; Mathew, D; Nkosi, M; Nunoo-Mensah, H; Nyakundi, D; Odumuyiwa, V; Okunowo, O; Olbrich, P; Omar, N; Omotubora, K; Plantinga, P; Razzano, G; Schroeder, Z; Agbemenu, AS; Sey, A; Shilongo, K; Shirude, S; Smith, M; Tchao, ET; Uwizera, DK</t>
  </si>
  <si>
    <t>Adams, Rachel; Alayande, Ayantola; Brey, Zameer; Browning, Brantley; Gastrow, Michael; Kponyo, Jerry John; Mathew, Dona; Nkosi, Moremi; Nunoo-Mensah, Henry; Nyakundi, Diana; Odumuyiwa, Victor; Okunowo, Olubunmi; Olbrich, Philipp; Omar, Nawal; Omotubora, Kemi; Plantinga, Paul; Razzano, Gabriella; Schroeder, Zara; Agbemenu, Andrew Selasi; Sey, Araba; Shilongo, Kristophina; Shirude, Shreya; Smith, Matthew; Tchao, Eric Tutu; Uwizera, Davy K.</t>
  </si>
  <si>
    <t>A new research agenda for African generative AI</t>
  </si>
  <si>
    <t>NATURE HUMAN BEHAVIOUR</t>
  </si>
  <si>
    <t>The rise of generative AI requires a research agenda grounded in the African context to determine locally relevant strategies for its development and use. With a critical mass of evidence on the risks and benefits that generative AI poses to African societies, the scaled use of this new technology might help to reduce rising global inequities.</t>
  </si>
  <si>
    <t>[Adams, Rachel; Nkosi, Moremi; Nyakundi, Diana; Omar, Nawal; Schroeder, Zara; Sey, Araba] Res ICT Afr, Cape Town, South Africa; [Adams, Rachel] Univ Cambridge, Leverhulme Ctr Future Intelligence, Cambridge, England; [Adams, Rachel] Univ London, Inst Adv Legal Studies, Informat Law &amp; Policy Ctr, London, England; [Alayande, Ayantola] Univ Cambridge, Bennett Inst Publ Policy, Dept Polit, Cambridge, England; [Brey, Zameer; Browning, Brantley; Okunowo, Olubunmi; Shirude, Shreya; Tchao, Eric Tutu] Bill &amp; Melinda Gates Fdn, Johannesburg, South Africa; [Gastrow, Michael; Plantinga, Paul] Human Sci Res Council, Pretoria, South Africa; [Kponyo, Jerry John; Nunoo-Mensah, Henry; Agbemenu, Andrew Selasi] Kwame Nkrumah Univ Sci &amp; Technol, Responsible Artificial Intelligence Lab, Kumasi, Ghana; [Mathew, Dona] Digital Futures Lab, Panaji, India; [Odumuyiwa, Victor; Omotubora, Kemi] Univ Lagos, Lagos, Nigeria; [Olbrich, Philipp] FAIR Forward Artificial Intelligence All, 8 GIZ, Bonn, Germany; [Razzano, Gabriella] OpenUp, Cape Town, South Africa; [Shilongo, Kristophina] Mozilla Fdn, San Francisco, CA USA; [Smith, Matthew] Int Dev Res Canada, Ottawa, ON, Canada; [Uwizera, Davy K.] Huzalabs, Kigali, Rwanda</t>
  </si>
  <si>
    <t>University of Cambridge; University of London; University of Cambridge; Human Sciences Research Council-South Africa; Kwame Nkrumah University Science &amp; Technology; University of Lagos</t>
  </si>
  <si>
    <t>Adams, R (corresponding author), Res ICT Afr, Cape Town, South Africa.;Adams, R (corresponding author), Univ Cambridge, Leverhulme Ctr Future Intelligence, Cambridge, England.;Adams, R (corresponding author), Univ London, Inst Adv Legal Studies, Informat Law &amp; Policy Ctr, London, England.</t>
  </si>
  <si>
    <t>radams@researchictafrica.net</t>
  </si>
  <si>
    <t>Agbemenu, Andrew Selasi/AFL-9619-2022; Nunoo-Mensah, Henry/H-9154-2019; Tutu Tchao, Eric/U-5330-2017</t>
  </si>
  <si>
    <t>Agbemenu, Andrew Selasi/0000-0002-7426-3909; Adams, Rachel Margaret/0000-0003-1436-190X; Gastrow, Michael/0000-0002-0134-541X; Omer, Nawal/0009-0008-4665-1227; Nunoo-Mensah, Henry/0000-0002-8965-4371; Tutu Tchao, Eric/0000-0002-3242-9747</t>
  </si>
  <si>
    <t>Bill and Melinda Gates Foundation</t>
  </si>
  <si>
    <t>Bill and Melinda Gates Foundation(Bill &amp; Melinda Gates Foundation)</t>
  </si>
  <si>
    <t>This Comment arose out of a workshop entitled 'Designing an Approach and Methodology for Building Evidence for the Responsible Design and Use of Generative AI for Sustainable Development in Low-Resourced Contexts', at which the authors participated. The workshop was organised by Research ICT Africa with support and funding from the Bill and Melinda Gates Foundation, and was held as a side event of the AfricAI Conference in June 2023 in Kigali, Rwanda, hosted by the Deutsche Gesellschaft fuer Internationale Zusammenarbeit GmbH (GIZ), International Development Research Centre of Canada and Niyel.</t>
  </si>
  <si>
    <t>NATURE PORTFOLIO</t>
  </si>
  <si>
    <t>HEIDELBERGER PLATZ 3, BERLIN, 14197, GERMANY</t>
  </si>
  <si>
    <t>2397-3374</t>
  </si>
  <si>
    <t>NAT HUM BEHAV</t>
  </si>
  <si>
    <t>Nat. Hum. Behav.</t>
  </si>
  <si>
    <t>10.1038/s41562-023-01735-1</t>
  </si>
  <si>
    <t>OCT 2023</t>
  </si>
  <si>
    <t>Psychology, Biological; Multidisciplinary Sciences; Neurosciences; Psychology, Experimental</t>
  </si>
  <si>
    <t>Psychology; Science &amp; Technology - Other Topics; Neurosciences &amp; Neurology</t>
  </si>
  <si>
    <t>LJ2T5</t>
  </si>
  <si>
    <t>WOS:001080158700001</t>
  </si>
  <si>
    <t>Dwivedi, YK; Pandey, N; Currie, W; Micu, A</t>
  </si>
  <si>
    <t>Dwivedi, Yogesh K.; Pandey, Neeraj; Currie, Wendy; Micu, Adrian</t>
  </si>
  <si>
    <t>Leveraging ChatGPT and other generative artificial intelligence (AI)-based applications in the hospitality and tourism industry: practices, challenges and research agenda</t>
  </si>
  <si>
    <t>INTERNATIONAL JOURNAL OF CONTEMPORARY HOSPITALITY MANAGEMENT</t>
  </si>
  <si>
    <t>Artificial intelligence; Bard; ChatGPT; Generative AI; Hospitality; Tourism</t>
  </si>
  <si>
    <t>GUESTS; HOTEL</t>
  </si>
  <si>
    <t>Purpose - The hospitality and tourism sector has witnessed phenomenal growth in customer numbers during the postpandemic times. This growth has been accompanied by the use of technologies in customer interface and backend activities, including the adoption of self-serving technologies. This study aims to analyze the existing practices and challenges and establish a research agenda for the implementation of generative artificial intelligence (AI) (such as ChatGPT) and similar tools in the hospitality and tourism industry. Design/methodology/approach - This study analyzes the existing literature and practices. This study draws upon these practices to outline a novel research agenda for scholars and practitioners working in this domain.Findings - The integration of generative AI technologies, such as ChatGPT, will have a transformational impact on the hospitality and tourism industry. This study highlights the potential challenges of implementing such technologies from the perspectives of companies, customers and regulators.Research limitations/implications - This study serves as a reference material for those who are planning to use generative AI tools like ChatGPT in their hospitality and tourism businesses. This study also highlights potential pitfalls that ChatGPT-enabled systems may encounter during service delivery processes.Originality/value - This study is a pioneering work that assesses the applications of ChatGPT in the hospitality and tourism industry. This study highlights the potential and challenges in implementing ChatGPT within the hospitality and tourism industry.</t>
  </si>
  <si>
    <t>[Dwivedi, Yogesh K.] Swansea Univ, Sch Management, Digital Futures Sustainable Business &amp; Soc Res Gr, Swansea, Wales; [Dwivedi, Yogesh K.] Symbiosis Int Univ, Inst Business Management, Dept Management, Pune, India; [Pandey, Neeraj] Natl Inst Ind Engn NITIE, Dept Mkt, Mumbai, India; [Currie, Wendy] Audencia Business Sch, Dept Informat Syst &amp; Supply Chain Management, Nantes, France; [Micu, Adrian] Dunarea de Jos Univ Galati, Fac Econ &amp; Business Adm, Galati, Romania</t>
  </si>
  <si>
    <t>Swansea University; Symbiosis International University; National Institute of Industrial Engineering (NITIE); Audencia; Dunarea De Jos University Galati</t>
  </si>
  <si>
    <t>Dwivedi, YK (corresponding author), Swansea Univ, Sch Management, Digital Futures Sustainable Business &amp; Soc Res Gr, Swansea, Wales.;Dwivedi, YK (corresponding author), Symbiosis Int Univ, Inst Business Management, Dept Management, Pune, India.</t>
  </si>
  <si>
    <t>y.k.dwivedi@swansea.ac.uk; npandey@nitie.ac.in; wcurrie@audencia.com; adrian.micu@ugal.ro</t>
  </si>
  <si>
    <t>Dwivedi, Yogesh Kumar/A-5362-2008; Pandey, Neeraj/D-1968-2013</t>
  </si>
  <si>
    <t>Dwivedi, Yogesh Kumar/0000-0002-5547-9990; Pandey, Neeraj/0000-0002-6238-6397</t>
  </si>
  <si>
    <t>0959-6119</t>
  </si>
  <si>
    <t>1757-1049</t>
  </si>
  <si>
    <t>INT J CONTEMP HOSP M</t>
  </si>
  <si>
    <t>Int. J. Contemp. Hosp. Manag.</t>
  </si>
  <si>
    <t>JAN 2</t>
  </si>
  <si>
    <t>10.1108/IJCHM-05-2023-0686</t>
  </si>
  <si>
    <t>JUN 2023</t>
  </si>
  <si>
    <t>CT8X5</t>
  </si>
  <si>
    <t>N</t>
  </si>
  <si>
    <t>WOS:001000819400001</t>
  </si>
  <si>
    <t>Salminen, J; Jung, SG; Almerekhi, H; Cambria, E; Jansen, B</t>
  </si>
  <si>
    <t>Salminen, Joni; Jung, Soon-gyo; Almerekhi, Hind; Cambria, Erik; Jansen, Bernard</t>
  </si>
  <si>
    <t>How Can Natural Language Processing and Generative AI Address Grand Challenges of Quantitative User Personas?</t>
  </si>
  <si>
    <t>User personas; Quantitative user personas; Natural language processing; Generative AI</t>
  </si>
  <si>
    <t>DESIGN</t>
  </si>
  <si>
    <t>Human-computer interaction (HCI) and natural language processing (NLP) can engage in mutually beneficial collaboration. This article summarizes previous literature to identify grand challenges for the application of NLP in quantitative user personas (QUPs), which exemplifies such collaboration. Grand challenges provide a collaborative starting point for researchers working at the intersection of NLP and QUPs, towards improved user experiences. NLP research could also benefit from focusing on generating user personas by introducing new solutions to specific NLP tasks, such as classification and generation. We also discuss the novel opportunities introduced by Generative AI to address the grand challenges, offering illustrative examples.</t>
  </si>
  <si>
    <t>[Salminen, Joni] Univ Vaasa, Sch Mkt &amp; Commun, Vaasa, Finland; [Jung, Soon-gyo; Jansen, Bernard] Hamad Bin Khalifa Univ, Qatar Comp Res Inst, Doha, Qatar; [Almerekhi, Hind] Qatar Natl Res Fund, Doha, Qatar; [Cambria, Erik] Nanyang Technol Univ, Sch Comp Sci &amp; Engn, Singapore, Singapore</t>
  </si>
  <si>
    <t>University of Vaasa; Qatar Foundation (QF); Hamad Bin Khalifa University-Qatar; Qatar Computing Research Institute; Nanyang Technological University</t>
  </si>
  <si>
    <t>Salminen, J (corresponding author), Univ Vaasa, Sch Mkt &amp; Commun, Vaasa, Finland.</t>
  </si>
  <si>
    <t>jonisalm@uwasa.fi</t>
  </si>
  <si>
    <t>10.1007/978-3-031-48057-7_14</t>
  </si>
  <si>
    <t>WOS:001159622900014</t>
  </si>
  <si>
    <t>Norbäck, PJ; Persson, L</t>
  </si>
  <si>
    <t>Norback, Pehr-Johan; Persson, Lars</t>
  </si>
  <si>
    <t>Why generative AI can make creative destruction more creative but less destructive</t>
  </si>
  <si>
    <t>SMALL BUSINESS ECONOMICS</t>
  </si>
  <si>
    <t>Machine learning; Big data; Generative AI; Open source; Creative destruction; Entrepreneurship; Operational data; L1; L2; M13; O3</t>
  </si>
  <si>
    <t>RESEARCH-AND-DEVELOPMENT; BIG DATA; COMPETITION; IMPACT</t>
  </si>
  <si>
    <t>The application of machine learning (ML) to operational data is becoming increasingly important with the rapid development of artificial intelligence (AI). We propose a model where incumbents have an initial advantage in ML technology and access to (historical) operational data. We show that the increased application of ML for operational data raises entrepreneurial barriers that make the creative destruction process less destructive (less business stealing) if entrepreneurs have only limited access to the incumbent's data. However, this situation induces entrepreneurs to take on more risk and to be more creative. Policies making data generally available may therefore be suboptimal. A complementary policy is one that supports entrepreneurs' access to ML, such as open source initiatives, since doing so would stimulate creative entrepreneurship. Why generative AI and big data may make the creative destruction process not only more creative but also less destructive. We show that entrepreneurs should consider that challenging incumbents in the era of ML and big data will be more difficult since incumbents' use of ML for proprietary data makes them more formidable competitors. This fact implies that entrepreneurs need to become riskier and more creative in the future to find a competitive edge. They may therefore seek support from venture capital to become more novel in their ventures. Data protection and privacy issues became a flashpoint in the media due in part to the high-profile exposure of Facebook users' data to Cambridge Analytica in 2016 and 2017. The rapidly expanding adoption of generative AI is seen as a risk of locking in the market dominance of large incumbent technology firms. Partially in response to these events, government regulators have instituted tighter rules on data protection. The results derived in this paper suggest that a complementary policy might be to support entrepreneurs' access to and knowledge of ML technology since doing so would stimulate creative entrepreneurship.</t>
  </si>
  <si>
    <t>[Norback, Pehr-Johan] Res Inst Ind Econ IFN, POB 55665, SE-10215 Stockholm, Sweden; [Persson, Lars] CEPR &amp; CESifo, Res Inst Ind Econ IFN, Stockholm, Sweden</t>
  </si>
  <si>
    <t>Research Institute of Industrial Economics (IFN); Research Institute of Industrial Economics (IFN)</t>
  </si>
  <si>
    <t>Persson, L (corresponding author), CEPR &amp; CESifo, Res Inst Ind Econ IFN, Stockholm, Sweden.</t>
  </si>
  <si>
    <t>pehr-johan.norback@ifn.se; lars.persson@ifn.se</t>
  </si>
  <si>
    <t>Persson, Lars/0000-0002-7416-576X</t>
  </si>
  <si>
    <t>We gratefully acknowledge financial support from the Jan Wallander and Tom Hedelius Research Foundation and the Marianne and Marcus Wallenberg Foundation (grant number 2020.0049). We have benefitted from the feedback provided by participants at numerous se; Jan Wallander and Tom Hedelius Research Foundation [2020.0049]; Marianne and Marcus Wallenberg Foundation</t>
  </si>
  <si>
    <t>We gratefully acknowledge financial support from the Jan Wallander and Tom Hedelius Research Foundation and the Marianne and Marcus Wallenberg Foundation (grant number 2020.0049). We have benefitted from the feedback provided by participants at numerous se; Jan Wallander and Tom Hedelius Research Foundation; Marianne and Marcus Wallenberg Foundation</t>
  </si>
  <si>
    <t>We gratefully acknowledge financial support from the Jan Wallander and Tom Hedelius Research Foundation and the Marianne and Marcus Wallenberg Foundation (grant number 2020.0049). We have benefitted from the feedback provided by participants at numerous seminars.</t>
  </si>
  <si>
    <t>0921-898X</t>
  </si>
  <si>
    <t>1573-0913</t>
  </si>
  <si>
    <t>SMALL BUS ECON</t>
  </si>
  <si>
    <t>Small Bus. Econ. Group</t>
  </si>
  <si>
    <t>2023 NOV 16</t>
  </si>
  <si>
    <t>10.1007/s11187-023-00829-4</t>
  </si>
  <si>
    <t>Business; Economics; Management</t>
  </si>
  <si>
    <t>X8VH2</t>
  </si>
  <si>
    <t>WOS:001101157000001</t>
  </si>
  <si>
    <t>Senftleben, M</t>
  </si>
  <si>
    <t>Senftleben, Martin</t>
  </si>
  <si>
    <t>Generative AI and Author Remuneration</t>
  </si>
  <si>
    <t>IIC-INTERNATIONAL REVIEW OF INTELLECTUAL PROPERTY AND COMPETITION LAW</t>
  </si>
  <si>
    <t>Copyright; Text and data mining; Freedom of expression; Art autonomy; Reservation of rights; Three-step test; Domaine public payant; Equitable remuneration; Levy system; Collective rights management</t>
  </si>
  <si>
    <t>COPYRIGHT; MACHINE</t>
  </si>
  <si>
    <t>With the evolution of generative AI systems, machine-made productions in the literary and artistic field have reached a level of refinement that allows them to replace human creations. The increasing sophistication of AI systems will inevitably disrupt the market for human literary and artistic works. Generative AI systems provide literary and artistic output much faster and cheaper. It is therefore foreseeable that human authors will be exposed to substitution effects. They may lose income as they are replaced by machines in sectors ranging from journalism and writing to music and visual arts. Considering this trend, the question arises whether it is advisable to take measures to compensate human authors for the reduction in their market share and income. Copyright law could serve as a tool to introduce an AI levy system and ensure the payment of equitable remuneration. In combination with mandatory collective rights management, the new revenue stream could be used to finance social and cultural funds that improve the working and living conditions of flesh-and-blood authors.</t>
  </si>
  <si>
    <t>[Senftleben, Martin] Univ Amsterdam, Inst Informat Law IViR, Amsterdam Law Sch, The Hague, Netherlands</t>
  </si>
  <si>
    <t>University of Amsterdam</t>
  </si>
  <si>
    <t>Senftleben, M (corresponding author), Univ Amsterdam, Inst Informat Law IViR, Amsterdam Law Sch, The Hague, Netherlands.</t>
  </si>
  <si>
    <t>m.r.f.senftleben@uva.nl</t>
  </si>
  <si>
    <t>SPRINGER HEIDELBERG</t>
  </si>
  <si>
    <t>HEIDELBERG</t>
  </si>
  <si>
    <t>TIERGARTENSTRASSE 17, D-69121 HEIDELBERG, GERMANY</t>
  </si>
  <si>
    <t>0018-9855</t>
  </si>
  <si>
    <t>2195-0237</t>
  </si>
  <si>
    <t>IIC-INT REV INTELL P</t>
  </si>
  <si>
    <t>Int. Rev. Intellect. Prop. Compet. Law</t>
  </si>
  <si>
    <t>10.1007/s40319-023-01399-4</t>
  </si>
  <si>
    <t>CF2P9</t>
  </si>
  <si>
    <t>WOS:001101000100001</t>
  </si>
  <si>
    <t>Liu, XH; Zhang, W; Tong, XC; Zhong, FS; Li, ZJ; Xiong, ZP; Xiong, JC; Wu, XL; Fu, ZY; Tan, XQ; Liu, ZG; Zhang, SL; Jiang, HL; Li, XT; Zheng, MY</t>
  </si>
  <si>
    <t>Liu, Xiaohong; Zhang, Wei; Tong, Xiaochu; Zhong, Feisheng; Li, Zhaojun; Xiong, Zhaoping; Xiong, Jiacheng; Wu, Xiaolong; Fu, Zunyun; Tan, Xiaoqin; Liu, Zhiguo; Zhang, Sulin; Jiang, Hualiang; Li, Xutong; Zheng, Mingyue</t>
  </si>
  <si>
    <t>MolFilterGAN: a progressively augmented generative adversarial network for triaging AI-designed molecules</t>
  </si>
  <si>
    <t>JOURNAL OF CHEMINFORMATICS</t>
  </si>
  <si>
    <t>De novo molecule design; Generative models; Deep learning; Virtual screening; Compound quality control</t>
  </si>
  <si>
    <t>DISCOVERY</t>
  </si>
  <si>
    <t>Artificial intelligence (AI)-based molecular design methods, especially deep generative models for generating novel molecule structures, have gratified our imagination to explore unknown chemical space without relying on brute-force exploration. However, whether designed by AI or human experts, the molecules need to be accessibly synthesized and biologically evaluated, and the trial-and-error process remains a resources-intensive endeavor. Therefore, AI-based drug design methods face a major challenge of how to prioritize the molecular structures with potential for subsequent drug development. This study indicates that common filtering approaches based on traditional screening metrics fail to differentiate AI-designed molecules. To address this issue, we propose a novel molecular filtering method, MolFilterGAN, based on a progressively augmented generative adversarial network. Comparative analysis shows that MolFilterGAN outperforms conventional screening approaches based on drug-likeness or synthetic ability metrics. Retrospective analysis of AI-designed discoidin domain receptor 1 (DDR1) inhibitors shows that MolFilterGAN significantly increases the efficiency of molecular triaging. Further evaluation of MolFilterGAN on eight external ligand sets suggests that MolFilterGAN is useful in triaging or enriching bioactive compounds across a wide range of target types. These results highlighted the importance of MolFilterGAN in evaluating molecules integrally and further accelerating molecular discovery especially combined with advanced AI generative models.</t>
  </si>
  <si>
    <t>[Liu, Xiaohong; Xiong, Zhaoping; Jiang, Hualiang] ShanghaiTech Univ, Shanghai Inst Adv Immunochem Studies, 393 Middle Huaxia Rd, Shanghai 201210, Peoples R China; [Liu, Xiaohong; Zhang, Wei; Tong, Xiaochu; Zhong, Feisheng; Xiong, Zhaoping; Xiong, Jiacheng; Wu, Xiaolong; Fu, Zunyun; Tan, Xiaoqin; Zhang, Sulin; Jiang, Hualiang; Li, Xutong; Zheng, Mingyue] Chinese Acad Sci, Shanghai Inst Mat Med, Drug Discovery &amp; Design Ctr, State Key Lab Drug Res, 555 Zuchongzhi Rd, Shanghai 201203, Peoples R China; [Liu, Xiaohong; Zhang, Wei; Tong, Xiaochu; Zhong, Feisheng; Xiong, Zhaoping; Xiong, Jiacheng; Tan, Xiaoqin; Zhang, Sulin; Jiang, Hualiang; Li, Xutong; Zheng, Mingyue] Univ Chinese Acad Sci, 19A Yuquan Rd, Beijing 100049, Peoples R China; [Liu, Xiaohong; Li, Zhaojun; Liu, Zhiguo] AlphaMa Inc, 108, Yuxin Rd,Suzhou Ind Pk, Suzhou 215128, Peoples R China; [Tan, Xiaoqin] ByteDance AI Lab, 1999 Yishan Rd, Shanghai 201103, Peoples R China; [Wu, Xiaolong] East China Univ Sci &amp; Technol, Sch Pharm, 130 Meilong Rd, Shanghai 200237, Peoples R China; [Zheng, Mingyue] Univ Chinese Acad Sci, Hangzhou Inst Adv Study, Sch Pharmaceut Sci &amp; Technol, Hangzhou 310024, Peoples R China</t>
  </si>
  <si>
    <t>ShanghaiTech University; Chinese Academy of Sciences; Shanghai Institute of Materia Medica, CAS; Chinese Academy of Sciences; University of Chinese Academy of Sciences, CAS; East China University of Science &amp; Technology; Chinese Academy of Sciences; University of Chinese Academy of Sciences, CAS</t>
  </si>
  <si>
    <t>Li, XT; Zheng, MY (corresponding author), Chinese Acad Sci, Shanghai Inst Mat Med, Drug Discovery &amp; Design Ctr, State Key Lab Drug Res, 555 Zuchongzhi Rd, Shanghai 201203, Peoples R China.;Li, XT; Zheng, MY (corresponding author), Univ Chinese Acad Sci, 19A Yuquan Rd, Beijing 100049, Peoples R China.;Zheng, MY (corresponding author), Univ Chinese Acad Sci, Hangzhou Inst Adv Study, Sch Pharmaceut Sci &amp; Technol, Hangzhou 310024, Peoples R China.</t>
  </si>
  <si>
    <t>lixutong@simm.ac.cn; myzheng@simm.ac.cn</t>
  </si>
  <si>
    <t>zhang, xiang/JJD-7003-2023; zhang, wenqing/GYA-0786-2022; Zheng, Mingyue/HHZ-4062-2022; li, xinyi/KEI-6391-2024; Zhang, Sulin/IZD-9387-2023; WU, ZHEN/GRN-7688-2022; liu, zhiguo/IUQ-7631-2023; 霍, 思源/GRR-5343-2022; wu, yi/JEP-1581-2023</t>
  </si>
  <si>
    <t>Zheng, Mingyue/0000-0002-3323-3092; Zhang, Sulin/0000-0002-3609-6804; WU, ZHEN/0000-0001-8719-057X;</t>
  </si>
  <si>
    <t>National Natural Science Foundation of China [T2225002, 82273855, 82204278]; Lingang Laboratory [LG202102-01-02, LG-QS-202204-01]; National Key Research and Development Program of China [2022YFC3400504]; China Postdoctoral Science Foundation [2022M720153]; Youth Innovation Promotion Association CAS [2023296]</t>
  </si>
  <si>
    <t>National Natural Science Foundation of China(National Natural Science Foundation of China (NSFC)); Lingang Laboratory; National Key Research and Development Program of China; China Postdoctoral Science Foundation(China Postdoctoral Science Foundation); Youth Innovation Promotion Association CAS</t>
  </si>
  <si>
    <t>This work was supported by National Natural Science Foundation of China (T2225002 and 82273855 to M.Y.Z., 82204278 to X.T.L.), Lingang Laboratory (LG202102-01-02 to M.Y.Z., LG-QS-202204-01 to S.L.Z.), National Key Research and Development Program of China (2022YFC3400504 to M.Y.Z.) and China Postdoctoral Science Foundation (2022M720153 to X.T.L.), Youth Innovation Promotion Association CAS (2023296 to S.L.Z.)</t>
  </si>
  <si>
    <t>BMC</t>
  </si>
  <si>
    <t>CAMPUS, 4 CRINAN ST, LONDON N1 9XW, ENGLAND</t>
  </si>
  <si>
    <t>1758-2946</t>
  </si>
  <si>
    <t>J CHEMINFORMATICS</t>
  </si>
  <si>
    <t>J. Cheminformatics</t>
  </si>
  <si>
    <t>APR 8</t>
  </si>
  <si>
    <t>10.1186/s13321-023-00711-1</t>
  </si>
  <si>
    <t>Chemistry, Multidisciplinary; Computer Science, Information Systems; Computer Science, Interdisciplinary Applications</t>
  </si>
  <si>
    <t>Chemistry; Computer Science</t>
  </si>
  <si>
    <t>D0YL4</t>
  </si>
  <si>
    <t>WOS:000966066000001</t>
  </si>
  <si>
    <t>Baabdullah, AM</t>
  </si>
  <si>
    <t>Baabdullah, Abdullah M.</t>
  </si>
  <si>
    <t>Generative conversational AI agent for managerial practices: The role of IQ dimensions, novelty seeking and ethical concerns</t>
  </si>
  <si>
    <t>TECHNOLOGICAL FORECASTING AND SOCIAL CHANGE</t>
  </si>
  <si>
    <t>Generative conversational AI agent; Information quality; Novelty seeking; Ethical concerns; Decision-making efficiency; Innovation performance</t>
  </si>
  <si>
    <t>ONLINE INFORMATION QUALITY; DECISION-MAKING; FIRM PERFORMANCE; BIG DATA; TRUST; INTELLIGENCE; CAPABILITIES; METHODOLOGY; MANAGEMENT; INTENTION</t>
  </si>
  <si>
    <t>This study aims to identify and empirically examine the influence of the main factors related to the content quality of generative conversational AI agents on decision-making efficiency. Additionally, this study explores the ramifications of decision-making efficiency facilitated by generative conversational AI agents in organisational innovation performance. This study proposes a model based on the information quality model as well as other factors, such as novelty seeking and ethical concerns. Data from this study was collected using online questionnaires from a purposive sample size of 228 employees in business organisations. Based on Structural Equation Modelling (SEM) analyses using AMOS, the results support the significant impact of information quality (intrinsic information quality, contextual information quality, representational information quality, and accessibility of information quality) on decision-making efficiency. The results also support the significant impact of novelty seeking and ethical concerns on decision-making efficiency. Decision-making efficiency was also found to have a significant positive impact on innovation performance. This empirical study makes a considerable contribution as it is among the first to expand the current understanding of the effective use of generative conversational AI agents in managerial practices (i.e. decision-making and innovation).</t>
  </si>
  <si>
    <t>[Baabdullah, Abdullah M.] King Abdulaziz Univ, Fac Econ &amp; Adm, Dept Management Informat Syst, Jeddah, Saudi Arabia</t>
  </si>
  <si>
    <t>King Abdulaziz University</t>
  </si>
  <si>
    <t>Baabdullah, AM (corresponding author), King Abdulaziz Univ, Fac Econ &amp; Adm, Dept Management Informat Syst, Jeddah, Saudi Arabia.</t>
  </si>
  <si>
    <t>baabdullah@kau.edu.sa</t>
  </si>
  <si>
    <t>Baabdullah, Abdullah M./AAX-8282-2020</t>
  </si>
  <si>
    <t>ELSEVIER SCIENCE INC</t>
  </si>
  <si>
    <t>STE 800, 230 PARK AVE, NEW YORK, NY 10169 USA</t>
  </si>
  <si>
    <t>0040-1625</t>
  </si>
  <si>
    <t>1873-5509</t>
  </si>
  <si>
    <t>TECHNOL FORECAST SOC</t>
  </si>
  <si>
    <t>Technol. Forecast. Soc. Chang.</t>
  </si>
  <si>
    <t>JAN</t>
  </si>
  <si>
    <t>10.1016/j.techfore.2023.122951</t>
  </si>
  <si>
    <t>Business; Regional &amp; Urban Planning</t>
  </si>
  <si>
    <t>Business &amp; Economics; Public Administration</t>
  </si>
  <si>
    <t>Y9WK5</t>
  </si>
  <si>
    <t>WOS:001108689100001</t>
  </si>
  <si>
    <t>Segers, S</t>
  </si>
  <si>
    <t>Segers, Seppe</t>
  </si>
  <si>
    <t>Why we should (not) worry about generative AI in medical ethics teaching</t>
  </si>
  <si>
    <t>INTERNATIONAL JOURNAL OF ETHICS EDUCATION</t>
  </si>
  <si>
    <t>Medical ethics training; Principlism; Generative AI; Large language models</t>
  </si>
  <si>
    <t>In this article I discuss the ethical ramifications for medical ethics training of the availability of large language models (LLMs) for medical students. My focus is on the practical ethical consequences for what we should expect of medical students in terms of medical professionalism and ethical reasoning, and how this can be tested in a context where LLMs are relatively easy available. If we continue to expect ethical competences of medical professionalism of future physicians, how much - if at all - should we worry that such generative AI may compromise adequate testing of medical students' abilities in this regard? I mainly focus on assessment methods based on written assignments of the 'student paper' type and consider whether LLMs make it unfeasible for assessors to gauge whether output is student-generated or 'machine-generated' and, if so, whether this is a problem. My take on this research question unfolds in three interwoven arguments, claiming that the advent of LLMs may offer a momentum (i) to reaffirm the importance of context-sensitive interpretation and specification of ethical principles in medical ethics training, (ii) to provide more supportive circumstances to assessors to allow them to meet scoring demands entailed by the importance that is placed on medical professionalism, and (iii) to complement written assignments with verbal (group) discussion to train and test students' skills to habitually recognize that 'moral solutions' can be normatively questioned and specified from various perspectives.</t>
  </si>
  <si>
    <t>[Segers, Seppe] Univ Ghent, Bioeth Inst Ghent, Dept Philosophy &amp; Moral Sci, Ghent, Belgium</t>
  </si>
  <si>
    <t>Ghent University</t>
  </si>
  <si>
    <t>Segers, S (corresponding author), Univ Ghent, Bioeth Inst Ghent, Dept Philosophy &amp; Moral Sci, Ghent, Belgium.</t>
  </si>
  <si>
    <t>Seppe.Segers@UGent.be</t>
  </si>
  <si>
    <t>SPRINGERNATURE</t>
  </si>
  <si>
    <t>CAMPUS, 4 CRINAN ST, LONDON, N1 9XW, ENGLAND</t>
  </si>
  <si>
    <t>2363-9997</t>
  </si>
  <si>
    <t>2364-0006</t>
  </si>
  <si>
    <t>INT J ETHICS EDUC</t>
  </si>
  <si>
    <t>Int. J. Ethics Educ.</t>
  </si>
  <si>
    <t>2023 OCT 12</t>
  </si>
  <si>
    <t>10.1007/s40889-023-00179-5</t>
  </si>
  <si>
    <t>Education &amp; Educational Research; Ethics</t>
  </si>
  <si>
    <t>Education &amp; Educational Research; Social Sciences - Other Topics</t>
  </si>
  <si>
    <t>U4VU3</t>
  </si>
  <si>
    <t>WOS:001084800900001</t>
  </si>
  <si>
    <t>Liu, ML; Zhang, LJ; Biebricher, C</t>
  </si>
  <si>
    <t>Liu, Meilu; Zhang, Lawrence Jun; Biebricher, Christine</t>
  </si>
  <si>
    <t>Investigating students' cognitive processes in generative AI-assisted digital multimodal composing and traditional writing</t>
  </si>
  <si>
    <t>COMPUTERS &amp; EDUCATION</t>
  </si>
  <si>
    <t>Cognitive process; Generative artificial intelligence; Digital multimodal composing; Writing</t>
  </si>
  <si>
    <t>Recently, generative artificial intelligence (AI)-powered chatbots such as ChatGPT and Bing Chat have garnered increasing attention on a global scale. Previous studies have focused mostly on the influence of generative AI on writing while few researchers have investigated how generative AI can facilitate students' multimodal writing process. To fill in this gap, we explored the generative AI-assisted composing processes of two groups of English as a foreign language (EFL) writers over two weeks in this qualitative study. One group completed a multimodal PowerPoint (PPT) project, and the other group completed a traditional argumentative essay project. Our data consist of students' screen recordings with think-aloud protocols, final multimodal texts, and post-project interviews. Our analysis showed different patterns in text production across the two groups. Students in the PPT group tended to construct more bridge texts and examples to corroborate their sub-claims in the hierarchical order. They also inclined to borrow the summarized search results from the Bing Chat to expand texts for their PPT slides. With regard to image generation for PPT slides, descriptions of AI images from ChatGPT were used as effective prompts to generate AI images from Bing Image Creator. Moreover, students were interested in producing and refining AI images following the recommended prompts by Bing Chat. They also evaluated these AI images from different perspectives. We conclude the study with a discussion on the pedagogical implications and suggestions for further study.</t>
  </si>
  <si>
    <t>[Liu, Meilu; Zhang, Lawrence Jun; Biebricher, Christine] Univ Auckland, Fac Educ &amp; Social Work, Auckland, New Zealand; [Zhang, Lawrence Jun] Univ Auckland, Fac Educ &amp; Social Work, Private Bag 92601, Symonds St, Auckland 1150, New Zealand</t>
  </si>
  <si>
    <t>University of Auckland; University of Auckland</t>
  </si>
  <si>
    <t>Zhang, LJ (corresponding author), Univ Auckland, Fac Educ &amp; Social Work, Private Bag 92601, Symonds St, Auckland 1150, New Zealand.</t>
  </si>
  <si>
    <t>lj.zhang@auckland.ac.nz</t>
  </si>
  <si>
    <t>Zhang, Lawrence Jun/H-1756-2018</t>
  </si>
  <si>
    <t>Zhang, Lawrence Jun/0000-0003-1025-1746</t>
  </si>
  <si>
    <t>University of Auckland; China Scholarship Council of the Ministry of Education of China (CSC) [202206090014]</t>
  </si>
  <si>
    <t>University of Auckland; China Scholarship Council of the Ministry of Education of China (CSC)</t>
  </si>
  <si>
    <t>This research is funded by a joint doctoral scholarship awarded to Meilu Liu by The University of Auckland and the China Scholarship Council of the Ministry of Education of China (CSC NO. 202206090014) .</t>
  </si>
  <si>
    <t>0360-1315</t>
  </si>
  <si>
    <t>1873-782X</t>
  </si>
  <si>
    <t>COMPUT EDUC</t>
  </si>
  <si>
    <t>Comput. Educ.</t>
  </si>
  <si>
    <t>10.1016/j.compedu.2023.104977</t>
  </si>
  <si>
    <t>Computer Science, Interdisciplinary Applications; Education &amp; Educational Research</t>
  </si>
  <si>
    <t>IH2G9</t>
  </si>
  <si>
    <t>WOS:001165366200001</t>
  </si>
  <si>
    <t>Feldstein, S</t>
  </si>
  <si>
    <t>Feldstein, Steven</t>
  </si>
  <si>
    <t>The Consequences of Generative AI for Democracy, Governance and War</t>
  </si>
  <si>
    <t>SURVIVAL</t>
  </si>
  <si>
    <t>Artificial intelligence (AI); chatbots; ChatGPT; cyber attacks; large language model (LLM); military planning; propaganda; surveillance</t>
  </si>
  <si>
    <t>The potential impact of generative AI across politics, governance and war is enormous, and is the subject of considerable speculation informed by few hard facts. Yet it is possible to identify some major challenges. They include threats to democracies by privately controlled models that gain tremendous power to shape discourse and affect democratic deliberation; enhanced surveillance and propaganda dissemination by authoritarian regimes; new capacities for criminal and terrorist actors to carry out cyber attacks and related disruptions; and transformed war planning and military operations reflecting the accelerated dehumanisation of lethal force. While new innovations historically require time to take root, generative AI is likely to be adopted swiftly. Stakeholders must formulate pragmatic approaches to manage oncoming risks.</t>
  </si>
  <si>
    <t>[Feldstein, Steven] Carnegie Endowment Int Peace, Governance Program, Washington, DC 20036 USA</t>
  </si>
  <si>
    <t>Feldstein, S (corresponding author), Carnegie Endowment Int Peace, Governance Program, Washington, DC 20036 USA.</t>
  </si>
  <si>
    <t>I would like to thank Tom Carothers, Matt O'Shaughnessy and Gavin Wilde for their valuable comments and feedback, and Brian (Chun Hey) Kot for his research assistance.</t>
  </si>
  <si>
    <t>0039-6338</t>
  </si>
  <si>
    <t>1468-2699</t>
  </si>
  <si>
    <t>Survival</t>
  </si>
  <si>
    <t>SEP 3</t>
  </si>
  <si>
    <t>10.1080/00396338.2023.2261260</t>
  </si>
  <si>
    <t>International Relations; Political Science</t>
  </si>
  <si>
    <t>International Relations; Government &amp; Law</t>
  </si>
  <si>
    <t>T7IK2</t>
  </si>
  <si>
    <t>WOS:001079678700008</t>
  </si>
  <si>
    <t>Zhang, XC; Li, Z; Oymak, S; Chen, JS</t>
  </si>
  <si>
    <t>Zhang, Xuechen; Li, Zheng; Oymak, Samet; Chen, Jiasi</t>
  </si>
  <si>
    <t>Text-to-3D Generative AI on Mobile Devices: Measurements and Optimizations</t>
  </si>
  <si>
    <t>PROCEEDINGS OF THE 2023 WORKSHOP ON EMERGING MULTIMEDIA SYSTEMS, EMS 2023</t>
  </si>
  <si>
    <t>SIGCOMM Workshop on Emerging Multimedia Systems (EMS)</t>
  </si>
  <si>
    <t>SEP 10, 2023</t>
  </si>
  <si>
    <t>New York, NY</t>
  </si>
  <si>
    <t>Assoc Comp Machinery,ACM SIGCOMM</t>
  </si>
  <si>
    <t>Text-to-3D; generative AI; mobile devices; latency; GPU memory</t>
  </si>
  <si>
    <t>Emerging generative models can create 3D objects from text prompts. However, deploying these models on mobile devices is challenging due to resource constraints and user demand for real-time performance. We take a first step towards understanding the bottlenecks by performing a measurement study of three recent text-to-3D generative models (Point-E, Shap-E, and CLIP-Mesh) in terms of their runtime GPU memory usage, latency, and synthesis quality. We investigate the effectiveness of quantization and distillation techniques to overcome these challenges by speeding up inference execution, potentially at the expense of quality. We find that the Shap-E model is promising for mobile deployment, but requires further optimization in its bottleneck diffusion step for real-time performance, as well as reduced memory usage and load times. Further work is needed on custom optimizations for generative text-to-3D models, including targeting specific metrics at each computation stage, efficient representations of 3D objects, and adaptive network and system support for resource-hungry models.</t>
  </si>
  <si>
    <t>[Zhang, Xuechen] Univ Calif Riverside, Riverside, CA 92521 USA; [Li, Zheng; Oymak, Samet; Chen, Jiasi] Univ Michigan, Ann Arbor, MI 48109 USA</t>
  </si>
  <si>
    <t>University of California System; University of California Riverside; University of Michigan System; University of Michigan</t>
  </si>
  <si>
    <t>Zhang, XC (corresponding author), Univ Calif Riverside, Riverside, CA 92521 USA.</t>
  </si>
  <si>
    <t>xzhan384@ucr.edu; jimmyli@umich.edu; oymak@umich.edu; jiasi@umich.edu</t>
  </si>
  <si>
    <t>NSF CAREER [1942700, CCF-2212426]</t>
  </si>
  <si>
    <t>NSF CAREER(National Science Foundation (NSF)NSF - Office of the Director (OD))</t>
  </si>
  <si>
    <t>This work was supported in part by NSF CAREER 1942700 and CCF-2212426.</t>
  </si>
  <si>
    <t>979-8-4007-0303-4</t>
  </si>
  <si>
    <t>10.1145/3609395.3610594</t>
  </si>
  <si>
    <t>Computer Science, Interdisciplinary Applications; Computer Science, Theory &amp; Methods</t>
  </si>
  <si>
    <t>BW3PU</t>
  </si>
  <si>
    <t>WOS:001141308100002</t>
  </si>
  <si>
    <t>Lyu, YR; Hao, TX; Yi, ZHY</t>
  </si>
  <si>
    <t>Lyu, Yanru; Hao, Tingxuan; Yi, Zhouhengyi</t>
  </si>
  <si>
    <t>Design Futures with GAI: Exploring the Potential of Generative AI Tools in Collaborative Speculation</t>
  </si>
  <si>
    <t>Generative AI; Design Futures; GPT; Text to Image; Futures Scenario</t>
  </si>
  <si>
    <t>In recent years, Generative Artificial Intelligence (GAI) has been increasingly applied to perform complex tasks. In this study, a GAI-embedded method for design futures was proposed. Through a week-long workshop guided by a workbook, the potential of GAI for scanning signals, constructing scenarios and assisting in the design of concepts is discussed and explored. According to questionnaire surveys, interviews and related content analysis, high technology can provide certain support for imagination and creative design for the uncertain futures. A key action for designers is to add human-factor-based high-touch guidance and correction to human-AI collaboration. In this regard, this study develops a GAI-embedded framework involving internal and external environments through the combination of future thinking and design thinking, which not only bridges the gap between rational technology and emotional design, but also expands the tools and methods of future design in the age of artificial intelligence.</t>
  </si>
  <si>
    <t>[Lyu, Yanru; Hao, Tingxuan; Yi, Zhouhengyi] Beijing Technol &amp; Business Univ, Sch Media &amp; Design, Dept Digital Media Arts, Beijing 102248, Peoples R China</t>
  </si>
  <si>
    <t>Beijing Technology &amp; Business University</t>
  </si>
  <si>
    <t>Lyu, YR (corresponding author), Beijing Technol &amp; Business Univ, Sch Media &amp; Design, Dept Digital Media Arts, Beijing 102248, Peoples R China.</t>
  </si>
  <si>
    <t>lyuyanru@gmail.com</t>
  </si>
  <si>
    <t>LYU, Yanru/0000-0001-5040-3025</t>
  </si>
  <si>
    <t>10.1007/978-3-031-48057-7_10</t>
  </si>
  <si>
    <t>WOS:001159622900010</t>
  </si>
  <si>
    <t>Walczak, K; Cellary, W</t>
  </si>
  <si>
    <t>Walczak, Krzysztof; Cellary, Wojciech</t>
  </si>
  <si>
    <t>Challenges for higher education in the era of widespread access to Generative AI</t>
  </si>
  <si>
    <t>artificial intelligence; Generative Artificial Intelligence; GPT; higher education; university transformation</t>
  </si>
  <si>
    <t>The aim of this paper is to discuss the role and impact of Generative Artificial Intelligence (AI) systems in higher education. The proliferation of AI models such as GPT-4, Open Assistant and DALL-E presents a paradigm shift in information acquisition and learning. This transformation poses substantial challenges for traditional teaching approaches and the role of educators. The paper explores the advantages and potential threats of using Generative AI in education and necessary changes in curricula. It further discusses the need to foster digital literacy and the ethical use of AI. The paper's findings are based on a survey conducted among university students exploring their usage and perception of these AI systems. Finally, recommendations for the use of AI in higher education are offered, which emphasize the need to harness AI's potential while mitigating its risks. This discourse aims at stimulating policy and strategy development to ensure relevant and effective education in the rapidly evolving digital landscape.</t>
  </si>
  <si>
    <t>[Walczak, Krzysztof] Poznan Univ Econ &amp; Business, Dept Informat Technol, Al Niepodleglosci 10, PL-61875 Poznan, Poland; [Cellary, Wojciech] WSB Merito Univ, Inst Appl Res, Ul Powstancow Wielkopolskich 5, PL-61895 Poznan, Poland</t>
  </si>
  <si>
    <t>Poznan University of Economics &amp; Business</t>
  </si>
  <si>
    <t>Walczak, K (corresponding author), Poznan Univ Econ &amp; Business, Dept Informat Technol, Al Niepodleglosci 10, PL-61875 Poznan, Poland.</t>
  </si>
  <si>
    <t>krzysztof.walczak@ue.poznan.pl; wojciech.cellary@wsb.poznan.pl</t>
  </si>
  <si>
    <t>Walczak, Krzysztof/AAF-9685-2021</t>
  </si>
  <si>
    <t>Walczak, Krzysztof/0000-0001-8170-7910; Cellary, Wojciech/0000-0001-8578-4307</t>
  </si>
  <si>
    <t>10.18559/ebr.2023.2.743</t>
  </si>
  <si>
    <t>WOS:001037180500005</t>
  </si>
  <si>
    <t>Sun, LH; Wei, M; Sun, YB; Suh, YJ; Shen, LW; Yang, SJ</t>
  </si>
  <si>
    <t>Sun, Luhang; Wei, Mian; Sun, Yibing; Suh, Yoo Ji; Shen, Liwei; Yang, Sijia</t>
  </si>
  <si>
    <t>Smiling women pitching down: auditing representational and presentational gender biases in image-generative AI</t>
  </si>
  <si>
    <t>JOURNAL OF COMPUTER-MEDIATED COMMUNICATION</t>
  </si>
  <si>
    <t>Generative AI; DALL center dot E 2; gender bias; algorithm auditing; computer vision</t>
  </si>
  <si>
    <t>MEDIA; STEREOTYPES; TELEVISION</t>
  </si>
  <si>
    <t>Generative Artificial Intelligence (AI) models like DALL center dot E 2 can interpret prompts and generate high-quality images that exhibit human creativity. Though public enthusiasm is booming, systematic auditing of potential gender biases in AI-generated images remains scarce. We addressed this gap by examining the prevalence of two occupational gender biases (representational and presentational biases) in 15,300 DALL center dot E 2 images spanning 153 occupations. We assessed potential bias amplification by benchmarking against the 2021 U.S. census data and Google Images. Our findings reveal that DALL center dot E 2 underrepresents women in male-dominated fields while overrepresenting them in female-dominated occupations. Additionally, DALL center dot E 2 images tend to depict more women than men with smiles and downward-pitching heads, particularly in female-dominated (versus male-dominated) occupations. Our algorithm auditing study demonstrates more pronounced representational and presentational biases in DALL center dot E 2 compared to Google Images and calls for feminist interventions to curtail the potential impacts of such biased AI-generated images on the media ecology. Artificial Intelligence (AI) tools like DALL center dot E 2 are great at turning text into creative images. Despite the fact that many people are excited about adopting this technology, not much research has been done on gender biases in the images AI generates. Our study looked at this issue by examining over 15,000 images created by DALL center dot E 2 that depict people in 153 different jobs. We compared these AI-generated images with job data from the 2021 U.S. census and pictures found on Google Images. We found that DALL center dot E 2 often underrepresents women in jobs where men are more common but overrepresents them in jobs where women are more common. Additionally, the AI tends to show more women than men with smiling faces and heads tilted down, particularly in jobs where women are more common. This could lead to misconceptions about women's roles and abilities in these occupations. Our research found that these biases in DALL center dot E 2 images are more severe than those in Google Images. This highlights the need for efforts to reduce gender biases in AI so that we will not reinforce gender stereotypes and ensure fair representation of both women and men in AI-generated images.</t>
  </si>
  <si>
    <t>[Sun, Luhang; Wei, Mian; Sun, Yibing; Suh, Yoo Ji; Yang, Sijia] Univ Wisconsin, Sch Journalism &amp; Mass Commun, Madison, WI 53706 USA; [Shen, Liwei] Univ Wisconsin, Dept Commun Arts, Madison, WI USA</t>
  </si>
  <si>
    <t>University of Wisconsin System; University of Wisconsin Madison; University of Wisconsin System; University of Wisconsin Madison</t>
  </si>
  <si>
    <t>Yang, SJ (corresponding author), Univ Wisconsin, Sch Journalism &amp; Mass Commun, Madison, WI 53706 USA.</t>
  </si>
  <si>
    <t>lsun232@wisc.edu; mwei47@wisc.edu; ysun326@wisc.edu; yooji.suh@wisc.edu; lshen36@wisc.edu; sijia.yang@alumni.upenn.edu</t>
  </si>
  <si>
    <t>Shen, Liwei/JBJ-3854-2023</t>
  </si>
  <si>
    <t>Sun, Yibing/0000-0003-1754-9895; Sun, Luhang/0000-0002-3502-2440</t>
  </si>
  <si>
    <t>University of Wisconsin-Madison Office of the Vice Chancellor for Research and Graduate Education; Wisconsin Alumni Research Foundation [MSN275569, MSN275781]</t>
  </si>
  <si>
    <t>University of Wisconsin-Madison Office of the Vice Chancellor for Research and Graduate Education; Wisconsin Alumni Research Foundation</t>
  </si>
  <si>
    <t>Support for this research was provided by the University of Wisconsin-Madison Office of the Vice Chancellor for Research and Graduate Education with funding from the Wisconsin Alumni Research Foundation, awarded to Sijia Yang (#MSN275569 and #MSN275781).</t>
  </si>
  <si>
    <t>OXFORD UNIV PRESS INC</t>
  </si>
  <si>
    <t>CARY</t>
  </si>
  <si>
    <t>JOURNALS DEPT, 2001 EVANS RD, CARY, NC 27513 USA</t>
  </si>
  <si>
    <t>1083-6101</t>
  </si>
  <si>
    <t>J COMPUT-MEDIAT COMM</t>
  </si>
  <si>
    <t>J. Comput.-Mediat. Commun.</t>
  </si>
  <si>
    <t>NOV 8</t>
  </si>
  <si>
    <t>zmad045</t>
  </si>
  <si>
    <t>10.1093/jcmc/zmad045</t>
  </si>
  <si>
    <t>Communication; Information Science &amp; Library Science</t>
  </si>
  <si>
    <t>GY8Y3</t>
  </si>
  <si>
    <t>WOS:001156341500003</t>
  </si>
  <si>
    <t>Hu, YQ; Zhang, DW; Quigley, A</t>
  </si>
  <si>
    <t>Spencer, SN</t>
  </si>
  <si>
    <t>Hu, Yongquan; Zhang, Dawen; Quigley, Aaron</t>
  </si>
  <si>
    <t>GenAIR: Exploring Design Factor of Employing Generative AI for Augmented Reality</t>
  </si>
  <si>
    <t>ACM SYMPOSIUM ON SPATIAL USER INTERACTION, SUI 2023</t>
  </si>
  <si>
    <t>11th ACM Symposium on Spatial User Interaction (SUI)</t>
  </si>
  <si>
    <t>OCT 13-15, 2023</t>
  </si>
  <si>
    <t>Sydney, AUSTRALIA</t>
  </si>
  <si>
    <t>Assoc Comp Machinery,ACM SIGCHI,ACM SIGGRAPH</t>
  </si>
  <si>
    <t>Generative AI; Spatial Augmented Reality; Design Factor</t>
  </si>
  <si>
    <t>PRIVACY</t>
  </si>
  <si>
    <t>Generative Artificial Intelligence (GenAI) has emerged as a fundamental component of intelligent interactive systems, enabling the automatic generation of multimodal media content. The continuous enhancement in the quality of Artificial Intelligence-Generated Content (AIGC), including but not limited to images and text, is forging new paradigms for its application, particularly within the domain of Augmented Reality (AR). Nevertheless, the application of GenAI within the AR design process remains opaque. This paper aims to articulate a design space encapsulating a series of criteria and a prototypical process to aid practitioners in assessing the aptness of adopting pertinent technologies. The proposed model has been formulated based on a synthesis of design insights garnered from ten experts, obtained through focus group interviews. Leveraging these initial insights, we delineate potential applications of GenAI in AR.</t>
  </si>
  <si>
    <t>[Hu, Yongquan] Univ New South Wales, Sydney, NSW, Australia; [Zhang, Dawen; Quigley, Aaron] CSIRO, Data61, Sydney, NSW, Australia</t>
  </si>
  <si>
    <t>University of New South Wales Sydney; Commonwealth Scientific &amp; Industrial Research Organisation (CSIRO)</t>
  </si>
  <si>
    <t>Hu, YQ (corresponding author), Univ New South Wales, Sydney, NSW, Australia.</t>
  </si>
  <si>
    <t>yongquan.hu@unsw.edu.au; david.zhang@data61.csiro.au; aaron.quigley@data61.csiro.au</t>
  </si>
  <si>
    <t>979-8-4007-0281-5</t>
  </si>
  <si>
    <t>10.1145/3607822.3618018</t>
  </si>
  <si>
    <t>Computer Science, Theory &amp; Methods; Imaging Science &amp; Photographic Technology</t>
  </si>
  <si>
    <t>Computer Science; Imaging Science &amp; Photographic Technology</t>
  </si>
  <si>
    <t>BW3JV</t>
  </si>
  <si>
    <t>WOS:001138802600047</t>
  </si>
  <si>
    <t>Helberger, N; Diakopoulos, N</t>
  </si>
  <si>
    <t>Helberger, Natali; Diakopoulos, Nicholas</t>
  </si>
  <si>
    <t>ChatGPT and the AI Act</t>
  </si>
  <si>
    <t>INTERNET POLICY REVIEW</t>
  </si>
  <si>
    <t>ChatGPT; AI governance; Artificial intelligence; Digital Services Act (DSA); Generative AI</t>
  </si>
  <si>
    <t>It is not easy being a tech regulator these days. The European institutions are working hard towards finalising the AI Act in autumn, and then generative AI systems like ChatGPT come along! In this essay, we comment the European AI Act by arguing that its current risk-based approach is too limited for facing ChatGPT &amp; co.</t>
  </si>
  <si>
    <t>[Helberger, Natali] Univ Amsterdam, Amsterdam, Netherlands; [Diakopoulos, Nicholas] Northwestern Univ, Evanston, IL USA</t>
  </si>
  <si>
    <t>University of Amsterdam; Northwestern University</t>
  </si>
  <si>
    <t>Helberger, N (corresponding author), Univ Amsterdam, Amsterdam, Netherlands.</t>
  </si>
  <si>
    <t>Helberger, Natali/0000-0003-1652-0580</t>
  </si>
  <si>
    <t>ALEXANDER VON HUMBOLDT INST INTERNET &amp; SOC</t>
  </si>
  <si>
    <t>OBERWALLSTRASSE 9, BERLIN, 10117, GERMANY</t>
  </si>
  <si>
    <t>2197-6775</t>
  </si>
  <si>
    <t>INTERNET POLICY REV</t>
  </si>
  <si>
    <t>Internet Policy Rev.</t>
  </si>
  <si>
    <t>10.14763/2023.1.1682</t>
  </si>
  <si>
    <t>Communication; Law</t>
  </si>
  <si>
    <t>Communication; Government &amp; Law</t>
  </si>
  <si>
    <t>A8QM9</t>
  </si>
  <si>
    <t>WOS:000957709200004</t>
  </si>
  <si>
    <t>So, HJ; Jang, H; Kim, M; Choi, J</t>
  </si>
  <si>
    <t>So, Hyo-Jeong; Jang, Hyeji; Kim, Minseon; Choi, Jieun</t>
  </si>
  <si>
    <t>Exploring public perceptions of generative AI and education: topic modelling of YouTube comments in Korea</t>
  </si>
  <si>
    <t>ASIA PACIFIC JOURNAL OF EDUCATION</t>
  </si>
  <si>
    <t>Generative AI; ChatGPT; topic modelling; public perceptions; YouTube</t>
  </si>
  <si>
    <t>CONTENT VALIDITY</t>
  </si>
  <si>
    <t>This study aims to investigate the public's perceptions regarding the integration of Generative AI (GenAI) in education by analysing comments on YouTube news clips. The study collected public comments from YouTube news clips disseminated by three prominent broadcasters in South Korea between December 2022 and June 2023. Two dimensions of public perceptions were examined: sentiments and prevalent topics. Employing machine learning techniques, we conducted sentiment analysis and topic modelling on the crowdsourced dataset of 18,566 comments from 66 YouTube news clips. The first research question focused on public sentiments towards GenAI and education. Findings reveal a predominance of neutral sentiments. Rather than adopting extreme positions of complete acceptance or rejection, the public displayed an inclination to appreciate the intricate nuances of GenAI's implications. The second research question sought to identify the main topics emerging from public comments on GenAI and education. We identified 11 distinct topics where two topics are directly linked to educational implications: demands for changes in learning and assessment methods, and the use of GenAI in higher education. Based on the key findings, we draw implications that can inform a broader understanding of public sentiment and perspective towards GenAI and education.</t>
  </si>
  <si>
    <t>[So, Hyo-Jeong; Jang, Hyeji; Kim, Minseon; Choi, Jieun] Ewha Womans Univ, Dept Educ Technol, 52 Ewhayeodae Gil, Seoul, South Korea</t>
  </si>
  <si>
    <t>Ewha Womans University</t>
  </si>
  <si>
    <t>So, HJ (corresponding author), Ewha Womans Univ, Dept Educ Technol, 52 Ewhayeodae Gil, Seoul, South Korea.</t>
  </si>
  <si>
    <t>hyojeongso@ewha.ac.kr</t>
  </si>
  <si>
    <t>0218-8791</t>
  </si>
  <si>
    <t>1742-6855</t>
  </si>
  <si>
    <t>ASIA PAC J EDUC</t>
  </si>
  <si>
    <t>Asia Pac. J. Educ.</t>
  </si>
  <si>
    <t>10.1080/02188791.2023.2294699</t>
  </si>
  <si>
    <t>JG4I1</t>
  </si>
  <si>
    <t>WOS:001125830700001</t>
  </si>
  <si>
    <t>Mihaescu, C; Mihaescu, M</t>
  </si>
  <si>
    <t>Mihaescu, Cristian; Mihaescu, Manuela</t>
  </si>
  <si>
    <t>The Impact of Generative AI in Music Composition</t>
  </si>
  <si>
    <t>INFORMATION AND COMMUNICATION TECHNOLOGY IN MUSICAL FIELD</t>
  </si>
  <si>
    <t>Generative artificial intelligence; music; generative models; Stable Audio; AIVA</t>
  </si>
  <si>
    <t>This paper briefly describes the concept of generative artificial intelligence in music composition, highlighting the innovations and challenges brought by this technology. After an overview of the types of models used in training generative algorithms and specialised software for music composition, the case study analyses two of these applications. The article concludes with a reflection on the challenges brought by this technology and how these systems support musicians in the creative, compositional act.</t>
  </si>
  <si>
    <t>[Mihaescu, Cristian] TThe Natl Acad Mus Gheorghe Dima Cluj Napoca, Cluj Napoca, Romania; [Mihaescu, Cristian] Acad Nationala Muz Gheorghe Dima Cluj Napoca, Cluj Napoca, Romania; [Mihaescu, Manuela] Babes Bolyai Univ, Cluj Napoca, Romania; [Mihaescu, Manuela] Univ Babes Bolyai, Cluj Napoca, Romania</t>
  </si>
  <si>
    <t>Babes Bolyai University from Cluj; Babes Bolyai University from Cluj</t>
  </si>
  <si>
    <t>Mihaescu, C (corresponding author), TThe Natl Acad Mus Gheorghe Dima Cluj Napoca, Cluj Napoca, Romania.;Mihaescu, C (corresponding author), Acad Nationala Muz Gheorghe Dima Cluj Napoca, Cluj Napoca, Romania.</t>
  </si>
  <si>
    <t>cristian.mihaescu@gmail.com; manuela.mihaescu@ubbcluj.ro</t>
  </si>
  <si>
    <t>MEDIA MUSICA</t>
  </si>
  <si>
    <t>CLUJ-NAPOCA</t>
  </si>
  <si>
    <t>STR ICBRATIANU NR 25, CLUJ-NAPOCA, 00000, ROMANIA</t>
  </si>
  <si>
    <t>2067-9408</t>
  </si>
  <si>
    <t>2069-654X</t>
  </si>
  <si>
    <t>INF COMMUN TECHNOL M</t>
  </si>
  <si>
    <t>Inf. Commun. Technol. Musical Field</t>
  </si>
  <si>
    <t>Music</t>
  </si>
  <si>
    <t>DO8D9</t>
  </si>
  <si>
    <t>WOS:001133078100009</t>
  </si>
  <si>
    <t>Shah, C</t>
  </si>
  <si>
    <t>Shah, Chirag</t>
  </si>
  <si>
    <t>Generative AI and the Future of Information Access</t>
  </si>
  <si>
    <t>Generative AI; Information Access</t>
  </si>
  <si>
    <t>[Shah, Chirag] Univ Washington, Seattle, WA 98195 USA</t>
  </si>
  <si>
    <t>University of Washington; University of Washington Seattle</t>
  </si>
  <si>
    <t>Shah, C (corresponding author), Univ Washington, Seattle, WA 98195 USA.</t>
  </si>
  <si>
    <t>chirags@uw.edu</t>
  </si>
  <si>
    <t>10.1145/3583780.3615317</t>
  </si>
  <si>
    <t>WOS:001161549500002</t>
  </si>
  <si>
    <t>Oddone, K; Garrison, K; Gagen-Spriggs, K</t>
  </si>
  <si>
    <t>Oddone, Kay; Garrison, Kasey; Gagen-Spriggs, Krystal</t>
  </si>
  <si>
    <t>Navigating Generative AI: The Teacher Librarian's Role in Cultivating Ethical and Critical Practices</t>
  </si>
  <si>
    <t>JOURNAL OF THE AUSTRALIAN LIBRARY AND INFORMATION ASSOCIATION</t>
  </si>
  <si>
    <t>Teacher librarians; generative artificial intelligence; AI in education; ethical information use; CATWOE</t>
  </si>
  <si>
    <t>The recent evolution of Generative Artificial Intelligence (GAI) has already made a tangible impact within the realm of education. Positioned at the forefront of information and digital literacies, teacher librarians (TLs) can be leaders in exploring the potential for AI platforms to transform learning and teaching. This research is based on an exploratory methodology, to investigate how TLs might teach with and about GAI by applying the CATWOE analysis technique [Checkland, P., &amp; Poulter, J. (2006). Learning for action: A short definitive account of soft systems methodology, and its use for practitioners, teachers and students. Wiley.] within the context of three specific GAI platforms. Findings highlight the multifaceted role that TLs can assume, extending beyond the pedagogical integration of GAI to encompass a broader educational mandate: to scaffold students' capabilities as critical and ethical users of these tools in the creation and use of information.</t>
  </si>
  <si>
    <t>[Oddone, Kay; Garrison, Kasey; Gagen-Spriggs, Krystal] Charles Sturt Univ, Fac Arts &amp; Educ, Sch Informat &amp; Commun Studies, Wagga Wagga, NSW, Australia; [Oddone, Kay] Charles Sturt Univ, Fac Arts &amp; Educ, Sch Informat &amp; Commun Studies, Locked Bag 588, Wagga Wagga, NSW 2678, Australia</t>
  </si>
  <si>
    <t>Charles Sturt University; Charles Sturt University</t>
  </si>
  <si>
    <t>Oddone, K (corresponding author), Charles Sturt Univ, Fac Arts &amp; Educ, Sch Informat &amp; Commun Studies, Locked Bag 588, Wagga Wagga, NSW 2678, Australia.</t>
  </si>
  <si>
    <t>koddone@csu.edu.au</t>
  </si>
  <si>
    <t>Garrison, Kasey/0000-0002-2495-0233; Oddone, Kay/0000-0002-6814-3783; Gagen-Spriggs, Krystal/0000-0001-9046-5327</t>
  </si>
  <si>
    <t>2475-0158</t>
  </si>
  <si>
    <t>2475-0166</t>
  </si>
  <si>
    <t>J AUST LIB INF ASSOC</t>
  </si>
  <si>
    <t>J. Aust. Libr. Inf. Assoc.</t>
  </si>
  <si>
    <t>2023 DEC 7</t>
  </si>
  <si>
    <t>10.1080/24750158.2023.2289093</t>
  </si>
  <si>
    <t>Z9FN2</t>
  </si>
  <si>
    <t>WOS:001115058400001</t>
  </si>
  <si>
    <t>Berger, M; Ploennigs, J</t>
  </si>
  <si>
    <t>Berger, Markus; Ploennigs, Joern</t>
  </si>
  <si>
    <t>ArchiGuesser - Teaching Architecture Styles using Generative AI</t>
  </si>
  <si>
    <t>PROCEEDINGS OF THE 10TH ACM INTERNATIONAL CONFERENCE ON SYSTEMS FOR ENERGY-EFFICIENT BUILDINGS, CITIES, AND TRANSPORTATION, BUILDSYS 2023</t>
  </si>
  <si>
    <t>10th ACM International Conference on Systems for Energy-Efficient Buildings, Cities, and Transportation (BuildSys)</t>
  </si>
  <si>
    <t>NOV 15-16, 2023</t>
  </si>
  <si>
    <t>Istanbul, TURKEY</t>
  </si>
  <si>
    <t>Assoc Comp Machinery,ACM Special Interest Grp Energy Syst &amp; Informat</t>
  </si>
  <si>
    <t>Generative AIs are opening new possibilities to create content from text, speech, and images based on simple input prompts. Users use this to improve their productivity when summarizing knowledge, templating communication, and inspiring their creativity. But, can it also be used to teach, e.g. about our architectural history? With this demo we are exploring this question. We created an educational game that combines various AI technologies from large language models and image generation to computer vision, in order to serve a single purpose: Teach users about architecture in an entertaining way. We wanted to enable students to explore and learn the diversity of our architectural history in a playful and exploratory way and at the same time experience and understand what current AI technologies can achieve.</t>
  </si>
  <si>
    <t>[Berger, Markus; Ploennigs, Joern] Univ Rostock, AI Sustainable Construct, Rostock, Germany</t>
  </si>
  <si>
    <t>University of Rostock</t>
  </si>
  <si>
    <t>Berger, M (corresponding author), Univ Rostock, AI Sustainable Construct, Rostock, Germany.</t>
  </si>
  <si>
    <t>markus.berger@uni-rostock.de; joern.ploennigs@uni-rostock.de</t>
  </si>
  <si>
    <t>Berger, Markus/0000-0001-5232-0039; Ploennigs, Joern/0000-0002-6320-8891</t>
  </si>
  <si>
    <t>979-8-4007-0230-3</t>
  </si>
  <si>
    <t>10.1145/3600100.3626262</t>
  </si>
  <si>
    <t>Computer Science, Artificial Intelligence; Computer Science, Interdisciplinary Applications; Construction &amp; Building Technology</t>
  </si>
  <si>
    <t>Computer Science; Construction &amp; Building Technology</t>
  </si>
  <si>
    <t>BW4HB</t>
  </si>
  <si>
    <t>WOS:001147988300044</t>
  </si>
  <si>
    <t>Prather, J; Denny, P; Leinonen, J; Becker, BA; Albluwi, I; Craig, M; Keuning, H; Kiesler, N; Kohn, T; Luxton-Reilly, A; MacNeil, S; Petersen, A; Pettit, R; Reeves, BN; Savelka, J</t>
  </si>
  <si>
    <t>Prather, James; Denny, Paul; Leinonen, Juho; Becker, Brett A.; Albluwi, Ibrahim; Craig, Michelle; Keuning, Hieke; Kiesler, Natalie; Kohn, Tobias; Luxton-Reilly, Andrew; MacNeil, Stephen; Petersen, Andrew; Pettit, Raymond; Reeves, Brent N.; Savelka, Jaromir</t>
  </si>
  <si>
    <t>The Robots are Here: Navigating the Generative AI Revolution in Computing Education</t>
  </si>
  <si>
    <t>PROCEEDINGS OF THE 2023 WORKING GROUP REPORTS ON INNOVATION AND TECHNOLOGY IN COMPUTER SCIENCE EDUCATION, ITICSE-WGR 2023</t>
  </si>
  <si>
    <t>28th Annual Conference on Working Group Reports on Innovation and Technology in Computer Science Education (ITiCSE-WGR)</t>
  </si>
  <si>
    <t>JUL 07-12, 2023</t>
  </si>
  <si>
    <t>Univ Turku, Turku, FINLAND</t>
  </si>
  <si>
    <t>Assoc Comp Machinery,ACM Special Interest Grp Comp Sci Educ</t>
  </si>
  <si>
    <t>Univ Turku</t>
  </si>
  <si>
    <t>AI; artificial intelligence; code generation; ChatGPT; Codex; computer programming; curriculum; Copilot; CS1; Generative AI; GitHub; GPT; GPT-3; GPT-4; large language models; LLM; LLMs; novice programming; OpenAI; pedagogical practices; programming</t>
  </si>
  <si>
    <t>Recent advancements in artificial intelligence (AI) and specifically generative AI (GenAI) are threatening to fundamentally reshape computing and society. Largely driven by large language models (LLMs), many tools are now able to interpret and generate both natural language instructions and source code. These capabilities have sparked urgent questions in the computing education community around how educators should adapt their pedagogy to address the challenges and to leverage the opportunities presented by this new technology. In this working group report, we undertake a comprehensive exploration of generative AI in the context of computing education and make five significant contributions. First, we provide a detailed review of the literature on LLMs in computing education and synthesise findings from 71 primary articles, nearly 80% of which have been published in the first 8 months of 2023. Second, we report the findings of a survey of computing students and instructors from across 20 countries, capturing prevailing attitudes towards GenAI/LLMs and their use in computing education contexts. Third, to understand how pedagogy is already changing, we offer insights collected from in-depth interviews with 22 computing educators from five continents. Fourth, we use the ACM Code of Ethics to frame a discussion of ethical issues raised by the use of large language models in computing education, and we provide concrete advice for policy makers, educators, and students. Finally, we benchmark the performance of several current GenAI models/tools on various computing education datasets, and highlight the extent to which the capabilities of current models are rapidly improving. There is little doubt that LLMs and other forms of GenAI will have a profound impact on computing education over the coming years. However, just as the technology will continue to improve, so will our collective knowledge about how to leverage these new models and tools in educational settings. We expect many important conversations around this topic will emerge as the community explores how to provide more effective, inclusive, and personalised learning experiences. Our aim is that this report will serve as a focal point for both researchers and practitioners who are exploring, adapting, using, and evaluating GenAI and LLM-based tools in computing classrooms.</t>
  </si>
  <si>
    <t>[Prather, James] Abilene Christian Univ, Abilene, TX 79699 USA; [Denny, Paul; Leinonen, Juho; Luxton-Reilly, Andrew] Univ Auckland, Auckland, New Zealand; [Becker, Brett A.] Univ Coll Dublin, Dublin, Ireland; [Albluwi, Ibrahim] Princess Sumaya Univ Technol, Amman, Jordan; [Craig, Michelle] Univ Toronto, Toronto, ON, Canada; [Keuning, Hieke] Univ Utrecht, Utrecht, Netherlands; [Kiesler, Natalie] DIPF Leibniz Inst Res &amp; Informat Educ, Frankfurt, Germany; [Kohn, Tobias] Karlsruhe Inst Technol, Karlsruhe, Germany; [MacNeil, Stephen] Temple Univ, Philadelphia, PA USA; [Petersen, Andrew] Univ Toronto, Mississauga, ON, Canada; [Pettit, Raymond] Univ Virginia, Charlottesville, VA USA; [Reeves, Brent N.] Abilene Christian Univ, Abilene, TX USA; [Savelka, Jaromir] Carnegie Mellon Univ, Pittsburgh, PA USA</t>
  </si>
  <si>
    <t>Abilene Christian University; University of Auckland; University College Dublin; Princess Sumaya University for Technology; University of Toronto; Utrecht University; Helmholtz Association; Karlsruhe Institute of Technology; Pennsylvania Commonwealth System of Higher Education (PCSHE); Temple University; University of Toronto; University Toronto Mississauga; University of Virginia; Abilene Christian University; Carnegie Mellon University</t>
  </si>
  <si>
    <t>Prather, J (corresponding author), Abilene Christian Univ, Abilene, TX 79699 USA.</t>
  </si>
  <si>
    <t>james.prather@acu.edu; paul@cs.auckland.ac.nz; juho.leinonen@auckland.ac.nz; brett.becker@ucd.ie; i.albluwi@psut.edu.jo; mcraig@cs.toronto.edu; h.w.keuning@uu.nl; kiesler@dipf.de; tobias.kohn@kit.edu; andrew@cs.auckland.ac.nz; stephen.macneil@temple.edu; andrew.petersen@utoronto.ca; raymond.pettit@virginia.edu; brent.reeves@acu.edu; jsavelka@cs.cmu.edu</t>
  </si>
  <si>
    <t>Luxton-Reilly, Andrew/ABC-5342-2021; Leinonen, Juho/D-2162-2018; Savelka, Jaromir/GOK-0488-2022; Craig, Michelle/HOF-9433-2023; MacNeil, Stephen/HPH-0843-2023; Šavelka, Jaromír/JUU-2183-2023</t>
  </si>
  <si>
    <t>Luxton-Reilly, Andrew/0000-0001-8269-2909; Leinonen, Juho/0000-0001-6829-9449; Craig, Michelle/0000-0001-8283-0072; MacNeil, Stephen/0000-0003-2781-6619; Šavelka, Jaromír/0000-0002-3674-5456; Kiesler, Natalie/0000-0002-6843-2729; Kohn, Tobias/0000-0002-9251-8944; Prather, James/0000-0003-2807-6042</t>
  </si>
  <si>
    <t>979-8-4007-0405-5</t>
  </si>
  <si>
    <t>10.1145/3623762.3633499</t>
  </si>
  <si>
    <t>Computer Science, Interdisciplinary Applications; Education, Scientific Disciplines</t>
  </si>
  <si>
    <t>BW5SR</t>
  </si>
  <si>
    <t>hybrid, Green Submitted</t>
  </si>
  <si>
    <t>WOS:001167053500004</t>
  </si>
  <si>
    <t>Burov, V; Soshnikov, D</t>
  </si>
  <si>
    <t>Burov, Vasiliy; Soshnikov, Dmitry</t>
  </si>
  <si>
    <t>FidoNet and Generative AI: A New Approach to Museumification of Historical Content Resources</t>
  </si>
  <si>
    <t>2023 8TH IEEE HISTORY OF ELECTROTECHNOLOGY CONFERENCE, HISTELCON</t>
  </si>
  <si>
    <t>IEEE History of Telecommunications Conference</t>
  </si>
  <si>
    <t>8th IEEE History of Electrotechnology Conference (IEEE HISTELCON)</t>
  </si>
  <si>
    <t>SEP 07-09, 2023</t>
  </si>
  <si>
    <t>Florence, ITALY</t>
  </si>
  <si>
    <t>IEEE, Hist Comm,IEEE Italy Sect, Life Members Affin Grp,Sci &amp; Techn Fdn Florence,IEEE Reg 8,Univ Florence,Soc Italiana Elettronica,Soc Italiana Elettromagnetismo</t>
  </si>
  <si>
    <t>FidoNet; echos; echomail; newsgroups; content representation; user generated content; UCG; machine learning; large language model; LLM; generative AI; artificial intelligence; ChatGPT; GPT model; virtual museum; cybernetic immortality</t>
  </si>
  <si>
    <t>This report considers the problem of visual representation of historical content resources based on user-generated content for museumification of the most important information resources in the history of digital networks development. The paper proposes an approach based on generative AI and shows its implementation in relation to FidoNet.</t>
  </si>
  <si>
    <t>[Burov, Vasiliy] Estonto Lab, Yerevan, Armenia; [Soshnikov, Dmitry] Estonto Lab, Astana, Kazakhstan</t>
  </si>
  <si>
    <t>Burov, V (corresponding author), Estonto Lab, Yerevan, Armenia.</t>
  </si>
  <si>
    <t>vasiliy.burov@gmail.com; dmitri@soshnikov.com</t>
  </si>
  <si>
    <t>2770-8349</t>
  </si>
  <si>
    <t>979-8-3503-3464-7</t>
  </si>
  <si>
    <t>IEEE History of Tele</t>
  </si>
  <si>
    <t>10.1109/HISTELCON56357.2023.10365937</t>
  </si>
  <si>
    <t>History &amp; Philosophy Of Science</t>
  </si>
  <si>
    <t>History &amp; Philosophy of Science</t>
  </si>
  <si>
    <t>BW5OI</t>
  </si>
  <si>
    <t>WOS:001164186900032</t>
  </si>
  <si>
    <t>Thompson, K; Corrin, L; Lodge, JM</t>
  </si>
  <si>
    <t>Thompson, Kate; Corrin, Linda; Lodge, Jason M.</t>
  </si>
  <si>
    <t>AI in tertiary education: progress on research and practice</t>
  </si>
  <si>
    <t>generative AI; educational technology; educational research</t>
  </si>
  <si>
    <t>Generative artificial intelligence (AI) has had a significant impact in tertiary education for practitioners and researchers during 2023. We review the way in which academics have made sense of generative AI, revisit our proposed research agenda and reflect on our changing roles as academics in relation to learning, teaching, design and policy.</t>
  </si>
  <si>
    <t>[Thompson, Kate] Queensland Univ Technol, Brisbane City, Qld, Australia; Deakin Univ, Burwood, Vic, Australia; [Lodge, Jason M.] Univ Queensland, St Lucia, Qld, Australia</t>
  </si>
  <si>
    <t>Queensland University of Technology (QUT); Deakin University; University of Queensland</t>
  </si>
  <si>
    <t>Thompson, K (corresponding author), Queensland Univ Technol, Brisbane City, Qld, Australia.</t>
  </si>
  <si>
    <t>kate.j.thompson@qut.edu.au</t>
  </si>
  <si>
    <t>Corrin, Linda/AAD-8545-2019</t>
  </si>
  <si>
    <t>Corrin, Linda/0000-0002-1593-3271</t>
  </si>
  <si>
    <t>10.14742/ajet.9251</t>
  </si>
  <si>
    <t>WOS:001132966400006</t>
  </si>
  <si>
    <t>Al-Zahrani, AM</t>
  </si>
  <si>
    <t>Al-Zahrani, Abdulrahman M.</t>
  </si>
  <si>
    <t>The impact of generative AI tools on researchers and research: Implications for academia in higher education</t>
  </si>
  <si>
    <t>INNOVATIONS IN EDUCATION AND TEACHING INTERNATIONAL</t>
  </si>
  <si>
    <t>Generative AI; research; higher education; ethical considerations; awareness; perceived impact</t>
  </si>
  <si>
    <t>This study explores the impact of Generative AI tools on researchers and research in the context of higher education in Saudi Arabia. An online survey questionnaire was used to collect data on higher education students' perspectives (N = 505). The findings indicate that participants hold positive attitudes and possess a high level of awareness regarding GenAI in research. They recognise the potential of these tools to revolutionise academic research. Participants report highly beneficial experiences using GenAI tools to expand project scope and improve efficiency. Additionally, participants expressed optimism about the future role of GenAI tools, expecting them to become more prevalent and transform the research landscape. However, participants emphasised the importance of adequate training, support, and guidance in using GenAI tools. Ethical considerations emerged as a significant concern, highlighting the participants' commitment to responsible research practices and the need for transparency and addressing potential biases associated with these tools.</t>
  </si>
  <si>
    <t>[Al-Zahrani, Abdulrahman M.] Univ Jeddah, Educ Technol Dept, Jeddah, Saudi Arabia; [Al-Zahrani, Abdulrahman M.] Univ Jeddah, Educ Technol Dept, 8183 Kalthoum Al Awsi, Jeddah 238263259, Saudi Arabia</t>
  </si>
  <si>
    <t>University of Jeddah; University of Jeddah</t>
  </si>
  <si>
    <t>Al-Zahrani, AM (corresponding author), Univ Jeddah, Educ Technol Dept, 8183 Kalthoum Al Awsi, Jeddah 238263259, Saudi Arabia.</t>
  </si>
  <si>
    <t>ammzahrani@uj.edu.sa</t>
  </si>
  <si>
    <t>Al-Zahrani, Abdulrahman/0009-0007-9885-0730</t>
  </si>
  <si>
    <t>1470-3297</t>
  </si>
  <si>
    <t>1470-3300</t>
  </si>
  <si>
    <t>INNOV EDUC TEACH INT</t>
  </si>
  <si>
    <t>Innov. Educ. Teach. Int.</t>
  </si>
  <si>
    <t>2023 OCT 16</t>
  </si>
  <si>
    <t>10.1080/14703297.2023.2271445</t>
  </si>
  <si>
    <t>U7LZ0</t>
  </si>
  <si>
    <t>WOS:001086597100001</t>
  </si>
  <si>
    <t>Baek, TH</t>
  </si>
  <si>
    <t>Baek, Tae Hyun</t>
  </si>
  <si>
    <t>Digital Advertising in the Age of Generative AI</t>
  </si>
  <si>
    <t>JOURNAL OF CURRENT ISSUES AND RESEARCH IN ADVERTISING</t>
  </si>
  <si>
    <t>IMPACT</t>
  </si>
  <si>
    <t>Artificial intelligence (AI) is significantly reshaping branded content delivery and consumer engagement in the advertising industry. Generative AI, exemplified by ChatGPT, is anticipated to have a substantial impact on all digital advertising domains worldwide. This special issue delves into the exploration of future trends in global digital advertising in the era of generative AI. The research articles within this special issue encompass a diverse array of topics, ranging from consumer responses to AI-generated virtual influencers in the metaverse and livestreaming e-commerce to the influence of anthropomorphic virtual agents, privacy concerns in online behavioral advertising, understanding of AI-driven ethnic affinity targeting, and the role of relational bonds within online gaming communities.</t>
  </si>
  <si>
    <t>[Baek, Tae Hyun] Sungkyunkwan Univ, Dept Media &amp; Commun, Seoul, South Korea</t>
  </si>
  <si>
    <t>Sungkyunkwan University (SKKU)</t>
  </si>
  <si>
    <t>Baek, TH (corresponding author), Sungkyunkwan Univ, Dept Media &amp; Commun, Seoul, South Korea.</t>
  </si>
  <si>
    <t>tbaek@skku.edu</t>
  </si>
  <si>
    <t>Baek, Tae Hyun/JGD-1912-2023</t>
  </si>
  <si>
    <t>TAYLOR &amp; FRANCIS LTD</t>
  </si>
  <si>
    <t>2-4 PARK SQUARE, MILTON PARK, ABINGDON OR14 4RN, OXON, ENGLAND</t>
  </si>
  <si>
    <t>1064-1734</t>
  </si>
  <si>
    <t>2164-7313</t>
  </si>
  <si>
    <t>J CURR ISS RES AD</t>
  </si>
  <si>
    <t>J. Curr. Issues Res. Advert.</t>
  </si>
  <si>
    <t>JUL 3</t>
  </si>
  <si>
    <t>10.1080/10641734.2023.2243496</t>
  </si>
  <si>
    <t>Business; Communication</t>
  </si>
  <si>
    <t>Business &amp; Economics; Communication</t>
  </si>
  <si>
    <t>Q0SG2</t>
  </si>
  <si>
    <t>WOS:001054694000001</t>
  </si>
  <si>
    <t>Park, C; Lee, J; Kim, Y; Park, JG; Kim, H; Hong, D</t>
  </si>
  <si>
    <t>Park, Cheolhee; Lee, Jonghoon; Kim, Youngsoo; Park, Jong-Geun; Kim, Hyunjin; Hong, Dowon</t>
  </si>
  <si>
    <t>An Enhanced AI-Based Network Intrusion Detection System Using Generative Adversarial Networks</t>
  </si>
  <si>
    <t>IEEE INTERNET OF THINGS JOURNAL</t>
  </si>
  <si>
    <t>Generative adversarial networks; Data models; Deep learning; Anomaly detection; Network intrusion detection; Feature extraction; Internet of Things; generative adversarial network (GAN); network intrusion detection system (NIDS); network security</t>
  </si>
  <si>
    <t>DEEP LEARNING APPROACH</t>
  </si>
  <si>
    <t>As communication technology advances, various and heterogeneous data are communicated in distributed environments through network systems. Meanwhile, along with the development of communication technology, the attack surface has expanded, and concerns regarding network security have increased. Accordingly, to deal with potential threats, research on network intrusion detection systems (NIDSs) has been actively conducted. Among the various NIDS technologies, recent interest is focused on artificial intelligence (AI)-based anomaly detection systems, and various models have been proposed to improve the performance of NIDS. However, there still exists the problem of data imbalance, in which AI models cannot sufficiently learn malicious behavior and thus fail to detect network threats accurately. In this study, we propose a novel AI-based NIDS that can efficiently resolve the data imbalance problem and improve the performance of the previous systems. To address the aforementioned problem, we leveraged a state-of-the-art generative model that could generate plausible synthetic data for minor attack traffic. In particular, we focused on the reconstruction error and Wasserstein distance-based generative adversarial networks, and autoencoder-driven deep learning models. To demonstrate the effectiveness of our system, we performed comprehensive evaluations over various data sets and demonstrated that the proposed systems significantly outperformed the previous AI-based NIDS.</t>
  </si>
  <si>
    <t>[Park, Cheolhee; Lee, Jonghoon; Kim, Youngsoo; Park, Jong-Geun; Kim, Hyunjin] Elect &amp; Telecommun Res Inst, Cyber Secur Res Div, Daejeon 34129, South Korea; [Hong, Dowon] Kongju Natl Univ, Dept Appl Math, Gongju 32588, South Korea</t>
  </si>
  <si>
    <t>Electronics &amp; Telecommunications Research Institute - Korea (ETRI); Kongju National University</t>
  </si>
  <si>
    <t>Park, C (corresponding author), Elect &amp; Telecommun Res Inst, Cyber Secur Res Div, Daejeon 34129, South Korea.</t>
  </si>
  <si>
    <t>chpark0528@etri.re.kr; mine@etri.re.kr; blitzkrieg@etri.re.kr; queue@etri.re.kr; be.successor@etri.re.kr; dwhong@kongju.ac.kr</t>
  </si>
  <si>
    <t>Hong, Dowon/0000-0001-9690-5055; Park, Cheolhee/0000-0002-3637-9951; Kim, Youngsoo/0000-0002-1494-9503</t>
  </si>
  <si>
    <t>Institute of Information and Communications Technology Planning and Evaluation (IITP) - Korea Government (MSIT) [2020-0-00952]</t>
  </si>
  <si>
    <t>Institute of Information and Communications Technology Planning and Evaluation (IITP) - Korea Government (MSIT)(Institute for Information &amp; Communication Technology Planning &amp; Evaluation (IITP), Republic of KoreaMinistry of Science &amp; ICT (MSIT), Republic of Korea)</t>
  </si>
  <si>
    <t>This work was supported by the Institute of Information and Communications Technology Planning and Evaluation (IITP) Grant funded by the Korea Government (MSIT, Development of 5G Edge Security Technology for Ensuring 5G+ Service Stability and Availability) under Grant 2020-0-00952.</t>
  </si>
  <si>
    <t>2327-4662</t>
  </si>
  <si>
    <t>IEEE INTERNET THINGS</t>
  </si>
  <si>
    <t>IEEE Internet Things J.</t>
  </si>
  <si>
    <t>FEB 1</t>
  </si>
  <si>
    <t>10.1109/JIOT.2022.3211346</t>
  </si>
  <si>
    <t>D1IJ4</t>
  </si>
  <si>
    <t>WOS:000966324600001</t>
  </si>
  <si>
    <t>Hsiao, MY; Zhang, S</t>
  </si>
  <si>
    <t>Assoc Computing Machinery</t>
  </si>
  <si>
    <t>Hsiao, Ming-Yu; Zhang, Simo</t>
  </si>
  <si>
    <t>Research on the Educational Application of Generative Artificial Intelligence Images in the Design of Semiotics Learning Models</t>
  </si>
  <si>
    <t>PROCEEDINGS OF 2023 6TH INTERNATIONAL CONFERENCE ON EDUCATIONAL TECHNOLOGY MANAGEMENT, ICETM 2023</t>
  </si>
  <si>
    <t>6th International Conference on Educational Technology Management (ICETM)</t>
  </si>
  <si>
    <t>NOV 03-05, 2023</t>
  </si>
  <si>
    <t>S China Normal Univ, Guangzhou, PEOPLES R CHINA</t>
  </si>
  <si>
    <t>S China Normal Univ</t>
  </si>
  <si>
    <t>Design Semiotics; Design with Generative AI Images; AI Educational Applications; AI Teaching Methods</t>
  </si>
  <si>
    <t>Generative Artificial Intelligence (AI) has emerged as a novel technology with profound implications for education and deep learning, particularly due to its advancements in image generation. This progress has had a disruptive impact on the design industry, where designers are increasingly embracing generative AI images as innovative tools and techniques to enhance design ideation and creative expression. Integrating generative AI images into design education has become an inevitable trend, as it guides students in developing a deeper understanding of design aesthetics. However, the current application of generative AI images in design education lacks innovative use grounded in design theory. Therefore, the incorporation of generative AI images within the framework of design theory becomes crucial to interpret and refine design processes and design thinking. This research aims to explore the application of generative AI images in design semiotics, utilizing design theory as its foundation. By integrating design processes and incorporating design case studies, the study seeks to analyze how generative AI images can be effectively applied in design semiotics. Ultimately, the research strives to establish a pedagogical approach for the application of generative AI image-based design semiotics.</t>
  </si>
  <si>
    <t>[Hsiao, Ming-Yu; Zhang, Simo] Chaoyang Univ Technol, Coll Design, Taichung 413, Taiwan</t>
  </si>
  <si>
    <t>Chaoyang University of Technology</t>
  </si>
  <si>
    <t>Zhang, S (corresponding author), Chaoyang Univ Technol, Coll Design, Taichung 413, Taiwan.</t>
  </si>
  <si>
    <t>my.hsiao@msa.hinet.net; zhangsimo0525@gmail.com</t>
  </si>
  <si>
    <t>979-8-4007-1667-6</t>
  </si>
  <si>
    <t>10.1145/3637907.3637947</t>
  </si>
  <si>
    <t>BW5FK</t>
  </si>
  <si>
    <t>WOS:001159769900002</t>
  </si>
  <si>
    <t>Chou, HM; Cho, TL</t>
  </si>
  <si>
    <t>Chou, Hsien-Ming; Cho, Tsai-Lun</t>
  </si>
  <si>
    <t>Utilizing Text Mining for Labeling Training Models from Futures Corpus in Generative AI</t>
  </si>
  <si>
    <t>APPLIED SCIENCES-BASEL</t>
  </si>
  <si>
    <t>text mining; semantic analysis; labeling bull-bear words; futures corpus; generative AI</t>
  </si>
  <si>
    <t>For highly time-constrained, very short-term investors, reading and extracting valuable information from financial news poses significant challenges. The wide range of topics covered in these news articles further compounds the difficulties for investors. The diverse content adds complexity and uncertainty to the text, making it arduous for very short-term investors to swiftly and accurately extract valuable insights. Variations between authors, media sources, and cultural backgrounds also introduce additional complexities. Hence, performing a bull-bear semantic analysis of financial news using text mining technologies can alleviate the volume, time, and energy pressures on very short-term investors, while enhancing the efficiency and accuracy of their investment decisions. This study proposes labeling bull-bear words using a futures corpus detection method that extracts valuable information from financial news, allowing investors to quickly understand market trends. Generative AI models are trained to provide real-time bull-bear advice, aiding investors in adapting to market changes and devising effective trading strategies. Experimental results show the effectiveness of various models, with random forest and SVMs achieving an impressive 80% accuracy rate. MLP and deep learning models also perform well. By leveraging these models, the study reduces the time spent reading financial articles, enabling faster decision making and increasing the likelihood of investment success. Future research can explore the application of this method in other domains and enhance model design for improved predictive capabilities and practicality.</t>
  </si>
  <si>
    <t>[Chou, Hsien-Ming; Cho, Tsai-Lun] Chung Yuan Christian Univ, Dept Informat Management, Taoyuan City 320314, Taiwan; [Cho, Tsai-Lun] Chien Hsin Univ Sci &amp; Technol, Dept Informat Management, Taoyuan City 320678, Taiwan; [Cho, Tsai-Lun] Natl Tsing Hua Univ, Dept Math, Hsinchu 300044, Taiwan</t>
  </si>
  <si>
    <t>Chung Yuan Christian University; Chien Hsin University of Science &amp; Technology; National Tsing Hua University</t>
  </si>
  <si>
    <t>Chou, HM (corresponding author), Chung Yuan Christian Univ, Dept Informat Management, Taoyuan City 320314, Taiwan.</t>
  </si>
  <si>
    <t>chou0109@cycu.edu.tw; saetnsaetn@uch.edu.tw</t>
  </si>
  <si>
    <t>Chou, Hsien-Ming/0000-0002-4622-5032</t>
  </si>
  <si>
    <t>National Science and Technology Council of Taiwan [111-2410-H-033-010]</t>
  </si>
  <si>
    <t>National Science and Technology Council of Taiwan</t>
  </si>
  <si>
    <t>Funding for this research was provided by the National Science and Technology Council of Taiwan, under the grant number 111-2410-H-033-010.</t>
  </si>
  <si>
    <t>2076-3417</t>
  </si>
  <si>
    <t>APPL SCI-BASEL</t>
  </si>
  <si>
    <t>Appl. Sci.-Basel</t>
  </si>
  <si>
    <t>10.3390/app13179622</t>
  </si>
  <si>
    <t>Chemistry, Multidisciplinary; Engineering, Multidisciplinary; Materials Science, Multidisciplinary; Physics, Applied</t>
  </si>
  <si>
    <t>Chemistry; Engineering; Materials Science; Physics</t>
  </si>
  <si>
    <t>R2JK2</t>
  </si>
  <si>
    <t>WOS:001062657100001</t>
  </si>
  <si>
    <t>Suzuki, R; Gonzalez-Franco, M; Sra, M; Lindlbauer, D</t>
  </si>
  <si>
    <t>Suzuki, Ryo; Gonzalez-Franco, Mar; Sra, Misha; Lindlbauer, David</t>
  </si>
  <si>
    <t>XR and AI: AI-Enabled Virtual, Augmented, and Mixed Reality</t>
  </si>
  <si>
    <t>Augmented Reality; Mixed Reality; Virtual Reality; Generative AI; Large Language Models; Computer Vision; Machine Learning; Human-AI Interaction</t>
  </si>
  <si>
    <t>This workshop aims to unite experts and practitioners in XR and AI to envision the future of AI-enabled virtual, augmented, and mixed reality experiences. Our expansive discussion includes a variety of key topics: Generative XR, Large Language Models (LLMs) for XR, Adaptive and Context-Aware XR, Explainable AI for XR, and harnessing AI to enhance and prototype XR experiences. We aim to identify the opportunities and challenges of how recent advances of AI could bring new XR experiences, which cannot be done before, with a keen focus on the seamless blending of our digital and physical worlds.</t>
  </si>
  <si>
    <t>[Suzuki, Ryo] Univ Calgary, Calgary, AB, Canada; [Gonzalez-Franco, Mar] Google, Seattle, WA USA; [Sra, Misha] UC Santa Barbara, Santa Barbara, CA USA; [Lindlbauer, David] Carnegie Mellon Univ, Pittsburgh, PA USA</t>
  </si>
  <si>
    <t>University of Calgary; Google Incorporated; University of California System; University of California Santa Barbara; Carnegie Mellon University</t>
  </si>
  <si>
    <t>Suzuki, R (corresponding author), Univ Calgary, Calgary, AB, Canada.</t>
  </si>
  <si>
    <t>ryo.suzuki@ucalgary.ca; margon@google.com; sra@cs.ucsb.edu; davidlindlbauer@cmu.edu</t>
  </si>
  <si>
    <t>10.1145/3586182.3617432</t>
  </si>
  <si>
    <t>WOS:001125107000107</t>
  </si>
  <si>
    <t>Chan, CKY; Lee, KKW</t>
  </si>
  <si>
    <t>Chan, Cecilia Ka Yuk; Lee, Katherine K. W.</t>
  </si>
  <si>
    <t>The AI generation gap: Are Gen Z students more interested in adopting generative AI such as ChatGPT in teaching and learning than their Gen X and millennial generation teachers?</t>
  </si>
  <si>
    <t>SMART LEARNING ENVIRONMENTS</t>
  </si>
  <si>
    <t>ChatGPT; Generative AI; AI literacy; Risks; Advantages; Holistic competencies; Challenges; Benefits</t>
  </si>
  <si>
    <t>INTERCODER RELIABILITY; OPPORTUNITIES</t>
  </si>
  <si>
    <t>This study aimed to explore the experiences, perceptions, knowledge, concerns, and intentions of Generation Z (Gen Z) students with Generation X (Gen X) and Generation Y (Gen Y) teachers regarding the use of generative AI (GenAI) in higher education. A sample of students and teachers were recruited to investigate the above using a survey consisting of both open and closed questions. The findings showed that Gen Z participants were generally optimistic about the potential benefits of GenAI, including enhanced productivity, efficiency, and personalized learning, and expressed intentions to use GenAI for various educational purposes. Gen X and Gen Y teachers acknowledged the potential benefits of GenAI but expressed heightened concerns about overreliance, ethical and pedagogical implications, emphasizing the need for proper guidelines and policies to ensure responsible use of the technology. The study highlighted the importance of combining technology with traditional teaching methods to provide a more effective learning experience. Implications of the findings include the need to develop evidence-based guidelines and policies for GenAI integration, foster critical thinking and digital literacy skills among students, and promote responsible use of GenAI technologies in higher education.</t>
  </si>
  <si>
    <t>[Chan, Cecilia Ka Yuk; Lee, Katherine K. W.] Univ Hong Kong, Fac Educ, Teaching &amp; Learning Innovat Ctr TALIC, Room CPD-1-81,Centennial Campus, Hong Kong, Peoples R China</t>
  </si>
  <si>
    <t>Chan, CKY (corresponding author), Univ Hong Kong, Fac Educ, Teaching &amp; Learning Innovat Ctr TALIC, Room CPD-1-81,Centennial Campus, Hong Kong, Peoples R China.</t>
  </si>
  <si>
    <t>ckchan09@hku.hk</t>
  </si>
  <si>
    <t>The author wishes to thank the students and teachers who participated the survey.</t>
  </si>
  <si>
    <t>2196-7091</t>
  </si>
  <si>
    <t>SMART LEARN ENVIRON</t>
  </si>
  <si>
    <t>Smart Learn. Env.</t>
  </si>
  <si>
    <t>NOV 15</t>
  </si>
  <si>
    <t>10.1186/s40561-023-00269-3</t>
  </si>
  <si>
    <t>X9SI7</t>
  </si>
  <si>
    <t>WOS:001101761900002</t>
  </si>
  <si>
    <t>King, S; Prasetyo, J</t>
  </si>
  <si>
    <t>King, Stephen; Prasetyo, Judhi</t>
  </si>
  <si>
    <t>Assessing generative AI through the lens of the 2023 Gartner Hype Cycle for Emerging Technologies: a collaborative autoethnography</t>
  </si>
  <si>
    <t>FRONTIERS IN EDUCATION</t>
  </si>
  <si>
    <t>generative AI; problematic use of Internet; autoethnography; Gartner Technology Hype Cycle; curriculum design</t>
  </si>
  <si>
    <t>This brief research report examines claims made across contemporary media channels that generative artificial intelligence can be used to develop educational materials, in an experiment to develop a new course for advertising, PR and branding professionals. A collaborative auto-ethnography is employed to examine the journey and unintended consequences experienced by a non-technology lecturer engaging with generative AI for the first-time and is examined under the lens of the 2023 Gartner Hype Cycle for Emerging Technologies. The researchers were able to map lived experiences to stages of the Gartner model, presenting evidence that this tool could have extended utility in the field of human resources for the support of technology integration projects. They also recorded several potential manifestations of symptoms related to the problematic use of Internet (PUI). The implications of the findings contribute to ongoing public discourse regarding the introduction of artificial intelligence within education, with insights for policy development and governance, as well as faculty and student wellbeing.</t>
  </si>
  <si>
    <t>[King, Stephen] Middlesex Univ Dubai, Media Dept, Dubai, U Arab Emirates; [Prasetyo, Judhi] Middlesex Univ Dubai, Comp Engn &amp; Informat, Dubai, U Arab Emirates</t>
  </si>
  <si>
    <t>Middlesex University; Middlesex University</t>
  </si>
  <si>
    <t>King, S (corresponding author), Middlesex Univ Dubai, Media Dept, Dubai, U Arab Emirates.</t>
  </si>
  <si>
    <t>s.king@mdx.ac.ae</t>
  </si>
  <si>
    <t>King, Stephen/0000-0002-0659-1353</t>
  </si>
  <si>
    <t>FRONTIERS MEDIA SA</t>
  </si>
  <si>
    <t>AVENUE DU TRIBUNAL FEDERAL 34, LAUSANNE, CH-1015, SWITZERLAND</t>
  </si>
  <si>
    <t>2504-284X</t>
  </si>
  <si>
    <t>FRONT EDUC</t>
  </si>
  <si>
    <t>Front. Educ.</t>
  </si>
  <si>
    <t>DEC 1</t>
  </si>
  <si>
    <t>10.3389/feduc.2023.1300391</t>
  </si>
  <si>
    <t>CI0W9</t>
  </si>
  <si>
    <t>WOS:001124517000001</t>
  </si>
  <si>
    <t>Solaiman, I</t>
  </si>
  <si>
    <t>Solaiman, Irene</t>
  </si>
  <si>
    <t>The Gradient of Generative AI Release: Methods and Considerations</t>
  </si>
  <si>
    <t>PROCEEDINGS OF THE 6TH ACM CONFERENCE ON FAIRNESS, ACCOUNTABILITY, AND TRANSPARENCY, FACCT 2023</t>
  </si>
  <si>
    <t>6th ACM Conference on Fairness, Accountability, and Transparency (FAccT)</t>
  </si>
  <si>
    <t>JUN 12-15, 2023</t>
  </si>
  <si>
    <t>Chicago, IL</t>
  </si>
  <si>
    <t>DONT</t>
  </si>
  <si>
    <t>As increasingly powerful generative AI systems are developed, the release method greatly varies. We propose a framework to assess six levels of access to generative AI systems: fully closed; gradual or staged access; hosted access; cloud-based or API access; downloadable access; and fully open. Each level, from fully closed to fully open, can be viewed as an option along a gradient. We outline key considerations across this gradient: release methods come with tradeoffs, especially around the tension between concentrating power and mitigating risks. Diverse and multidisciplinary perspectives are needed to examine and mitigate risk in generative AI systems from conception to deployment. We show trends in generative system release over time, noting closedness among large companies for powerful systems and openness among organizations founded on principles of openness. We also enumerate safety controls and guardrails for generative systems and necessary investments to improve future releases.</t>
  </si>
  <si>
    <t>[Solaiman, Irene] Hugging Face, Brooklyn, NY 11201 USA</t>
  </si>
  <si>
    <t>Solaiman, I (corresponding author), Hugging Face, Brooklyn, NY 11201 USA.</t>
  </si>
  <si>
    <t>irene@huggingface.co</t>
  </si>
  <si>
    <t>Hugging Face</t>
  </si>
  <si>
    <t>Thank you to Hugging Face for supporting this research.</t>
  </si>
  <si>
    <t>978-1-4503-7252-7</t>
  </si>
  <si>
    <t>10.1145/3593013.3593981</t>
  </si>
  <si>
    <t>Computer Science, Artificial Intelligence; Computer Science, Interdisciplinary Applications; Ethics; Social Sciences, Interdisciplinary</t>
  </si>
  <si>
    <t>BV6VC</t>
  </si>
  <si>
    <t>WOS:001062819300012</t>
  </si>
  <si>
    <t>Zimmermann, A</t>
  </si>
  <si>
    <t>Zimmermann, Annette</t>
  </si>
  <si>
    <t>The Generative AI Deployment Rush: How to Democratize the Politics of Pace</t>
  </si>
  <si>
    <t>AI deployment; generative AI; political philosophy of AI</t>
  </si>
  <si>
    <t>[Zimmermann, Annette] Univ Wisconsin Madison, Madison, WI 53705 USA</t>
  </si>
  <si>
    <t>University of Wisconsin System; University of Wisconsin Madison</t>
  </si>
  <si>
    <t>Zimmermann, A (corresponding author), Univ Wisconsin Madison, Madison, WI 53705 USA.</t>
  </si>
  <si>
    <t>zimmermann6@wisc.edu</t>
  </si>
  <si>
    <t>10.1145/3600211.3607545</t>
  </si>
  <si>
    <t>WOS:001117838100001</t>
  </si>
  <si>
    <t>Kebble, P</t>
  </si>
  <si>
    <t>Kebble, Paul</t>
  </si>
  <si>
    <t>A Chat with ChatGPT: The potential impact of Generative AI in higher education learning, teaching and assessment, with specific reference to EAL/D students</t>
  </si>
  <si>
    <t>Generative AI; Learning and teaching; Assessment design; EAL/D Learners</t>
  </si>
  <si>
    <t>Generative AI tools, such as ChatGPT, have the capacity to support both learners and teachers in higher education by providing quality prose with a requested specific focus. How that prose is appropriately utilised to support teaching, learning and the assessment of learning is currently being debated, with diverse opinions impacting Gen AI engagement policies across HE institutions. This paper is a personal reflection on using ChatGPT to support both my teaching and lecturing, and my students' academic and professional communication competencies. Examples are provided where my teaching and lecturing resources, specifically in health sciences, have been created and enhanced through the use of ChatGPT. As many of my students have English as an additional language or dialect, I include reflections on how these AI resources can enhance their learning, both linguistically and topically. This reflection also includes my own thoughts on how embracing Gen AI in learning can be assessed effectively and appropriately. Everything is provided with the understanding that all is open for debate and I welcome future comments and correspondence.</t>
  </si>
  <si>
    <t>[Kebble, Paul] Curtin Univ, Fac Hlth Sci, English Language Dev, Perth, WA, Australia</t>
  </si>
  <si>
    <t>Curtin University</t>
  </si>
  <si>
    <t>Kebble, P (corresponding author), Curtin Univ, Fac Hlth Sci, English Language Dev, Perth, WA, Australia.</t>
  </si>
  <si>
    <t>paul.kebble@curtin.edu.au</t>
  </si>
  <si>
    <t>T81</t>
  </si>
  <si>
    <t>T91</t>
  </si>
  <si>
    <t>WOS:001163419200004</t>
  </si>
  <si>
    <t>Chan, CKY; Zhou, WX</t>
  </si>
  <si>
    <t>Chan, Cecilia Ka Yuk; Zhou, Wenxin</t>
  </si>
  <si>
    <t>An expectancy value theory (EVT) based instrument for measuring student perceptions of generative AI</t>
  </si>
  <si>
    <t>Expectancy-value theory (EVT); Validated instrument; Generative AI; ChatGPT; Unified theory of acceptance and use of technology (UTAUT); Technology acceptance model (TAM); Theory of planned behavior (TPB)</t>
  </si>
  <si>
    <t>ARTIFICIAL-INTELLIGENCE; TECHNOLOGY ACCEPTANCE; USER ACCEPTANCE; EDUCATION</t>
  </si>
  <si>
    <t>This study examines the relationship between student perceptions and their intention to use generative artificial intelligence (GenAI) in higher education. With a sample of 405 students participating in the study, their knowledge, perceived value, and perceived cost of using the technology were measured by an Expectancy-Value Theory (EVT) instrument. The scales were first validated and the correlations between the different components were subsequently estimated. The results indicate a strong positive correlation between perceived value and intention to use generative AI, and a weak negative correlation between perceived cost and intention to use. As we continue to explore the implications of GenAI in education and other domains, it is crucial to carefully consider the potential long-term consequences and the ethical dilemmas that may arise from widespread adoption.</t>
  </si>
  <si>
    <t>[Chan, Cecilia Ka Yuk; Zhou, Wenxin] Univ Hong Kong, Fac Educ, Teaching &amp; Learning Innovat Ctr TAL, Pokfulam, Hong Kong, Peoples R China; [Chan, Cecilia Ka Yuk] Univ Hong Kong, Teaching &amp; Learning Innovat Ctr, Pokfulam, Room CPD-1-81,Centennial Campus, Hong Kong, Peoples R China</t>
  </si>
  <si>
    <t>University of Hong Kong; University of Hong Kong</t>
  </si>
  <si>
    <t>Chan, CKY (corresponding author), Univ Hong Kong, Fac Educ, Teaching &amp; Learning Innovat Ctr TAL, Pokfulam, Hong Kong, Peoples R China.;Chan, CKY (corresponding author), Univ Hong Kong, Teaching &amp; Learning Innovat Ctr, Pokfulam, Room CPD-1-81,Centennial Campus, Hong Kong, Peoples R China.</t>
  </si>
  <si>
    <t>DEC 7</t>
  </si>
  <si>
    <t>10.1186/s40561-023-00284-4</t>
  </si>
  <si>
    <t>AD1B8</t>
  </si>
  <si>
    <t>WOS:001116420600001</t>
  </si>
  <si>
    <t>Wallace, B; Hilton, C; Nymoen, K; Torresen, J; Martin, CP; Fiebrink, R</t>
  </si>
  <si>
    <t>Wallace, Benedikte; Hilton, Clarice; Nymoen, Kristian; Torresen, Jim; Martin, Charles Patrick; Fiebrink, Rebecca</t>
  </si>
  <si>
    <t>Embodying an Interactive AI for Dance Through Movement Ideation</t>
  </si>
  <si>
    <t>generative AI; embodiment; reflexive thematic analysis; dance</t>
  </si>
  <si>
    <t>What expectations exist in the minds of dancers when interacting with a generative machine learning model? During two workshop events, experienced dancers explore these expectations through improvisation and role-play, embodying an imagined AI-dancer. The dancers explored how intuited flow, shared images, and the concept of a human replica might work in their imagined AI-human interaction. Our findings challenge existing assumptions about what is desired from generative models of dance, such as expectations of realism, and how such systems should be evaluated. We further advocate that such models should celebrate non-human artefacts, focus on the potential for serendipitous moments of discovery, and that dance practitioners should be included in their development. Our concrete suggestions show how our findings can be adapted into the development of improved generative and interactive machine learning models for dancers' creative practice.</t>
  </si>
  <si>
    <t>[Wallace, Benedikte; Nymoen, Kristian; Torresen, Jim] Univ Oslo, Oslo, Norway; [Hilton, Clarice] Goldsmiths Univ London, London, England; [Martin, Charles Patrick] Australian Natl Univ, Canberra, ACT, Australia; [Fiebrink, Rebecca] Univ Arts London, Creat Comp Inst, London, England</t>
  </si>
  <si>
    <t>University of Oslo; University of London; Goldsmiths University London; Australian National University; University of Arts London</t>
  </si>
  <si>
    <t>Wallace, B (corresponding author), Univ Oslo, Oslo, Norway.</t>
  </si>
  <si>
    <t>benediwa@ifi.uio.no</t>
  </si>
  <si>
    <t>Research Council of Norway through its Centres of Excellence scheme [262762]</t>
  </si>
  <si>
    <t>Research Council of Norway through its Centres of Excellence scheme(Research Council of Norway)</t>
  </si>
  <si>
    <t>The authors would like to thank the participants for contributing their time and insight. We would also like to thank the reviewers who through their feedback have improved this work. This work was partially supported by the Research Council of Norway through its Centres of Excellence scheme, project number 262762.</t>
  </si>
  <si>
    <t>10.1145/3591196.3593336</t>
  </si>
  <si>
    <t>Green Submitted, Bronze</t>
  </si>
  <si>
    <t>WOS:001119074200067</t>
  </si>
  <si>
    <t>Voss, S</t>
  </si>
  <si>
    <t>Voss, Stefan</t>
  </si>
  <si>
    <t>Bus Bunching and Bus Bridging: What Can We Learn from Generative AI Tools like ChatGPT?</t>
  </si>
  <si>
    <t>generative artificial intelligence; ChatGPT; Bing; computational logistics; artificial intelligence; public transport; bus bunching; bus bridging</t>
  </si>
  <si>
    <t>Regarding tools and systems from artificial intelligence (AI), chat-based ones from the area of generative AI have become a major focus regarding media coverage. ChatGPT and occasionally other systems (such as those from Microsoft and Google) are discussed with hundreds if not thousands of academic papers as well as newspaper articles. While various areas have considerably gone into this discussion, transportation and logistics has not yet come that far. In this paper, we explore the use of generative AI tools within this domain. More specifically, we focus on a topic related to sustainable passenger transportation, that is, the handling of disturbances in public transport when it comes to bus bunching and bus bridging. The first of these concepts is related to analyzing situations where we observe two or more buses of the same line following close to each other without being planned deliberately and the second is related to the case where buses are used to replace broken connections in other systems, such as subways. Generative AI tools seem to be able to provide meaningful entries and a lot of food for thought while the academic use may still be classified as limited.</t>
  </si>
  <si>
    <t>[Voss, Stefan] Univ Hamburg, Inst Informat Syst, D-20146 Hamburg, Germany</t>
  </si>
  <si>
    <t>University of Hamburg</t>
  </si>
  <si>
    <t>Voss, S (corresponding author), Univ Hamburg, Inst Informat Syst, D-20146 Hamburg, Germany.</t>
  </si>
  <si>
    <t>stefan.voss@uni-hamburg.de</t>
  </si>
  <si>
    <t>Voss, Stefan/0000-0003-1296-4221</t>
  </si>
  <si>
    <t>[1683525900-UHH-OAF]</t>
  </si>
  <si>
    <t>This research received no external funding. The APC was funded by Open Access Fund Universitat Hamburg, No 1683525900-UHH-OAF.</t>
  </si>
  <si>
    <t>JUN</t>
  </si>
  <si>
    <t>10.3390/su15129625</t>
  </si>
  <si>
    <t>K3ZI0</t>
  </si>
  <si>
    <t>WOS:001015849300001</t>
  </si>
  <si>
    <t>Chiu, TKF</t>
  </si>
  <si>
    <t>Chiu, Thomas K. F.</t>
  </si>
  <si>
    <t>The impact of Generative AI (GenAI) on practices, policies and research direction in education: a case of ChatGPT and Midjourney</t>
  </si>
  <si>
    <t>INTERACTIVE LEARNING ENVIRONMENTS</t>
  </si>
  <si>
    <t>artificial intelligence; Generative AI in education; teacher education; learning; teaching; assessment; administration</t>
  </si>
  <si>
    <t>ARTIFICIAL-INTELLIGENCE; EVALUATION SYSTEM; DESIGN; IMPLEMENTATION; COMPETENCE; STUDENT</t>
  </si>
  <si>
    <t>Generative artificial intelligence (GenAI) tools have become increasingly accessible and have impacted school education in numerous ways. However, most of the discussions occur in higher education. In schools, teachers' perspectives are crucial for making sense of innovative technologies. Accordingly, this qualitative study aims to investigate how GenAI changes our school education from the perspectives of teachers and leaders. It used four domains - learning, teaching, assessment, and administration - as the initial framework suggested in a systematic literature review study on AI in education. The participants were 88 school teachers and leaders of different backgrounds. They completed a survey and joined a focus group to share how ChatGPT and Midjounery had a GenAI effect on school education. Thematic analysis identified four main themes and 12 subthemes. The findings provide three suggestions for practices: know-it-all attitude, new prerequisite knowledge, interdisciplinary teaching, and three implications for policy: new assessment, AI education, and professional standards. They also further suggest six future research directions for GenAI in education.</t>
  </si>
  <si>
    <t>[Chiu, Thomas K. F.] Chinese Univ Hong Kong, Ctr Learning Sci &amp; Technol, Dept Curriculum &amp; Instruct, Ctr Univ &amp; Sch Partnership,Shatin, Hong Kong, Peoples R China</t>
  </si>
  <si>
    <t>Chinese University of Hong Kong</t>
  </si>
  <si>
    <t>Chiu, TKF (corresponding author), Chinese Univ Hong Kong, Ctr Learning Sci &amp; Technol, Dept Curriculum &amp; Instruct, Ctr Univ &amp; Sch Partnership,Shatin, Hong Kong, Peoples R China.</t>
  </si>
  <si>
    <t>tchiu@cuhk.edu.hk</t>
  </si>
  <si>
    <t>Chiu, Thomas K.F./AAR-4894-2021</t>
  </si>
  <si>
    <t>Chiu, Thomas K.F./0000-0003-2887-5477</t>
  </si>
  <si>
    <t>University Grants Committee (Hong Kong) General Research Fund [2180090]</t>
  </si>
  <si>
    <t>University Grants Committee (Hong Kong) General Research Fund</t>
  </si>
  <si>
    <t>This study was supported by a University Grants Committee (Hong Kong) General Research Fund [grant number 2180090].</t>
  </si>
  <si>
    <t>1049-4820</t>
  </si>
  <si>
    <t>1744-5191</t>
  </si>
  <si>
    <t>INTERACT LEARN ENVIR</t>
  </si>
  <si>
    <t>Interact. Learn. Environ.</t>
  </si>
  <si>
    <t>2023 SEP 2</t>
  </si>
  <si>
    <t>10.1080/10494820.2023.2253861</t>
  </si>
  <si>
    <t>Q5WA1</t>
  </si>
  <si>
    <t>WOS:001058212500001</t>
  </si>
  <si>
    <t>Amr, A; Meder, B</t>
  </si>
  <si>
    <t>Amr, Ali; Meder, Benjamin</t>
  </si>
  <si>
    <t>The Dawn of Generative AI in Medicine: Empathy Through Emulation</t>
  </si>
  <si>
    <t>AKTUELLE KARDIOLOGIE</t>
  </si>
  <si>
    <t>German</t>
  </si>
  <si>
    <t>ChatGPT; Arzt-Patienten-Interaktion; kunstliche Intelligenz; artificial intelligence; doctor-patient interaction</t>
  </si>
  <si>
    <t>Rapid advancements in Artificial Intelligence (AI) have significantly impacted multiple sectors of our society, including healthcare. While conventional AI has been instrumental in solving mainly image recognition tasks and thereby adding in well-defined situations such as supporting diagnostic imaging, the emergence of generative AI is impacting on one of the main professional competences: doctor-patient interaction.A convergence of natural language processing (NLP) and generative AI is exemplified by intelligent chatbots like ChatGPT. A first study that has compared the empathy and quality of responses between ChatGPT and human physicians in a healthcare setting has shown that ChatGPT can outperform human physicians in both quality and empathy of answers to medical questions. The results suggest that generative AI models like ChatGPT could serve as valuable adjuncts in medical consultations, potentially improving patient engagement and reducing clinician workload.</t>
  </si>
  <si>
    <t>[Amr, Ali] Univ klinikum Heidelberg, Klin Kardiol Angiol &amp; Pneumol, Heidelberg, Germany; [Meder, Benjamin] Univ klinikum Heidelberg, Inst Cardiomyopathien Heidelberg, Klin Kardiol Angiol &amp; Pneumol, Heidelberg, Germany; [Meder, Benjamin] Univ klinikum Heidelberg, Inst Cardiomyopathien Heidelberg, Klin Kardiol Angiol &amp; Pneumol, Im Neuenheimer Feld 410, D-69120 Heidelberg, Germany</t>
  </si>
  <si>
    <t>Ruprecht Karls University Heidelberg; Ruprecht Karls University Heidelberg; Ruprecht Karls University Heidelberg</t>
  </si>
  <si>
    <t>Meder, B (corresponding author), Univ klinikum Heidelberg, Inst Cardiomyopathien Heidelberg, Klin Kardiol Angiol &amp; Pneumol, Im Neuenheimer Feld 410, D-69120 Heidelberg, Germany.</t>
  </si>
  <si>
    <t>Benjamin.Meder@med.uni-heidelberg.de</t>
  </si>
  <si>
    <t>GEORG THIEME VERLAG KG</t>
  </si>
  <si>
    <t>STUTTGART</t>
  </si>
  <si>
    <t>RUDIGERSTR 14, D-70469 STUTTGART, GERMANY</t>
  </si>
  <si>
    <t>2193-5203</t>
  </si>
  <si>
    <t>2193-5211</t>
  </si>
  <si>
    <t>AKTUELLE KARDIOL</t>
  </si>
  <si>
    <t>Aktuelle Kardiol.</t>
  </si>
  <si>
    <t>10.1055/a-2182-9643</t>
  </si>
  <si>
    <t>Cardiac &amp; Cardiovascular Systems</t>
  </si>
  <si>
    <t>Cardiovascular System &amp; Cardiology</t>
  </si>
  <si>
    <t>Z4PR8</t>
  </si>
  <si>
    <t>WOS:001111918300018</t>
  </si>
  <si>
    <t>Vartiainen, H; Tedre, M</t>
  </si>
  <si>
    <t>Vartiainen, Henriikka; Tedre, Matti</t>
  </si>
  <si>
    <t>Using artificial intelligence in craft education: crafting with text-to-image generative models</t>
  </si>
  <si>
    <t>DIGITAL CREATIVITY</t>
  </si>
  <si>
    <t>Artificial intelligence; text-to-image generative models; generative AI; diffusion models; craft education; prompt engineering</t>
  </si>
  <si>
    <t>Artificial intelligence (AI) and the automation of creative work have received little attention in craft education. This study aimed to address this gap by exploring Finnish pre-service craft teachers' and teacher educators' (N = 15) insights into the potential benefits and challenges of AI, particularly text-to-image generative AI. This study implemented a hands-on workshop on creative making with text-to-image generative AI in order to stimulate discourses and capture imaginaries concerning generative AI. The results revealed that making with AI inspired teachers to consider the unique nature of crafts as well as the tensions and tradeoffs of adopting generative AI in craft practices. The teachers identified concerns in data-driven design, including algorithmic bias, copyright violations and black-boxing creativity, as well as in power relationships, hybrid influencing and behaviour engineering. The article concludes with a discussion of the complicated relationships the results uncovered between creative making and generative AI.</t>
  </si>
  <si>
    <t>[Vartiainen, Henriikka] Univ Eastern Finland, Sch Appl Educ Sci &amp; Teacher Educ, Joensuu, Finland; [Tedre, Matti] Univ Eastern Finland, Sch Comp, Joensuu, Finland; [Vartiainen, Henriikka] Univ Eastern Finland, Sch Appl Educ Sci &amp; Teacher Educ, POB 111, FI-80101 Joensuu, Finland</t>
  </si>
  <si>
    <t>University of Eastern Finland; University of Eastern Finland; University of Eastern Finland</t>
  </si>
  <si>
    <t>henriikka.vartiainen@uef.fi</t>
  </si>
  <si>
    <t>1462-6268</t>
  </si>
  <si>
    <t>1744-3806</t>
  </si>
  <si>
    <t>DIGIT CREAT</t>
  </si>
  <si>
    <t>Digit. Creat.</t>
  </si>
  <si>
    <t>10.1080/14626268.2023.2174557</t>
  </si>
  <si>
    <t>FEB 2023</t>
  </si>
  <si>
    <t>Art</t>
  </si>
  <si>
    <t>Arts &amp; Humanities Citation Index (A&amp;HCI)</t>
  </si>
  <si>
    <t>D6RX1</t>
  </si>
  <si>
    <t>WOS:000937488200001</t>
  </si>
  <si>
    <t>Korinek, A</t>
  </si>
  <si>
    <t>Korinek, Anton</t>
  </si>
  <si>
    <t>Generative AI for Economic Research: Use Cases and Implications for Economists†</t>
  </si>
  <si>
    <t>JOURNAL OF ECONOMIC LITERATURE</t>
  </si>
  <si>
    <t>Generative artificial intelligence (AI) has the potential to revolutionize research. I analyze how large language models (LLMs) such as ChatGPT can assist economists by describing dozens of use cases in six areas: ideation and feedback, writing, back-ground research, data analysis, coding, and mathematical derivations. I provide gen-eral instructions and demonstrate specific examples of how to take advantage of each of these, classifying the LLM capabilities from experimental to highly useful. I argue that economists can reap significant productivity gains by taking advantage of gener-ative AI to automate micro-tasks. Moreover, these gains will grow as the performance of AI systems continues to improve. I also speculate on the longer-term implications of AI-powered cognitive automation for economic research. The online resources asso-ciated with this paper explain how to get started and will provide regular updates on the latest capabilities of generative AI in economics. (JEL A11, C45, D83, I23, O33)</t>
  </si>
  <si>
    <t>[Korinek, Anton] Univ Virginia, Charlottesville, VA 22903 USA; [Korinek, Anton] Brookings Inst, Washington, DC 20036 USA; [Korinek, Anton] Ctr Governance AI GovAI, Oxford, England; [Korinek, Anton] NBER, Cambridge, MA 02138 USA; [Korinek, Anton] CEPR, London, England</t>
  </si>
  <si>
    <t>University of Virginia; Brookings Institution; National Bureau of Economic Research; Centre for Economic Policy Research - UK</t>
  </si>
  <si>
    <t>Korinek, A (corresponding author), Univ Virginia, Charlottesville, VA 22903 USA.;Korinek, A (corresponding author), Brookings Inst, Washington, DC 20036 USA.;Korinek, A (corresponding author), Ctr Governance AI GovAI, Oxford, England.;Korinek, A (corresponding author), NBER, Cambridge, MA 02138 USA.;Korinek, A (corresponding author), CEPR, London, England.</t>
  </si>
  <si>
    <t>akorinek@virginia.edu</t>
  </si>
  <si>
    <t>AMER ECONOMIC ASSOC</t>
  </si>
  <si>
    <t>NASHVILLE</t>
  </si>
  <si>
    <t>2014 BROADWAY, STE 305, NASHVILLE, TN 37203 USA</t>
  </si>
  <si>
    <t>0022-0515</t>
  </si>
  <si>
    <t>2328-8175</t>
  </si>
  <si>
    <t>J ECON LIT</t>
  </si>
  <si>
    <t>J. Econ. Lit.</t>
  </si>
  <si>
    <t>10.1257/jel.20231736</t>
  </si>
  <si>
    <t>FE7L3</t>
  </si>
  <si>
    <t>WOS:001144150800005</t>
  </si>
  <si>
    <t>Yao, L</t>
  </si>
  <si>
    <t>Yao, Li</t>
  </si>
  <si>
    <t>Specifics of Regulatory and Legal Regulation of Generative Artificial Intelligence in the UK, USA, EU and China</t>
  </si>
  <si>
    <t>PRAVO-ZHURNAL VYSSHEI SHKOLY EKONOMIKI</t>
  </si>
  <si>
    <t>Russian</t>
  </si>
  <si>
    <t>Generative AI; Chat Generative Pre-TrainedTransformer, risks; regulation; innovations; foreign experience</t>
  </si>
  <si>
    <t>On November 30, 2022, OpenAI launched ChatGPT conversational artificial intelligence; with the latest version update, ChatGPT has demonstrated an impressive ability to understand natural language, making it an attractive tool for companies and individuals looking to provide customer service and support. GPT-3 uses textual data, mostly from publicly available information on the Internet, as training data. GPT-4, on the other hand, uses a large number of images in addition to textual data for training, and thus can process both textual and graphical data. The emergence of generative AI has greatly impacted human life, but it can be said that intelligent technology is a double-edged sword:rapid development of generative artificial intelligence (AI) technologies, on the one hand, it can improve efficiency and productivity, reduce costs and open new opportunities for economic growth, but on the other hand, the use of generative AI services to create synthetic content in the form of text, audio, video and images poses possible risks. To date, different regions around the world are at different stages of development of normative acts concerning generative AI.Using the comparative legal method and the method of system analysis, this article analyzes in detail the main models of legal regulation of generative AI in the modern world on the example of the UK, the USA, the European Union and China, noting the different approach in the development and adoption of relevant normative legal acts in the field of regulation of generative AI services.It especially reveals the Chinese government's position on development and security and innovation and governance at present. The main trends of improving the regulation of generative AI services by China are proposed, and it is concluded that it is necessary to balance rule of law and innovation and promote the healthy development of generative AI.</t>
  </si>
  <si>
    <t>[Yao, Li] China Univ Polit Sci &amp; Law, Inst Comparat Law, 25 Xitucheng Rd, Beijing, Peoples R China</t>
  </si>
  <si>
    <t>China University of Political Science &amp; Law</t>
  </si>
  <si>
    <t>Yao, L (corresponding author), China Univ Polit Sci &amp; Law, Inst Comparat Law, 25 Xitucheng Rd, Beijing, Peoples R China.</t>
  </si>
  <si>
    <t>yaozaihenmang@mail.ru</t>
  </si>
  <si>
    <t>NATL RES UNIV HIGHER EDUCATION</t>
  </si>
  <si>
    <t>MOSCOW</t>
  </si>
  <si>
    <t>NATL RES UNIV HIGHER EDUCATION, MOSCOW, 00000, RUSSIA</t>
  </si>
  <si>
    <t>2072-8166</t>
  </si>
  <si>
    <t>PRAVO</t>
  </si>
  <si>
    <t>Pravo</t>
  </si>
  <si>
    <t>10.17323/2072-8166.2023.3.245.267</t>
  </si>
  <si>
    <t>U2UX4</t>
  </si>
  <si>
    <t>WOS:001083415400011</t>
  </si>
  <si>
    <t>Lee, G; Kim, HY</t>
  </si>
  <si>
    <t>Lee, Garim; Kim, Hye-Young</t>
  </si>
  <si>
    <t>Human vs. AI: The battle for authenticity in fashion design and consumer response</t>
  </si>
  <si>
    <t>JOURNAL OF RETAILING AND CONSUMER SERVICES</t>
  </si>
  <si>
    <t>Generative AI; AI-Assisted design; Schema theory; Authenticity; AI customization</t>
  </si>
  <si>
    <t>PRODUCT QUALITY; BRAND; PERCEPTIONS; ANTECEDENTS; ATTITUDES; PASSION; PRICE</t>
  </si>
  <si>
    <t>Generative Artificial Intelligence (AI) empowers the AI design process. Then, how do consumers respond to AI -designed fashion products? Building on schema theory, this research investigated the extent to which AI -designed clothing is perceived as authentic through three online experiments. Study 1 (n = 121) and Study 2 (n = 161) showed consumers generally respond more favorably to human-designed (vs. AI-designed) clothing, which is driven by perceived authenticity and expected product quality. Study 3 (n = 156) confirmed that negative responses toward AI-designed clothing can be mitigated when consumers have the option to provide input to customize the design because it enhances perceived authenticity. Study findings offer a theoretical understanding of how and why consumers respond to AI-designed products and practical guidelines for retailers.</t>
  </si>
  <si>
    <t>[Lee, Garim] Indiana Univ, Merchandising, 117 Kirkwood Hall,130 S Woodlawn Ave, Bloomington, IN 47405 USA; [Kim, Hye-Young] Univ Minnesota, Retail Merchandising, 240 McNeal Hall,1985 Buford Ave, St Paul, MN 55108 USA</t>
  </si>
  <si>
    <t>Indiana University System; Indiana University Bloomington; University of Minnesota System; University of Minnesota Twin Cities</t>
  </si>
  <si>
    <t>Lee, G (corresponding author), Indiana Univ, Merchandising, 117 Kirkwood Hall,130 S Woodlawn Ave, Bloomington, IN 47405 USA.</t>
  </si>
  <si>
    <t>garilee@iu.edu; hykim@umn.edu</t>
  </si>
  <si>
    <t>Lee, Garim/0000-0002-7054-1967</t>
  </si>
  <si>
    <t>College of Design, University of Minnesota</t>
  </si>
  <si>
    <t>Funding This work was supported by College of Design, University of Minnesota.</t>
  </si>
  <si>
    <t>0969-6989</t>
  </si>
  <si>
    <t>1873-1384</t>
  </si>
  <si>
    <t>J RETAIL CONSUM SERV</t>
  </si>
  <si>
    <t>J. Retail. Consum. Serv.</t>
  </si>
  <si>
    <t>10.1016/j.jretconser.2023.103690</t>
  </si>
  <si>
    <t>FS5R4</t>
  </si>
  <si>
    <t>WOS:001147862600001</t>
  </si>
  <si>
    <t>Hacker, P; Engel, A; Mauer, M</t>
  </si>
  <si>
    <t>Hacker, Philipp; Engel, Andreas; Mauer, Marco</t>
  </si>
  <si>
    <t>Regulating ChatGPT and other Large Generative AI Models</t>
  </si>
  <si>
    <t>ARTIFICIAL-INTELLIGENCE; OPPORTUNITIES; CHALLENGES; MARKET</t>
  </si>
  <si>
    <t>Large generative AI models (LGAIMs), such as ChatGPT, GPT-4 or Stable Diffusion, are rapidly transforming the way we communicate, illustrate, and create. However, AI regulation, in the EU and beyond, has primarily focused on conventional AI models, not LGAIMs. This paper will situate these new generative models in the current debate on trustworthy AI regulation, and ask how the law can be tailored to their capabilities. After laying technical foundations, the legal part of the paper proceeds in four steps, covering (1) direct regulation, (2) data protection, (3) content moderation, and (4) policy proposals. It suggests a novel terminology to capture the AI value chain in LGAIM settings by differentiating between LGAIM developers, deployers, professional and non-professional users, as well as recipients of LGAIM output. We tailor regulatory duties to these different actors along the value chain and suggest strategies to ensure that LGAIMs are trustworthy and deployed for the benefit of society at large. Rules in the AI Act and other direct regulation must match the specificities of pre-trained models. The paper argues for three layers of obligations concerning LGAIMs (minimum standards for all LGAIMs; high-risk obligations for high-risk use cases; collaborations along the AI value chain). In general, regulation should focus on concrete high-risk applications, and not the pre-trained model itself, and should include (i) obligations regarding transparency and (ii) risk management. Non-discrimination provisions (iii) may, however, apply to LGAIM developers. Lastly, (iv) the core of the DSA's content moderation rules should be expanded to cover LGAIMs. This includes notice and action mechanisms, and trusted flaggers.</t>
  </si>
  <si>
    <t>[Hacker, Philipp] European Univ Viadrina, European New Sch Digital Studies, Frankfurt, Germany; [Engel, Andreas] Heidelberg Univ, Heidelberg, Germany; [Mauer, Marco] Humboldt Univ, Berlin, Germany</t>
  </si>
  <si>
    <t>European University Viadrina Frankfurt Oder; Ruprecht Karls University Heidelberg; Humboldt University of Berlin</t>
  </si>
  <si>
    <t>Hacker, P (corresponding author), European Univ Viadrina, European New Sch Digital Studies, Frankfurt, Germany.</t>
  </si>
  <si>
    <t>hacker@europa-uni.de; andreas.engel@igw.uni-heidelberg.de; marco.mauer@hu-berlin.de</t>
  </si>
  <si>
    <t>10.1145/3593013.3594067</t>
  </si>
  <si>
    <t>Green Submitted, hybrid</t>
  </si>
  <si>
    <t>WOS:001062819300096</t>
  </si>
  <si>
    <t>Thibault, M; Kivikangas, T; Roihankorpi, R; Pohjola, P; Aho, M</t>
  </si>
  <si>
    <t>Thibault, Mattia; Kivikangas, Timo; Roihankorpi, Riku; Pohjola, Petri; Aho, Markus</t>
  </si>
  <si>
    <t>Who am AI? - Mapping Generative AI Impact and Transformative Potential in Creative Ecosystems</t>
  </si>
  <si>
    <t>PROCEEDINGS OF THE 26TH INTERNATIONAL ACADEMIC MINDTREK, MINDTREK 2023</t>
  </si>
  <si>
    <t>26th International Academic Mindtrek Conference Mindtrek)</t>
  </si>
  <si>
    <t>OCT 03-06, 2023</t>
  </si>
  <si>
    <t>Tampere, FINLAND</t>
  </si>
  <si>
    <t>ACM In Cooperat,ACM SIGCHI</t>
  </si>
  <si>
    <t>Artificial Intelligence; GPT; Large Language Models; Creative Industries; Cultural Production</t>
  </si>
  <si>
    <t>MACHINE TRANSLATION; ARTIFICIAL-INTELLIGENCE</t>
  </si>
  <si>
    <t>Generative AI's emergence reshapes creative ecosystems, presenting diverse prospects and trials. As these systems adjust to AI's inclusion, equilibrium is disrupted, influencing workers and society. A proactive cross-sectoral approach becomes crucial in navigating this transformation, harnessing AI's potential for sustainable growth. This poster proposes two dimensions relevant to map the possible impacts of AI on the creative sector: the impact of AI on the Industry from a perspective of labour, professionalisation, and management and the Actor Network status of AI in creative efforts. This marks an initial step in a cross-disciplinary endeavor to comprehend and guide the evolution of creative ecosystems, underlining the necessity for comprehensive data engagement and broad academic collaboration.</t>
  </si>
  <si>
    <t>[Thibault, Mattia; Roihankorpi, Riku] Tampere Univ, Tampere, Finland; [Kivikangas, Timo; Pohjola, Petri; Aho, Markus] Tampere Univ Appl Sci, Tampere, Finland</t>
  </si>
  <si>
    <t>Tampere University; Tampere University; Tampere University of Applied Sciences TAMK</t>
  </si>
  <si>
    <t>Thibault, M (corresponding author), Tampere Univ, Tampere, Finland.</t>
  </si>
  <si>
    <t>mattia.thibault@tuni.fi; timo.kivikangas@tuni.fi; riku.roihankorpi@tuni.fi; petri.pohjola@tuni.fi; markus.aho@tuni.fi</t>
  </si>
  <si>
    <t>Thibault, Mattia/0000-0002-3593-0350</t>
  </si>
  <si>
    <t>979-8-4007-0874-9</t>
  </si>
  <si>
    <t>10.1145/3616961.3617804</t>
  </si>
  <si>
    <t>Computer Science, Artificial Intelligence; Computer Science, Software Engineering; Computer Science, Theory &amp; Methods</t>
  </si>
  <si>
    <t>BW4FM</t>
  </si>
  <si>
    <t>WOS:001147480500037</t>
  </si>
  <si>
    <t>Victor, BG; Sokol, RL; Goldkind, L; Perron, BE</t>
  </si>
  <si>
    <t>Victor, Bryan G.; Sokol, Rebeccah L.; Goldkind, Lauri; Perron, Brian E.</t>
  </si>
  <si>
    <t>Recommendations for Social Work Researchers and Journal Editors on the Use of Generative AI and Large Language Models</t>
  </si>
  <si>
    <t>JOURNAL OF THE SOCIETY FOR SOCIAL WORK AND RESEARCH</t>
  </si>
  <si>
    <t>ChatGPT; large language models; generative artificial intelligence; social work research; social work journals</t>
  </si>
  <si>
    <t>Generative artificial intelligence (AI) and large language models (LLMs) are poised to significantly impact social work research. These technologies can produce high-quality written materials and support qualitative and quantitative data analysis with simple, plain-language prompts from users. However, they also introduce challenges, such as potential bias, data privacy concerns, and generation of misinformation. In this paper, we use a disruptive-disrupting framework to discuss the dual nature of generative AI and LLMs and offer recommendations for social work researchers and journal editors that include guidance around data collection, analysis, interpretation, and dissemination. Researchers must use great caution when deploying generative AI technologies, meticulously examining, verifying, and taking accountability for the text and analyses produced by these instruments. Likewise, journal editors will need to implement quality control procedures and ethical standards to guide and evaluate the use of these technologies in social work research. We consider the recommendations offered here as a point of departure for disciplinary conversations about the role of generative AI and LLMs in social work research.</t>
  </si>
  <si>
    <t>[Victor, Bryan G.] Wayne State Univ, Sch Social Work, Detroit, MI 48202 USA; [Sokol, Rebeccah L.] Univ Michigan Ann Arbor, Sch Social Work, Ann Arbor, MI USA; [Sokol, Rebeccah L.] Univ Michigan Ann Arbor, Inst Firearm Injury Prevent, Ann Arbor, MI USA; [Goldkind, Lauri] Fordham Univ, Grad Sch Social Serv, Bronx, NY 10458 USA; [Victor, Bryan G.] 5447 Wood ward Ave, Detroit, MI 48202 USA</t>
  </si>
  <si>
    <t>Wayne State University; University of Michigan System; University of Michigan; University of Michigan System; University of Michigan; Fordham University</t>
  </si>
  <si>
    <t>Victor, BG (corresponding author), 5447 Wood ward Ave, Detroit, MI 48202 USA.</t>
  </si>
  <si>
    <t>bvictor@wayne.edu</t>
  </si>
  <si>
    <t>Perron, Brian E./AFW-1605-2022</t>
  </si>
  <si>
    <t>UNIV CHICAGO PRESS</t>
  </si>
  <si>
    <t>CHICAGO</t>
  </si>
  <si>
    <t>1427 E 60TH ST, CHICAGO, IL 60637-2954 USA</t>
  </si>
  <si>
    <t>2334-2315</t>
  </si>
  <si>
    <t>1948-822X</t>
  </si>
  <si>
    <t>J SOC SOC WORK RES</t>
  </si>
  <si>
    <t>J. Soc. Soc. Work Res.</t>
  </si>
  <si>
    <t>10.1086/726021</t>
  </si>
  <si>
    <t>Social Work</t>
  </si>
  <si>
    <t>U1CN0</t>
  </si>
  <si>
    <t>WOS:001039931900002</t>
  </si>
  <si>
    <t>Lee, AVY; Tan, SC; Teo, CL</t>
  </si>
  <si>
    <t>Lee, Alwyn Vwen Yen; Tan, Seng Chee; Teo, Chew Lee</t>
  </si>
  <si>
    <t>Designs and practices using generative AI for sustainable student discourse and knowledge creation</t>
  </si>
  <si>
    <t>Generative artificial intelligence; Generative pre-trained transformers; Sustainable student discourse; Knowledge building; Knowledge creation</t>
  </si>
  <si>
    <t>Utilizing generative artificial intelligence, especially the more popularly used Generative Pre-trained Transformer (GPT) architecture, has made it possible to employ AI in ways that were previously not possible with conventional assessment and evaluation technologies for learning. As educational use cases and academic studies become increasingly prevalent, it is critical for education stakeholders to discuss design considerations and ideals that are key in supporting and augmenting learning via quality classroom discourse that sets the climate for student learning and thinking, and teachers' transmission of expectations. In this paper, we seek to address how emergent technological advancements such as GPT, can be considered and utilized in designs that are consistent with the ideals of sustainable student discourse and knowledge creation. We showcase contemporary exemplars of possible designs and practices that are based on the pedagogy of knowledge building, with recent illustrations of how GPT may be utilized to sustain students' knowledge building discourse. We also examine the potential effects and repercussions of technological utilization and misuse, along with insights into GPT's role in supporting and enhancing knowledge building practices. We anticipate that the findings, through our exploration of designs and practices for knowledge creation, will be able to resonate with a broader audience and instigate meaningful change on issues of teaching and learning within smart learning environments.</t>
  </si>
  <si>
    <t>[Lee, Alwyn Vwen Yen; Tan, Seng Chee; Teo, Chew Lee] Nanyang Technol Univ, Natl Inst Educ, 1 Nanyang Walk, Singapore 637616, Singapore</t>
  </si>
  <si>
    <t>Nanyang Technological University; National Institute of Education (NIE) Singapore</t>
  </si>
  <si>
    <t>Lee, AVY (corresponding author), Nanyang Technol Univ, Natl Inst Educ, 1 Nanyang Walk, Singapore 637616, Singapore.</t>
  </si>
  <si>
    <t>alwyn.lee@nie.edu.sg</t>
  </si>
  <si>
    <t>Lee, Alwyn Vwen Yen/AAL-2245-2021</t>
  </si>
  <si>
    <t>Lee, Alwyn Vwen Yen/0000-0002-3682-017X</t>
  </si>
  <si>
    <t>The views expressed in this paper are the authors' and do not necessarily represent the views of the host institution. The research team would also like to thank the teachers and student participants involved in the sKBDS.</t>
  </si>
  <si>
    <t>NOV 7</t>
  </si>
  <si>
    <t>10.1186/s40561-023-00279-1</t>
  </si>
  <si>
    <t>X0IG1</t>
  </si>
  <si>
    <t>WOS:001095368000001</t>
  </si>
  <si>
    <t>Yoo, D; Kim, DYJ; Lopes, E</t>
  </si>
  <si>
    <t>Yoo, Daeun; Kim, David Y. J.; Lopes, Elisandra</t>
  </si>
  <si>
    <t>Digital Art Therapy with Gen AI: Mind Palette</t>
  </si>
  <si>
    <t>2023 11TH INTERNATIONAL CONFERENCE ON AFFECTIVE COMPUTING AND INTELLIGENT INTERACTION WORKSHOPS AND DEMOS, ACIIW</t>
  </si>
  <si>
    <t>11th International Conference on Affective Computing and Intelligent Interaction (ACIIW)</t>
  </si>
  <si>
    <t>SEP 10-13, 2023</t>
  </si>
  <si>
    <t>Cambridge, MA</t>
  </si>
  <si>
    <t>Generative AI; Art therapy; Affective Computing; E-Mental Health Applications</t>
  </si>
  <si>
    <t>Proper and delightful intervention can reduce the progression of mental disorders, but numerous physical and psychological barriers continue to exist. In response, we developed a mobile application called Mind Palette, which incorporates art therapy methodologies and generative AI technology. This application aims to address the need for comprehensive interventions in the mental health crisis, particularly among younger age groups. With AI chatbot interactions and AI-generated artwork recommendations, the application may facilitate discussions about emotions, encourage self-expression through art creation, and provide cognitive-behavioral therapeutic advice in both verbal and visual ways. The project highlights the human-centered approach and investigates the potential of generative AI as an effective agent for conducting art therapy.</t>
  </si>
  <si>
    <t>[Yoo, Daeun] Harvard Univ, Cambridge, MA 02138 USA; [Kim, David Y. J.] MIT, 77 Massachusetts Ave, Cambridge, MA 02139 USA; [Lopes, Elisandra] Riverside Community Care, Somerville, MA USA</t>
  </si>
  <si>
    <t>Harvard University; Massachusetts Institute of Technology (MIT)</t>
  </si>
  <si>
    <t>Yoo, D (corresponding author), Harvard Univ, Cambridge, MA 02138 USA.</t>
  </si>
  <si>
    <t>daeun_yoo@mde.harvard.edu; dyjkim@mit.edu; elisandralopes63@gmail.com</t>
  </si>
  <si>
    <t>979-8-3503-2745-8</t>
  </si>
  <si>
    <t>10.1109/ACIIW59127.2023.10388174</t>
  </si>
  <si>
    <t>Computer Science, Artificial Intelligence; Computer Science, Cybernetics; Computer Science, Theory &amp; Methods</t>
  </si>
  <si>
    <t>BW5IG</t>
  </si>
  <si>
    <t>WOS:001161364800069</t>
  </si>
  <si>
    <t>Xu, MR; Niyato, D; Chen, JL; Zhang, HL; Kang, JW; Xiong, ZH; Mao, SW; Han, Z</t>
  </si>
  <si>
    <t>Xu, Minrui; Niyato, Dusit; Chen, Junlong; Zhang, Hongliang; Kang, Jiawen; Xiong, Zehui; Mao, Shiwen; Han, Zhu</t>
  </si>
  <si>
    <t>Generative AI-Empowered Simulation for Autonomous Driving in Vehicular Mixed Reality Metaverses</t>
  </si>
  <si>
    <t>IEEE JOURNAL OF SELECTED TOPICS IN SIGNAL PROCESSING</t>
  </si>
  <si>
    <t>Autonomous driving; generative artificial intelligence; auction theory</t>
  </si>
  <si>
    <t>DESIGN; ACCESS</t>
  </si>
  <si>
    <t>In the vehicular mixed reality (MR) Metaverse, the discrepancy between physical and virtual entities can be overcome by fusing the physical and virtual environments with multi-dimensional communications in autonomous driving systems. Assisted by digital twin (DT) technologies, connected autonomous vehicles (AVs), roadside units (RSUs), and virtual simulators can maintain the vehicular MR Metaverse via simulations for sharing data and making driving decisions collaboratively. However, it is challenging and costly to enable large-scale traffic and driving simulation via realistic data collection and fusion from the physical world for online prediction and offline training in autonomous driving systems. In this paper, we propose an autonomous driving architecture, where generative AI is leveraged to synthesize unlimited conditioned traffic and driving data via simulations for improving driving safety and traffic control efficiency. First, we propose a multi-task DT offloading model for the reliable execution of heterogeneous DT tasks with different requirements at RSUs. Then, based on the preferences of AV's DTs and real-world data, virtual simulators can synthesize unlimited conditioned driving and traffic datasets for improved robustness. Finally, we propose a multi-task enhanced auction-based mechanism to provide fine-grained incentives for RSUs on providing resources for autonomous driving. The property analysis and experimental results demonstrate that the proposed mechanism and architecture are strategy-proof and effective.</t>
  </si>
  <si>
    <t>[Xu, Minrui; Niyato, Dusit] Nanyang Technol Univ, Sch Comp Sci &amp; Engn, Singapore 639798, Singapore; [Zhang, Hongliang] Peking Univ, Sch Elect, Beijing 100871, Peoples R China; [Chen, Junlong; Kang, Jiawen] Guangdong Univ Technol, Sch Automat, Guangzhou 510006, Peoples R China; [Xiong, Zehui] Singapore Univ Technol &amp; Design, Pillar Informat Syst Technol &amp; Design, Singapore 487372, Singapore; [Mao, Shiwen] Auburn Univ, Dept Elect &amp; Comp Engn, Auburn, AL 36849 USA; [Han, Zhu] Univ Houston, Dept Elect &amp; Comp Engn, Houston, TX 77004 USA; [Han, Zhu] Kyung Hee Univ, Dept Comp Sci &amp; Engn, Seoul 446701, South Korea</t>
  </si>
  <si>
    <t>Nanyang Technological University; Peking University; Guangdong University of Technology; Singapore University of Technology &amp; Design; Auburn University System; Auburn University; University of Houston System; University of Houston; Kyung Hee University</t>
  </si>
  <si>
    <t>Xiong, ZH (corresponding author), Singapore Univ Technol &amp; Design, Pillar Informat Syst Technol &amp; Design, Singapore 487372, Singapore.</t>
  </si>
  <si>
    <t>minrui001@e.ntu.edu.sg; dniyato@ntu.edu.sg; 3121001036@mail2.gdut.edu.cn; hongliang.zhang@pku.edu.cn; kavinkang@gdut.edu.cn; zehui_xiong@sutd.edu.sg; smao@ieee.org; zhan2@uh.edu</t>
  </si>
  <si>
    <t>Mao, Shiwen/AAY-4471-2020; Kang, Jiawen/I-9044-2019; zhang, hongliang/AAC-6827-2021; XU, MINRUI/AFH-5904-2022; Xiong, Zehui/B-9792-2019; Xu, Minrui/AAB-4314-2019</t>
  </si>
  <si>
    <t>Kang, Jiawen/0000-0002-8218-3490; Xiong, Zehui/0000-0002-4440-941X; Xu, Minrui/0000-0002-9775-0312; Mao, Shiwen/0000-0002-7052-0007; Chen, Junlong/0000-0003-3931-8190; Xu, Minrui/0000-0002-8203-8146</t>
  </si>
  <si>
    <t>NSF [CNS-2148382, RG87/22, SRG-ISTD-2021165, SUTD-ZJU (VP) 202102, SKI 20210204]; National Key R&amp;D Project of China [CNS2107216]; NSFC [CNS-2128368, 2022YFE0111900, 62102099]; Pearl River Talent Recruitment Program [CMMI-2222810]; Guangzhou Basic Research Program [ECCS-2302469]; National Research Foundation, Singapore; Infocomm Media Development Authority; DSO National Laboratories through AI Singapore Programme [U22A2054]; Energy Research Test-Bed and Industry Partnership Funding Initiative; Energy Grid (EG) 2.0 Programme; DesCartes; Campus for Research Excellence and Technological Enterprise (CREATE) Programme, MOE Tier 1 [62101594]; SUTD [2021QN02S643]; SUTD-ZJU IDEA [2023A04J1699]; Ministry of Education, Singapore [AISG2-RP-2020-019]; U.S. Department of Transportation, Toyota, and Amazon</t>
  </si>
  <si>
    <t>NSF(National Science Foundation (NSF)); National Key R&amp;D Project of China; NSFC(National Natural Science Foundation of China (NSFC)); Pearl River Talent Recruitment Program; Guangzhou Basic Research Program; National Research Foundation, Singapore(National Research Foundation, Singapore); Infocomm Media Development Authority; DSO National Laboratories through AI Singapore Programme; Energy Research Test-Bed and Industry Partnership Funding Initiative; Energy Grid (EG) 2.0 Programme; DesCartes; Campus for Research Excellence and Technological Enterprise (CREATE) Programme, MOE Tier 1; SUTD(Singapore University of Technology &amp; Design); SUTD-ZJU IDEA(Singapore University of Technology &amp; Design); Ministry of Education, Singapore(Ministry of Education, Singapore); U.S. Department of Transportation, Toyota, and Amazon</t>
  </si>
  <si>
    <t>The work of Shiwen Mao was supported by the NSF under Grant CNS-2148382. This work was supported in part by the National Key R &amp; D Project of China under Grant 2022YFE0111900, in part by the NSFC under Grant 62102099, in part by the Pearl River Talent Recruitment Program under Grant 2021QN02S643, in part by the Guangzhou Basic Research Program under Grant 2023A04J1699, in part by the NSFC under Grants U22A2054 and 62101594, in part by the National Research Foundation, Singapore, in part by the Infocomm Media Development Authority through its Future Communications Research and Development Programme, in part by DSO National Laboratories through AI Singapore Programme under AISG Award AISG2-RP-2020-019, in part by Energy Research Test-Bed and Industry Partnership Funding Initiative, in part by Energy Grid (EG) 2.0 Programme, in part by DesCartes and the Campus for Research Excellence and Technological Enterprise (CREATE) Programme, MOE Tier 1 under Grant RG87/22, in part by the SUTD under Grant SRG-ISTD-2021165, in part by the SUTD-ZJU IDEA under Grant SUTD-ZJU (VP) 202102, in part by the Ministry of Education, Singapore, through its SUTD Kickstarter Initiative under Grant SKI 20210204, in part by the NSF under Grants CNS2107216, CNS-2128368, CMMI-2222810, and ECCS-2302469, and in part by the U.S. Department of Transportation, Toyota, and Amazon. The guest editor coordinating the review of this manuscript and approving it for publication was Dr. Angel Lozano. (Corresponding author: Zehui Xiong.)</t>
  </si>
  <si>
    <t>1932-4553</t>
  </si>
  <si>
    <t>1941-0484</t>
  </si>
  <si>
    <t>IEEE J-STSP</t>
  </si>
  <si>
    <t>IEEE J. Sel. Top. Signal Process.</t>
  </si>
  <si>
    <t>10.1109/JSTSP.2023.3293650</t>
  </si>
  <si>
    <t>Engineering, Electrical &amp; Electronic</t>
  </si>
  <si>
    <t>Engineering</t>
  </si>
  <si>
    <t>Y5NG6</t>
  </si>
  <si>
    <t>WOS:001105716800006</t>
  </si>
  <si>
    <t>Tholander, J; Jonsson, M</t>
  </si>
  <si>
    <t>Tholander, Jakob; Jonsson, Martin</t>
  </si>
  <si>
    <t>Design Ideation with AI - Sketching, Thinking and Talking with Generative Machine Learning Models</t>
  </si>
  <si>
    <t>DESIGNING INTERACTIVE SYSTEMS CONFERENCE, DIS 2023</t>
  </si>
  <si>
    <t>ACM Designing Interactive Systems Conference (DIS) on Rebuilding and Resilience</t>
  </si>
  <si>
    <t>Pittsburgh, PA</t>
  </si>
  <si>
    <t>GPT-3; ChatGPT; Large Language Models; LLM; generative machine learning; co-creation; post-human design; ideation; computer supported ideation</t>
  </si>
  <si>
    <t>TOOLS</t>
  </si>
  <si>
    <t>Generative machine learning models provide opportunities to support design work in various parts of the design process. This study investigates how generative machine learning and large language models may play a part in creative design processes of ideation, early prototyping and sketching. A workshop was conducted in which design practitioners and design researchers developed design concepts for a provided design case, with the help of GPT-3. The fndings point to three main themes, including i) the practical usefulness and limitations of the system in design ideation processes, ii) how the form of user interaction shapes users' expectations of the system's capabilities and potentials, and iii), how the broader discourse around AI both limits and enables how co-creative processes involving human and AI unfolds. The discussion outlines design implications and alternative framings of this kind of co-creative design practices based on post-human perspectives on design and technology use.</t>
  </si>
  <si>
    <t>[Tholander, Jakob] Stockholm Univ, Stockholm, Sweden; [Jonsson, Martin] Sodertorn Univ, Huddinge, Sweden</t>
  </si>
  <si>
    <t>Stockholm University; Sodertorn University</t>
  </si>
  <si>
    <t>Tholander, J (corresponding author), Stockholm Univ, Stockholm, Sweden.</t>
  </si>
  <si>
    <t>jakobth@dsv.su.se; martin.jonsson@sh.se</t>
  </si>
  <si>
    <t>978-1-4503-9893-0</t>
  </si>
  <si>
    <t>10.1145/3563657.3596014</t>
  </si>
  <si>
    <t>BV9SJ</t>
  </si>
  <si>
    <t>WOS:001090855700126</t>
  </si>
  <si>
    <t>Enriquez, G; Gill, V; Campano, G; Flores, TT; Jones, S; Leander, KM; McKnight, L; Price-Dennis, D</t>
  </si>
  <si>
    <t>Enriquez, Grace; Gill, Victoria; Campano, Gerald; Flores, Tracey T.; Jones, Stephanie; Leander, Kevin M.; McKnight, Lucinda; Price-Dennis, Detra</t>
  </si>
  <si>
    <t>Generative AI and composing: an intergenerational conversation among literacy scholars</t>
  </si>
  <si>
    <t>ENGLISH TEACHING-PRACTICE AND CRITIQUE</t>
  </si>
  <si>
    <t>Writing; Literacy; Critical literacy; Artificial intelligence; Composing; ChatGPT</t>
  </si>
  <si>
    <t>Purpose - The purpose of this paper is to provide a transcript of a dialogue among literacy educators and researchers on the impact of generative aritficial intelligence (AI) in the field. In the spring of 2023, a lively conversation emerged on the National Council of Research on Language and Literacy (NCRLL)'s listserv. Stephanie initiated the conversation by sharing an op-ed she wrote for Atlanta Journal-Constitution about the rise of ChatGPT and similar generative AI platforms, moving beyond the general public's concerns about student cheating and robot takeovers. NCRLL then convened a webinar of eight leading scholars in writing and literacies development, inspired by that listerv conversation and an organizational interest in promoting intergenerational collaboration among literacy scholars.Design/methodology/approach - As former doctoral students of two of the panel participants, webinar facilitators Grace and Victoria positioned themselves primarily as learners about this topic and gathered questions from colleagues, P-16 practitioners and those outside the field of education to assess the concerns and wonderings that ChatGPT and generative AI have raised. The following webinar conversation was recorded on two different days due to scheduling conflicts. It has been merged and edited into one dialogue for coherence and convergence.Findings - Panel participants raise a host of questions and issues that go beyond topics of ethics, morality and basic writing instruction. Furthermore, in dialogue with one another, they describe possibilities for meaningful pedagogy and critical literacy to ensure that generative AI is used for a socially just future for students. While the discussion addressed matters of pedagogy, definitions of literacy and the purpose of (literacy) education, other themes included a critique of capitalism; an interrogation of the systems of power and oppression involved in using generative AI; and the philosophical, ontological, ethical and practical life questions about being human.Originality/value - This paper provides a glimpse into one of the first panel conversations about ChatGPT and generative AI in the field of literacy. Not only are the panel members respected scholars in the field, they are also former doctoral students and advisors of one another, thus positioning all involved as both learners and teachers of this new technology.</t>
  </si>
  <si>
    <t>[Enriquez, Grace; Gill, Victoria] Lesley Univ, Dept Language &amp; Literacy, Cambridge, MA 02138 USA; [Campano, Gerald] Univ Penn, Div Learning Teaching &amp; Literacies, Philadelphia, PA USA; [Flores, Tracey T.] Univ Texas Austin, Dept Curriculum &amp; Instruct, Austin, TX USA; [Jones, Stephanie] Univ Georgia, Mary Frances Early Coll Educ, Athens, GA USA; [Leander, Kevin M.] Vanderbilt Univ, Dept Teaching &amp; Learning, Nashville, TN USA; [McKnight, Lucinda] Deakin Univ, Fac Arts &amp; Educ, Sch Educ, Melbourne, Australia; [Price-Dennis, Detra] Ohio State Univ, Dept Teaching &amp; Learning, Columbus, OH USA</t>
  </si>
  <si>
    <t>Lesley University; University of Pennsylvania; University of Texas System; University of Texas Austin; University System of Georgia; University of Georgia; Vanderbilt University; Deakin University; University System of Ohio; Ohio State University</t>
  </si>
  <si>
    <t>Enriquez, G (corresponding author), Lesley Univ, Dept Language &amp; Literacy, Cambridge, MA 02138 USA.</t>
  </si>
  <si>
    <t>genrique@lesley.edu</t>
  </si>
  <si>
    <t>Australian Research Council Discovery Early Career Research Award [DE220100515]; Australian Government</t>
  </si>
  <si>
    <t>Australian Research Council Discovery Early Career Research Award(Australian Research Council); Australian Government(Australian Government)</t>
  </si>
  <si>
    <t>Lucinda McKnight is the recipient of an Australian Research Council Discovery Early Career Research Award (project number DE220100515) funded by the Australian Government.</t>
  </si>
  <si>
    <t>1175-8708</t>
  </si>
  <si>
    <t>ENGL TEACH-PRACT CRI</t>
  </si>
  <si>
    <t>Eng. Tech-Prat. Crit.</t>
  </si>
  <si>
    <t>2023 DEC 22</t>
  </si>
  <si>
    <t>10.1108/ETPC-08-2023-0104</t>
  </si>
  <si>
    <t>Education &amp; Educational Research; Linguistics; Language &amp; Linguistics</t>
  </si>
  <si>
    <t>Education &amp; Educational Research; Linguistics</t>
  </si>
  <si>
    <t>CW8Z4</t>
  </si>
  <si>
    <t>WOS:001128375800001</t>
  </si>
  <si>
    <t>Cardon, P; Fleischmann, C; Logemann, M; Heidewald, J; Aritz, J; Swartz, S</t>
  </si>
  <si>
    <t>Cardon, Peter; Fleischmann, Carolin; Logemann, Minna; Heidewald, Jeanette; Aritz, Jolanta; Swartz, Stephanie</t>
  </si>
  <si>
    <t>Competencies Needed by Business Professionals in the AI Age: Character and Communication Lead the Way</t>
  </si>
  <si>
    <t>artificial intelligence; generative AI; AI-mediated communication; business education; soft skills</t>
  </si>
  <si>
    <t>SOFT SKILLS; INTELLIGENCE; LEADERSHIP</t>
  </si>
  <si>
    <t>Many experts project generative AI will impact the types of competencies that are valued among working professionals. This is the first known academic study to explore the views of business practitioners about the impacts of generative AI on skill sets. This survey of 692 business practitioners showed that business practitioners widely use generative AI, with the most common uses involving research and ideation, drafting of business messages and reports, and summarizing and revising text. Business practitioners report that character-based traits such as integrity and soft skills will become more important. Implications for teaching business communication are discussed.</t>
  </si>
  <si>
    <t>[Cardon, Peter; Aritz, Jolanta] Univ Southern Calif, Los Angeles, CA USA; [Fleischmann, Carolin] Rosenheim Tech Univ Appl Sci, Rosenheim, Germany; [Logemann, Minna] Baruch Coll, New York, NY USA; [Heidewald, Jeanette] Indiana Univ, Bloomington, IN USA; [Swartz, Stephanie] Hsch Mainz, Mainz, Germany; [Cardon, Peter] Univ Southern Calif, 3225 W Mossey Creek Ln, South Jordan, UT 84095 USA</t>
  </si>
  <si>
    <t>2023 NOV 8</t>
  </si>
  <si>
    <t>10.1177/23294906231208166</t>
  </si>
  <si>
    <t>X8AK1</t>
  </si>
  <si>
    <t>WOS:001100609100001</t>
  </si>
  <si>
    <t>Cheng, L; Liu, XL</t>
  </si>
  <si>
    <t>Cheng, Le; Liu, Xiuli</t>
  </si>
  <si>
    <t>From principles to practices: the intertextual interaction between AI ethical and legal discourses</t>
  </si>
  <si>
    <t>AI ethics; CDA and law; ChatGPT; generative AI; human-AI interaction; legal discourse; legal practice</t>
  </si>
  <si>
    <t>ARTIFICIAL-INTELLIGENCE; GOVERNANCE; LAWS; PERSONALITY; ROBOTICS; ASIMOV</t>
  </si>
  <si>
    <t>The ascendancy and ubiquity of generative AI technology, exemplified by ChatGPT, has resulted in a transformative shift in the conventional human-AI interaction paradigm, leading to substantial alterations in societal modes of production. Drawing on CDA approach, this study conducts a thematic intertextuality analysis of 29 AI ethical documents, and delves into the restructuring of the human-AI relations catalysed by ChatGPT, as well as the complex ethical and legal challenges it presents. The findings indicate that the thematic intertextuality between AI ethical discourse and legal discourse promotes the connection and convergence of narrative-ideological structures, which in turn primarily creates new meaningful texts and ethical frameworks that promote a holistic approach to a good AI society. This research also identifies the importance of integrating law-making efforts with substantive ethical analysis and appropriate discursive strategies to promote the responsible and ethical development of generative AI that benefits society as a whole.</t>
  </si>
  <si>
    <t>[Cheng, Le] Zhejiang Univ, Guanghua Law Sch, Sch Int Studies, Hangzhou, Peoples R China; [Liu, Xiuli] Zhejiang Univ, Sch Int Studies, Hangzhou, Peoples R China</t>
  </si>
  <si>
    <t>Zhejiang University; Zhejiang University</t>
  </si>
  <si>
    <t>Cheng, L (corresponding author), Zhejiang Univ, Guanghua Law Sch, Sch Int Studies, Hangzhou, Peoples R China.</t>
  </si>
  <si>
    <t>chengle163@hotmail.com; liuxiuli@zju.edu.cn</t>
  </si>
  <si>
    <t>Liu, Xiuli/0000-0001-8534-6753</t>
  </si>
  <si>
    <t>APR 25</t>
  </si>
  <si>
    <t>10.1515/ijld-2023-2001</t>
  </si>
  <si>
    <t>MAY 2023</t>
  </si>
  <si>
    <t>N0NB2</t>
  </si>
  <si>
    <t>WOS:000988844300001</t>
  </si>
  <si>
    <t>Kim, JH; Kim, J; Kim, C; Kim, S</t>
  </si>
  <si>
    <t>Kim, Jeong Hyun; Kim, Jungkeun; Kim, Changju; Kim, Seongseop (Sam)</t>
  </si>
  <si>
    <t>Do you trust ChatGPTs? Effects of the ethical and quality issues of generative AI on travel decisions</t>
  </si>
  <si>
    <t>JOURNAL OF TRAVEL &amp; TOURISM MARKETING</t>
  </si>
  <si>
    <t>ChatGPT; artificial intelligence (AI); technology; quality; ethical; trustworthiness; generative AI; moral decoupling; AI acceptance; travel decisions</t>
  </si>
  <si>
    <t>WORD-OF-MOUTH; ADOPTION; CREDIBILITY; ALGORITHM; CONSUMERS; TOURISM; PEOPLE; ANTHROPOMORPHISM; ANTECEDENTS; PERCEPTIONS</t>
  </si>
  <si>
    <t>This study investigated the impact of ChatGPT's recommendation quality and ethical concerns on travelers' acceptance, satisfaction, and perceived trustworthiness. Results showed that when quality and ethical concerns were prominent, acceptance of and satisfaction with ChatGPT's recommendations decreased significantly, and the negative effects were mediated by perceived trustworthiness. This study also identified that message framing containing ChatGPT's errors, and the information types delivered by ChatGPT, acted as moderators of the positive effect of its recommendations. These findings underscore the significance of addressing ethical and quality concerns in using AI (Artificial intelligence)-powered chatbots, with implications for AI acceptance and satisfaction.</t>
  </si>
  <si>
    <t>[Kim, Jeong Hyun] Kyung Hee Univ, Smart Tourism Res Ctr, Seoul, South Korea; [Kim, Jungkeun] Auckland Univ Technol, Dept Mkt, Auckland, New Zealand; [Kim, Changju] Ritsumeikan Univ, Coll Business Adm, Osaka, Japan; [Kim, Seongseop (Sam)] Hong Kong Polytech Univ, Sch Hotel &amp; Tourism Management, Hong Kong, Peoples R China</t>
  </si>
  <si>
    <t>Kyung Hee University; Auckland University of Technology; Ritsumeikan University; Hong Kong Polytechnic University</t>
  </si>
  <si>
    <t>Kim, J (corresponding author), Auckland Univ Technol, Dept Mkt, Auckland, New Zealand.</t>
  </si>
  <si>
    <t>jkkim@aut.ac.nz</t>
  </si>
  <si>
    <t>Kim, Jungkeun/AAE-7216-2020; Jeong Hyun, Kim/JJE-9437-2023</t>
  </si>
  <si>
    <t>Kim, Jungkeun/0000-0003-2104-833X; Kim, Changju/0000-0002-5823-805X; Kim, Seongseop (Sam)/0000-0002-9213-6540; Kim, Jeong Hyun/0000-0002-9375-1289</t>
  </si>
  <si>
    <t>1054-8408</t>
  </si>
  <si>
    <t>1540-7306</t>
  </si>
  <si>
    <t>J TRAVEL TOUR MARK</t>
  </si>
  <si>
    <t>J. Travel Tour. Mark.</t>
  </si>
  <si>
    <t>NOV 22</t>
  </si>
  <si>
    <t>10.1080/10548408.2023.2293006</t>
  </si>
  <si>
    <t>Hospitality, Leisure, Sport &amp; Tourism</t>
  </si>
  <si>
    <t>EL3U4</t>
  </si>
  <si>
    <t>WOS:001139050100001</t>
  </si>
  <si>
    <t>van der Maden, W; van Beek, E; Nicenboim, I; van der Burg, V; Kun, P; Lomas, D; Kang, E</t>
  </si>
  <si>
    <t>van der Maden, Willem; van Beek, Evert; Nicenboim, Iohanna; van der Burg, Vera; Kun, Peter; Lomas, Derek; Kang, Eunsu</t>
  </si>
  <si>
    <t>Towards a Design (Research) Framework with Generative AI</t>
  </si>
  <si>
    <t>generative artifcial intelligence; design research; creative practices; computational creativity</t>
  </si>
  <si>
    <t>This one day workshop will explore the use of Generative Artifcial Intelligence (GenAI) in design research and practice. Generative technologies are developing rapidly and many designers are using them. Yet, there remains little published work on the use of GenAI in design. Our goal is to not only showcase the potential of GenAI for design, but to engage in discussions of its shortcomings and opportunities as they have been already articulated by scholars. By synthesizing both published and unpublished works, we will develop best practices, ethical considerations, and future research directions for the use of GenAI in design. We will explore a range of topics and themes, including leveraging the characteristics of GenAI for design, mapping the diverse applications of GenAI in design, envisioning a framework for design, and guiding future work on GenAI in design research. Ultimately, we hope to provide a roadmap for the integration of GenAI into the design research process and to encourage designers and researchers to explore the potential of GenAI in a thoughtful and deliberate way.</t>
  </si>
  <si>
    <t>[van der Maden, Willem; van Beek, Evert; Nicenboim, Iohanna; Lomas, Derek] Delft Univ Technol, Dept Human Ctr Design, Delft, Netherlands; [van der Burg, Vera] Delft Univ Technol, Design Intelligence Lab, Delft, Netherlands; [Kun, Peter] IT Univ Copenhagen, Digital Design Dept, Copenhagen, Denmark; [Kang, Eunsu] Carnegie Mellon Univ, Machine Learning Dept, Pittsburgh, PA USA</t>
  </si>
  <si>
    <t>Delft University of Technology; Delft University of Technology; IT University Copenhagen; Carnegie Mellon University</t>
  </si>
  <si>
    <t>van der Maden, W (corresponding author), Delft Univ Technol, Dept Human Ctr Design, Delft, Netherlands.</t>
  </si>
  <si>
    <t>w.l.a.vandermaden@tudelft.nl; E.vanbeek@tudelft.nl; i.nicenboim@tudelft.nl; v.vanderburg@tudelft.nl; peku@itu.dk; j.d.lomas@tudelft.nl; kangeunsu@gmail.com</t>
  </si>
  <si>
    <t>van der Maden, Willem/JPX-2777-2023; van Beek, Evert/JGC-8077-2023</t>
  </si>
  <si>
    <t>van der Maden, Willem/0000-0003-0245-1633; Lomas, James/0000-0003-2329-7831; Kun, Peter/0000-0003-0778-7662; van der Burg, Vera/0000-0002-0888-5806</t>
  </si>
  <si>
    <t>10.1145/3563703.3591453</t>
  </si>
  <si>
    <t>WOS:001031537800025</t>
  </si>
  <si>
    <t>Schmidt, L; Piazza, A; Wiedenhöft, C</t>
  </si>
  <si>
    <t>Schmidt, Lea; Piazza, Alexander; Wiedenhoeft, Carina</t>
  </si>
  <si>
    <t>Augmented Brainstorming with AI - Research Approach for Identifying Design Criteria for Improved Collaborative Idea Generation Between Humans and AI</t>
  </si>
  <si>
    <t>Creative AI; ChatGPT; Augmented Brainstorming with AI; Human-AI interaction; Brainstorming; Collaborative Idea Generation</t>
  </si>
  <si>
    <t>Creative ideas need to be generated continuously in content marketing to communicate effectively to a given target group. Usually, brainstorming techniques are applied by content creators to stimulate new ideas. With the emergence of generative AI like ChatGPT, content ideas can be generated rapidly. The assumption is that by combining human and AI creativity appropriately, the creative results are higher than by humans or AI alone. The open research question is how to integrate humans and generative AI within the creativity process to augment the creativity. The research approach presented based on a currently running research project is aiming to identify appropriate design criteria to integrate generative AI in the form of ChatGPT into brainstorming processes to generate improved content ideas in the context of content marketing.</t>
  </si>
  <si>
    <t>[Schmidt, Lea; Piazza, Alexander; Wiedenhoeft, Carina] Ansbach Univ Appl Sci, Ansbach, Germany</t>
  </si>
  <si>
    <t>Piazza, A (corresponding author), Ansbach Univ Appl Sci, Ansbach, Germany.</t>
  </si>
  <si>
    <t>alexander.piazza@hs-ansbach.de</t>
  </si>
  <si>
    <t>10.3233/FAIA230113</t>
  </si>
  <si>
    <t>WOS:001150361600042</t>
  </si>
  <si>
    <t>Michel-Villarreal, R; Vilalta-Perdomo, E; Salinas-Navarro, DE; Thierry-Aguilera, R; Gerardou, FS</t>
  </si>
  <si>
    <t>Michel-Villarreal, Rosario; Vilalta-Perdomo, Eliseo; Salinas-Navarro, David Ernesto; Thierry-Aguilera, Ricardo; Gerardou, Flor Silvestre</t>
  </si>
  <si>
    <t>Challenges and Opportunities of Generative AI for Higher Education as Explained by ChatGPT</t>
  </si>
  <si>
    <t>EDUCATION SCIENCES</t>
  </si>
  <si>
    <t>academic integrity; chatbots; generative artificial intelligence; higher education; universities; professional education; educational innovation; barriers; risks</t>
  </si>
  <si>
    <t>ChatGPT is revolutionizing the field of higher education by leveraging deep learning models to generate human-like content. However, its integration into academic settings raises concerns regarding academic integrity, plagiarism detection, and the potential impact on critical thinking skills. This article presents a study that adopts a thing ethnography approach to understand ChatGPT's perspective on the challenges and opportunities it represents for higher education. The research explores the potential benefits and limitations of ChatGPT, as well as mitigation strategies for addressing the identified challenges. Findings emphasize the urgent need for clear policies, guidelines, and frameworks to responsibly integrate ChatGPT in higher education. It also highlights the need for empirical research to understand user experiences and perceptions. The findings provide insights that can guide future research efforts in understanding the implications of ChatGPT and similar Artificial Intelligence (AI) systems in higher education. The study concludes by highlighting the importance of thing ethnography as an innovative approach for engaging with intelligent AI systems and calls for further research to explore best practices and strategies in utilizing Generative AI for educational purposes.</t>
  </si>
  <si>
    <t>[Michel-Villarreal, Rosario] Univ Leeds, Sustainabil Res Inst, Sch Earth &amp; Environm, Leeds LS2 9JT, England; [Vilalta-Perdomo, Eliseo; Salinas-Navarro, David Ernesto] Aston Univ, Aston Business Sch, Community Resilience &amp; Sustainabil Lab CoRSEL, Birmingham B4 7ET, England; [Thierry-Aguilera, Ricardo] Tecnol Monterrey, Sch Engn &amp; Sci, Monterrey 64849, Mexico; [Gerardou, Flor Silvestre] Falmouth Univ, Cornwall Business Sch, Penryn TR10 9FE, England</t>
  </si>
  <si>
    <t>University of Leeds; Aston University; Tecnologico de Monterrey</t>
  </si>
  <si>
    <t>Michel-Villarreal, R (corresponding author), Univ Leeds, Sustainabil Res Inst, Sch Earth &amp; Environm, Leeds LS2 9JT, England.</t>
  </si>
  <si>
    <t>r.michel-villarreal@leeds.ac.uk; e.vilaltaperdomo@aston.ac.uk; d.salinas-navarro@aston.ac.uk; thierry@tec.mx; flor.gerardou@falmouth.ac.uk</t>
  </si>
  <si>
    <t>SALINAS-NAVARRO, DAVID ERNESTO/ABG-4204-2020; Vilalta-Perdomo, Eliseo/N-9549-2014</t>
  </si>
  <si>
    <t>SALINAS-NAVARRO, DAVID ERNESTO/0000-0002-7919-4885; Michel-Villarreal, Rosario/0000-0002-1158-924X; Vilalta-Perdomo, Eliseo/0000-0002-4551-8327</t>
  </si>
  <si>
    <t>Writing Lab, Institute for the Future of Education, Tecnologico de Monterrey, Mexico</t>
  </si>
  <si>
    <t>The authors would like to acknowledge the financial support of Writing Lab, Institute for the Future of Education, Tecnologico de Monterrey, Mexico, in the production of this work (Losautores desean agradecer el apoyo financiero de Writing Lab, Institute for the Future of Education,Tecnologico de Monterrey, Mexico, en la produccion de este trabajo).</t>
  </si>
  <si>
    <t>2227-7102</t>
  </si>
  <si>
    <t>EDUC SCI</t>
  </si>
  <si>
    <t>Educ. Sci.</t>
  </si>
  <si>
    <t>10.3390/educsci13090856</t>
  </si>
  <si>
    <t>S7VY3</t>
  </si>
  <si>
    <t>Green Accepted, Green Published, gold</t>
  </si>
  <si>
    <t>WOS:001073221500001</t>
  </si>
  <si>
    <t>Zhong, HN; Chang, JM; Yang, ZY; Wu, TM; Arachchiuge, PCM; Pathmabandu, C; Xue, MH</t>
  </si>
  <si>
    <t>Zhong, Haonan; Chang, Jiamin; Yang, Ziyue; Wu, Tingmin; Arachchiuge, Pathum Chamikara Mahawaga; Pathmabandu, Chehara; Xue, Minhui</t>
  </si>
  <si>
    <t>Copyright Protection and Accountability of Generative AI: Atack, Watermarking and Attribution</t>
  </si>
  <si>
    <t>COMPANION OF THE WORLD WIDE WEB CONFERENCE, WWW 2023</t>
  </si>
  <si>
    <t>32nd World Wide Web Conference (WWW)</t>
  </si>
  <si>
    <t>APR 30-MAY 04, 2023</t>
  </si>
  <si>
    <t>Austin, TX</t>
  </si>
  <si>
    <t>Assoc Comp Machinery,Amazon Science,Baidu,Megagon Labs,Zhipu AI,Google,Booking Com,eBay,Bloomberg Engn,Netflix,ACM SIGWEB,Univ Texas Austin, Sch Informat,Data World,Inst Fdn Machine Learning</t>
  </si>
  <si>
    <t>Generative AI (e.g., Generative Adversarial Networks - GANs) has become increasingly popular in recent years. However, Generative AI introduces significant concerns regarding the protection of Intellectual Property Rights (IPR) (resp. model accountability) pertaining to images (resp. toxic images) and models (resp. poisoned models) generated. In this paper, we propose an evaluation framework to provide a comprehensive overview of the current state of the copyright protection measures for GANs, evaluate their performance across a diverse range of GAN architectures, and identify the factors that affect their performance and future research directions. Our findings indicate that the current IPR protection methods for input images, model watermarking, and attribution networks are largely satisfactory for a wide range of GANs. We highlight that further attention must be directed towards protecting training sets, as the current approaches fail to provide robust IPR protection and provenance tracing on training sets.</t>
  </si>
  <si>
    <t>[Zhong, Haonan; Chang, Jiamin] Univ New South Wales, Sydney, NSW, Australia; [Yang, Ziyue] Australian Natl Univ, Canberra, ACT, Australia; [Wu, Tingmin; Arachchiuge, Pathum Chamikara Mahawaga; Pathmabandu, Chehara; Xue, Minhui] CSIROs Data61, Canberra, ACT, Australia</t>
  </si>
  <si>
    <t>University of New South Wales Sydney; Australian National University; Commonwealth Scientific &amp; Industrial Research Organisation (CSIRO)</t>
  </si>
  <si>
    <t>Zhong, HN (corresponding author), Univ New South Wales, Sydney, NSW, Australia.</t>
  </si>
  <si>
    <t>zhong, Haonan/IQX-0626-2023; Wu, Tingmin/ISV-0359-2023; yang, ziyue/HJO-9972-2023</t>
  </si>
  <si>
    <t>Wu, Tingmin/0000-0003-0626-3576;</t>
  </si>
  <si>
    <t>978-1-4503-9416-1</t>
  </si>
  <si>
    <t>10.1145/3543873.3587321</t>
  </si>
  <si>
    <t>BW2SF</t>
  </si>
  <si>
    <t>WOS:001124276300023</t>
  </si>
  <si>
    <t>Spennemann, DHR</t>
  </si>
  <si>
    <t>Spennemann, Dirk H. R.</t>
  </si>
  <si>
    <t>Children of AI: A Protocol for Managing the Born-Digital Ephemera Spawned by Generative AI Language Models</t>
  </si>
  <si>
    <t>PUBLICATIONS</t>
  </si>
  <si>
    <t>audio-visual archiving; ChatGPT; cultural heritage digital ephemera; publications ethics</t>
  </si>
  <si>
    <t>HERITAGE; CHATGPT</t>
  </si>
  <si>
    <t>The recent public release of the generative AI language model ChatGPT has captured the public imagination and has resulted in a rapid uptake and widespread experimentation by the general public and academia alike. The number of academic publications focusing on the capabilities as well as practical and ethical implications of generative AI has been growing exponentially. One of the concerns with this unprecedented growth in scholarship related to generative AI, in particular, ChatGPT, is that, in most cases, the raw data, which is the text of the original 'conversations,' have not been made available to the audience of the papers and thus cannot be drawn on to assess the veracity of the arguments made and the conclusions drawn therefrom. This paper provides a protocol for the documentation and archiving of these raw data.</t>
  </si>
  <si>
    <t>[Spennemann, Dirk H. R.] Charles Sturt Univ, Sch Agr Environm &amp; Vet Sci, Albury, NSW 2640, Australia</t>
  </si>
  <si>
    <t>Charles Sturt University</t>
  </si>
  <si>
    <t>Spennemann, DHR (corresponding author), Charles Sturt Univ, Sch Agr Environm &amp; Vet Sci, Albury, NSW 2640, Australia.</t>
  </si>
  <si>
    <t>dspennemann@csu.edu.au</t>
  </si>
  <si>
    <t>Spennemann, Dirk/0000-0003-2639-7950</t>
  </si>
  <si>
    <t>2304-6775</t>
  </si>
  <si>
    <t>Publications</t>
  </si>
  <si>
    <t>10.3390/publications11030045</t>
  </si>
  <si>
    <t>S9SO4</t>
  </si>
  <si>
    <t>WOS:001074493700001</t>
  </si>
  <si>
    <t>Paik, S; Bonna, S; Novozhilova, E; Gao, G; Kim, J; Wijaya, D; Betke, M</t>
  </si>
  <si>
    <t>Paik, Sejin; Bonna, Sarah; Novozhilova, Ekaterina; Gao, Ge; Kim, Jongin; Wijaya, Derry; Betke, Margrit</t>
  </si>
  <si>
    <t>The Affective Nature of AI-Generated News Images: Impact on Visual Journalism</t>
  </si>
  <si>
    <t>2023 11TH INTERNATIONAL CONFERENCE ON AFFECTIVE COMPUTING AND INTELLIGENT INTERACTION, ACII</t>
  </si>
  <si>
    <t>International Conference on Affective Computing and Intelligent Interaction</t>
  </si>
  <si>
    <t>Generative AI; Emotion analysis; Ethics of affective computing; Affective image generation; AI safety; Journalism ethics</t>
  </si>
  <si>
    <t>FACES</t>
  </si>
  <si>
    <t>This study explores the affective responses and newsworthiness perceptions of generative AI for visual journalism. While generative AI offers advantages for newsrooms in terms of producing unique images and cutting costs, the potential misuse of AI-generated news images is a cause for concern. For our study, we designed a 3-part news image codebook for affect-labeling news images based on journalism ethics and photography guidelines. We collected 200 news headlines and images retrieved from a variety of U.S. news sources on the topics of gun violence and climate change, generated corresponding news images from DALL-E 2 and asked annotators their emotional responses to the human-selected and AI-generated news images following the codebook. We also examined the impact of modality on emotions by measuring the effects of visual and textual modalities on emotional responses. The findings of this study provide insights into the quality and emotional impact of generative news images produced by humans and AI. Further, results of this work can be useful in developing technical guidelines as well as policy measures for the ethical use of generative AI systems in journalistic production. The codebook, images and annotations are made publicly available to facilitate future research in affective computing, specifically tailored to civic and public-interest journalism.</t>
  </si>
  <si>
    <t>[Paik, Sejin; Bonna, Sarah; Novozhilova, Ekaterina; Gao, Ge; Kim, Jongin; Wijaya, Derry; Betke, Margrit] Boston Univ, Boston, MA 02215 USA; [Wijaya, Derry] Monash Univ Indonesia, Banten, Indonesia</t>
  </si>
  <si>
    <t>Boston University</t>
  </si>
  <si>
    <t>Paik, S (corresponding author), Boston Univ, Boston, MA 02215 USA.</t>
  </si>
  <si>
    <t>sejin@bu.edu; sbonna@bu.edu; ekaterin@bu.edu; ggao02@bu.edu; jongin@bu.edu; wijaya@bu.edu; betke@bu.edu</t>
  </si>
  <si>
    <t>U.S. NSF [1838193]; DARPA [HR001118S0044]</t>
  </si>
  <si>
    <t>U.S. NSF(National Science Foundation (NSF)); DARPA(United States Department of DefenseDefense Advanced Research Projects Agency (DARPA))</t>
  </si>
  <si>
    <t>This work is supported in part by the U.S. NSF grant 1838193 and DARPA HR001118S0044 (the LwLL program). The U.S. Government is authorized to reproduce and distribute reprints for Governmental purposes. The views and conclusions contained in this publication are those of the authors and should not be interpreted as representing official policies or endorsements of NSF, DARPA, or the U.S. Government.</t>
  </si>
  <si>
    <t>2156-8103</t>
  </si>
  <si>
    <t>979-8-3503-2743-4</t>
  </si>
  <si>
    <t>INT CONF AFFECT</t>
  </si>
  <si>
    <t>10.1109/ACIIW59127.2023.10388166</t>
  </si>
  <si>
    <t>Computer Science, Artificial Intelligence; Computer Science, Information Systems; Computer Science, Interdisciplinary Applications</t>
  </si>
  <si>
    <t>BW5IH</t>
  </si>
  <si>
    <t>WOS:001161369900031</t>
  </si>
  <si>
    <t>Dalalah, D; Dalalah, OMA</t>
  </si>
  <si>
    <t>Dalalah, Doraid; Dalalah, Osama M. A.</t>
  </si>
  <si>
    <t>The false positives and false negatives of generative AI detection tools in education and academic research: The case of ChatGPT</t>
  </si>
  <si>
    <t>Artificial intelligence; Generative pre-trained transformer; Machine generated contents (MGC); False positive; negative; Text generation; ChatGPT</t>
  </si>
  <si>
    <t>Generative Pre-trained Transformers like ChatGPT are examples of AI systems which produce human-like responses in different forms such as text or images that have demonstrated excellent performance in producing logical and contextually relevant answers. However, the false positive/ negative detection of generative AI has been noted as a challenge. In this article, statistical ex-periments are conducted to test the chances of false positive and false negative detection of AI -generated text. It was found that the detected likelihoods of generative AI in articles' abstracts is much lower than that found in paragraphs taken from the literature section of the selected articles. This means that literature parts have higher likelihoods to falsely demonstrate AI -generated text. On the other hand, when genuine texts are compared with AI-generated texts, it is observed that there is a noticeable margin of overlap between their distributions and therefore type I and type II errors fall within the realm of possibility. We show that despite these challenges, generative AI like ChatGPT continues to be a promising tool for communication and information retrieval. However, it is vital to address the concerns regarding false detection of AI generated text and ensure that these models are used in ethical and responsible conduct.</t>
  </si>
  <si>
    <t>[Dalalah, Doraid] Jordan Univ Sci &amp; Technol, Ind Engn Dept, Ar Ramtha, Jordan; [Dalalah, Osama M. A.] Jadara Univ, Dept Educ Technol, Irbid, Jordan</t>
  </si>
  <si>
    <t>Jordan University of Science &amp; Technology</t>
  </si>
  <si>
    <t>Dalalah, D (corresponding author), Jordan Univ Sci &amp; Technol, Ind Engn Dept, Ar Ramtha, Jordan.</t>
  </si>
  <si>
    <t>doraid@just.edu.jo; usm.osamah@gmail.com</t>
  </si>
  <si>
    <t>Aldalalah, Osamah Mohammad Ameen/JHS-4569-2023</t>
  </si>
  <si>
    <t>10.1016/j.ijme.2023.100822</t>
  </si>
  <si>
    <t>K0JM6</t>
  </si>
  <si>
    <t>WOS:001013397700001</t>
  </si>
  <si>
    <t>Kim, JH; Kim, J; Park, J; Kim, C; Jhang, J; King, B</t>
  </si>
  <si>
    <t>Kim, Jeong Hyun; Kim, Jungkeun; Park, Jooyoung; Kim, Changju; Jhang, Jihoon; King, Brian</t>
  </si>
  <si>
    <t>When ChatGPT Gives Incorrect Answers: The Impact of Inaccurate Information by Generative AI on Tourism Decision-Making</t>
  </si>
  <si>
    <t>JOURNAL OF TRAVEL RESEARCH</t>
  </si>
  <si>
    <t>ChatGPT; chatbot; AI recommendations; accessibility-diagnosticity; incorrect information; generative AI</t>
  </si>
  <si>
    <t>WORD-OF-MOUTH; ALGORITHM; TRUST; TECHNOLOGIES; ADOPTION; DESIGN</t>
  </si>
  <si>
    <t>This study investigates how inaccurate information provided by ChatGPT impacts travelers' acceptance of recommendations. Six experiments were conducted based on the accessibility-diagnosticity framework. These examined the moderating role of the prominence and type of incorrect information and their effects on decision-making. The results show that participants perceived more accuracy and trustworthiness, leading to stronger intentions to visit when incorrect information was absent. However, there was a decline in their intentions to visit when incorrect information was present and more prominent or in the same domain. This effect diminished when multiple domains were involved or when participants were focused on the initial task. The research highlights that both the prominence and type of incorrect information are boundary conditions and provides insights into AI applications in tourism. Furthermore, it offers practical implications for online travel agencies in terms of user interface and user experience design planning.</t>
  </si>
  <si>
    <t>[Kim, Jeong Hyun] Kyung Hee Univ, Smart Tourism Res Ctr, Seoul, South Korea; [Kim, Jungkeun] Auckland Univ Technol, Dept Mkt, Auckland, New Zealand; [Park, Jooyoung] Peking Univ, HSBC Business Sch, Shenzhen, Peoples R China; [Kim, Changju] Ritsumeikan Univ, Coll Business Adm, Ibaraki, Osaka, Japan; [Jhang, Jihoon] Univ Cent Arkansas, Dept Mkt &amp; Management, Conway, AR USA; [King, Brian] Texas A&amp;M Univ, Dept Hospitality Hotel Management &amp; Tourism, College Stn, TX USA</t>
  </si>
  <si>
    <t>Kyung Hee University; Auckland University of Technology; Peking University; Ritsumeikan University; University of Central Arkansas; Texas A&amp;M University System; Texas A&amp;M University College Station</t>
  </si>
  <si>
    <t>Kim, Changju/AAT-2096-2020; Kim, Jungkeun/AAE-7216-2020; KIng, Brian/KDN-7191-2024; Jeong Hyun, Kim/JJE-9437-2023; King, Brian Edward Melville/E-7201-2014</t>
  </si>
  <si>
    <t>Kim, Changju/0000-0002-5823-805X; Kim, Jungkeun/0000-0003-2104-833X; King, Brian Edward Melville/0000-0002-5300-5564; Kim, Jeong Hyun/0000-0002-9375-1289; Jhang, Jihoon/0000-0001-9570-4024; Park, Jooyoung/0000-0001-9626-7356</t>
  </si>
  <si>
    <t>0047-2875</t>
  </si>
  <si>
    <t>1552-6763</t>
  </si>
  <si>
    <t>J TRAVEL RES</t>
  </si>
  <si>
    <t>J. Travel Res.</t>
  </si>
  <si>
    <t>10.1177/00472875231212996</t>
  </si>
  <si>
    <t>Z3TJ2</t>
  </si>
  <si>
    <t>WOS:001111329500001</t>
  </si>
  <si>
    <t>Perkins, M; Roe, J; Postma, D; McGaughran, J; Hickerson, D</t>
  </si>
  <si>
    <t>Perkins, Mike; Roe, Jasper; Postma, Darius; McGaughran, James; Hickerson, Don</t>
  </si>
  <si>
    <t>Detection of GPT-4 Generated Text in Higher Education: Combining Academic Judgement and Software to Identify Generative AI Tool Misuse</t>
  </si>
  <si>
    <t>JOURNAL OF ACADEMIC ETHICS</t>
  </si>
  <si>
    <t>ChatGPT; GPT-4; Turnitin AI detect; AI detection; Assessment design; Artificial intelligence</t>
  </si>
  <si>
    <t>This study explores the capability of academic staff assisted by the Turnitin Artificial Intelligence (AI) detection tool to identify the use of AI-generated content in university assessments. 22 different experimental submissions were produced using Open AI's ChatGPT tool, with prompting techniques used to reduce the likelihood of AI detectors identifying AI-generated content. These submissions were marked by 15 academic staff members alongside genuine student submissions. Although the AI detection tool identified 91% of the experimental submissions as containing AI-generated content, only 54.8% of the content was identified as AI-generated, underscoring the challenges of detecting AI content when advanced prompting techniques are used. When academic staff members marked the experimental submissions, only 54.5% were reported to the academic misconduct process, emphasising the need for greater awareness of how the results of AI detectors may be interpreted. Similar performance in grades was obtained between student submissions and AI-generated content (AI mean grade: 52.3, Student mean grade: 54.4), showing the capabilities of AI tools in producing human-like responses in real-life assessment situations. Recommendations include adjusting the overall strategies for assessing university students in light of the availability of new Generative AI tools. This may include reducing the overall reliance on assessments where AI tools may be used to mimic human writing, or by using AI-inclusive assessments. Comprehensive training must be provided for both academic staff and students so that academic integrity may be preserved.</t>
  </si>
  <si>
    <t>[Perkins, Mike; McGaughran, James; Hickerson, Don] British Univ Vietnam, Sch Business, Hanoi, Vietnam; [Roe, Jasper] James Cook Univ Singapore, Singapore City, Singapore; [Postma, Darius] British Univ Vietnam, Sch Hospitality &amp; Tourism, Hanoi, Vietnam</t>
  </si>
  <si>
    <t>James Cook University</t>
  </si>
  <si>
    <t>Perkins, M (corresponding author), British Univ Vietnam, Sch Business, Hanoi, Vietnam.</t>
  </si>
  <si>
    <t>mgperkins@gmail.com; jasper.roe@jcu.edu.au; Darius.p@buv.edu.vn; James.mg@buv.edu.vn; Don.h@buv.edu.vn</t>
  </si>
  <si>
    <t>Postma, Darius/0009-0000-7317-5942; Roe, Jasper/0000-0001-7489-2847</t>
  </si>
  <si>
    <t>The authors are very grateful for the support of the academic staff who participated in the study and the ongoing support of the university Examinations Office team who provided technical assistance throughout the project.</t>
  </si>
  <si>
    <t>1570-1727</t>
  </si>
  <si>
    <t>1572-8544</t>
  </si>
  <si>
    <t>J ACAD ETHICS</t>
  </si>
  <si>
    <t>J. Acad. Ethics</t>
  </si>
  <si>
    <t>10.1007/s10805-023-09492-6</t>
  </si>
  <si>
    <t>Ethics</t>
  </si>
  <si>
    <t>IV2V2</t>
  </si>
  <si>
    <t>WOS:001095765900002</t>
  </si>
  <si>
    <t>York, EJ</t>
  </si>
  <si>
    <t>York, Eric J.</t>
  </si>
  <si>
    <t>Evaluating ChatGPT Generative AI in UX design and web development pedagogy</t>
  </si>
  <si>
    <t>PROCEEDINGS OF THE 41ST INTERNATIONAL CONFERENCE ON DESIGN OF COMMUNICATION, SIGDOC 2023</t>
  </si>
  <si>
    <t>41st ACM International Conference on Design of Communication (SIGDOC)</t>
  </si>
  <si>
    <t>OCT 26-28, 2023</t>
  </si>
  <si>
    <t>Univ Cent Florida, Orlando, FL</t>
  </si>
  <si>
    <t>Assoc Comp Machinery,Arizona State Univ,DePaul Univ,George Mason Univ,Michigan State Univ,Texas Tech Univ,Univ Minnesota,Univ N Texas,XML Press,Rosenfeld Media,Balsamiq,Axure,Loop11,Special Interest Grp Design Commun</t>
  </si>
  <si>
    <t>Univ Cent Florida</t>
  </si>
  <si>
    <t>Artificial Intelligence; Pedagogy; User experience (UX) design; Web development</t>
  </si>
  <si>
    <t>The advent of widely-accessible generative AI tools and their rapid adoption across industry and education is necessitating large-scale revisions to user experience design and web development pedagogies and curricula, a process that will take some time. This report describes a series of initial experiments using generative AI tools as a student or junior designer or web developer might, sometimes naively and sometimes in more sophisticated ways, to complete beginner-level and advanced projects. The report evaluates how ChatGPT performs across three categories of prompts (brainstorming, design, and coding) and assesses the quality of the outputs in order to inform the research design of a larger, ongoing interdisciplinary study in its initial phases and to document the results for instructors or senior members of design and development teams to aid them in assessing the fitness of generative AI for user experience design and web development production.</t>
  </si>
  <si>
    <t>[York, Eric J.] Clarkson Univ, Potsdam, NY 13699 USA</t>
  </si>
  <si>
    <t>Clarkson University</t>
  </si>
  <si>
    <t>York, EJ (corresponding author), Clarkson Univ, Potsdam, NY 13699 USA.</t>
  </si>
  <si>
    <t>eyork@clarkson.edu</t>
  </si>
  <si>
    <t>979-8-4007-0336-2</t>
  </si>
  <si>
    <t>10.1145/3615335.3623035</t>
  </si>
  <si>
    <t>Communication; Computer Science, Interdisciplinary Applications</t>
  </si>
  <si>
    <t>Communication; Computer Science</t>
  </si>
  <si>
    <t>BW2TF</t>
  </si>
  <si>
    <t>WOS:001124885600031</t>
  </si>
  <si>
    <t>Hemment, D; Currie, M; Bennett, SJ; Elwes, J; Ridler, A; Sinders, C; Vidmar, M; Hill, R; Warner, H</t>
  </si>
  <si>
    <t>Hemment, Drew; Currie, Morgan; Bennett, S. J.; Elwes, Jake; Ridler, Anna; Sinders, Caroline; Vidmar, Matjaz; Hill, Robin; Warner, Holly</t>
  </si>
  <si>
    <t>AI in the Public Eye: Investigating Public AI Literacy Through AI Art</t>
  </si>
  <si>
    <t>Society; Culture; AI literacy; Art; Computational Art; AI Art; Creative AI; Artificial Intelligence; Transparency; Education; Dialogue; Interdisciplinary Research</t>
  </si>
  <si>
    <t>Recent advances in diffusion models and large language models have underpinned a new generation of powerful and accessible tools, and some of the most publicly visible applications are for artistic endeavour. Such tools, however, provide little scope for deeper understanding of AI systems, while the growing public interest in them can eclipse notice of the vibrant community of artists who have long worked with other forms of AI. We explore the potential for AI Art - particularly work in which AI is both tool and topic - to facilitate public AI literacies and consider how tactics developed before the current generative AI boom have continued relevance today. We look at the strategies of critical AI artists to scaffold public understanding of AI and enhance legibility for non-experts. This paper also investigates how collaborations between artists and AI researchers and designers can illuminate key technical and social issues relevant to the development of AI. The study entailed workshops between three professional artists who work with AI and a cross-disciplinary set of academic participants. This paper reports on these workshops and presents the intentions and strategies expressed by the artists, as well as insights of relevance to the research community on public AI literacies. We find that critical AI art can link underlying technical systems to structural issues of power and facilitate experiential learning that is situated and embodied, valuing interpretation over explanation. The findings also demonstrate the importance of transdisciplinary conversations around art, ethics and the political economy of AI technologies and how these dialogues may feed into AI design processes.</t>
  </si>
  <si>
    <t>[Hemment, Drew; Currie, Morgan; Bennett, S. J.; Vidmar, Matjaz; Hill, Robin] Univ Edinburgh, Edinburgh, Scotland</t>
  </si>
  <si>
    <t>University of Edinburgh</t>
  </si>
  <si>
    <t>Hemment, D (corresponding author), Univ Edinburgh, Edinburgh, Scotland.</t>
  </si>
  <si>
    <t>drew.hemment@ed.ac.uk; morgan.currie@ed.ac.uk; sarah.bennett@ed.ac.uk; me@jakeelwes.com; anna@annaridler.com; Matjaz.Vidmar@ed.ac.uk; r.l.hill@ed.ac.uk; r.l.hill@ed.ac.uk</t>
  </si>
  <si>
    <t>Hemment, Drew/0000-0002-0068-5500; Vidmar, Matjaz/0000-0002-1368-9762</t>
  </si>
  <si>
    <t>Arts &amp; Humanities Research Council; Engineering &amp; Physical Sciences Research Council; Creative Scotland</t>
  </si>
  <si>
    <t>Arts &amp; Humanities Research Council(UK Research &amp; Innovation (UKRI)Arts &amp; Humanities Research Council (AHRC)); Engineering &amp; Physical Sciences Research Council(UK Research &amp; Innovation (UKRI)Engineering &amp; Physical Sciences Research Council (EPSRC)); Creative Scotland</t>
  </si>
  <si>
    <t>Thanks to the participants in the research workshops: Dave MurrayRust, Pablo Schyfter, Shannon Vallor, Vaishak Belle, Michael Rovatsos, Ruth Aylet, Frank Boz, and Gill Haddow. The New Real at University of Edinburgh is a partnership with The Alan Turing Institute and Edinburgh's Festivals, supported by funding from Arts &amp; Humanities Research Council, Engineering &amp; Physical Sciences Research Council, and Creative Scotland.</t>
  </si>
  <si>
    <t>10.1145/3593013.3594052</t>
  </si>
  <si>
    <t>WOS:001062819300081</t>
  </si>
  <si>
    <t>Costa, F; Mónaco, JA; Covello, A; Novidelsky, I; Zabala, X; Rodríguez, P</t>
  </si>
  <si>
    <t>Costa, Flavia; Monaco, Julian Andres; Covello, Alejandro; Novidelsky, Iago; Zabala, Ximena; Rodriguez, Pablo</t>
  </si>
  <si>
    <t>Challenges of Generative Artificial Intelligence Three scales and two transversal approaches</t>
  </si>
  <si>
    <t>Artificial intelligence; Generative Artificial Intelligence; AI risks and safety; artificial society</t>
  </si>
  <si>
    <t>The objective of this article is to offer an analytical perspective to understand and situate in their specific dimension the different debates that cross the public conversation about generative Artificial Intelligences and large language models (LLM). First, we identify five traits of AI: they are not a technology, but rather meta-technologies; They constitute not a technical device, but a world-environment; They can be high-risk technologies and require appropriate treatment in their life cycle; Generative AI and in particular LLM are not only Artificial Intelligence, but also Artificial Society; The perspective of AI ethics is not sufficient to address them and it is necessary to promote an approach from the organizational ethics of AI and from systemic thinking. Secondly, we cut out the different scales at which AI is currently developed: the micro scale, the meso scale (the most suitable for situating public policies) and the macro scale. Thirdly, we present two transversal approaches to addressing AI: the legal one, oriented towards responsibility, and the systemic one, oriented towards protection and security.</t>
  </si>
  <si>
    <t>[Costa, Flavia; Covello, Alejandro; Novidelsky, Iago; Zabala, Ximena; Rodriguez, Pablo] Tecnocenolab UBA, Buenos Aires, Argentina; [Costa, Flavia; Rodriguez, Pablo] Consejo Nacl Invest Cient &amp; Tecn, Buenos Aires, Argentina; [Monaco, Julian Andres] UNSAM, CONICET IDAES, San Martin, Argentina; [Monaco, Julian Andres] UBA, Buenos Aires, Argentina; [Covello, Alejandro; Novidelsky, Iago] JST, Buenos Aires, Argentina</t>
  </si>
  <si>
    <t>Consejo Nacional de Investigaciones Cientificas y Tecnicas (CONICET)</t>
  </si>
  <si>
    <t>Costa, F (corresponding author), Tecnocenolab UBA, Buenos Aires, Argentina.;Costa, F (corresponding author), Consejo Nacl Invest Cient &amp; Tecn, Buenos Aires, Argentina.</t>
  </si>
  <si>
    <t>flavc@hotmail.com; julmonaco@gmail.com; alejandrocovello8@gmail.com; iagonovidelsky@gmail.com; ximenavzabala@gmail.com; pablomanolorodriguez@gmail.com</t>
  </si>
  <si>
    <t>Rodriguez, Pablo/KFJ-9680-2024</t>
  </si>
  <si>
    <t>e844</t>
  </si>
  <si>
    <t>10.24215/16696581e844</t>
  </si>
  <si>
    <t>WOS:001161626700026</t>
  </si>
  <si>
    <t>Amresh, A</t>
  </si>
  <si>
    <t>Babu, C; Goel, N; Karkare, A</t>
  </si>
  <si>
    <t>Amresh, Ashish</t>
  </si>
  <si>
    <t>Leveling Up Education: Harnessing Generative AI for Game-Based Learning</t>
  </si>
  <si>
    <t>PROCEEDINGS OF THE 16TH ANNUAL ACM INDIA COMPUTE CONFERENCE, COMPUTE 2023</t>
  </si>
  <si>
    <t>16th Annual ACM India Compute Conference (COMPUTE)</t>
  </si>
  <si>
    <t>DEC 09-11, 2023</t>
  </si>
  <si>
    <t>Univ Hyderabad, Hyderabad, INDIA</t>
  </si>
  <si>
    <t>Indian Inst Technol Madras, BSc Degree,Virtual Labs,Persistent,NPTEL,ACM India I SIGCSE,ACM In Cooperat</t>
  </si>
  <si>
    <t>Univ Hyderabad</t>
  </si>
  <si>
    <t>Game-based Learning; Generative AI; Software Systems</t>
  </si>
  <si>
    <t>[Amresh, Ashish] No Arizona Univ, Flagstaff, AZ 86011 USA</t>
  </si>
  <si>
    <t>Northern Arizona University</t>
  </si>
  <si>
    <t>Amresh, A (corresponding author), No Arizona Univ, Flagstaff, AZ 86011 USA.</t>
  </si>
  <si>
    <t>ashish.amresh@nau.edu</t>
  </si>
  <si>
    <t>979-8-4007-0840-4</t>
  </si>
  <si>
    <t>10.1145/3627217.3631585</t>
  </si>
  <si>
    <t>Computer Science, Theory &amp; Methods; Education, Scientific Disciplines</t>
  </si>
  <si>
    <t>BW6LB</t>
  </si>
  <si>
    <t>WOS:001176678700003</t>
  </si>
  <si>
    <t>Gross, N</t>
  </si>
  <si>
    <t>Gross, Nicole</t>
  </si>
  <si>
    <t>What ChatGPT Tells Us about Gender: A Cautionary Tale about Performativity and Gender Biases in AI</t>
  </si>
  <si>
    <t>SOCIAL SCIENCES-BASEL</t>
  </si>
  <si>
    <t>gender; gender bias; ChatGPT; large language models; generative AI; performativity; ethical AI</t>
  </si>
  <si>
    <t>STEREOTYPES; GIRLS; PERFORMANCE</t>
  </si>
  <si>
    <t>Large language models and generative AI, such as ChatGPT, have gained influence over people's personal lives and work since their launch, and are expected to scale even further. While the promises of generative artificial intelligence are compelling, this technology harbors significant biases, including those related to gender. Gender biases create patterns of behavior and stereotypes that put women, men and gender-diverse people at a disadvantage. Gender inequalities and injustices affect society as a whole. As a social practice, gendering is achieved through the repeated citation of rituals, expectations and norms. Shared understandings are often captured in scripts, including those emerging in and from generative AI, which means that gendered views and gender biases get grafted back into social, political and economic life. This paper's central argument is that large language models work performatively, which means that they perpetuate and perhaps even amplify old and non-inclusive understandings of gender. Examples from ChatGPT are used here to illustrate some gender biases in AI. However, this paper also puts forward that AI can work to mitigate biases and act to 'undo gender'.</t>
  </si>
  <si>
    <t>[Gross, Nicole] Natl Coll Ireland, Sch Business, Dublin D01Y300, Ireland</t>
  </si>
  <si>
    <t>National College of Ireland</t>
  </si>
  <si>
    <t>Gross, N (corresponding author), Natl Coll Ireland, Sch Business, Dublin D01Y300, Ireland.</t>
  </si>
  <si>
    <t>nicole.gross@ncirl.ie</t>
  </si>
  <si>
    <t>Gross, Nicole/0000-0001-6047-7714</t>
  </si>
  <si>
    <t>2076-0760</t>
  </si>
  <si>
    <t>SOC SCI-BASEL</t>
  </si>
  <si>
    <t>Soc. Sci.-Basel</t>
  </si>
  <si>
    <t>10.3390/socsci12080435</t>
  </si>
  <si>
    <t>Q3DB9</t>
  </si>
  <si>
    <t>WOS:001056341800001</t>
  </si>
  <si>
    <t>Tang, AR; Li, KK; Kwok, KO; Cao, LJ; Luong, S; Tam, W</t>
  </si>
  <si>
    <t>Tang, Arthur; Li, Kin-Kit; Kwok, Kin On; Cao, Liujiao; Luong, Stanley; Tam, Wilson</t>
  </si>
  <si>
    <t>The importance of transparency: Declaring the use of generative artificial intelligence (AI) in academic writing</t>
  </si>
  <si>
    <t>JOURNAL OF NURSING SCHOLARSHIP</t>
  </si>
  <si>
    <t>REPORTING GUIDELINES; CHATGPT</t>
  </si>
  <si>
    <t>The integration of generative artificial intelligence (AI) into academic research writing has revolutionized the field, offering powerful tools like ChatGPT and Bard to aid researchers in content generation and idea enhancement. We explore the current state of transparency regarding generative AI use in nursing academic research journals, emphasizing the need for explicitly declaring the use of generative AI by authors in the manuscript. Out of 125 nursing studies journals, 37.6% required explicit statements about generative AI use in their authors' guidelines. No significant differences in impact factors or journal categories were found between journals with and without such requirement. A similar evaluation of medicine, general and internal journals showed a lower percentage (14.5%) including the information about generative AI usage. Declaring generative AI tool usage is crucial for maintaining the transparency and credibility in academic writing. Additionally, extending the requirement for AI usage declarations to journal reviewers can enhance the quality of peer review and combat predatory journals in the academic publishing landscape. Our study highlights the need for active participation from nursing researchers in discussions surrounding standardization of generative AI declaration in academic research writing.</t>
  </si>
  <si>
    <t>[Tang, Arthur; Luong, Stanley] RMIT Univ, Sch Sci Engn &amp; Technol, Ho Chi Minh City, Vietnam; [Li, Kin-Kit] City Univ Hong Kong, Dept Social &amp; Behav Sci, Hong Kong, Peoples R China; [Kwok, Kin On] Chinese Univ Hong Kong, JC Sch Publ Hlth &amp; Primary Care, Hong Kong, Peoples R China; [Kwok, Kin On] Chinese Univ Hong Kong, Stanley Ho Ctr Emerging Infect Dis, Hong Kong, Peoples R China; [Kwok, Kin On] Chinese Univ Hong Kong, Hong Kong Inst Asia Pacific Studies, Hong Kong, Peoples R China; [Kwok, Kin On] Imperial Coll London, Sch Publ Hlth, Dept Infect Dis Epidemiol, London, England; [Cao, Liujiao] Sichuan Univ, West China Hosp, West China Sch Nursing, Chengdu, Peoples R China; [Tam, Wilson] Natl Univ Singapore, Alice Lee Ctr Nursing Studies, Singapore, Singapore</t>
  </si>
  <si>
    <t>Royal Melbourne Institute of Technology (RMIT); City University of Hong Kong; Chinese University of Hong Kong; Chinese University of Hong Kong; Chinese University of Hong Kong; Imperial College London; Sichuan University; National University of Singapore</t>
  </si>
  <si>
    <t>Kwok, KO (corresponding author), Chinese Univ Hong Kong, JC Sch Publ Hlth &amp; Primary Care, Hong Kong, Peoples R China.</t>
  </si>
  <si>
    <t>kkokwok@cuhk.edu.hk</t>
  </si>
  <si>
    <t>Lin, Xiaoqi/KFS-5750-2024; Kwok, Kin On/A-5074-2018; Tam, Wilson/H-5890-2019</t>
  </si>
  <si>
    <t>Tam, Wilson/0000-0003-0641-3060; Cao, Liujiao/0009-0001-4928-277X</t>
  </si>
  <si>
    <t>WILEY</t>
  </si>
  <si>
    <t>HOBOKEN</t>
  </si>
  <si>
    <t>111 RIVER ST, HOBOKEN 07030-5774, NJ USA</t>
  </si>
  <si>
    <t>1527-6546</t>
  </si>
  <si>
    <t>1547-5069</t>
  </si>
  <si>
    <t>J NURS SCHOLARSHIP</t>
  </si>
  <si>
    <t>J. Nurs. Scholarsh.</t>
  </si>
  <si>
    <t>10.1111/jnu.12938</t>
  </si>
  <si>
    <t>Nursing</t>
  </si>
  <si>
    <t>JS9J1</t>
  </si>
  <si>
    <t>WOS:001099765700001</t>
  </si>
  <si>
    <t>Twomey, R</t>
  </si>
  <si>
    <t>Twomey, Robert</t>
  </si>
  <si>
    <t>Communing with Creative AI</t>
  </si>
  <si>
    <t>PROCEEDINGS OF THE ACM ON COMPUTER GRAPHICS AND INTERACTIVE TECHNIQUES</t>
  </si>
  <si>
    <t>surrealism; computational co-authorship; creative AI</t>
  </si>
  <si>
    <t>Drawing on historical and contemporary examples, this paper discusses relationships between humans and machines in creative co-production with generative AI. It distinguishes between generative systems as augmenting tools and autonomous collaborators, and adopts the term communion to describe the close degree of exchange that is possible when working with these systems. It draws on historical examples of surrealist and AI artworks, and more recent examples made with Large Language Models and GAN-based generation. It concludes with a discussion of the primacy of text as an entry point to the possibilities of creative AI.</t>
  </si>
  <si>
    <t>[Twomey, Robert] Univ Nebraska Lincoln, Johnny Carson Ctr Emerging Media Arts, Lincoln, NE 68588 USA</t>
  </si>
  <si>
    <t>University of Nebraska System; University of Nebraska Lincoln</t>
  </si>
  <si>
    <t>Twomey, R (corresponding author), Univ Nebraska Lincoln, Johnny Carson Ctr Emerging Media Arts, Lincoln, NE 68588 USA.</t>
  </si>
  <si>
    <t>rtwomey@unl.edu</t>
  </si>
  <si>
    <t>1601 Broadway, 10th Floor, NEW YORK, NY USA</t>
  </si>
  <si>
    <t>2577-6193</t>
  </si>
  <si>
    <t>P ACM COMPUT GRAPH</t>
  </si>
  <si>
    <t>P. ACM Comput. Graph. Interact. Tech.</t>
  </si>
  <si>
    <t>10.1145/3597633</t>
  </si>
  <si>
    <t>Q3DK5</t>
  </si>
  <si>
    <t>WOS:001056350400013</t>
  </si>
  <si>
    <t>Kahveci, ZU</t>
  </si>
  <si>
    <t>Kahveci, Zeynep Ulku</t>
  </si>
  <si>
    <t>Attribution problem of generative AI: a view from US copyright law</t>
  </si>
  <si>
    <t>JOURNAL OF INTELLECTUAL PROPERTY LAW &amp; PRACTICE</t>
  </si>
  <si>
    <t>PROPERTY</t>
  </si>
  <si>
    <t>center dot Three significant lawsuits concerning generative Artificial Intelligence (AI) were filed in the USA, starting the first wave of lawsuits against AI: (i) coders filed claims for the alleged use of their codes by OpenAI's CoPilot, (ii) visual artists filed claims against companies using Stable Diffusion and (iii) Getty Images filed claims against Stability AI, which uses Stable Diffusion. Following the lead of these lawsuits, copyright owners of literary works filed four other lawsuits against OpenAI, Meta and Alphabet (Google)'s large language models. All of these lawsuits are pending at the time of writing. center dot Among other things, plaintiffs filed claims challenging generative AI's lack of attribution to copyright owners of in-copyright works in its training data. As US copyright law does not protect moral rights strongly, a federal rule granting a right of attribution to all copyright owners does not exist. Yet, there are some provisions providing quasi-protection. Section 1202 of the Digital Millennium Copyright Act (DMCA) is one of them and protects copyright owners against removal/modification of the Copyright Management Information in connection with their works. center dot This article lays down the limitations of moral rights protection in the USA and demonstrates the difficulties faced by the plaintiffs of the pending lawsuits. The limitations of Section 1202 DMCA are explained to demonstrate its difference from a classic moral right of attribution. The outcomes of these lawsuits will be significant in building case law on generative AI for the first time in the USA. This article evaluates the benefits and disadvantages of courts' possible acceptance of plaintiffs' claims regarding attribution.</t>
  </si>
  <si>
    <t>[Kahveci, Zeynep Ulku] Harvard Law Sch, Cambridge, MA 02138 USA</t>
  </si>
  <si>
    <t>Kahveci, ZU (corresponding author), Harvard Law Sch, Cambridge, MA 02138 USA.</t>
  </si>
  <si>
    <t>zeynep.kahveci@bilgi.edu.tr</t>
  </si>
  <si>
    <t>OXFORD UNIV PRESS</t>
  </si>
  <si>
    <t>GREAT CLARENDON ST, OXFORD OX2 6DP, ENGLAND</t>
  </si>
  <si>
    <t>1747-1532</t>
  </si>
  <si>
    <t>1747-1540</t>
  </si>
  <si>
    <t>J INTELLET PROP LAW</t>
  </si>
  <si>
    <t>J. Intellect. Prop. Law Pract.</t>
  </si>
  <si>
    <t>10.1093/jiplp/jpad076</t>
  </si>
  <si>
    <t>AH4C7</t>
  </si>
  <si>
    <t>WOS:001067646900001</t>
  </si>
  <si>
    <t>Newstead, T; Eager, B; Wilson, S</t>
  </si>
  <si>
    <t>Newstead, Toby; Eager, Bronwyn; Wilson, Suze</t>
  </si>
  <si>
    <t>How AI can perpetuate - Or help mitigate - Gender bias in leadership</t>
  </si>
  <si>
    <t>ORGANIZATIONAL DYNAMICS</t>
  </si>
  <si>
    <t>Artificial intelligence; Generative AI; Leadership; Gender bias; Women 's leadership</t>
  </si>
  <si>
    <t>Generative AI tools have been adopted faster than any other technology in history. AI tools including both chatbots (e.g. ChatGPT, Bard) and long-form AI writers (e.g. Wordplay.ai, Jasper.ai) pose substantial efficiency gains for text-reliant industries, such as leadership development. However, our research shows that AI generated content can contain and perpetuate harmful leadership-related gender biases. In this article, we share evidence of how AI generated content can perpetuate gender biases in leadership development. We also offer practical strategies managers can implement to capitalize on the potential of AI in pursuit of greater gender equity in leadership. (c) 2023 The Author(s). Published by Elsevier Inc.</t>
  </si>
  <si>
    <t>[Newstead, Toby] Univ Tasmania, Tasmanian Sch Business &amp; Econ, Locked Bag 1317, Launceston, Tas 7250, Australia; [Eager, Bronwyn] Univ Tasmania, Tasmanian Sch Business &amp; Econ, Launceston, Australia; [Wilson, Suze] Massey Univ, Sch Management, Aotearoa, New Zealand</t>
  </si>
  <si>
    <t>University of Tasmania; University of Tasmania; Massey University</t>
  </si>
  <si>
    <t>Newstead, T (corresponding author), Univ Tasmania, Tasmanian Sch Business &amp; Econ, Locked Bag 1317, Launceston, Tas 7250, Australia.</t>
  </si>
  <si>
    <t>Toby.Newstead@utas.edu.au</t>
  </si>
  <si>
    <t>Eager, Bronwyn/D-8411-2018</t>
  </si>
  <si>
    <t>Newstead, Toby/0000-0003-4678-7593</t>
  </si>
  <si>
    <t>0090-2616</t>
  </si>
  <si>
    <t>1873-3530</t>
  </si>
  <si>
    <t>ORGAN DYN</t>
  </si>
  <si>
    <t>Organ. Dyn.</t>
  </si>
  <si>
    <t>OCT-NOV</t>
  </si>
  <si>
    <t>10.1016/j.orgdyn.2023.100998</t>
  </si>
  <si>
    <t>Business; Psychology, Applied; Management</t>
  </si>
  <si>
    <t>CM4Q0</t>
  </si>
  <si>
    <t>WOS:001125658100001</t>
  </si>
  <si>
    <t>Ferrari, F</t>
  </si>
  <si>
    <t>Ferrari, Fabian</t>
  </si>
  <si>
    <t>State roles in platform governance: AI's regulatory geographies</t>
  </si>
  <si>
    <t>COMPETITION &amp; CHANGE</t>
  </si>
  <si>
    <t>Platform governance; generative AI; AI governance; digital markets; European Union; state roles</t>
  </si>
  <si>
    <t>Platform governance scholarship commonly derives the role of the state from its actions as a regulator of platforms: a rule-setter that sets limits and restricts their activities. This article argues that three additional state roles enable and constrain the agency of states to regulate platforms: facilitator, buyer, and producer. Using the EU's Artificial Intelligence Act as a case study, the article asks: How do different state roles in platform governance shape AI's regulatory geographies? It answers this research question by outlining two policy dilemmas between those four state roles. First, the EU's ambition to act as a facilitator of digital markets constrains its scope of interventions as a regulator of platforms. Second, the EU's deficits in acting as a producer of AI infrastructure exacerbate its dependency as a buyer of Big Tech offerings, especially cloud computing services. The article contends that dilemmas between state roles are not anomalies but defining features of state-platform relations. As generative AI systems gain sophistication, an understanding of how state roles relate to each other helps to navigate their complex governance regimes.</t>
  </si>
  <si>
    <t>[Ferrari, Fabian] Univ Utrecht, Dept Media &amp; Culture Studies, Utrecht, Netherlands; [Ferrari, Fabian] Univ Utrecht, Achter Dom 20, NL-3512 JP Utrecht, Netherlands</t>
  </si>
  <si>
    <t>Ferrari, F (corresponding author), Univ Utrecht, Achter Dom 20, NL-3512 JP Utrecht, Netherlands.</t>
  </si>
  <si>
    <t>Ferrari, Fabian/0000-0003-0637-0232</t>
  </si>
  <si>
    <t>Economic and Social Research Council; Public Service Media'</t>
  </si>
  <si>
    <t>Economic and Social Research Council(UK Research &amp; Innovation (UKRI)Economic &amp; Social Research Council (ESRC)); Public Service Media'</t>
  </si>
  <si>
    <t>An earlier version of this article was presented at the 2023 conference of the International Communication Association (ICA) in a session on 'Platforms, the State, and Public Service Media'. Thanks to Christine Larson for chairing the session and to its participants for their helpful questions. The author would also like to thank Mark Graham, Derek McCormack, Jonathan Gray, Jean-Christophe Plantin, and the two anonymous reviewers for their generous feedback.</t>
  </si>
  <si>
    <t>1024-5294</t>
  </si>
  <si>
    <t>1477-2221</t>
  </si>
  <si>
    <t>COMPET CHANG</t>
  </si>
  <si>
    <t>Compet. Chang.</t>
  </si>
  <si>
    <t>2023 NOV 23</t>
  </si>
  <si>
    <t>10.1177/10245294231218335</t>
  </si>
  <si>
    <t>Business; Economics; Geography</t>
  </si>
  <si>
    <t>Business &amp; Economics; Geography</t>
  </si>
  <si>
    <t>Y8OB1</t>
  </si>
  <si>
    <t>WOS:001107787900001</t>
  </si>
  <si>
    <t>Chen, HY</t>
  </si>
  <si>
    <t>Chen, Huan-Yuan</t>
  </si>
  <si>
    <t>Generative AI Frameworks for Web for Good: Food Pantry Information Seeking as An Example</t>
  </si>
  <si>
    <t>2023 IEEE INTERNATIONAL CONFERENCE ON WEB INTELLIGENCE AND INTELLIGENT AGENT TECHNOLOGY, WI-IAT</t>
  </si>
  <si>
    <t>22nd IEEE/WIC International Conference on Web Intelligence and Intelligent Agent Technology (WI-IAT)</t>
  </si>
  <si>
    <t>OCT 26-29, 2023</t>
  </si>
  <si>
    <t>Venice, ITALY</t>
  </si>
  <si>
    <t>Inst Elect &amp; Elect Engineers,IEEE Comp Soc,Web Intelligence Consortium,Ca Foscari Univ Venice,IOS Press</t>
  </si>
  <si>
    <t>generative framework; information seeking; large language model; web for good</t>
  </si>
  <si>
    <t>INSECURITY</t>
  </si>
  <si>
    <t>This paper introduces two generative AI frameworks, ISum and IConvo, for information seeking on the web. ISum, an intent-based web page summarizer, consists of five major components, including website selection, web page selection, web page segmentation, chunk selection and summary generation. Its application to social good on food pantry is demonstrated. Structure-aware segmentation identifies chunks based on HTML structure to preserve semantics. Chunk classification selects those chunks relevant to a specific intent for the later summary generation by InstructGPT. Besides ISum, this paper also presents a conversational agent IConvo. IConvo accepts user's question and reports the answer if the question is answerable based on the current context. If it is unanswerable, follow-up questions will be generated to acquire more information from information source including human and the web. The conversation is iterated and context is updated until information is sought.</t>
  </si>
  <si>
    <t>[Chen, Huan-Yuan] Univ Massachusetts, Coll Informat &amp; Comp Sci, Amherst, MA 01003 USA</t>
  </si>
  <si>
    <t>University of Massachusetts System; University of Massachusetts Amherst</t>
  </si>
  <si>
    <t>Chen, HY (corresponding author), Univ Massachusetts, Coll Informat &amp; Comp Sci, Amherst, MA 01003 USA.</t>
  </si>
  <si>
    <t>huanyuanchen@umass.edu</t>
  </si>
  <si>
    <t>979-8-3503-0918-8</t>
  </si>
  <si>
    <t>10.1109/WI-IAT59888.2023.00057</t>
  </si>
  <si>
    <t>Computer Science, Artificial Intelligence; Computer Science, Software Engineering</t>
  </si>
  <si>
    <t>BW3LB</t>
  </si>
  <si>
    <t>WOS:001139644800050</t>
  </si>
  <si>
    <t>Baek, TH; Kim, M</t>
  </si>
  <si>
    <t>Baek, Tae Hyun; Kim, Minseong</t>
  </si>
  <si>
    <t>Is ChatGPT scary good? How user motivations affect creepiness and trust in generative artificial intelligence</t>
  </si>
  <si>
    <t>TELEMATICS AND INFORMATICS</t>
  </si>
  <si>
    <t>Generative artificial intelligence (AI); Uses and gratifications theory; Creepiness; Trust; Continuance intention</t>
  </si>
  <si>
    <t>SOCIAL MEDIA; GRATIFICATIONS; SITES; INFORMATION; TECHNOLOGY; AVOIDANCE; FACEBOOK; QUALITY; MODEL; USAGE</t>
  </si>
  <si>
    <t>Few studies have examined user motivations to use generative artificial intelligence (AI). This research aims to address this gap by examining how user motivations for ChatGPT usage affect perceived creepiness, trust, and the intention to continue using AI chatbot technology. The findings of an online survey (N = 421) reveal a negative relationship between personalization and creepiness, while task efficiency and social interaction are positively associated with creepiness. Increased levels of creepiness, in turn, result in decreased continuance intention. Furthermore, task efficiency and personalization have a positive impact on trust, leading to increased continuance intention. The results contribute to the field of human-computer interaction by investigating the motivations for utilizing generative AI chatbots and advancing our comprehension of AI creepiness, trust, and continuance intention. The practical ramifications of this research can inform the design of user interfaces and the development of features for generative AI chatbots.</t>
  </si>
  <si>
    <t>[Baek, Tae Hyun] Sungkyunkwan Univ, Dept Media &amp; Commun, Seoul 03063, South Korea; [Kim, Minseong] Louisiana State Univ Shreveport, Coll Business, Dept Management &amp; Mkt, Shreveport, LA 71115 USA</t>
  </si>
  <si>
    <t>Sungkyunkwan University (SKKU); Louisiana State University System; Louisiana State University Shreveport</t>
  </si>
  <si>
    <t>Kim, M (corresponding author), Louisiana State Univ Shreveport, Coll Business, Dept Management &amp; Mkt, Shreveport, LA 71115 USA.</t>
  </si>
  <si>
    <t>tbaek@skku.edu; minseong.kim@lsus.edu</t>
  </si>
  <si>
    <t>Baek, Tae Hyun/0000-0003-2000-698X</t>
  </si>
  <si>
    <t>0736-5853</t>
  </si>
  <si>
    <t>TELEMAT INFORM</t>
  </si>
  <si>
    <t>Telemat. Inform.</t>
  </si>
  <si>
    <t>10.1016/j.tele.2023.102030</t>
  </si>
  <si>
    <t>P8GT0</t>
  </si>
  <si>
    <t>WOS:001053007200001</t>
  </si>
  <si>
    <t>Petrovska, O; Clift, L; Moller, F</t>
  </si>
  <si>
    <t>Petrovska, Olga; Clift, Lee; Moller, Faron</t>
  </si>
  <si>
    <t>Generative AI in Software Development Education: Insights from a Degree Apprenticeship Programme</t>
  </si>
  <si>
    <t>PROCEEDINGS OF THE 2023 CONFERENCE ON UNITED KINGDOM &amp; IRELAND COMPUTING EDUCATION RESEARCH, UKICER 2023</t>
  </si>
  <si>
    <t>5th Conference on United Kingdom and Ireland Computing Education Research (UKICER)</t>
  </si>
  <si>
    <t>SEP 07-08, 2023</t>
  </si>
  <si>
    <t>Technocamps, Swansea, WALES</t>
  </si>
  <si>
    <t>Assoc Comp Machinery,ACM UK SIGCSE,Swansea Univ, STEM Educ Outreach Programme</t>
  </si>
  <si>
    <t>Technocamps</t>
  </si>
  <si>
    <t>Generative AI; Software Engineering; Education; Apprenticeships</t>
  </si>
  <si>
    <t>[Petrovska, Olga; Clift, Lee; Moller, Faron] Swansea Univ, Swansea, W Glam, Wales</t>
  </si>
  <si>
    <t>Swansea University</t>
  </si>
  <si>
    <t>Petrovska, O (corresponding author), Swansea Univ, Swansea, W Glam, Wales.</t>
  </si>
  <si>
    <t>olga.petrovska@swansea.ac.uk; l.a.clift@swansea.ac.uk; f.g.moller@swansea.ac.uk</t>
  </si>
  <si>
    <t>979-8-4007-0876-3</t>
  </si>
  <si>
    <t>10.1145/3610969.3611132</t>
  </si>
  <si>
    <t>Education, Scientific Disciplines</t>
  </si>
  <si>
    <t>BW4GG</t>
  </si>
  <si>
    <t>WOS:001147623400019</t>
  </si>
  <si>
    <t>Hoggenmueller, M; Lupetti, ML; Van der Maden, W; Grace, K</t>
  </si>
  <si>
    <t>Hoggenmueller, Marius; Lupetti, Maria. Luce; Van der Maden, Willem; Grace, Kazjon</t>
  </si>
  <si>
    <t>Creative AI for HRI Design Explorations</t>
  </si>
  <si>
    <t>COMPANION OF THE ACM/IEEE INTERNATIONAL CONFERENCE ON HUMAN-ROBOT INTERACTION, HRI 2023</t>
  </si>
  <si>
    <t>18th Annual ACM/IEEE International Conference on Human-Robot Interaction (HRI)</t>
  </si>
  <si>
    <t>MAR 13-16, 2023</t>
  </si>
  <si>
    <t>Stockholm, SWEDEN</t>
  </si>
  <si>
    <t>IEEE,Assoc Comp Machinery,Honda Res Inst Japan,Toyota Res Inst,Amazon,Furhat Robot,LuxAI,Diligent Robot,Navel Robot,Google,PAL Robot,Sci Robot,IEEE Robot &amp; Automat Soc,SIGCHI,ACM SIGCAI</t>
  </si>
  <si>
    <t>human-robot interaction; creative AI; generative AI; text-to-image models; ideation; sociotechnical imaginaries; design research</t>
  </si>
  <si>
    <t>TECHNOLOGY; FIXATION; ROBOTS</t>
  </si>
  <si>
    <t>Design fixation, a phenomenon describing designers' adherence to pre-existing ideas or concepts that constrain design outcomes, is particularly prevalent in human-robot interaction (HRI), for example, due to collectively held and stabilised imaginations of what a robot should look like or behave. In this paper, we explore the contribution of creative AI tools to overcome design fixation and enhance creative processes in HRI design. In a four weeks long design exploration, we used generative text-to-image models to ideate and visualise robotic artefacts and robot sociotechnical imaginaries. We exchanged results along with reflections through a digital postcard format. We demonstrate the usefulness of our approach to imagining novel robot concepts, surfacing existing assumptions and robot stereotypes, and situating robotic artefacts in context. We discuss the contribution to designerly HRI practices and conclude with lessons learnt for using creative AI tools as an emerging design practice in HRI research and beyond.</t>
  </si>
  <si>
    <t>[Hoggenmueller, Marius; Grace, Kazjon] Univ Sydney, Sydney Sch Architecture Design &amp; Planning, Sydney, NSW, Australia; [Lupetti, Maria. Luce; Van der Maden, Willem] Delft Univ Technol Delft, Fac Ind Design Engn, Delft, Netherlands</t>
  </si>
  <si>
    <t>University of Sydney; Delft University of Technology</t>
  </si>
  <si>
    <t>Hoggenmueller, M (corresponding author), Univ Sydney, Sydney Sch Architecture Design &amp; Planning, Sydney, NSW, Australia.</t>
  </si>
  <si>
    <t>inarius.hoggeninueller@sydney.edu.au; m.l.lupetti@tudelft.nl; w.l.a.vandermaden@tudelft.nl; kazjon.grace@sydney.edu.au</t>
  </si>
  <si>
    <t>van der Maden, Willem/JPX-2777-2023; Lupetti, Maria Luce/GPS-9270-2022</t>
  </si>
  <si>
    <t>van der Maden, Willem/0000-0003-0245-1633; Hoggenmueller, Marius/0000-0002-8893-5729; Lupetti, Maria Luce/0000-0002-2425-8984</t>
  </si>
  <si>
    <t>978-1-4503-9970-8</t>
  </si>
  <si>
    <t>10.1145/3568294.3580035</t>
  </si>
  <si>
    <t>Computer Science, Artificial Intelligence; Robotics; Social Issues; Social Sciences, Interdisciplinary</t>
  </si>
  <si>
    <t>Computer Science; Robotics; Social Issues; Social Sciences - Other Topics</t>
  </si>
  <si>
    <t>BV6BJ</t>
  </si>
  <si>
    <t>Green Published</t>
  </si>
  <si>
    <t>WOS:001054975700005</t>
  </si>
  <si>
    <t>Moorhouse, BL; Yeo, MA; Wan, YW</t>
  </si>
  <si>
    <t>Moorhouse, Benjamin Luke; Yeo, Marie Alina; Wan, Yuwei</t>
  </si>
  <si>
    <t>Generative AI tools and assessment: Guidelines of the world's top-ranking universities</t>
  </si>
  <si>
    <t>COMPUTERS AND EDUCATION OPEN</t>
  </si>
  <si>
    <t>Generative artificial intelligence; Assessment guidelines; Higher education; ChatGPT; Academic integrity</t>
  </si>
  <si>
    <t>The public release of generative artificial intelligence (GAI) tools (e.g., ChatGPT) has had a disruptive effect on the assessment practices of higher education institutions (HEIs) worldwide. Concerns have largely been associated with academic integrity, cheating and plagiarism. HEIs have had to develop guidelines in response to GAI. As many of these guidelines were developed in haste and could affect a large number of instructors and students, there is a need to examine their content, coverage and suitability. This review examines the extent to which the world's 50 top-ranking HEIs have developed or modified their assessment guidelines to address GAI use and, where guidelines exist, the primary content and advice given to guide instructors in their GAI assessment design and practices. The findings show that just under half of the institutions have developed publicly available guidelines. The guidelines cover three main areas: academic integrity, advice on assessment design and communicating with students. Amongst the suggestions for teachers on assessment design, two appear particularly pertinent in helping develop effective assessment tasks and developing learners' AI literacy: first, running assessment tasks through GAI to check the extent to which the tool can accomplish the task and, second, having students use GAI as part of the assessment process. Overall, the review suggests that HEIs have come to accept the use of GAI and drafted assessment guidelines to advise instructors on its use. In the article, we argue that it may be beneficial to embrace GAI as a part of the assessment process since this is the reality of today's educational and job landscape. This will require instructors to develop a new competence - generative artificial intelligence assessment literacy - which is conceptualised in this article.</t>
  </si>
  <si>
    <t>[Moorhouse, Benjamin Luke; Wan, Yuwei] Hong Kong Baptist Univ, Dept Educ Studies, Hong Kong, Peoples R China; [Yeo, Marie Alina] SEAMEO RELC, Singapore, Singapore</t>
  </si>
  <si>
    <t>Hong Kong Baptist University</t>
  </si>
  <si>
    <t>Moorhouse, BL (corresponding author), Hong Kong Baptist Univ, Dept Educ Studies, Hong Kong, Peoples R China.</t>
  </si>
  <si>
    <t>blmoorhouse@hkbu.edu.hk</t>
  </si>
  <si>
    <t>Moorhouse, Benjamin Luke/0000-0002-3913-5194</t>
  </si>
  <si>
    <t>2666-5573</t>
  </si>
  <si>
    <t>COMPUT EDUC OPEN</t>
  </si>
  <si>
    <t>Computer Educ. Open</t>
  </si>
  <si>
    <t>10.1016/j.caeo.2023.100151</t>
  </si>
  <si>
    <t>Y1FK2</t>
  </si>
  <si>
    <t>WOS:001102793000001</t>
  </si>
  <si>
    <t>Affsprung, D</t>
  </si>
  <si>
    <t>Affsprung, Daniel</t>
  </si>
  <si>
    <t>The ELIZA Defect Constructing the Right Users for Generative AI</t>
  </si>
  <si>
    <t>science and technology studies; generative AI; public understanding of science; expertise; chatbots</t>
  </si>
  <si>
    <t>[Affsprung, Daniel] Arizona State Univ, Tempe, AZ 85287 USA</t>
  </si>
  <si>
    <t>Arizona State University; Arizona State University-Tempe</t>
  </si>
  <si>
    <t>Affsprung, D (corresponding author), Arizona State Univ, Tempe, AZ 85287 USA.</t>
  </si>
  <si>
    <t>daffspru@asu.edu</t>
  </si>
  <si>
    <t>Templeton Religion Trust [TRT0204R]</t>
  </si>
  <si>
    <t>Templeton Religion Trust</t>
  </si>
  <si>
    <t>This publication was made possible through the support of a grant from Templeton Religion Trust. The opinions expressed in this publication are those of the author(s) and do not necessarily reflect the views of Templeton Religion Trust.; Grant no: TRT0204R.</t>
  </si>
  <si>
    <t>10.1145/3600211.3604744</t>
  </si>
  <si>
    <t>WOS:001117838100074</t>
  </si>
  <si>
    <t>Wamba, SF; Queiroz, MM; Jabbour, CJC; Shi, CM</t>
  </si>
  <si>
    <t>Wamba, Samuel Fosso; Queiroz, Maciel M.; Jabbour, Charbel Jose Chiappetta; Shi, Chunming (Victor)</t>
  </si>
  <si>
    <t>Are both generative AI and ChatGPT game changers for 21st-Century operations and supply chain excellence?</t>
  </si>
  <si>
    <t>INTERNATIONAL JOURNAL OF PRODUCTION ECONOMICS</t>
  </si>
  <si>
    <t>ChatGPT; Generative artificial intelligence; Operations and supply chain management; Disruptive technology; Emerging technologies; Organizational learning</t>
  </si>
  <si>
    <t>The remarkable growth of ChatGPT, a Generative Artificial Intelligence (Gen-AI), has triggered a significant debate in society. It has the potential to radically transform the business landscape, with consequences for operations and supply chain management (O &amp; SCM). However, empirical evidence on Gen-AI's effects in O &amp; SCM remains limited. This study investigates the benefits, challenges, and trends associated with Gen-AI/ChatGPT in O &amp; SCM. We collected data from O &amp; SCM practitioners in the UK (N = 154) and the USA (N = 161). As we used the organizational learning theory for the research, our findings reveal increased efficiency as a significant benefit for both adopters and non-adopters in both countries, while indicating security, risks, and ethical as prominent concerns. In particular, it appeared that the integration of Gen-AI/ChatGPT leads to the enhancement of the overall supply chain performance. Moreover, organizational learning can speed up the results of Gen-AI/ ChatGPT in O &amp; SCM. No wonders that adopters express their satisfaction about the post-implementation benefits of the technology, which include reduced perceived challenges for pre-implementation, and greater optimism about future Gen-AI/ChatGPT utilization compared to non-adopters. Adopters also display diverse behavioral patterns toward efficiency, agility, responsiveness, etc. This study provides valuable insights for scholars, practitioners, and policymakers interested in comprehending Gen-AI/ChatGPT's implications in O &amp; SCM for both adopters and non-adopters. Additionally, it underscores the importance of organizational learning processes in facilitating successful Gen-AI/ChatGPT adoption in O &amp; SCM.</t>
  </si>
  <si>
    <t>[Wamba, Samuel Fosso] TBS Business Sch, 1 Pl Alphonse Jourdain, F-31068 Toulouse, France; [Queiroz, Maciel M.] FGV EAESP, R Itapeva 474, Sao Paulo, Brazil; [Jabbour, Charbel Jose Chiappetta] NEOMA Business Sch, 1 Rue Marechal Juin, F-76130 Mont St Aignan, France; [Shi, Chunming (Victor)] Wilfrid Laurier Univ, Lazaridis Sch Business &amp; Econ, Waterloo, ON N2L 3C5, Canada</t>
  </si>
  <si>
    <t>Getulio Vargas Foundation; NEOMA Business School; Wilfrid Laurier University</t>
  </si>
  <si>
    <t>Queiroz, MM (corresponding author), FGV EAESP, R Itapeva 474, Sao Paulo, Brazil.</t>
  </si>
  <si>
    <t>s.fosso-wamba@tbs-education.fr; maciel.queiroz@fgv.br; c-j.chiappetta-jabbour@neoma-bs.fr; cshi@wlu.ca</t>
  </si>
  <si>
    <t>Fosso Wamba, Samuel/AAB-4953-2019; CHIAPPETTA JABBOUR, Charbel Jose/F-3505-2010; M. Queiroz, Maciel/F-1274-2014</t>
  </si>
  <si>
    <t>Fosso Wamba, Samuel/0000-0002-1073-058X; CHIAPPETTA JABBOUR, Charbel Jose/0000-0002-6143-4924; M. Queiroz, Maciel/0000-0002-6025-9191</t>
  </si>
  <si>
    <t>0925-5273</t>
  </si>
  <si>
    <t>1873-7579</t>
  </si>
  <si>
    <t>INT J PROD ECON</t>
  </si>
  <si>
    <t>Int. J. Prod. Econ.</t>
  </si>
  <si>
    <t>10.1016/j.ijpe.2023.109015</t>
  </si>
  <si>
    <t>Engineering, Industrial; Engineering, Manufacturing; Operations Research &amp; Management Science</t>
  </si>
  <si>
    <t>Engineering; Operations Research &amp; Management Science</t>
  </si>
  <si>
    <t>S2XQ5</t>
  </si>
  <si>
    <t>WOS:001069856000001</t>
  </si>
  <si>
    <t>Wang, YT; Pan, YH; Yan, M; Su, Z; Luan, TH</t>
  </si>
  <si>
    <t>Wang, Yuntao; Pan, Yanghe; Yan, Miao; Su, Zhou; Luan, Tom H.</t>
  </si>
  <si>
    <t>A Survey on ChatGPT: AI-Generated Contents, Challenges, and Solutions</t>
  </si>
  <si>
    <t>IEEE OPEN JOURNAL OF THE COMPUTER SOCIETY</t>
  </si>
  <si>
    <t>AIGC; generative AI; ChatGPT; security; and privacy</t>
  </si>
  <si>
    <t>WATERMARKING; NETWORKS; SECURE</t>
  </si>
  <si>
    <t>With the widespread use of large artificial intelligence (AI) models such as ChatGPT, AI-generated content (AIGC) has garnered increasing attention and is leading a paradigm shift in content creation and knowledge representation. AIGC uses generative large AI algorithms to assist or replace humans in creating massive, high-quality, and human-like content at a faster pace and lower cost, based on user-provided prompts. Despite the recent significant progress in AIGC, security, privacy, ethical, and legal challenges still need to be addressed. This paper presents an in-depth survey of working principles, security and privacy threats, state-of-the-art solutions, and future challenges of the AIGC paradigm. Specifically, we first explore the enabling technologies, general architecture of AIGC, and discuss its working modes and key characteristics. Then, we investigate the taxonomy of security and privacy threats to AIGC and highlight the ethical and societal implications of GPT and AIGC technologies. Furthermore, we review the state-of-the-art AIGC watermarking approaches for regulatable AIGC paradigms regarding the AIGC model and its produced content. Finally, we identify future challenges and open research directions related to AIGC.</t>
  </si>
  <si>
    <t>[Wang, Yuntao; Pan, Yanghe; Yan, Miao; Su, Zhou; Luan, Tom H.] Wuhan Univ, Sch Cyber Sci Engn, Xian 710049, Peoples R China</t>
  </si>
  <si>
    <t>Wuhan University</t>
  </si>
  <si>
    <t>Su, Z (corresponding author), Wuhan Univ, Sch Cyber Sci Engn, Xian 710049, Peoples R China.</t>
  </si>
  <si>
    <t>wyt2426697973@163.com; pyh1998@stu.xjtu.edu.cn; erin.yank@stu.xjtu.edu.cn; zhousu@ieee.org; tom.luan@xidian.edu.cn</t>
  </si>
  <si>
    <t>Pan, Yanghe/JNE-7530-2023; Luan, Tom H./HLG-0711-2023</t>
  </si>
  <si>
    <t>wang, yuntao/0000-0003-3810-7076</t>
  </si>
  <si>
    <t>National Natural Science Foundation of China</t>
  </si>
  <si>
    <t>National Natural Science Foundation of China(National Natural Science Foundation of China (NSFC))</t>
  </si>
  <si>
    <t>No Statement Available</t>
  </si>
  <si>
    <t>2644-1268</t>
  </si>
  <si>
    <t>IEEE OPEN J COMP SOC</t>
  </si>
  <si>
    <t>IEEE Open J. Comput. Soc.</t>
  </si>
  <si>
    <t>10.1109/OJCS.2023.3300321</t>
  </si>
  <si>
    <t>Computer Science, Hardware &amp; Architecture; Computer Science, Information Systems; Computer Science, Interdisciplinary Applications; Computer Science, Theory &amp; Methods; Engineering, Electrical &amp; Electronic</t>
  </si>
  <si>
    <t>AZ7W8</t>
  </si>
  <si>
    <t>WOS:001122343200001</t>
  </si>
  <si>
    <t>Pellas, N</t>
  </si>
  <si>
    <t>Pellas, Nikolaos</t>
  </si>
  <si>
    <t>The Effects of Generative AI Platforms on Undergraduates' Narrative Intelligence and Writing Self-Efficacy</t>
  </si>
  <si>
    <t>artificial intelligence; digital platforms; narrative intelligence; writing self-efficacy; storytelling</t>
  </si>
  <si>
    <t>Digital storytelling and generative artificial intelligence (AI) platforms have emerged as transformative tools that empower individuals to write with confidence and share their stories effectively. However, a research gap exists in understanding the effects of using such web-based platforms on narrative intelligence and writing self-efficacy. This study aims to investigate whether digital story creation tasks on web-based platforms can influence the narrative intelligence and writing self-efficacy of undergraduate students. A pretest-posttest comparison study between two groups was conducted with sixty-four undergraduate students (n = 64), majoring in Primary Education. More specifically, it compares the effects of the most well-known conventional platforms, such as Storybird, Storyjumper, and ZooBurst (control condition), and generative AI platforms, such as Sudowrite, Jasper, and Shortly AI (experimental condition) on undergraduate students, with an equal distribution in each group. The findings indicate that the utilization of generative AI platforms in the context of story creation tasks can substantially enhance both narrative intelligence scores and writing self-efficacy when compared to conventional platforms. Nonetheless, there was no significant difference in the creative identity factor. Generative AI platforms have promising implications for supporting undergraduates' narrative intelligence and writing self-efficacy in fostering their story creation design and development.</t>
  </si>
  <si>
    <t>[Pellas, Nikolaos] Univ Western Macedonia, Dept Primary Educ, Florina 53100, Greece</t>
  </si>
  <si>
    <t>University of Western Macedonia</t>
  </si>
  <si>
    <t>Pellas, N (corresponding author), Univ Western Macedonia, Dept Primary Educ, Florina 53100, Greece.</t>
  </si>
  <si>
    <t>aff00192@uowm.gr</t>
  </si>
  <si>
    <t>Pellas, Nikolaos/S-8996-2016</t>
  </si>
  <si>
    <t>Pellas, Nikolaos/0000-0002-3071-6275</t>
  </si>
  <si>
    <t>10.3390/educsci13111155</t>
  </si>
  <si>
    <t>AK4S8</t>
  </si>
  <si>
    <t>WOS:001118353400001</t>
  </si>
  <si>
    <t>Lim, B; Seth, I; Kah, S; Sofiadellis, F; Ross, RJ; Rozen, WM; Cuomo, R</t>
  </si>
  <si>
    <t>Lim, Bryan; Seth, Ishith; Kah, Skyler; Sofiadellis, Foti; Ross, Richard J.; Rozen, Warren M.; Cuomo, Roberto</t>
  </si>
  <si>
    <t>Using Generative Artificial Intelligence Tools in Cosmetic Surgery: A Study on Rhinoplasty, Facelifts, and Blepharoplasty Procedures</t>
  </si>
  <si>
    <t>JOURNAL OF CLINICAL MEDICINE</t>
  </si>
  <si>
    <t>AI; Generative Adversarial Networks; cosmetic surgery; rhinoplasty; facelifts; blepharoplasty</t>
  </si>
  <si>
    <t>ATTRACTIVENESS</t>
  </si>
  <si>
    <t>Artificial intelligence (AI), notably Generative Adversarial Networks, has the potential to transform medical and patient education. Leveraging GANs in medical fields, especially cosmetic surgery, provides a plethora of benefits, including upholding patient confidentiality, ensuring broad exposure to diverse patient scenarios, and democratizing medical education. This study investigated the capacity of AI models, DALL-E 2, Midjourney, and Blue Willow, to generate realistic images pertinent to cosmetic surgery. We combined the generative powers of ChatGPT-4 and Google's BARD with these GANs to produce images of various noses, faces, and eyelids. Four board-certified plastic surgeons evaluated the generated images, eliminating the need for real patient photographs. Notably, generated images predominantly showcased female faces with lighter skin tones, lacking representation of males, older women, and those with a body mass index above 20. The integration of AI in cosmetic surgery offers enhanced patient education and training but demands careful and ethical incorporation to ensure comprehensive representation and uphold medical standards.</t>
  </si>
  <si>
    <t>[Lim, Bryan; Seth, Ishith; Kah, Skyler; Sofiadellis, Foti; Ross, Richard J.; Rozen, Warren M.] Peninsula Hlth, Dept Plast &amp; Reconstruct Surg, Frankston, Vic 3199, Australia; [Lim, Bryan; Seth, Ishith; Rozen, Warren M.] Monash Univ, Fac Med, Cent Clin Sch, Melbourne, Vic 3004, Australia; [Cuomo, Roberto] Univ Siena, Dept Med Surg &amp; Neurosci, Plast Surg Unit, I-53100 Siena, Italy</t>
  </si>
  <si>
    <t>Monash University; University of Siena</t>
  </si>
  <si>
    <t>Seth, I (corresponding author), Peninsula Hlth, Dept Plast &amp; Reconstruct Surg, Frankston, Vic 3199, Australia.;Seth, I (corresponding author), Monash Univ, Fac Med, Cent Clin Sch, Melbourne, Vic 3004, Australia.</t>
  </si>
  <si>
    <t>ishithseth1@gmail.com</t>
  </si>
  <si>
    <t>Cuomo, Roberto/AFI-8757-2022; Seth, Ishith/IXX-0725-2023</t>
  </si>
  <si>
    <t>Cuomo, Roberto/0000-0002-8396-095X; Seth, Ishith/0000-0001-5444-8925; Rozen, Warren Matthew/0000-0002-4092-182X</t>
  </si>
  <si>
    <t>2077-0383</t>
  </si>
  <si>
    <t>J CLIN MED</t>
  </si>
  <si>
    <t>J. Clin. Med.</t>
  </si>
  <si>
    <t>10.3390/jcm12206524</t>
  </si>
  <si>
    <t>Medicine, General &amp; Internal</t>
  </si>
  <si>
    <t>General &amp; Internal Medicine</t>
  </si>
  <si>
    <t>X0HA4</t>
  </si>
  <si>
    <t>WOS:001095336300001</t>
  </si>
  <si>
    <t>Korzynski, P; Mazurek, G; Altmann, A; Ejdys, J; Kazlauskaite, R; Paliszkiewicz, J; Wach, K; Ziemba, E</t>
  </si>
  <si>
    <t>Korzynski, Pawel; Mazurek, Grzegorz; Altmann, Andreas; Ejdys, Joanna; Kazlauskaite, Ruta; Paliszkiewicz, Joanna; Wach, Krzysztof; Ziemba, Ewa</t>
  </si>
  <si>
    <t>Generative artificial intelligence as a new context for management theories: analysis of ChatGPT</t>
  </si>
  <si>
    <t>CENTRAL EUROPEAN MANAGEMENT JOURNAL</t>
  </si>
  <si>
    <t>Generative AI; ChatGPT; Management theories; Decision-making; Knowledge management; Customer service; Human resource management; Business administration</t>
  </si>
  <si>
    <t>USER ACCEPTANCE; PERCEIVED EASE; KNOWLEDGE; TECHNOLOGY; ROBOTS</t>
  </si>
  <si>
    <t>Purpose - The primary purpose of this paper is to examine how generative Artificial Intelligence (AI) such as ChatGPT may serve as a new context for management theories and concepts.Design/methodology/approach - The paper presents the analyses of selected management theories on decision-making, knowledge management, customer service, human resource management and administrative tasks and explains what may change after generative AI adoption.Findings - The paper indicates that some management theories and concepts need to be studied in the generative AI environment that may influence managerial work at the strategic, functional and administrative levels.Research limitations/implications - This paper is an opinion piece article and does not refer to empirical data. It formulates some conclusions to further empirical research studies.Originality/value - The paper analyzes selected management theories in a new technological setting. The paper also provides information about the functions of generative AI that are useful in understanding and overcoming how new technology may change organizations and management.</t>
  </si>
  <si>
    <t>[Korzynski, Pawel] Kozminski Univ, Dept Human Resource Management, Warsaw, Poland; [Mazurek, Grzegorz] Kozminski Univ, Dept Mkt, Warsaw, Poland; [Altmann, Andreas] MCI, Entrepreneurial Sch, Dept Econ &amp; Soc, Innsbruck, Austria; [Ejdys, Joanna] Bialystok Tech Univ, Fac Engn Management, Bialystok, Poland; [Kazlauskaite, Ruta] ISM Univ Management &amp; Econ, Dept Management, Kaunas, Lithuania; [Paliszkiewicz, Joanna] Warsaw Univ Life Sci, Management Inst, Warsaw, Poland; [Wach, Krzysztof] Cracow Univ Econ, Dept Int Trade, Krakow, Poland; [Ziemba, Ewa] Univ Econ Katowice, Katowice, Poland</t>
  </si>
  <si>
    <t>Kozminski University; Kozminski University; Bialystok University of Technology; ISM University of Management &amp; Economics; Warsaw University of Life Sciences; Cracow University of Economics; University of Economics in Katowice</t>
  </si>
  <si>
    <t>Mazurek, G (corresponding author), Kozminski Univ, Dept Mkt, Warsaw, Poland.</t>
  </si>
  <si>
    <t>gmazurek@kozminski.edu.pl</t>
  </si>
  <si>
    <t>Wach, Krzysztof/A-5253-2011; Ziemba, Ewa Wanda/S-2084-2017; Ejdys, Joanna/D-6654-2013; Kazlauskaite, Ruta/H-4694-2013</t>
  </si>
  <si>
    <t>Wach, Krzysztof/0000-0001-7542-2863; Ziemba, Ewa Wanda/0000-0002-1084-7497; Kazlauskaite, Ruta/0000-0003-4004-0106</t>
  </si>
  <si>
    <t>floor 5, Northspring 21-23 Wellington Street, Leeds, W YORKSHIRE, ENGLAND</t>
  </si>
  <si>
    <t>2658-0845</t>
  </si>
  <si>
    <t>2658-2430</t>
  </si>
  <si>
    <t>CENT EUR MANAG J</t>
  </si>
  <si>
    <t>Cent. Eur. Manag. J.</t>
  </si>
  <si>
    <t>MAY 30</t>
  </si>
  <si>
    <t>10.1108/CEMJ-02-2023-0091</t>
  </si>
  <si>
    <t>Management</t>
  </si>
  <si>
    <t>S2YR1</t>
  </si>
  <si>
    <t>WOS:001069883100001</t>
  </si>
  <si>
    <t>Bird, C; Ungless, EL; Kasirzadeh, A</t>
  </si>
  <si>
    <t>Bird, Charlotte; Ungless, Eddie L.; Kasirzadeh, Atoosa</t>
  </si>
  <si>
    <t>Typology of Risks of Generative Text-to-Image Models</t>
  </si>
  <si>
    <t>Generative AI; Generative models; Text-to-Image models; Responsible AI; AI ethics; AI safety; AI governance; AI risks</t>
  </si>
  <si>
    <t>ETHNICITY; HEALTH</t>
  </si>
  <si>
    <t>This paper investigates the direct risks and harms associated with modern text-to-image generative models, such as DALL-E and Mid-journey, through a comprehensive literature review. While these models offer unprecedented capabilities for generating images, their development and use introduce new types of risk that require careful consideration. Our review reveals significant knowledge gaps concerning the understanding and treatment of these risks despite some already being addressed. We offer a taxonomy of risks across six key stakeholder groups, inclusive of unexplored issues, and suggest future research directions. We identify 22 distinct risk types, spanning issues from data bias to malicious use. The investigation presented here is intended to enhance the ongoing discourse on responsible model development and deployment. By highlighting previously overlooked risks and gaps, it aims to shape subsequent research and governance initiatives, guiding them toward the responsible, secure, and ethically conscious evolution of text-to-image models.</t>
  </si>
  <si>
    <t>[Bird, Charlotte; Ungless, Eddie L.] Univ Edinburgh, Sch Informat, Edinburgh, Midlothian, Scotland; [Kasirzadeh, Atoosa] Univ Edinburgh, Alan Turing Inst, Edinburgh, Midlothian, Scotland</t>
  </si>
  <si>
    <t>University of Edinburgh; University of Edinburgh</t>
  </si>
  <si>
    <t>Bird, C (corresponding author), Univ Edinburgh, Sch Informat, Edinburgh, Midlothian, Scotland.</t>
  </si>
  <si>
    <t>charlotte.bird@ed.ac.uk; e.l.ungless@sms.ed.ac.uk; atoosa.kasirzadeh@ed.ac.uk</t>
  </si>
  <si>
    <t>UKRI Arts and Humanities Research Council [AH/X007146/1]; UKRI Centre for Doctoral Training in Natural Language Processing [EP/S022481/1]; University of Edinburgh, School of Informatics; Baillie Gifford PhD Scholarship at the Centre for Technomoral Futures</t>
  </si>
  <si>
    <t>UKRI Arts and Humanities Research Council(UK Research &amp; Innovation (UKRI)Arts &amp; Humanities Research Council (AHRC)); UKRI Centre for Doctoral Training in Natural Language Processing(UK Research &amp; Innovation (UKRI)); University of Edinburgh, School of Informatics; Baillie Gifford PhD Scholarship at the Centre for Technomoral Futures</t>
  </si>
  <si>
    <t>We would like to thank the UKRI Arts and Humanities Research Council (grant AH/X007146/1) for the policy fellowship that supported this work. We thank Shannon Vallor, Ewa Luger, and the members of Ada Lovelace Institute for helpful discussions. We also thank James Stewart, Lilian Edwards, Andres Guadamuz, and three anonymous reviewers whose comments improved our work. Eddie L. Ungless is supported by the UKRI Centre for Doctoral Training in Natural Language Processing, funded by UKRI (Grant EP/S022481/1) and the University of Edinburgh, School of Informatics. Charlotte Bird is supported by the Baillie Gifford PhD Scholarship at the Centre for Technomoral Futures.</t>
  </si>
  <si>
    <t>10.1145/3600211.3604722</t>
  </si>
  <si>
    <t>Green Accepted, Green Submitted</t>
  </si>
  <si>
    <t>WOS:001117838100032</t>
  </si>
  <si>
    <t>Wang, YC; Xue, JT; Wei, CW; Kuo, CCJ</t>
  </si>
  <si>
    <t>Wang, Yun-Cheng; Xue, Jintang; Wei, Chengwei; Kuo, C. -C. Jay</t>
  </si>
  <si>
    <t>An Overview on Generative AI at Scale With Edge–Cloud Computing</t>
  </si>
  <si>
    <t>IEEE OPEN JOURNAL OF THE COMMUNICATIONS SOCIETY</t>
  </si>
  <si>
    <t>Computational modeling; Artificial intelligence; Cloud computing; Servers; Chatbots; Biological system modeling; Training; AI-generated content; edge-cloud computing; distributed system; lightweight models; metaverse; artificial intelligence of things</t>
  </si>
  <si>
    <t>EDGE; CLOUD; NETWORK; FOG</t>
  </si>
  <si>
    <t>As a specific category of artificial intelligence (AI), generative artificial intelligence (GenAI) generates new content that resembles what humans create. The rapid development of GenAI systems has created a huge amount of new data on the Internet, posing new challenges to current computing and communication frameworks. Currently, GenAI services rely on the traditional cloud computing framework due to the need for large computation resources. However, such services will encounter high latency because of data transmission and a high volume of user requests. On the other hand, edge-cloud computing can provide adequate computation power and low latency at the same time through the collaboration between edges and the cloud. Thus, it is attractive to build GenAI systems at scale by leveraging the edge-cloud computing paradigm. In this overview paper, we review recent developments in GenAI and edge-cloud computing, respectively. Then, we use two exemplary GenAI applications to discuss technical challenges in scaling up their solutions using edge-cloud collaborative systems. Finally, we list design considerations for training and deploying GenAI systems at scale and point out future research directions.</t>
  </si>
  <si>
    <t>[Wang, Yun-Cheng; Xue, Jintang; Wei, Chengwei; Kuo, C. -C. Jay] Univ Southern Calif, Dept Elect &amp; Comp Engn, Los Angeles, CA 90089 USA</t>
  </si>
  <si>
    <t>University of Southern California</t>
  </si>
  <si>
    <t>Wang, YC (corresponding author), Univ Southern Calif, Dept Elect &amp; Comp Engn, Los Angeles, CA 90089 USA.</t>
  </si>
  <si>
    <t>yunchenw@usc.edu</t>
  </si>
  <si>
    <t>Kuo, C.-C. Jay/A-7110-2011</t>
  </si>
  <si>
    <t>Kuo, C.-C. Jay/0000-0001-9474-5035; Xue, Jintang/0009-0004-3531-8147</t>
  </si>
  <si>
    <t>2644-125X</t>
  </si>
  <si>
    <t>IEEE OPEN J COMM SOC</t>
  </si>
  <si>
    <t>IEEE Open J. Commun. Soc.</t>
  </si>
  <si>
    <t>10.1109/OJCOMS.2023.3320646</t>
  </si>
  <si>
    <t>Engineering, Electrical &amp; Electronic; Telecommunications</t>
  </si>
  <si>
    <t>Engineering; Telecommunications</t>
  </si>
  <si>
    <t>AX6R7</t>
  </si>
  <si>
    <t>Green Submitted, gold, Green Published</t>
  </si>
  <si>
    <t>WOS:001121792100004</t>
  </si>
  <si>
    <t>Schmidt, A</t>
  </si>
  <si>
    <t>Schmidt, Albrecht</t>
  </si>
  <si>
    <t>Speeding Up the Engineering of Interactive Systems with Generative AI</t>
  </si>
  <si>
    <t>COMPANION OF THE 2023 ACM SIGCHI SYMPOSIUM ON ENGINEERING INTERACTIVE COMPUTING SYSTEMS, EICS 2023</t>
  </si>
  <si>
    <t>15th ACM SIGCHI Symposium on Engineering Interactive Computing Systems (EICS)</t>
  </si>
  <si>
    <t>JUN 27-30, 2023</t>
  </si>
  <si>
    <t>Swansea, ENGLAND</t>
  </si>
  <si>
    <t>Assoc Comp Machinery,ACM SIGCHI,Swansea Univ, Computat Foundry</t>
  </si>
  <si>
    <t>Engineering; Interactive Systems; Large Language Models; Chat-GPT; Software and System Development; Automation</t>
  </si>
  <si>
    <t>This keynote discusses the opportunities and challenges of using Generative Artificial Intelligence (GenAI) and Large Language Models (LLMs) as tools for developing interactive systems. We will look at different stages in the development lifecycle of interactive systems and assess the value of AI support. We explore how GenAI and LLMs can potentially speed-up the ideation, requirements elicitation, architecture development, prototyping, implementation, and testing of interactive systems. The talk will outline emerging practices, such as the use of prompts for code and system generation, to facilitate prototyping and accelerate implementation. We will outline fundamental challenges and suggest emerging research directions, and pose research questions. What will software development tools look like in the future? How can we efficiently use AI to develop interactive systems without compromising quality? We also speculate about the implications of these developments for researchers, practitioners, and society. We believe that it will massively accelerate the digital transformation. Interactive AI-based tools for systems and software development will become a major research direction.</t>
  </si>
  <si>
    <t>[Schmidt, Albrecht] Ludwig Maximilians Univ Munchen, Munich, Germany</t>
  </si>
  <si>
    <t>University of Munich</t>
  </si>
  <si>
    <t>Schmidt, A (corresponding author), Ludwig Maximilians Univ Munchen, Munich, Germany.</t>
  </si>
  <si>
    <t>albrecht.schmidt@ifi.lmu.de</t>
  </si>
  <si>
    <t>979-8-4007-0206-8</t>
  </si>
  <si>
    <t>10.1145/3596454.3597176</t>
  </si>
  <si>
    <t>Computer Science, Hardware &amp; Architecture; Computer Science, Software Engineering; Computer Science, Theory &amp; Methods</t>
  </si>
  <si>
    <t>BW4GX</t>
  </si>
  <si>
    <t>WOS:001147874500003</t>
  </si>
  <si>
    <t>Lodge, JM; de Barba, P; Broadbent, J</t>
  </si>
  <si>
    <t>Lodge, Jason M.; de Barba, Paula; Broadbent, Jaclyn</t>
  </si>
  <si>
    <t>Learning with Generative Artifiicial Intelligence Within a Network of Co- Regulation</t>
  </si>
  <si>
    <t>JOURNAL OF UNIVERSITY TEACHING AND LEARNING PRACTICE</t>
  </si>
  <si>
    <t>Generative AI; student-machine interaction; self-regulated learning, co-regulation of learning; academic integrity</t>
  </si>
  <si>
    <t>The emergence of generative artificial intelligence (AI) has created legitimate concerns surrounding academic integrity and the ease with which such technologies might lead to cheating in assessment, in particular. However, fixating solely on potential misconduct is overshadowing a more profound, transformative interaction between learners and machines. This commentary article delves into the relationship between students and AI, aiming to highlight the need for revised pedagogical strategies in the AI age. We argue that the much-discussed approaches that prioritise AI literacy or augmented critical thinking might be inadequate. Instead, we contend that a more holistic approach emphasising self -regulated learning (SRL) and co-regulation of learning is needed. SRL promotes autonomy, adaptability, and a deeper understanding, qualities indispensable for navigating the intricacies of AI-enhanced learning environments. Furthermore, we introduce the notion of a network of co-regulation, which underscores the intertwined learning processes between humans and machines. By positioning the self at the core of this network, we emphasise the indispensable role of individual agency in steering productive human-AI educational interactions. Our contention is that by fostering SRL and understanding co-regulated dynamics, educators can better equip learners for an interconnected AI-driven world.Practitioner Notes1. While concerns about AI's potential for cheating are valid, exploring its transformative potential in enhancing learning experiences is vital.2. Self-regulated learning (SRL) is becoming increasingly crucial. SRL equips students to navigate the complexities of AI-enhanced environments effectively.3. While AI literacy and an emphasis on critical thinking are important, they may not be enough. A more holistic approach to learning with AI is needed.4. Educators should focus on ensuring students not only use AI but also understand, adapt to, and learn collaboratively with it.5. Students are increasingly navigating a complex network, including generative AI that helps them regulate their learning.</t>
  </si>
  <si>
    <t>[Lodge, Jason M.] Univ Queensland, Brisbane, Australia; [de Barba, Paula] Monash Univ, Melbourne, Australia; [Broadbent, Jaclyn] Deakin Univ, Burwood, Australia</t>
  </si>
  <si>
    <t>University of Queensland; Monash University; Deakin University</t>
  </si>
  <si>
    <t>Lodge, JM (corresponding author), Univ Queensland, Brisbane, Australia.</t>
  </si>
  <si>
    <t>jason.lodge@uq.edu.au; paula.debarba@monash.edu; jaclyn.broadbent@deakin.edu.au</t>
  </si>
  <si>
    <t>Lodge, Jason M/F-8079-2018</t>
  </si>
  <si>
    <t>Australasian Society for Computing in Learning in Tertiary Education (ASCILITE)</t>
  </si>
  <si>
    <t>The authors report no actual or perceived conflicts of interest. ChatGPT (GPT 4.0) was used to edit this article, but the intellectual property remains solely that of the authors. Funding for the work described in this commentary has been received, with thanks, from the Australasian Society for Computing in Learning in Tertiary Education (ASCILITE).</t>
  </si>
  <si>
    <t>UNIV WOLLONGONG</t>
  </si>
  <si>
    <t>WOLLONGONG</t>
  </si>
  <si>
    <t>NORTHFIELDS AVE, WOLLONGONG, NSW 2522, AUSTRALIA</t>
  </si>
  <si>
    <t>1449-9789</t>
  </si>
  <si>
    <t>J UNIV TEACH LEARN P</t>
  </si>
  <si>
    <t>J. Univ. Teach. Learn. Pract.</t>
  </si>
  <si>
    <t>10.53761/1.20.7.02</t>
  </si>
  <si>
    <t>Y2RE3</t>
  </si>
  <si>
    <t>WOS:001103781300001</t>
  </si>
  <si>
    <t>Pham, T; Nguyen, B; Ha, S; Ngoc, TN</t>
  </si>
  <si>
    <t>Pham, Thanh; Nguyen, Binh; Ha, Son; Ngoc, Thanh Nguyen</t>
  </si>
  <si>
    <t>Digital transformation in engineering education: Exploring the potential of AI-assisted learning</t>
  </si>
  <si>
    <t>ChatGPT; generative AI; digital transformation; engineering education; AI-assisted learning; personalized learning; adaptive learning</t>
  </si>
  <si>
    <t>This research explored the potential of artificial intelligence (AI)-assisted learning using ChatGPT in an engineering course at a university in South-east Asia. The study investigated the benefits and challenges that students may encounter when utilising ChatGPT-3.5 as a learning tool. This research developed an AI-assisted learning flow that empowers learners and lecturers to integrate ChatGPT into their teaching and learning processes. The flow was subsequently used to validate and assess a variety of exercises, tutorial tasks and assessment-like questions for the course under study. Introducing a self-rating system allowed the study to facilitate users in assessing the generative responses. The findings indicate that ChatGPT has significant potential to assist students; however, there is a necessity for training and offering guidance to students on effective interactions with ChatGPT. The study contributes to the evidence of the potential of AI-assisted learning and identifies areas for future research in refining the use of AI tools to better support students' educational journey.</t>
  </si>
  <si>
    <t>[Pham, Thanh; Nguyen, Binh; Ha, Son; Ngoc, Thanh Nguyen] RMIT Univ, Ho Chi Minh City, Vietnam</t>
  </si>
  <si>
    <t>Pham, T (corresponding author), RMIT Univ, Ho Chi Minh City, Vietnam.</t>
  </si>
  <si>
    <t>thanh.pham@rmit.edu.vn</t>
  </si>
  <si>
    <t>10.14742/ajet.8825</t>
  </si>
  <si>
    <t>WOS:001132966400002</t>
  </si>
  <si>
    <t>Cress, U; Kimmerle, J</t>
  </si>
  <si>
    <t>Cress, Ulrike; Kimmerle, Joachim</t>
  </si>
  <si>
    <t>Co-constructing knowledge with generative AI tools: Reflections from a CSCL perspective</t>
  </si>
  <si>
    <t>INTERNATIONAL JOURNAL OF COMPUTER-SUPPORTED COLLABORATIVE LEARNING</t>
  </si>
  <si>
    <t>ChatGPT; Conversational agent; Knowledge construction; Artificial intelligence</t>
  </si>
  <si>
    <t>FRAMEWORK</t>
  </si>
  <si>
    <t>Generative Artificial Intelligence (AI) tools, such as ChatGPT, have received great attention from researchers, the media, and the public. They are gladly and frequently used for text production by many people. These tools have undeniable strengths but also weaknesses that must be addressed. In this squib we ask to what extent these tools can be employed by users for individual learning as well as for knowledge construction to spark a collective endeavor of developing new insights. We take a social, collective notion of knowledge as a basis and argue that users need to establish a dialog that goes beyond knowledge telling (simply writing what one knows) and stimulates knowledge transformation (converting knowledge into complex relational argumentation structures). Generative AI tools do not have any conceptual knowledge or conscious understanding, as they only use word transitions and rely on probabilities of word classes. We suggest, however, that argumentative dialogs among humans and AI tools can be achieved with appropriate prompts, where emergent processes of joint knowledge construction can take place. Based on this assumption, we inquire into the human and into the AI parts of communication and text production. For our line of argument, we borrow from research on individual and collaborative writing, group cognition, and the co-evolution of cognitive and social systems. We outline future CSCL research paths that might take the human-AI co-construction of knowledge into account in terms of terminology, theory, and methodology.</t>
  </si>
  <si>
    <t>[Cress, Ulrike; Kimmerle, Joachim] Leibniz Inst Wissensmedien, Schleichstr 6, D-72076 Tubingen, Germany</t>
  </si>
  <si>
    <t>Leibniz Institut fur Wissensmedien</t>
  </si>
  <si>
    <t>Cress, U (corresponding author), Leibniz Inst Wissensmedien, Schleichstr 6, D-72076 Tubingen, Germany.</t>
  </si>
  <si>
    <t>u.cress@iwm-tuebingen.de; j.kimmerle@iwm-tuebingen.de</t>
  </si>
  <si>
    <t>Cress, Ulrike/A-5615-2013</t>
  </si>
  <si>
    <t>Cress, Ulrike/0000-0002-8996-8303</t>
  </si>
  <si>
    <t>Projekt DEAL</t>
  </si>
  <si>
    <t>Open Access funding enabled and organized by Projekt DEAL.</t>
  </si>
  <si>
    <t>1556-1607</t>
  </si>
  <si>
    <t>1556-1615</t>
  </si>
  <si>
    <t>INT J COMP-SUPP COLL</t>
  </si>
  <si>
    <t>Int. J. Comp.-Support. Collab. Learn.</t>
  </si>
  <si>
    <t>10.1007/s11412-023-09409-w</t>
  </si>
  <si>
    <t>Education &amp; Educational Research; Information Science &amp; Library Science</t>
  </si>
  <si>
    <t>DU6P6</t>
  </si>
  <si>
    <t>WOS:001088024000001</t>
  </si>
  <si>
    <t>Ibrahim, K</t>
  </si>
  <si>
    <t>Ibrahim, Karim</t>
  </si>
  <si>
    <t>Using AI-based detectors to control AI-assisted plagiarism in ESL writing: The Terminator Versus the Machines</t>
  </si>
  <si>
    <t>LANGUAGE TESTING IN ASIA</t>
  </si>
  <si>
    <t>Generative AI; AI-assisted plagiarism; Language assessment; Academic integrity; ESL composition</t>
  </si>
  <si>
    <t>The release of ChatGPT marked the beginning of a new era of AI-assisted plagiarism that disrupts traditional assessment practices in ESL composition. In the face of this challenge, educators are left with little guidance in controlling AI-assisted plagiarism, especially when conventional methods fail to detect AI-generated texts. One approach to managing AI-assisted plagiarism is using fine-tuned AI classifiers, such as RoBERTa, to identify machine-generated texts; however, the reliability of this approach is yet to be established. To address the challenge of AI-assisted plagiarism in ESL contexts, the present cross-disciplinary descriptive study examined the potential of two RoBERTa-based classifiers to control AI-assisted plagiarism on a dataset of 240 human-written and ChatGPT-generated essays. Data analysis revealed that both platforms could identify AI-generated texts, but their detection accuracy was inconsistent across the dataset.</t>
  </si>
  <si>
    <t>[Ibrahim, Karim] Gulf Univ Sci &amp; Technol, Block 5,Bldg 1, West Mishref, Kuwait</t>
  </si>
  <si>
    <t>Ibrahim, K (corresponding author), Gulf Univ Sci &amp; Technol, Block 5,Bldg 1, West Mishref, Kuwait.</t>
  </si>
  <si>
    <t>Ibrahim.K@gust.edu.kw</t>
  </si>
  <si>
    <t>Ibrahim, Karim/0000-0003-0037-0872</t>
  </si>
  <si>
    <t>The author would like to thank the journal editor and reviewers for their feedback and support.</t>
  </si>
  <si>
    <t>2229-0443</t>
  </si>
  <si>
    <t>LANG TEST ASIA</t>
  </si>
  <si>
    <t>Lang. Test. Asia</t>
  </si>
  <si>
    <t>OCT 16</t>
  </si>
  <si>
    <t>10.1186/s40468-023-00260-2</t>
  </si>
  <si>
    <t>U7QE4</t>
  </si>
  <si>
    <t>WOS:001086706800001</t>
  </si>
  <si>
    <t>Colton, S; Banar, B</t>
  </si>
  <si>
    <t>Rodriguez-Fernandez, N; Rebelo, SM; Johnson, C</t>
  </si>
  <si>
    <t>Colton, Simon; Banar, Berker</t>
  </si>
  <si>
    <t>Automatically Adding to Artistic Cultures</t>
  </si>
  <si>
    <t>ARTIFICIAL INTELLIGENCE IN MUSIC, SOUND, ART AND DESIGN, EVOMUSART 2023</t>
  </si>
  <si>
    <t>12th International Conference on Artificial Intelligence in Music, Sound, Art and Design (EvoMUSART) Held as Part of EvoStar Conference</t>
  </si>
  <si>
    <t>APR 12-14, 2023</t>
  </si>
  <si>
    <t>Brno, CZECH REPUBLIC</t>
  </si>
  <si>
    <t>Generative AI; Neuro-symbolic AI; Artistic cultures</t>
  </si>
  <si>
    <t>We consider how generative AI systems could and should evolve from being used as co-creative tools for artefact generation to co-creative collaborators for enhancing cultural knowledge, via artefact generation. We argue that while generative deep learning techniques and ethos have many drawbacks in this respect, neuro-symbolic approaches and increased AI autonomy could improve matters so that AI systems may be able to add to cultural knowledge directly. To do this, we consider what cultural knowledge is, differences between scientific and artistic applications of generative AI, stakeholders and ethical issues. We also present a case study in decision foregrounding for generative music.</t>
  </si>
  <si>
    <t>[Colton, Simon; Banar, Berker] Queen Mary Univ London, Sch EECS, London E1 4NS, England</t>
  </si>
  <si>
    <t>University of London; Queen Mary University London</t>
  </si>
  <si>
    <t>Colton, S (corresponding author), Queen Mary Univ London, Sch EECS, London E1 4NS, England.</t>
  </si>
  <si>
    <t>s.colton@qmul.ac.uk; b.banar@qmul.ac.uk</t>
  </si>
  <si>
    <t>UKRI/EPSRC Centre for Doctoral Training in AI and Music [EP/S022694/1]; Queen Mary University of London</t>
  </si>
  <si>
    <t>UKRI/EPSRC Centre for Doctoral Training in AI and Music; Queen Mary University of London</t>
  </si>
  <si>
    <t>We wish to thank the anonymous reviewers for their insightful comments. Berker Banar is funded by the UKRI/EPSRC Centre for Doctoral Training in AI and Music (grant number EP/S022694/1) and Queen Mary University of London.</t>
  </si>
  <si>
    <t>978-3-031-29955-1; 978-3-031-29956-8</t>
  </si>
  <si>
    <t>10.1007/978-3-031-29956-8_4</t>
  </si>
  <si>
    <t>BV1WI</t>
  </si>
  <si>
    <t>WOS:000999872400004</t>
  </si>
  <si>
    <t>Van Slyke, C; Johnson, RD; Sarabadani, J</t>
  </si>
  <si>
    <t>Van Slyke, Craig; Johnson, Richard D.; Sarabadani, Jalal</t>
  </si>
  <si>
    <t>Generative Artificial Intelligence in Information Systems Education: Challenges, Consequences, and Responses</t>
  </si>
  <si>
    <t>COMMUNICATIONS OF THE ASSOCIATION FOR INFORMATION SYSTEMS</t>
  </si>
  <si>
    <t>Information Systems Education; Artificial Intelligence; Generative Artificial Intelligence; ChatGPT</t>
  </si>
  <si>
    <t>TECHNOLOGY; COMPUTER; EXPERT; IMPACT; AI</t>
  </si>
  <si>
    <t>ChatGPT, an interactive, generative artificial intelligence (AI) system, was introduced in late 2022, quickly becoming one of the most rapidly adopted technologies in history. The rapid emergence of ChatGPT and similar AI tools, such as Google's Bard, and GPT-enabled Bing from Microsoft have led to intense discussions about how they will affect various aspects of society, including higher education. Information systems (IS) education will not escape the impact of AI tools. Our goal for this paper is to develop a better understanding of the range of possible impacts of ChatGPT on IS education and to describe how IS educators might respond to these potential impacts. To that end, we discuss challenges for IS education brought on by generative AI tools, and discuss potential future scenarios based on the emergence of such tools, ranging from AI having little impact on IS education to AI serving as competition for IS educators. We examine the challenges and consequences of each scenario. We also discuss potential responses, ranging from doing nothing to embracing AI tools as legitimate learning aids. We then provide several specific recommendations that will allow IS educators to effectively respond to the rise of AI tools.</t>
  </si>
  <si>
    <t>[Van Slyke, Craig] Louisiana Tech Univ, Comp Informat Syst, Ruston, LA 71272 USA; [Johnson, Richard D.] Washington State Univ, Management Informat Syst &amp; Entrepreneurship, Pullman, WA USA; [Sarabadani, Jalal] San Jose State Univ, Lucas Coll, San Jose, CA USA; [Sarabadani, Jalal] San Jose State Univ, Grad Sch Business, San Jose, CA USA</t>
  </si>
  <si>
    <t>University of Louisiana System; Louisiana Technical University; Washington State University; California State University System; San Jose State University; California State University System; San Jose State University</t>
  </si>
  <si>
    <t>Van Slyke, C (corresponding author), Louisiana Tech Univ, Comp Informat Syst, Ruston, LA 71272 USA.</t>
  </si>
  <si>
    <t>vanslyke@latech.edu</t>
  </si>
  <si>
    <t>Van Slyke, Craig/F-3712-2014</t>
  </si>
  <si>
    <t>ASSOC INFORMATION SYSTEMS</t>
  </si>
  <si>
    <t>ATLANTA</t>
  </si>
  <si>
    <t>GEORGIA STATE UNIV, 35 BROAD STREET, STE 916-917, ATLANTA, GA 30303 USA</t>
  </si>
  <si>
    <t>1529-3181</t>
  </si>
  <si>
    <t>COMMUN ASSOC INF SYS</t>
  </si>
  <si>
    <t>Commun. Assoc. Inf. Syst.</t>
  </si>
  <si>
    <t>10.17705/1CAIS.05301</t>
  </si>
  <si>
    <t>L3ZP8</t>
  </si>
  <si>
    <t>WOS:001022678600001</t>
  </si>
  <si>
    <t>Hayden, DJ</t>
  </si>
  <si>
    <t>Hayden, Dylan J.</t>
  </si>
  <si>
    <t>Generative AI: Mining Housing Data With a Higher Powered Shovel</t>
  </si>
  <si>
    <t>CITYSCAPE</t>
  </si>
  <si>
    <t>This article investigates the potential applications of generative artificial intelligence (AI) models, such analysis. Using the U.S. Department of Housing and Urban Development (HUD) Picture of Subsidized Households dataset, the study employs ChatGPT to generate code and analyze correlations within a housing research context. The methodology includes creating a computer program for calculating correlations and incorporating ChatGPT to analyze the output, leveraging OpenAI's application programming interface. The article addresses concerns related to bias, inaccuracies, and improper citation and examines the benefits and limitations of using ChatGPT in housing research. This study models in research across various disciplines.</t>
  </si>
  <si>
    <t>[Hayden, Dylan J.] US Dept Housing &amp; Urban Dev, Off Policy Dev &amp; Res, Washington, DC 20005 USA</t>
  </si>
  <si>
    <t>Hayden, DJ (corresponding author), US Dept Housing &amp; Urban Dev, Off Policy Dev &amp; Res, Washington, DC 20005 USA.</t>
  </si>
  <si>
    <t>US DEPT HOUSING &amp; URBAN DEVELOPMENT, OFFICE POLICY DEVELOPMENT &amp; RESEARCH</t>
  </si>
  <si>
    <t>PO BOX 23268, WASHINGTON, DC 20026 USA</t>
  </si>
  <si>
    <t>1936-007X</t>
  </si>
  <si>
    <t>1939-1935</t>
  </si>
  <si>
    <t>Cityscape</t>
  </si>
  <si>
    <t>Urban Studies</t>
  </si>
  <si>
    <t>Y6MX5</t>
  </si>
  <si>
    <t>WOS:001106392900005</t>
  </si>
  <si>
    <t>Balan, K; Black, A; Gilbert, A; Jenni, S; Parsons, A; Collomosse, J</t>
  </si>
  <si>
    <t>Balan, Kar; Black, Alex; Gilbert, Andrew; Jenni, Simon; Parsons, Andy; Collomosse, John</t>
  </si>
  <si>
    <t>DECORAIT - DECentralized Opt-in/out Registry for AI Training</t>
  </si>
  <si>
    <t>20TH ACM SIGGRAPH EUROPEAN CONFERENCE ON VISUAL MEDIA PRODUCTION, CVMP 2023</t>
  </si>
  <si>
    <t>20th ACM SIGGRAPH European Conference on Visual Media Production (CVMP)</t>
  </si>
  <si>
    <t>NOV 30-DEC 01, 2023</t>
  </si>
  <si>
    <t>London, ENGLAND</t>
  </si>
  <si>
    <t>ACM SIGGRAPH</t>
  </si>
  <si>
    <t>Content provenance; Distributed ledger technology (DLT/Blockchain); Generative AI; Data governance</t>
  </si>
  <si>
    <t>We present DECORAIT; a decentralized registry through which content creators may assert their right to opt in or out of AI training and receive rewards for their contributions. Generative AI (GenAI) enables images to be synthesized using AI models trained on vast amounts of data scraped from public sources. Model and content creators who may wish to share their work openly without sanctioning its use for training are thus presented with a data governance challenge. Further, establishing the provenance of GenAI training data is important to creatives to ensure fair recognition and reward for their such use. We report a prototype of DECORAIT, which explores hierarchical clustering and a combination of on/off-chain storage to create a scalable decentralized registry to trace the provenance of GenAI training data to determine training consent and reward creatives who contribute that data. DECORAIT combines distributed ledger technology (DLT) with visual fingerprinting, leveraging the emerging C2PA (Coalition for Content Provenance and Authenticity) standard to create a secure, open registry through which creatives may express consent and data ownership for GenAI.</t>
  </si>
  <si>
    <t>[Balan, Kar; Black, Alex; Gilbert, Andrew] Univ Surrey, Guildford, England; [Jenni, Simon; Parsons, Andy; Collomosse, John] Adobe Inc, San Jose, CA USA</t>
  </si>
  <si>
    <t>University of Surrey; Adobe Systems Inc.</t>
  </si>
  <si>
    <t>Balan, K (corresponding author), Univ Surrey, Guildford, England.</t>
  </si>
  <si>
    <t>k.balan@surrey.ac.uk; a.black@surrey.ac.uk; a.gilbert@surrey.ac.uk; jenni@adobe.com; andyp@adobe.com; collomos@adobe.com</t>
  </si>
  <si>
    <t>Black, Alexander/0000-0003-0661-9990</t>
  </si>
  <si>
    <t>DECaDE under EPSRC [EP/T022485/1]</t>
  </si>
  <si>
    <t>DECaDE under EPSRC</t>
  </si>
  <si>
    <t>DECORAIT was supported in part by DECaDE under EPSRC Grant EP/T022485/1.</t>
  </si>
  <si>
    <t>979-8-4007-0426-0</t>
  </si>
  <si>
    <t>10.1145/3626495.3626506</t>
  </si>
  <si>
    <t>BW2NX</t>
  </si>
  <si>
    <t>WOS:001122588100006</t>
  </si>
  <si>
    <t>Zhao, HH; Chen, HH; Yoon, HJ</t>
  </si>
  <si>
    <t>Zhao, Huanhuan; Chen, Haihua; Yoon, Hong-Jun</t>
  </si>
  <si>
    <t>Enhancing Text Classification Models with Generative AI-aided Data Augmentation</t>
  </si>
  <si>
    <t>2023 IEEE INTERNATIONAL CONFERENCE ON ARTIFICIAL INTELLIGENCE TESTING, AITEST</t>
  </si>
  <si>
    <t>IEEE International Conference on Artificial Intelligence Testing</t>
  </si>
  <si>
    <t>5th IEEE International Conference on Artificial Intelligence Testing (AITest)</t>
  </si>
  <si>
    <t>JUL 17-20, 2023</t>
  </si>
  <si>
    <t>Harokopio Univ Athens, Athens, GREECE</t>
  </si>
  <si>
    <t>Harokopio Univ Athens</t>
  </si>
  <si>
    <t>text classification; data augmentation; ChatGPT; imbalanced data; natural language processing; machine learning; artificial intelligence</t>
  </si>
  <si>
    <t>This study investigated the potential of enhancing the performance of text classification by augmenting the training dataset with external knowledge samples generated by a generative AI, specifically ChatGPT. The study conducted experiments on three models - CNN, HiSAN, and BERT - using the Reuters dataset. First, the study evaluated the effectiveness of incorporating ChatGPT-generated samples and then analyzed the impact of various factors such as sample size, sample variability, and sample length on the models' performance by varying the number, variety, and length of the generated samples. The models were assessed using macro and micro-averaged scores, and the results revealed that the macro-averaged scores improved significantly across all three models, with the BERT model showing the greatest improvement (from 49.87% to 65.73% in macro F1 score). The study further found that adding 30 distinct samples produced better results than adding 6 duplicates of 5 samples, and samples with 150 and 256 words had similar performance, while those with 50 words performed slightly worse. These findings suggest that incorporating external knowledge samples generated by a generative AI is an effective approach to enhance text classification models' performance. The study also highlights that the variability of articles generated by ChatGPT positively impacted the models' accuracy, and longer synthesized texts convey more comprehensive information on the subjects, leading to higher classification accuracy scores. Additionally, we conducted a comparison between our results and those obtained from EDA, a widely used data augmentation generator. The findings clearly demonstrate that our method surpasses EDA and offers additional advantages by reducing computational costs and solving zero-shot problem. Our code is available on GitHub.(1)</t>
  </si>
  <si>
    <t>[Zhao, Huanhuan] Univ Tennessee, Data Sci &amp; Engn, Knoxville, TN 37996 USA; [Chen, Haihua] Univ North Texas, Dept Informat Sci, Denton, TX USA; [Yoon, Hong-Jun] Oak Ridge Natl Lab, Computat Sci &amp; Engn Div, Oak Ridge, TN USA</t>
  </si>
  <si>
    <t>University of Tennessee System; University of Tennessee Knoxville; University of North Texas System; University of North Texas Denton; United States Department of Energy (DOE); Oak Ridge National Laboratory</t>
  </si>
  <si>
    <t>Zhao, HH (corresponding author), Univ Tennessee, Data Sci &amp; Engn, Knoxville, TN 37996 USA.</t>
  </si>
  <si>
    <t>hzhao31@vols.utk.edu; haihua.chen@unt.edu; yoonh@ornl.gov</t>
  </si>
  <si>
    <t>Chen, Haihua/0000-0002-7088-9752; Zhao, Huanhuan/0000-0001-9508-7281</t>
  </si>
  <si>
    <t>UT-Battelle, LLC [DE-AC05-00OR22725]; US Department of Energy (DOE); DOE Public Access Plan</t>
  </si>
  <si>
    <t>UT-Battelle, LLC; US Department of Energy (DOE)(United States Department of Energy (DOE)); DOE Public Access Plan</t>
  </si>
  <si>
    <t>This manuscript has been authored in part by UT-Battelle, LLC, under contract DE-AC05-00OR22725 with the US Department of Energy (DOE). The US government retains and the publisher, by accepting the article for publication, acknowledges that the US government retains a nonexclusive, paid-up, irrevocable, worldwide license to publish or reproduce the published form of this manuscript, or allow others to do so, for US government purposes. DOE will provide public access to these results of federally sponsored research in accordance with the DOE Public Access Plan (http://energy.gov/downloads/doe-public-access-plan).</t>
  </si>
  <si>
    <t>2835-3552</t>
  </si>
  <si>
    <t>979-8-3503-3629-0</t>
  </si>
  <si>
    <t>Artific Intel Test</t>
  </si>
  <si>
    <t>10.1109/AITest58265.2023.00030</t>
  </si>
  <si>
    <t>BV6SV</t>
  </si>
  <si>
    <t>WOS:001062490100020</t>
  </si>
  <si>
    <t>Mao, J; Chen, BY; Liu, JC</t>
  </si>
  <si>
    <t>Mao, Jin; Chen, Baiyun; Liu, Juhong Christie</t>
  </si>
  <si>
    <t>Generative Artificial Intelligence in Education and Its Implications for Assessment</t>
  </si>
  <si>
    <t>TECHTRENDS</t>
  </si>
  <si>
    <t>Generative Artificial Intelligence; Assessment; Systems Thinking</t>
  </si>
  <si>
    <t>PRIVACY; CHATGPT</t>
  </si>
  <si>
    <t>The abrupt emergence and rapid advancement of generative artificial intelligence (AI) technologies, transitioning from research labs to potentially all aspects of social life, has brought a profound impact on education, science, arts, journalism, and every facet of human life and communication. The purpose of this paper is to recapitulate the use of AI in education and examine potential opportunities and challenges of employing generative AI for educational assessment, with systems thinking in mind. Following a review of the opportunities and challenges, we discuss key issues and dilemmas associated with using generative AI for assessment and for education in general. We hope that the opportunities, challenges, and issues discussed in this paper could serve as a foundation for educators to harness the power of AI within the digital learning ecosystem.</t>
  </si>
  <si>
    <t>[Mao, Jin] Wilkes Univ, Wilkes Barre, PA 18766 USA; [Chen, Baiyun] Univ Cent Florida, Orlando, FL USA; [Liu, Juhong Christie] James Madison Univ, Harrisonburg, VA USA</t>
  </si>
  <si>
    <t>Wilkes University; State University System of Florida; University of Central Florida; James Madison University</t>
  </si>
  <si>
    <t>Mao, J (corresponding author), Wilkes Univ, Wilkes Barre, PA 18766 USA.</t>
  </si>
  <si>
    <t>jinjoy.mao@wilkes.edu; baiyun.chen@ucf.edu; liujc@jmu.edu</t>
  </si>
  <si>
    <t>Mao, Jin/0000-0001-8498-3523; Liu, Juhong Christie/0000-0002-3384-4379; Chen, Baiyun/0000-0002-4010-9890</t>
  </si>
  <si>
    <t>8756-3894</t>
  </si>
  <si>
    <t>1559-7075</t>
  </si>
  <si>
    <t>TechTrends</t>
  </si>
  <si>
    <t>10.1007/s11528-023-00911-4</t>
  </si>
  <si>
    <t>EH5R3</t>
  </si>
  <si>
    <t>WOS:001100085100001</t>
  </si>
  <si>
    <t>Heo, S; Byun, J; Ifaei, P; Ko, J; Ha, B; Hwangbo, S; Yoo, C</t>
  </si>
  <si>
    <t>Heo, Sungku; Byun, Jaewon; Ifaei, Pouya; Ko, Jaerak; Ha, Byeongmin; Hwangbo, Soonho; Yoo, Changkyoo</t>
  </si>
  <si>
    <t>Towards mega-scale decarbonized industrial park (Mega-DIP): Generative AI-driven techno-economic and environmental assessment of renewable and sustainable energy utilization in petrochemical industry</t>
  </si>
  <si>
    <t>RENEWABLE &amp; SUSTAINABLE ENERGY REVIEWS</t>
  </si>
  <si>
    <t>Decarbonization; Liquid air energy storage; Variable renewable energy; Petrochemical industry; Stochastic scenario; Generative AI; Explainable AI</t>
  </si>
  <si>
    <t>WIND POWER; FORECASTING METHODS; STORAGE; SOLAR; MODEL; SYSTEM; SPEED; PERFORMANCE; WATER; UK</t>
  </si>
  <si>
    <t>In alignment with climate change mitigation plans, renewable and sustainable energy integration into the industrial sector should be investigated for decarbonization purposes by 2050. This study aims to examine the feasibility of decarbonization of mega-scale industrial parks with two emerging technologies; first, an integrated energy system involving an air separation unit (ASU) and a liquid air energy storage (LAES)-based power generation system (ALPG) with the assistance of a large-scale liquified natural gas (LNG) plant and second, the green electricity predicted by various renewable energy (VRE) scenarios using an AI-driven generative model concerning techno-economic and environmental analyses. Firstly, the electricity demand of mega-scale petrochemical industrial complexes was allocated, and remote sensing data of VRE (wind and solar) were collected in South Korea. Then, the ALPG was modeled to consider the actual operation of an LNG plant near target complexes. Subsequently, the CC-informed VRE scenario generation model (CC-VRES) based on an adversarial autoencoder (AAE) algorithm was developed to generate VRE scenarios considering the CC effects. Finally, techno-economic and environmental assessments were conducted to target the mega-DIP by 2050. The results showed that the levelized cost of electricity of the proposed ALPG was 150 $/MWh, which is enough to supply the required sustainable electricity, considering the Korean energy plan and CC effects in the CC-VRES model. Therefore, the excess VRE can be used to decarbonize the target industrial parks; it is anticipated that 26,084 GW h/yr of renewable and sustainable electricity will be generated and cover the total electricity demand of Yeosu and Ulsan target complexes while reducing 13,943-kilo t CO2 eq./yr through 2050.</t>
  </si>
  <si>
    <t>[Heo, Sungku; Ifaei, Pouya; Yoo, Changkyoo] Kyung Hee Univ, Coll Engn, Dept Environm Sci &amp; Engn, Integrated Engn, 1732 Deogyeong Daero, Yongin 17104, Gyeonggi Do, South Korea; [Byun, Jaewon] Chonnam Natl Univ, Petrochem Mat Engn Dept, Yeosu 59631, South Korea; [Ko, Jaerak; Ha, Byeongmin; Hwangbo, Soonho] Gyeongsang Natl Univ, Dept Chem Engn, Jinju Daero 501, Jinju Si 52828, Gyeongsangnam D, South Korea; [Hwangbo, Soonho] Gyeongsang Natl Univ, Dept Mat Engn &amp; Convergence Technol, Jinju Daero 501, Jinju Si 52828, Gyeongsangnam D, South Korea</t>
  </si>
  <si>
    <t>Kyung Hee University; Chonnam National University; Gyeongsang National University; Gyeongsang National University</t>
  </si>
  <si>
    <t>Yoo, C (corresponding author), Kyung Hee Univ, Coll Engn, Dept Environm Sci &amp; Engn, Integrated Engn, 1732 Deogyeong Daero, Yongin 17104, Gyeonggi Do, South Korea.;Hwangbo, S (corresponding author), Gyeongsang Natl Univ, Dept Mat Engn &amp; Convergence Technol, Jinju Daero 501, Jinju Si 52828, Gyeongsangnam D, South Korea.</t>
  </si>
  <si>
    <t>s.hwangbo@gnu.ac.kr; ckyoo@khu.ac.kr</t>
  </si>
  <si>
    <t>Byun, Jaewon/0000-0002-3131-0920; Yoo, ChangKyoo/0000-0002-9406-7649; Ifaei, Pouya/0000-0002-6898-8583; Ha, Byeongmin/0000-0003-2762-8298</t>
  </si>
  <si>
    <t>Na-tional Research Foundation of Korea (NRF) [NRF- 2021R1A2C2007838, NRF-2021R1F1A1059919]; [NRF-2020M1A2A2080858]</t>
  </si>
  <si>
    <t>Na-tional Research Foundation of Korea (NRF)(National Research Foundation of Korea);</t>
  </si>
  <si>
    <t>This research was supported by the projects (NRF- 2021R1A2C2007838 and NRF-2021R1F1A1059919) through the Na-tional Research Foundation of Korea (NRF) , the Ministry of Science, ICT &amp; Future Planning (NRF-2020M1A2A2080858) .</t>
  </si>
  <si>
    <t>1364-0321</t>
  </si>
  <si>
    <t>1879-0690</t>
  </si>
  <si>
    <t>RENEW SUST ENERG REV</t>
  </si>
  <si>
    <t>Renew. Sust. Energ. Rev.</t>
  </si>
  <si>
    <t>A</t>
  </si>
  <si>
    <t>10.1016/j.rser.2023.113933</t>
  </si>
  <si>
    <t>Green &amp; Sustainable Science &amp; Technology; Energy &amp; Fuels</t>
  </si>
  <si>
    <t>Science &amp; Technology - Other Topics; Energy &amp; Fuels</t>
  </si>
  <si>
    <t>Y7YH5</t>
  </si>
  <si>
    <t>WOS:001107373300001</t>
  </si>
  <si>
    <t>Mahon, J; Mac Namee, B; Becker, BA</t>
  </si>
  <si>
    <t>Mahon, Joyce; Mac Namee, Brian; Becker, Brett A.</t>
  </si>
  <si>
    <t>No More Pencils No More Books: Capabilities of Generative AI on Irish and UK Computer Science School Leaving Examinations</t>
  </si>
  <si>
    <t>A-Level; Artificial Intelligence; ChatGPT; examinations; Generative AI; GPT-4; high school; Ireland; K-12; Leaving Certificate; LCCS; school; second-level; UK</t>
  </si>
  <si>
    <t>We investigate the capabilities of ChatGPT (GPT-4) on second-level (high-school) computer science examinations: the UK A-Level and Irish Leaving Certificate. Both are national, government-set / approved, and centrally assessed examinations. We also evaluate performance differences in exams made publicly available before and after the ChatGPT knowledge cutoff date, and investigate what types of question ChatGPT struggles with. We find that ChatGPT is capable of achieving very high marks on both exams and that the performance difference before and after the knowledge cutoff date are minimal. We also observe that ChatGPT struggles with questions involving symbols or images, which can be mitigated when in-text information 'fills in the gaps'. Additionally, GPT-4 performance can be negatively impacted when an initial inaccurate answer leads to further inaccuracies in subsequent parts of the same question. Finally, the element of choice on the Leaving Certificate is a significant advantage in achieving a high grade. Notably, there are minimal occurrences of hallucinations in answers and few errors in solutions not involving images. These results reveal several strengths and weaknesses of these exams in terms of how generative AI performs on them and have implications for exam design, the construction of marking schemes, and could also shift the focus of what is examined and how.</t>
  </si>
  <si>
    <t>[Mahon, Joyce; Mac Namee, Brian; Becker, Brett A.] Univ Coll Dublin, Dublin, Ireland</t>
  </si>
  <si>
    <t>University College Dublin</t>
  </si>
  <si>
    <t>Mahon, J (corresponding author), Univ Coll Dublin, Dublin, Ireland.</t>
  </si>
  <si>
    <t>joyce.mahon1@ucdconnect.ie; brian.macnamee@ucd.ie; brett.becker@ucd.ie</t>
  </si>
  <si>
    <t>Science Foundation Ireland [18/CRT/6183]; Huawei Ireland</t>
  </si>
  <si>
    <t>Science Foundation Ireland(Science Foundation Ireland); Huawei Ireland(Huawei Technologies)</t>
  </si>
  <si>
    <t>This publication has emanated from research conducted with the financial support of Science Foundation Ireland under Grant number 18/CRT/6183 and Huawei Ireland.</t>
  </si>
  <si>
    <t>10.1145/3610969.3610982</t>
  </si>
  <si>
    <t>WOS:001147623400003</t>
  </si>
  <si>
    <t>Weber-Wulff, D; Anohina-Naumeca, A; Bjelobaba, S; Foltynek, T; Guerrero-Dib, J; Popoola, O; Sigut, P; Waddington, L</t>
  </si>
  <si>
    <t>Weber-Wulff, Debora; Anohina-Naumeca, Alla; Bjelobaba, Sonja; Foltynek, Tomas; Guerrero-Dib, Jean; Popoola, Olumide; Sigut, Petr; Waddington, Lorna</t>
  </si>
  <si>
    <t>Testing of detection tools for AI-generated text</t>
  </si>
  <si>
    <t>INTERNATIONAL JOURNAL FOR EDUCATIONAL INTEGRITY</t>
  </si>
  <si>
    <t>Artificial intelligence; Generative pre-trained transformers; Machine-generated text; Detection of AI-generated text; Academic integrity; ChatGPT; AI detectors</t>
  </si>
  <si>
    <t>Recent advances in generative pre-trained transformer large language models have emphasised the potential risks of unfair use of artificial intelligence (AI) generated content in an academic environment and intensified efforts in searching for solutions to detect such content. The paper examines the general functionality of detection tools for AI-generated text and evaluates them based on accuracy and error type analysis. Specifically, the study seeks to answer research questions about whether existing detection tools can reliably differentiate between human-written text and ChatGPT-generated text, and whether machine translation and content obfuscation techniques affect the detection of AI-generated text. The research covers 12 publicly available tools and two commercial systems (Turnitin and PlagiarismCheck) that are widely used in the academic setting. The researchers conclude that the available detection tools are neither accurate nor reliable and have a main bias towards classifying the output as human-written rather than detecting AI-generated text. Furthermore, content obfuscation techniques significantly worsen the performance of tools. The study makes several significant contributions. First, it summarises up-to-date similar scientific and non-scientific efforts in the field. Second, it presents the result of one of the most comprehensive tests conducted so far, based on a rigorous research methodology, an original document set, and a broad coverage of tools. Third, it discusses the implications and drawbacks of using detection tools for AI-generated text in academic settings.</t>
  </si>
  <si>
    <t>[Weber-Wulff, Debora] Univ Appl Sci HTW Berlin, Berlin, Germany; [Anohina-Naumeca, Alla] Riga Tech Univ, Riga, Latvia; [Bjelobaba, Sonja] Uppsala Univ, Uppsala, Sweden; [Foltynek, Tomas; Sigut, Petr] Masaryk Univ, Brno, Czech Republic; [Guerrero-Dib, Jean] Univ Monterrey, San Pedro Garza Garcia, Mexico; [Popoola, Olumide] Queen Mary Univ London, London, England; [Waddington, Lorna] Univ Leeds, Leeds, England</t>
  </si>
  <si>
    <t>Riga Technical University; Uppsala University; Masaryk University Brno; Universidad de Monterrey; Tecnologico de Monterrey; University of London; Queen Mary University London; University of Leeds</t>
  </si>
  <si>
    <t>Bjelobaba, S (corresponding author), Uppsala Univ, Uppsala, Sweden.</t>
  </si>
  <si>
    <t>sonja.bjelobaba@crb.uu.se</t>
  </si>
  <si>
    <t>Foltýnek, Tomáš/L-6448-2018; Weber-Wulff, Debora/AAH-8568-2020; Anohina-Naumeca, Alla/W-5453-2019</t>
  </si>
  <si>
    <t>Foltýnek, Tomáš/0000-0001-8412-5553; Weber-Wulff, Debora/0000-0002-7335-6548; Anohina-Naumeca, Alla/0000-0001-7993-5842; Bjelobaba, Sonja/0000-0003-2384-9624</t>
  </si>
  <si>
    <t>Uppsala University</t>
  </si>
  <si>
    <t>Open access funding provided by Uppsala University. The authors had no funding for this research other than from their respective institutions.</t>
  </si>
  <si>
    <t>1833-2595</t>
  </si>
  <si>
    <t>INT J EDUC INTEGR</t>
  </si>
  <si>
    <t>Int. J. Educ. Intege.</t>
  </si>
  <si>
    <t>DEC 25</t>
  </si>
  <si>
    <t>10.1007/s40979-023-00146-z</t>
  </si>
  <si>
    <t>DA1W4</t>
  </si>
  <si>
    <t>WOS:001129231700001</t>
  </si>
  <si>
    <t>Yan, H; Zhang, HJ; Liu, LL; Zhou, DL; Xu, XF; Zhang, Z; Yan, SC</t>
  </si>
  <si>
    <t>Yan, Han; Zhang, Haijun; Liu, Linlin; Zhou, Dongliang; Xu, Xiaofei; Zhang, Zhao; Yan, Shuicheng</t>
  </si>
  <si>
    <t>Toward Intelligent Design: An AI-Based Fashion Designer Using Generative Adversarial Networks Aided by Sketch and Rendering Generators</t>
  </si>
  <si>
    <t>IEEE TRANSACTIONS ON MULTIMEDIA</t>
  </si>
  <si>
    <t>Fashion design; generative adversarial network; image translation; fashion data</t>
  </si>
  <si>
    <t>The traditional fashion industry is heavily dependent on designers whose talent and vision have a significant impact on their innovative designs. Through taking advantage of recent advances in image-to-image translation by generative adversarial networks (GANs), marked improvement in designers' efficiency is now possible. Considering both randomness and controllability in the design process, this article presents a novel artificial intelligence (AI)-based framework for fashion design. Under this framework, a sketch-generation module which is based on latent space is firstly introduced for designing various sketches. Secondly, a rendering-generation module is proposed to learn mapping between textures and sketches to complete the task of fashion design. In order to achieve effectiveness in synthesizing semantic-aware textures on sketches, a multi-conditional feature interaction module is developed in the rendering-generation model. Moreover, two different training schemes are introduced to optimize both the sketch-generation module and the rendering-generation module. In order to evaluate the performance of our proposed models, we built a large-scale dataset which consists of 115,584 pairs of fashion item images. Experimental results demonstrate the effectiveness of our proposed method, and indicate that our model can facilitate designers' design process by taking full advantage of the controllability of different conditions (e.g., sketch and texture) and the randomness of latent space.</t>
  </si>
  <si>
    <t>[Yan, Han; Zhang, Haijun; Liu, Linlin; Zhou, Dongliang; Xu, Xiaofei] Xili Univ Town, Harbin Inst Technol Shenzhen, Dept Comp Sci, Shenzhen 518055, Peoples R China; [Zhang, Zhao] Hefei Univ Technol, Dept Comp Sci, Hefei 230000, Peoples R China; [Yan, Shuicheng] Sea AI Lab SAIL, Singapore 11758, Singapore; [Yan, Shuicheng] Natl Univ Singapore, Singapore 117583, Singapore</t>
  </si>
  <si>
    <t>Harbin Institute of Technology; Hefei University of Technology; National University of Singapore</t>
  </si>
  <si>
    <t>Zhang, HJ (corresponding author), Xili Univ Town, Harbin Inst Technol Shenzhen, Dept Comp Sci, Shenzhen 518055, Peoples R China.</t>
  </si>
  <si>
    <t>20b351014@stu.hit.edu.cn; hjzhang@hit.edu.cn; liulinlin@stu.hit.edu.cn; zhou_dongliang@stu.hit.edu.cn; xiaofei@hit.edu.cn; cszzhang@gmail.com; yansc@sea.com</t>
  </si>
  <si>
    <t>Yan, Shuicheng/HCI-1431-2022; Zhang, Haijun/N-8470-2015; Zhou, Dongliang/AAY-4577-2021; Zhang, Zhao/B-5136-2010</t>
  </si>
  <si>
    <t>Zhou, Dongliang/0000-0003-0361-8597; Zhang, Zhao/0000-0002-5703-7969</t>
  </si>
  <si>
    <t>National Natural Science Foundation of China [61972112, 61832004]; Guangdong Basic and Applied Basic Research Foundation [2021B1515020088]; Shenzhen Science and Technology Program [JCYJ20210324131203009]; HITSZ-J&amp;A Joint Laboratory of Digital Design and Intelligent Fabrication [HITSZ-JA-2021A01]</t>
  </si>
  <si>
    <t>National Natural Science Foundation of China(National Natural Science Foundation of China (NSFC)); Guangdong Basic and Applied Basic Research Foundation; Shenzhen Science and Technology Program; HITSZ-J&amp;A Joint Laboratory of Digital Design and Intelligent Fabrication</t>
  </si>
  <si>
    <t>This work was supported in part by the National Natural Science Foundation of China under Grants 61972112 and 61832004, in part by the Guangdong Basic and Applied Basic Research Foundation under Grant 2021B1515020088, in part by the Shenzhen Science and Technology Program under Grant JCYJ20210324131203009, and in part by the HITSZ-J&amp;A Joint Laboratory of Digital Design and Intelligent Fabrication under Grant HITSZ-J&amp;A-2021A01.</t>
  </si>
  <si>
    <t>1520-9210</t>
  </si>
  <si>
    <t>1941-0077</t>
  </si>
  <si>
    <t>IEEE T MULTIMEDIA</t>
  </si>
  <si>
    <t>IEEE Trans. Multimedia</t>
  </si>
  <si>
    <t>10.1109/TMM.2022.3146010</t>
  </si>
  <si>
    <t>Computer Science, Information Systems; Computer Science, Software Engineering; Telecommunications</t>
  </si>
  <si>
    <t>J1QV6</t>
  </si>
  <si>
    <t>WOS:001007432100056</t>
  </si>
  <si>
    <t>Zhao, JH; Wang, XY; Zhu, JY; Chukwudi, C; Finebaum, A; Zhang, J; Yang, S; He, SJ; Saeidi, N</t>
  </si>
  <si>
    <t>Zhao, Junhan; Wang, Xiyue; Zhu, Junyou; Chukwudi, Chijioke; Finebaum, Andrew; Zhang, Jun; Yang, Sen; He, Shijie; Saeidi, Nima</t>
  </si>
  <si>
    <t>PhaseFIT: live-organoid phase-fluorescent image transformation via generative AI</t>
  </si>
  <si>
    <t>LIGHT-SCIENCE &amp; APPLICATIONS</t>
  </si>
  <si>
    <t>INTESTINE; COLITIS; COLON; CELLS</t>
  </si>
  <si>
    <t>Organoid models have provided a powerful platform for mechanistic investigations into fundamental biological processes involved in the development and function of organs. Despite the potential for image-based phenotypic quantification of organoids, their complex 3D structure, and the time-consuming and labor-intensive nature of immunofluorescent staining present significant challenges. In this work, we developed a virtual painting system, PhaseFIT (phase-fluorescent image transformation) utilizing customized and morphologically rich 2.5D intestinal organoids, which generate virtual fluorescent images for phenotypic quantification via accessible and low-cost organoid phase images. This system is driven by a novel segmentation-informed deep generative model that specializes in segmenting overlap and proximity between objects. The model enables an annotation-free digital transformation from phase-contrast to multi-channel fluorescent images. The virtual painting results of nuclei, secretory cell markers, and stem cells demonstrate that PhaseFIT outperforms the existing deep learning-based stain transformation models by generating fine-grained visual content. We further validated the efficiency and accuracy of PhaseFIT to quantify the impacts of three compounds on crypt formation, cell population, and cell stemness. PhaseFIT is the first deep learning-enabled virtual painting system focused on live organoids, enabling large-scale, informative, and efficient organoid phenotypic quantification. PhaseFIT would enable the use of organoids in high-throughput drug screening applications. PhaseFIT is a cutting-edge, segmentation-informed generative AI which effortlessly transforms one dimensional phase contrast images into rich, multi-channel fluorescent visuals for rapid, annotation-free phenotypic quantification, setting a new standard for high content drug screening applications.</t>
  </si>
  <si>
    <t>[Zhao, Junhan; Zhu, Junyou; Chukwudi, Chijioke; Finebaum, Andrew; He, Shijie; Saeidi, Nima] Massachusetts Gen Hosp, Dept Surg, Div Gastrointestinal &amp; Oncol Surg, Boston, MA 02114 USA; [Zhao, Junhan; Zhu, Junyou; Chukwudi, Chijioke; He, Shijie; Saeidi, Nima] Massachusetts Gen Hosp, Ctr Engn Med &amp; Surg, Dept Surg, Boston, MA 02114 USA; [Zhao, Junhan; Zhu, Junyou; Chukwudi, Chijioke; He, Shijie; Saeidi, Nima] Harvard Med Sch, Dept Biomed Informat, Boston, MA 02115 USA; [Zhao, Junhan] Harvard TH Chan Sch Publ Hlth, Dept Biostat, Boston, MA 02115 USA; [Wang, Xiyue] Sichuan Univ, Coll Biomed Engn, Chengdu 610065, Sichuan, Peoples R China; [Zhu, Junyou; Chukwudi, Chijioke; He, Shijie; Saeidi, Nima] Shriners Hosp Children Boston, Boston, MA 02114 USA; [Zhang, Jun; Yang, Sen] Tencent AI Lab, Shenzhen 518057, Guangdong, Peoples R China; [Saeidi, Nima] Harvard Stem Cell Inst, Cambridge, MA 02138 USA</t>
  </si>
  <si>
    <t>Harvard University; Massachusetts General Hospital; Harvard University; Massachusetts General Hospital; Harvard University; Harvard Medical School; Harvard University; Harvard T.H. Chan School of Public Health; Sichuan University; Tencent; Harvard University</t>
  </si>
  <si>
    <t>He, SJ; Saeidi, N (corresponding author), Massachusetts Gen Hosp, Dept Surg, Div Gastrointestinal &amp; Oncol Surg, Boston, MA 02114 USA.;He, SJ; Saeidi, N (corresponding author), Massachusetts Gen Hosp, Ctr Engn Med &amp; Surg, Dept Surg, Boston, MA 02114 USA.;He, SJ; Saeidi, N (corresponding author), Harvard Med Sch, Dept Biomed Informat, Boston, MA 02115 USA.;He, SJ; Saeidi, N (corresponding author), Shriners Hosp Children Boston, Boston, MA 02114 USA.;Saeidi, N (corresponding author), Harvard Stem Cell Inst, Cambridge, MA 02138 USA.</t>
  </si>
  <si>
    <t>she9@mgh.harvard.edu; nsaeidi@mgh.harvard.edu</t>
  </si>
  <si>
    <t>Wang, Xiyue/GXM-5641-2022</t>
  </si>
  <si>
    <t>Wang, Xiyue/0000-0002-3597-9090</t>
  </si>
  <si>
    <t>Foundation for the National Institutes of Health (Foundation for the National Institutes of Health, Inc.) [R01DK123219, K01DK103947]; National Institutes of Health</t>
  </si>
  <si>
    <t>Foundation for the National Institutes of Health (Foundation for the National Institutes of Health, Inc.)(United States Department of Health &amp; Human ServicesNational Institutes of Health (NIH) - USA); National Institutes of Health(United States Department of Health &amp; Human ServicesNational Institutes of Health (NIH) - USA)</t>
  </si>
  <si>
    <t>The authors would like to thank the members of the Saeidi laboratory at MGH. This work was partially supported by funding from the National Institutes of Health (R01DK123219 and K01DK103947 to N.S.).</t>
  </si>
  <si>
    <t>2095-5545</t>
  </si>
  <si>
    <t>2047-7538</t>
  </si>
  <si>
    <t>LIGHT-SCI APPL</t>
  </si>
  <si>
    <t>Light-Sci. Appl.</t>
  </si>
  <si>
    <t>DEC 14</t>
  </si>
  <si>
    <t>10.1038/s41377-023-01296-y</t>
  </si>
  <si>
    <t>Optics</t>
  </si>
  <si>
    <t>CN3A8</t>
  </si>
  <si>
    <t>WOS:001125877200002</t>
  </si>
  <si>
    <t>Du, CJ; Zou, GS; Huo, JP; Feng, B; Zhanwen, A; Liu, L</t>
  </si>
  <si>
    <t>Du, Chengjie; Zou, Guisheng; Huo, Jinpeng; Feng, Bin; Zhanwen, A.; Liu, Lei</t>
  </si>
  <si>
    <t>Generative AI-enabled microstructure design of porous thermal interface materials with desired effective thermal conductivity</t>
  </si>
  <si>
    <t>JOURNAL OF MATERIALS SCIENCE</t>
  </si>
  <si>
    <t>PROPERTY; PREDICTION; MEDIA</t>
  </si>
  <si>
    <t>The conventional approach to achieve desired effective thermal conductivity (ETC) of porous thermal interface materials (TIM) is processing-microstructure-properties forward analysis, which contains various trial-and-error cycles and is hence inefficient for materials development. Establishing the linkage from ETC to microstructure is essential; however, the recently developed methods including microstructure characterization and reconstruction are suffering from limited accuracy and computational efficiency. To address these problem, in this paper, generative artificial intelligence (AI) model was first implemented to design microstructure of porous TIM with desired ETC. Here, we introduced a representative porous TIM, sintered silver, and a typical kind of generative AI model, conditional generative adversarial network (CGAN), as an example for illustration. The CGAN model can efficiently generate sharp and crisp microstructures of sintered Ag with excellent morphology realism. Besides visual inspection, the ETC values of generated microstructures were evaluated by convolution neural network (CNN) model. It was found that the CGAN model also exhibits satisfactory performance in physical meaning, since the determination coefficient R2 between target ETC and CNN predicted ETC values is 0.985. These results confirm the effectiveness of generative AI model capable of synthesizing microstructure of porous TIM with desired ETC, and not limited to porous TIM, the approaches present here can also be generalized and applicable to design microstructure of other porous media and composites.</t>
  </si>
  <si>
    <t>[Du, Chengjie; Zou, Guisheng; Huo, Jinpeng; Feng, Bin; Zhanwen, A.; Liu, Lei] Tsinghua Univ, Dept Mech Engn, State Key Lab Tribol, Beijing 100084, Peoples R China; [Zhanwen, A.] Qinghai Univ, Sch Mech Engn, Xining 810016, Qinghai, Peoples R China</t>
  </si>
  <si>
    <t>Tsinghua University; Qinghai University</t>
  </si>
  <si>
    <t>Liu, L (corresponding author), Tsinghua Univ, Dept Mech Engn, State Key Lab Tribol, Beijing 100084, Peoples R China.</t>
  </si>
  <si>
    <t>liulei@tsinghua.edu.cn</t>
  </si>
  <si>
    <t>Liu, Lei/P-5394-2014</t>
  </si>
  <si>
    <t>This work was supported by National Natural Science Foundation of China (52075287, 52275346). [52075287, 52275346]; National Natural Science Foundation of China</t>
  </si>
  <si>
    <t>This work was supported by National Natural Science Foundation of China (52075287, 52275346).(National Natural Science Foundation of China (NSFC)); National Natural Science Foundation of China(National Natural Science Foundation of China (NSFC))</t>
  </si>
  <si>
    <t>This work was supported by National Natural Science Foundation of China (52075287, 52275346).</t>
  </si>
  <si>
    <t>0022-2461</t>
  </si>
  <si>
    <t>1573-4803</t>
  </si>
  <si>
    <t>J MATER SCI</t>
  </si>
  <si>
    <t>J. Mater. Sci.</t>
  </si>
  <si>
    <t>2023 NOV 1</t>
  </si>
  <si>
    <t>10.1007/s10853-023-09018-w</t>
  </si>
  <si>
    <t>Materials Science, Multidisciplinary</t>
  </si>
  <si>
    <t>Materials Science</t>
  </si>
  <si>
    <t>X2OO1</t>
  </si>
  <si>
    <t>WOS:001096902600002</t>
  </si>
  <si>
    <t>Knight, S; -Deane, CD; Heggart, K; Kitto, K; Kozanoglu, DC; Maher, D; Narayan, B; Zarrabi, F</t>
  </si>
  <si>
    <t>Knight, Simon; -Deane, Camille Dickson; Heggart, Keith; Kitto, Kirsty; Kozanoglu, Dilek Cetindamar; Maher, Damian; Narayan, Bhuva; Zarrabi, Forooq</t>
  </si>
  <si>
    <t>Generative AI in the Australian education system: An open data set of stakeholder recommendations and emerging analysis from a public inquiry</t>
  </si>
  <si>
    <t>policy analysis; content analysis; edtech; participatory; AI ethics</t>
  </si>
  <si>
    <t>The launch of new tools in late 2022 heralded significant growth in attention to the impacts of generative AI (GenAI) in education. Claims of the potential impact on education are contested, but there are clear risks of inappropriate use particularly where GenAI aligns poorly with learning aims. In response, in mid-2023, the Australian Federal Government held an inquiry, calling for public submissions. This inquiry offers a lens onto the policy framing of GenAI in education and provides the object of investigation for this paper. We use the inquiry submissions, extracting structured claims from each. This extraction is provided as an open data set for further research, while this paper focuses on our analysis of the policy recommendations made.</t>
  </si>
  <si>
    <t>[Knight, Simon; -Deane, Camille Dickson; Heggart, Keith; Kitto, Kirsty; Kozanoglu, Dilek Cetindamar; Maher, Damian; Narayan, Bhuva] Univ Technol Sydney, Ctr Res Educ Digital Soc, Ultimo, NSW, Australia; [Zarrabi, Forooq] Univ Technol Sydney, TD Sch, Ultimo, NSW, Australia; [-Deane, Camille Dickson; Kozanoglu, Dilek Cetindamar] Univ Technol Sydney, Fac Engn &amp; IT, Ultimo, NSW, Australia; [Heggart, Keith; Maher, Damian; Narayan, Bhuva] Univ Technol Sydney, Fac Arts &amp; Social Sci, Ultimo, NSW, Australia; [Kitto, Kirsty] Univ Technol Sydney, Connected Intelligence Ctr, Ultimo, NSW, Australia</t>
  </si>
  <si>
    <t>University of Technology Sydney; University of Technology Sydney; University of Technology Sydney; University of Technology Sydney; University of Technology Sydney</t>
  </si>
  <si>
    <t>Knight, S (corresponding author), Univ Technol Sydney, Ctr Res Educ Digital Soc, Ultimo, NSW, Australia.</t>
  </si>
  <si>
    <t>simon.knight@uts.edu.au</t>
  </si>
  <si>
    <t>Maher, Damien/E-3443-2012; CETINDAMAR, DILEK/R-9278-2019; Narayan, Bhuva/M-4044-2015; Dickson-Deane, Camille/N-7364-2016; Knight, Simon/O-1513-2013</t>
  </si>
  <si>
    <t>Maher, Damien/0000-0003-1899-005X; CETINDAMAR, DILEK/0000-0002-0457-3258; Narayan, Bhuva/0000-0001-8852-5589; Dickson-Deane, Camille/0000-0002-5504-7856; Knight, Simon/0000-0002-8709-5780; Maher, Damian/0000-0002-3566-0805; Kitto, Kirsty/0000-0001-7642-7121; Heggart, Keith/0000-0003-2331-1234</t>
  </si>
  <si>
    <t>10.14742/ajet.8922</t>
  </si>
  <si>
    <t>WOS:001132966400004</t>
  </si>
  <si>
    <t>Wang, T; Lund, BD; Marengo, A; Pagano, A; Mannuru, NR; Teel, ZA; Pange, J</t>
  </si>
  <si>
    <t>Wang, Ting; Lund, Brady D.; Marengo, Agostino; Pagano, Alessandro; Mannuru, Nishith Reddy; Teel, Zoe A.; Pange, Jenny</t>
  </si>
  <si>
    <t>Exploring the Potential Impact of Artificial Intelligence (AI) on International Students in Higher Education: Generative AI, Chatbots, Analytics, and International Student Success</t>
  </si>
  <si>
    <t>artificial intelligence; AI; education; international students; personalized learning; adaptive learning; predictive analytics; chatbots</t>
  </si>
  <si>
    <t>LEARNING ANALYTICS; MOTIVATIONS; ISSUES</t>
  </si>
  <si>
    <t>International students face unique challenges in pursuing higher education in a foreign country. To address these challenges and enhance their academic experience, higher education institutions are increasingly exploring the use of artificial intelligence (AI) applications. This research essay aims to investigate the impact of AI on the education of international students. Instead of a traditional literature review, it employs a research approach to examine the potential applications of AI and discuss associated concerns. The research paper explores various AI applications, such as personalized learning experiences, adaptive testing, predictive analytics, and chatbots for learning and research. By analyzing the role of AI in education for international students, this research paper sheds light on how AI can improve learning efficiency and provide customized educational support. Additionally, it identifies significant risks and limitations, including privacy concerns, cultural differences, language proficiency, and ethical implications, which must be effectively addressed. The findings contribute to a better understanding of the potential impact of AI on international students' educational experiences and offer insights into the integration of AI into educational administration and learning processes.</t>
  </si>
  <si>
    <t>[Wang, Ting] Emporia State Univ, Dept Informat Sci, Emporia, KS 66801 USA; [Lund, Brady D.; Mannuru, Nishith Reddy; Teel, Zoe A.] Univ North Texas, Dept Informat Sci, Denton, TX 76203 USA; [Marengo, Agostino] Univ Foggia, Dept Human Sci, I-71122 Foggia, Italy; [Pagano, Alessandro] Univ Bari, Dept Econ, I-70126 Bari, Italy; [Pange, Jenny] Univ Ioannina, Dept EC Educ, Ioannina 45110, Greece</t>
  </si>
  <si>
    <t>University of North Texas System; University of North Texas Denton; University of Foggia; Universita degli Studi di Bari Aldo Moro; University of Ioannina</t>
  </si>
  <si>
    <t>Marengo, A (corresponding author), Univ Foggia, Dept Human Sci, I-71122 Foggia, Italy.</t>
  </si>
  <si>
    <t>twang2@emporia.edu; brady.lund@unt.edu; agostino.marengo@unifg.it; alessandro.pagano@uniba.it; nishithreddymannuru@my.unt.edu; abbieteel@my.unt.edu; jpagge@uoi.gr</t>
  </si>
  <si>
    <t>Teel, Zoe Abbie/KFS-1378-2024; Marengo, Agostino/HMP-2450-2023; Mannuru, Nishith Reddy/GRJ-1450-2022; Pagano, Alessandro/N-9235-2013</t>
  </si>
  <si>
    <t>Teel, Zoe Abbie/0009-0007-0569-6114; Marengo, Agostino/0000-0003-2769-5642; Mannuru, Nishith Reddy/0000-0002-6423-4899; Pagano, Alessandro/0000-0002-7465-9778; Wang, Ting/0000-0002-1423-4559</t>
  </si>
  <si>
    <t>MAY 31</t>
  </si>
  <si>
    <t>10.3390/app13116716</t>
  </si>
  <si>
    <t>I8DR9</t>
  </si>
  <si>
    <t>WOS:001005041700001</t>
  </si>
  <si>
    <t>Korzynski, P; Mazurek, G; Krzypkowska, P; Kurasinski, A</t>
  </si>
  <si>
    <t>Korzynski, Pawel; Mazurek, Grzegorz; Krzypkowska, Pamela; Kurasinski, Artur</t>
  </si>
  <si>
    <t>Artificial intelligence prompt engineering as a new digital competence: Analysis of generative AI technologies such as ChatGPT</t>
  </si>
  <si>
    <t>ENTREPRENEURIAL BUSINESS AND ECONOMICS REVIEW</t>
  </si>
  <si>
    <t>artificialintelligence(AI); generativeartificialintelligence(GAI); ChatGPT; GPT-3; Bard; AI prompt engineering; digital competences; DigComp; prompting strategies</t>
  </si>
  <si>
    <t>Objective: The article aims to offer a thorough examination and comprehension of the challenges and prospects connected with artificial intelligence (AI) prompt engineering. Our research aimed to create a theoretical framework that would highlight optimal approaches in the field of AI prompt engineering.Research Design &amp; Methods: This research utilized a narrative and critical literature review and established a conceptual framework derived from existing literature taking into account both academic and practitioner sources. This article should be regarded as a conceptual work that emphasizes the best practices in the domain of AI prompt engineering.Findings: Based on the conducted deep and extensive query of academic and practitioner literature on the subject, as well as professional press and Internet portals, we identified various insights for effective AI prompt engineering. We provide specific prompting strategies.Implications &amp; Recommendations: The study revealed the profound implications of AI prompt engineering across various domains such as entrepreneurship, art, science, and healthcare. We demonstrated how the effective crafting of prompts can significantly enhance the performance of large language models (LLMs), generating more accurate and contextually relevant results. Our findings offer valuable insights for AI practitioners, researchers, educators, and organizations integrating AI into their operations, emphasizing the need to invest time and resources in prompt engineering. Moreover, we contributed the AI PROMPT framework to the field, providing clear and actionable guidelines for text-to-text prompt engineering. Contribution &amp; Value Added: The value of this study lies in its comprehensive exploration of AI prompt engineering as a digital competence. By building upon existing research and prior literature, this study aimed to provide a deeper understanding of the intricacies involved in AI prompt engineering and its role as a digital competence.</t>
  </si>
  <si>
    <t>[Korzynski, Pawel] Kozminski Univ, Dept Int Management, Ul Jagiellonska 57-59, PL-03301 Warsaw, Poland; [Mazurek, Grzegorz] Kozminski Univ, Dept Mkt, Ul Jagiellonska 57-59, PL-03301 Warsaw, Poland; [Krzypkowska, Pamela] Microsoft Poland, Inst Math, ul Al Jerozolimskie 195A, PL-02222 Warsaw, Poland; [Kurasinski, Artur] ul Szpitalna 4 M 8A, PL-00031 Warsaw, Poland</t>
  </si>
  <si>
    <t>Kozminski University; Kozminski University</t>
  </si>
  <si>
    <t>Korzynski, P (corresponding author), Kozminski Univ, Dept Int Management, Ul Jagiellonska 57-59, PL-03301 Warsaw, Poland.</t>
  </si>
  <si>
    <t>pkorzynski@alk.edu.pl; gmazurek@kozminski.edu.pl; pamela.krzypkowska@gmail.com; artur@revolver.pl</t>
  </si>
  <si>
    <t>Mazurek, Grzegorz/P-4258-2015; Korzynski, Pawel/H-5096-2013</t>
  </si>
  <si>
    <t>Mazurek, Grzegorz/0000-0002-0047-6944; Korzynski, Pawel/0000-0002-6457-4965</t>
  </si>
  <si>
    <t>CRACOW UNIV ECONOMICS</t>
  </si>
  <si>
    <t>KRACOW</t>
  </si>
  <si>
    <t>UL RAKOWICKA 27, KRACOW, 31510, POLAND</t>
  </si>
  <si>
    <t>2353-883X</t>
  </si>
  <si>
    <t>2353-8821</t>
  </si>
  <si>
    <t>ENTREPR BUS ECON REV</t>
  </si>
  <si>
    <t>Entrepr. Bus. Econ. Rev.</t>
  </si>
  <si>
    <t>10.15678/EBER.2023.110302</t>
  </si>
  <si>
    <t>U2DR4</t>
  </si>
  <si>
    <t>WOS:001082967300003</t>
  </si>
  <si>
    <t>Salah, M; Abdelfattah, F; Al Halbusi, H</t>
  </si>
  <si>
    <t>Salah, Mohammed; Abdelfattah, Fadi; Al Halbusi, Hussan</t>
  </si>
  <si>
    <t>Generative Artificial Intelligence (ChatGPT &amp; Bard) in Public Administration Research: A Double-Edged Sword for Street-Level Bureaucracy Studies</t>
  </si>
  <si>
    <t>INTERNATIONAL JOURNAL OF PUBLIC ADMINISTRATION</t>
  </si>
  <si>
    <t>Generative AI; ChatGPT; Bard; street-level bureaucracy; methodological advancements</t>
  </si>
  <si>
    <t>This manuscript critically examines the adoption of generative AI tools, notably ChatGPT and Bard, within public administration research, especially in street-level bureaucracy. While these tools offer revolutionary insights into bureaucratic behaviors and decision-making, they pose significant ethical dilemmas, including potential biases and data privacy concerns. The paper offers comprehensive recommendations designed to help researchers navigate these challenges, emphasizing the need for robust data validation, enhanced transparency, and continuous adherence to evolving ethical standards. The overarching aim is to facilitate responsible AI integration, ensuring research methodologies' efficacy and preserving ethical integrity in public administration inquiries.</t>
  </si>
  <si>
    <t>[Salah, Mohammed; Abdelfattah, Fadi] Modern Coll Business &amp; Sci MCBS, Dept Business &amp; Econ, Muscat, Oman; [Al Halbusi, Hussan] Ahmed Bin Mohammed Mil Coll ABMMC, Management Dept, Doha, Qatar</t>
  </si>
  <si>
    <t>Ahmed Bin Mohammed Military College</t>
  </si>
  <si>
    <t>Salah, M (corresponding author), Modern Coll Business &amp; Sci MCBS, Dept Business &amp; Econ, Muscat, Oman.</t>
  </si>
  <si>
    <t>sala142@yahoo.com</t>
  </si>
  <si>
    <t>SALAH, MOHAMMED/GPK-4620-2022; AbdelFattah, Fadi/L-7441-2014</t>
  </si>
  <si>
    <t>SALAH, MOHAMMED/0000-0002-1742-2790; AbdelFattah, Fadi/0000-0002-4665-4777</t>
  </si>
  <si>
    <t>0190-0692</t>
  </si>
  <si>
    <t>1532-4265</t>
  </si>
  <si>
    <t>INT J PUBLIC ADMIN</t>
  </si>
  <si>
    <t>Int. J. Public Adm.</t>
  </si>
  <si>
    <t>2023 NOV 4</t>
  </si>
  <si>
    <t>10.1080/01900692.2023.2274801</t>
  </si>
  <si>
    <t>Public Administration</t>
  </si>
  <si>
    <t>X5LA7</t>
  </si>
  <si>
    <t>WOS:001098851800001</t>
  </si>
  <si>
    <t>Lodge, JM; Thompson, K; Corrin, L</t>
  </si>
  <si>
    <t>Lodge, Jason M.; Thompson, Kate; Corrin, Linda</t>
  </si>
  <si>
    <t>Mapping out a research agenda for generative artificial intelligence in tertiary education</t>
  </si>
  <si>
    <t>generative artificial intelligence; research; assessment</t>
  </si>
  <si>
    <t>Generative artificial intelligence (AI) has taken the world by storm. In this editorial, we outline some of the key areas of tertiary education impacted by large language models and associated applications that will require re-thinking and research to address in the short to medium term. Given how rapidly generative AI developments are currently occurring, this editorial is speculative. Although there is a long history of research on AI in education, the current situation is both unprecedented and seemingly not something that the AI in education community fully predicted. We also outline the editorial position of AJET in regards to generative AI to assist authors using tools such as ChatGPT as any part of the research or writing process. This is a rapidly evolving space. We have attempted to provide some clarity in this editorial while acknowledging that we may need to revisit some or all of what we offer here in the weeks and months ahead.</t>
  </si>
  <si>
    <t>[Lodge, Jason M.] Univ Queensland, St Lucia, Australia; [Thompson, Kate] Queensland Univ Technol, Brisbane, Australia; [Corrin, Linda] Deakin Univ, Burwood, Australia</t>
  </si>
  <si>
    <t>University of Queensland; Queensland University of Technology (QUT); Deakin University</t>
  </si>
  <si>
    <t>Lodge, JM (corresponding author), Univ Queensland, St Lucia, Australia.</t>
  </si>
  <si>
    <t>jason.lodge@uq.edu.au</t>
  </si>
  <si>
    <t>BUCCINI, FRANCESCA/HTM-4917-2023; Lodge, Jason M/F-8079-2018; Corrin, Linda/AAD-8545-2019</t>
  </si>
  <si>
    <t>Lodge, Jason/0000-0001-6330-6160; Thompson, Kate/0000-0003-0738-0205; Corrin, Linda/0000-0002-1593-3271</t>
  </si>
  <si>
    <t>10.14742/ajet.8695</t>
  </si>
  <si>
    <t>G4FT6</t>
  </si>
  <si>
    <t>WOS:000988740600002</t>
  </si>
  <si>
    <t>Troy, C; Sturley, S; Alcaraz-Calero, JM; Wang, Q</t>
  </si>
  <si>
    <t>Troy, Christopher; Sturley, Sean; Alcaraz-Calero, Jose M.; Wang, Qi</t>
  </si>
  <si>
    <t>Enabling Generative AI to Produce SQL Statements: A Framework for the Auto- Generation of Knowledge Based on EBNF Context-Free Grammars</t>
  </si>
  <si>
    <t>ANTLR4; ATN; automata; EBNF grammar; generative AI; parser generator; SQL</t>
  </si>
  <si>
    <t>The motivation of this paper is to be able to generate high-quality (Structured Query Language) SQL language sentences in terms of syntax and semantics so that they are intended to achieve a concrete predefined and well-known aim. For example, generating SQL sentences that are capable of detecting a cyber-attack from a set of metrics available in a database table. Two solutions are needed to achieve so, a tool that enables and performs the syntactically valid generation of SQL sentences and an (Artificial intelligence) AI algorithm able to guide the semantics of such generations to the achievement of the best sentences for the intended purpose. The main contribution of this manuscript is the first of these solutions. To be concrete, this paper proposes a tool to enable and generate syntactic-valid language sentences. The tool can deal with any language defined as an ANTLR4 EBNF (Extended Backus-Naur Form) grammar. The paper also provides a methodology to help achieve an EBNF grammar suitable for addressing concerns related to ambiguity and recursion as a direct result of the generation process. The paper further implements a prototype utilizing ANTLR4's recognizer and its Augmented Transition Network for language generation using EBNF grammars. In-depth design and logic implementation are provided, showcasing areas of interest for AI integration. The achieved prototype showed an ability to easily generate syntactically valid SQL statements at various depths, with observable problems becoming more apparent during the exponential recursive growth. Our mitigation controls for such scenarios proved to be successful and were able to complete the recursion whilst also moving the push-down automata forward until query completion. Experimental validation was performed against a SQL EBNF grammar feeding the generated SQL statement into an SQL parser to validate the syntax.</t>
  </si>
  <si>
    <t>[Troy, Christopher; Sturley, Sean; Alcaraz-Calero, Jose M.; Wang, Qi] Univ West Scotland, Sch Comp Engn &amp; Phys Sci, Paisley PA1 2BE, Scotland</t>
  </si>
  <si>
    <t>University of West Scotland</t>
  </si>
  <si>
    <t>Troy, C (corresponding author), Univ West Scotland, Sch Comp Engn &amp; Phys Sci, Paisley PA1 2BE, Scotland.</t>
  </si>
  <si>
    <t>christopher.troy@uws.ac.uk</t>
  </si>
  <si>
    <t>Alcaraz Calero, Jose M./JWP-8793-2024</t>
  </si>
  <si>
    <t>Alcaraz Calero, Jose M./0000-0002-2654-7595</t>
  </si>
  <si>
    <t>Carnegie Trust for the Universities of Scotland [PHD010695]; European Commission through Autonomous Trust, Security and Privacy Management Framework for IoT (ARCADIAN-IoT) [101020259]</t>
  </si>
  <si>
    <t>Carnegie Trust for the Universities of Scotland; European Commission through Autonomous Trust, Security and Privacy Management Framework for IoT (ARCADIAN-IoT)</t>
  </si>
  <si>
    <t>This work was supported in part by the Carnegie Trust for the Universities of Scotland under Grant PHD010695; and in part by the European Commission through Autonomous Trust, Security and Privacy Management Framework for IoT (ARCADIAN-IoT) under Grant H2020-SU-DS-2018-2019-2020/101020259.</t>
  </si>
  <si>
    <t>10.1109/ACCESS.2023.3329071</t>
  </si>
  <si>
    <t>Y7FK7</t>
  </si>
  <si>
    <t>WOS:001106880400001</t>
  </si>
  <si>
    <t>Rastogi, C; Ribeiro, MT; King, N; Nori, H; Amershi, S</t>
  </si>
  <si>
    <t>Rastogi, Charvi; Ribeiro, Marco Tulio; King, Nicholas; Nori, Harsha; Amershi, Saleema</t>
  </si>
  <si>
    <t>Supporting Human-AI Collaboration in Auditing LLMs with LLMs</t>
  </si>
  <si>
    <t>language models; generative models; auditing; biases</t>
  </si>
  <si>
    <t>Large language models (LLMs) are increasingly becoming all-powerful and pervasive via deployment in sociotechnical systems. Yet these language models, be it for classification or generation, have been shown to be biased, behave irresponsibly, causing harm to people at scale. It is crucial to audit these language models rigorously before deployment. Existing auditing tools use either or both humans and AI to find failures. In this work, we draw upon literature in human-AI collaboration and sensemaking, and interview research experts in safe and fair AI, to build upon the auditing tool: AdaTest [36], which is powered by a generative LLM. Through the design process we highlight the importance of sensemaking and human-AI communication to leverage complementary strengths of humans and generative models in collaborative auditing. To evaluate the effectiveness of AdaTest++, the augmented tool, we conduct user studies with participants auditing two commercial language models: OpenAI's GPT-3 and Azure's sentiment analysis model. Qualitative analysis shows that AdaTest++ effectively leverages human strengths such as schematization, hypothesis testing. Further, with our tool, users identified a variety of failures modes, covering 26 different topics over 2 tasks, that have been shown in formal audits and also those previously under-reported.</t>
  </si>
  <si>
    <t>[Rastogi, Charvi] Carnegie Mellon Univ, Pittsburgh, PA 15213 USA; [Ribeiro, Marco Tulio; King, Nicholas; Nori, Harsha; Amershi, Saleema] MSR Redmond, Redmond, WA USA</t>
  </si>
  <si>
    <t>Rastogi, C (corresponding author), Carnegie Mellon Univ, Pittsburgh, PA 15213 USA.</t>
  </si>
  <si>
    <t>Rastogi, Charvi/0000-0003-0820-4115</t>
  </si>
  <si>
    <t>NSF [CIF 1763734]; IBM PhD fellowship</t>
  </si>
  <si>
    <t>NSF(National Science Foundation (NSF)); IBM PhD fellowship(International Business Machines (IBM))</t>
  </si>
  <si>
    <t>This work was supported in part by NSF grant CIF 1763734. CR was supported in part by IBM PhD fellowship. We are grateful to Ece Kamar, John Joon Young Chung, Scott Lundberg and Victor Dibia for their early feedback on this work. We thank Amrita Singh, Ankur Mallick, Devang Thakkar, Emily Davis, Harshit Sahay, Jay Mardia, Nupoor Gandhi, Raunaq Bhirangi and Tejas Srinivasan for their help in running early-stage pilot studies. Finally, we thank the crowdauditing research group at CMU, especially, Ken Holstein and Wesley Deng for their insightful feedback on the work.</t>
  </si>
  <si>
    <t>10.1145/3600211.3604712</t>
  </si>
  <si>
    <t>WOS:001117838100069</t>
  </si>
  <si>
    <t>Schneider, L; Walsh, D; Olsen, B; de Pablo, J</t>
  </si>
  <si>
    <t>Schneider, Ludwig; Walsh, Dylan; Olsen, Bradley; de Pablo, Juan</t>
  </si>
  <si>
    <t>Generative BigSMILES: an extension for polymer informatics, computer simulations &amp; ML/AI</t>
  </si>
  <si>
    <t>DIGITAL DISCOVERY</t>
  </si>
  <si>
    <t>MOLECULAR-SIZE DISTRIBUTION</t>
  </si>
  <si>
    <t>The BigSMILES notation, a concise tool for polymer ensemble representation, is augmented here by introducing an enhanced version called generative BigSMILES. G-BigSMILES is designed for generative workflows, and is complemented by tailored software tools for ease of use. This extension integrates additional data, including reactivity ratios (or connection probabilities among repeat units), molecular weight distributions, and ensemble size. An algorithm, interpretable as a generative graph is devised that utilizes these data, enabling molecule generation from defined polymer ensembles. Consequently, the G-BigSMILES notation allows for efficient specification of complex molecular ensembles via a streamlined line notation, thereby providing a foundational tool for automated polymeric materials design. In addition, the graph interpretation of the G-BigSMILES notation sets the stage for robust machine learning methods capable of encapsulating intricate polymeric ensembles. The combination of G-BigSMILES with advanced machine learning techniques will facilitate straightforward property determination and in silico polymeric material synthesis automation. This integration has the potential to significantly accelerate materials design processes and advance the field of polymer science. Generative BigSMILES (G-BigSMILES) serves as a tool, providing a concise description that enables the generation of realistic ensembles of polymeric molecules, facilitating automated simulations and machine learning.</t>
  </si>
  <si>
    <t>[Schneider, Ludwig; de Pablo, Juan] Univ Chicago, Pritzker Sch Mol Engn, 5740 S Ellis Ave, Chicago, IL 60637 USA; [Walsh, Dylan; Olsen, Bradley] MIT, Dept Chem Engn, 77 Massachusetts Ave, Cambridge, MA USA</t>
  </si>
  <si>
    <t>University of Chicago; Massachusetts Institute of Technology (MIT)</t>
  </si>
  <si>
    <t>Schneider, L; de Pablo, J (corresponding author), Univ Chicago, Pritzker Sch Mol Engn, 5740 S Ellis Ave, Chicago, IL 60637 USA.</t>
  </si>
  <si>
    <t>ludwigschneider@uchicago.edu; depablo@uchicago.edu</t>
  </si>
  <si>
    <t>Olsen, Bradley/0000-0002-7272-7140; Walsh, Dylan/0000-0001-7981-2770; Schneider, Ludwig/0000-0002-3910-8217</t>
  </si>
  <si>
    <t>Innovation and Technology Ecosystems; Eric and Wendy Schmidt AI in Science Postdoctoral Fellowship; Schmidt Futures program [2134795]; National Science Foundation Convergence Accelerator award</t>
  </si>
  <si>
    <t>Innovation and Technology Ecosystems(National Science Foundation (NSF)NSF - Directorate for Technology, Innovation and Partnerships (TIP)NSF - Innovation &amp; Technology Ecosystems (ITE)); Eric and Wendy Schmidt AI in Science Postdoctoral Fellowship; Schmidt Futures program; National Science Foundation Convergence Accelerator award</t>
  </si>
  <si>
    <t>L. Schneider gratefully acknowledges the support of the Eric and Wendy Schmidt AI in Science Postdoctoral Fellowship, a Schmidt Futures program. This work was supported by the National Science Foundation Convergence Accelerator award number 2134795.</t>
  </si>
  <si>
    <t>ROYAL SOC CHEMISTRY</t>
  </si>
  <si>
    <t>THOMAS GRAHAM HOUSE, SCIENCE PARK, MILTON RD, CAMBRIDGE CB4 0WF, CAMBS, ENGLAND</t>
  </si>
  <si>
    <t>2635-098X</t>
  </si>
  <si>
    <t>DIGIT DISCOV</t>
  </si>
  <si>
    <t>Digit. Discov.</t>
  </si>
  <si>
    <t>JAN 17</t>
  </si>
  <si>
    <t>10.1039/d3dd00147d</t>
  </si>
  <si>
    <t>Chemistry, Multidisciplinary; Computer Science, Interdisciplinary Applications</t>
  </si>
  <si>
    <t>EX5S8</t>
  </si>
  <si>
    <t>WOS:001109972600001</t>
  </si>
  <si>
    <t>Croisdale, G; Chung, JJY; Huang, E; Birchmeier, G; Wang, X; Guo, AH</t>
  </si>
  <si>
    <t>Croisdale, Gregory; Chung, John Joon Young; Huang, Emily; Birchmeier, Gage; Wang, Xu; Guo, Anhong</t>
  </si>
  <si>
    <t>DeckFlow: A Card Game Interface for Exploring Generative Model Flows</t>
  </si>
  <si>
    <t>generative model; multimodal interaction; text-to-image generation</t>
  </si>
  <si>
    <t>Recent Generative AI models have been shown to be substantially useful in different fields, often bridging modal gaps, such as text-prompted image or human motion generation. However, their accompanying interfaces do not sufficiently support iteration and interaction between models, and due to the computational intensity of generative technology, can be unforgiving to user errors and missteps. We propose DeckFlow, a no-code interface for multimodal generative workflows which encourages rapid iteration and experimentation between disparate models. DeckFlow emphasizes the persistence of output, the maintenance of generation settings and dependencies, and continual steering through user-defined concept groups. Taking design cues from Card Games and Affinity Diagrams, DeckFlow is aimed to lower the barrier for non-experts to explore and interact with generative AI.</t>
  </si>
  <si>
    <t>[Croisdale, Gregory; Huang, Emily; Birchmeier, Gage; Wang, Xu; Guo, Anhong] Univ Michigan, Ann Arbor, MI 48109 USA; [Chung, John Joon Young] SpaceCraft Inc, Los Angeles, CA USA</t>
  </si>
  <si>
    <t>University of Michigan System; University of Michigan</t>
  </si>
  <si>
    <t>Croisdale, G (corresponding author), Univ Michigan, Ann Arbor, MI 48109 USA.</t>
  </si>
  <si>
    <t>gregtc@umich.edu; jjyc@spacecraft.inc; emihuang@umich.edu; gsbirch@umich.edu; xwanghci@umich.edu; anhong@umich.edu</t>
  </si>
  <si>
    <t>Wang, Xu/0000-0001-5551-0815; Chung, John/0000-0002-8492-2525; Croisdale, Gregory/0000-0002-2180-963X</t>
  </si>
  <si>
    <t>10.1145/3586182.3615821</t>
  </si>
  <si>
    <t>WOS:001125107000088</t>
  </si>
  <si>
    <t>Franganillo, J</t>
  </si>
  <si>
    <t>Franganillo, Jorge</t>
  </si>
  <si>
    <t>Generative artificial intelligence and its impact on media content creation</t>
  </si>
  <si>
    <t>METHAODOS-REVISTA DE CIENCIAS SOCIALES</t>
  </si>
  <si>
    <t>artificial intelligence; creative algorithms; generative models; media content; technology ethics.</t>
  </si>
  <si>
    <t>Generative artificial intelligence (AI) is a rapidly advancing field that enables the automated production of high-quality textual, graphic, sound , audiovisual content. This technology has significant implications for journalism, advertising and entertainment, as well as ethical, legal and social issues. This paper examines the possibilities, limitations and risks of generative AI for content production in the media. It analyzes large language models oriented to automated writing, generative adversarial networks oriented to image and short video synthesis , deepfake technology for video manipulation and voice cloning. The implications of these technologies for intellectual property, information veracity, personal identity and human creativity are discussed. It is concluded that generative AI is a powerful and innovative tool for media content creation, but that it also requires careful and ethical use by both content producers and consumers.</t>
  </si>
  <si>
    <t>[Franganillo, Jorge] Univ Barcelona, Informac &amp; Comunicac, Barcelona, Spain</t>
  </si>
  <si>
    <t>University of Barcelona</t>
  </si>
  <si>
    <t>Franganillo, J (corresponding author), Univ Barcelona, Informac &amp; Comunicac, Barcelona, Spain.</t>
  </si>
  <si>
    <t>franganillo@ub.edu</t>
  </si>
  <si>
    <t>Franganillo, Jorge/K-8534-2019</t>
  </si>
  <si>
    <t>Franganillo, Jorge/0000-0003-4128-6546</t>
  </si>
  <si>
    <t>UNIV REY JUAN CARLOS, FAC CIENCIAS JURIDICAS &amp; SOCIALES</t>
  </si>
  <si>
    <t>MADRID</t>
  </si>
  <si>
    <t>CAMPUS DE VICALVARO, P ARTILLEROS, S-N, MADRID, 28032, SPAIN</t>
  </si>
  <si>
    <t>2340-8413</t>
  </si>
  <si>
    <t>METHAODOS</t>
  </si>
  <si>
    <t>Methaodos</t>
  </si>
  <si>
    <t>m231102a10</t>
  </si>
  <si>
    <t>10.17502/mrcs.v11i2.710</t>
  </si>
  <si>
    <t>Sociology</t>
  </si>
  <si>
    <t>S2SX7</t>
  </si>
  <si>
    <t>WOS:001069731400001</t>
  </si>
  <si>
    <t>Pretorius, L</t>
  </si>
  <si>
    <t>Pretorius, Lynette</t>
  </si>
  <si>
    <t>Fostering AI literacy: A teaching practice reflection</t>
  </si>
  <si>
    <t>generative artificial intelligence; ChatGPT; artificial intelligence; AI literacy; academic integrity</t>
  </si>
  <si>
    <t>This paper provides the reflections of an educator regarding the pedagogical use of generative artificial intelligence and the need for students to develop artificial intelligence literacy. It starts by providing an overview of generative artificial intelligence and the controversy that surrounds the technology in the contemporary higher education context. This is followed by an argument highlighting that the controversy in the field ignores the pedagogical applications of generative artificial intelligence. Finally, this paper demonstrates an example of how generative artificial intelligence has been used as part of a teaching strategy to help research students develop their artificial intelligence literacy. The paper argues that explicit modelling by educators can help students develop an understanding of generative artificial intelligence as a tool to improve their learning.</t>
  </si>
  <si>
    <t>[Pretorius, Lynette] Monash Univ, Fac Educ, Melbourne, Vic, Australia</t>
  </si>
  <si>
    <t>Monash University</t>
  </si>
  <si>
    <t>Pretorius, L (corresponding author), Monash Univ, Fac Educ, Melbourne, Vic, Australia.</t>
  </si>
  <si>
    <t>lynette.pretorius@monash.edu</t>
  </si>
  <si>
    <t>Pretorius, Lynette/JJE-5868-2023</t>
  </si>
  <si>
    <t>Pretorius, Lynette/0000-0002-8998-7686</t>
  </si>
  <si>
    <t>T1</t>
  </si>
  <si>
    <t>T8</t>
  </si>
  <si>
    <t>J1IN0</t>
  </si>
  <si>
    <t>WOS:001007212500001</t>
  </si>
  <si>
    <t>Bryan-Kinns, N; Ford, C; Chamberlain, A; Benford, S; Kennedy, H; Li, ZJ; Qiong, W; Xia, G; Rezwana, J</t>
  </si>
  <si>
    <t>Bryan-Kinns, Nick; Ford, Corey; Chamberlain, Alan; Benford, Steve; Kennedy, Helen; Li, Zijin; Qiong, Wu; Xia, Gus; Rezwana, Jeba</t>
  </si>
  <si>
    <t>Explainable AI for the Arts: XAIxArts</t>
  </si>
  <si>
    <t>explainable AI (XAI); Artificial Intelligence (AI); arts; generative arts; Human-Computer Interaction (HCI); Interaction Design</t>
  </si>
  <si>
    <t>This firstworkshop on explainable AI for the Arts (XAIxArts) brings together a community of researchers and creative practitioners in Human-Computer Interaction (HCI), Interaction Design, AI, explainable AI (XAI), and Digital Arts to explore the role of XAI for the Arts. XAI is a core concern of Human-Centred AI and relies heavily on HCI techniques to explore how complex and difficult to understand AI models such as deep learning techniques can be made more understandable to people. However, XAI research has primarily focused on work-oriented and task-oriented explanations of AI and there has been little research on XAI for creative domains such as the Arts. This workshop will: i) build an XAIxArts research community; ii) map out the current and future possible landscapes of XAIxArts; iii) critically reflect on the potential of XAI for the Arts, forming the basis for an edited book on XAIxArts and an international network of researchers.</t>
  </si>
  <si>
    <t>[Bryan-Kinns, Nick; Ford, Corey] Queen Mary Univ London, London, England; [Chamberlain, Alan; Benford, Steve; Kennedy, Helen] Univ Nottingham, Nottingham, England; [Li, Zijin] Cent Conservatory Mus, Beijing, Peoples R China; [Qiong, Wu] Tsinghua Univ, Beijing, Peoples R China; [Xia, Gus] NYU Shanghai, Shanghai, Peoples R China; [Rezwana, Jeba] Univ N Carolina, Charlotte, NC USA</t>
  </si>
  <si>
    <t>University of London; Queen Mary University London; University of Nottingham; Central Conservatory of Music; Tsinghua University; NYU Shanghai; University of North Carolina; University of North Carolina Charlotte</t>
  </si>
  <si>
    <t>Bryan-Kinns, N (corresponding author), Queen Mary Univ London, London, England.</t>
  </si>
  <si>
    <t>n.bryan-kinns@qmul.ac.uk; c.j.ford@qmul.ac.uk; Alan.Chamberlain@Nottingham.ac.uk; Steve.Benford@Nottingham.ac.uk; Helen.Kennedy@nottingham.ac.uk; lzijin@ccom.edu.cn; qiong-wu@mail.tsinghua.edu.cn; gxia@nyu.edu; jrezwana@uncc.edu</t>
  </si>
  <si>
    <t>Bryan-Kinns, Nick/HLH-6487-2023</t>
  </si>
  <si>
    <t>Bryan-Kinns, Nick/0000-0002-1382-2914; Chamberlain, Alan/0000-0002-2122-8077; Kennedy, Helen W./0000-0002-8833-1220</t>
  </si>
  <si>
    <t>UK Research and Innovation [EP/S022694/1]; Queen Mary University of London Research Enabling Fund</t>
  </si>
  <si>
    <t>UK Research and Innovation(UK Research &amp; Innovation (UKRI)); Queen Mary University of London Research Enabling Fund</t>
  </si>
  <si>
    <t>Corey Ford is a research student at the UKRI Centre for Doctoral Training in Artificial Intelligence and Music, supported by UK Research and Innovation [grant number EP/S022694/1]. Supported by the Queen Mary University of London Research Enabling Fund.</t>
  </si>
  <si>
    <t>10.1145/3591196.3593517</t>
  </si>
  <si>
    <t>WOS:001119074200001</t>
  </si>
  <si>
    <t>Steinfeld, K</t>
  </si>
  <si>
    <t>Steinfeld, Kyle</t>
  </si>
  <si>
    <t>Clever little tricks: A socio-technical history of text-to-image generative models</t>
  </si>
  <si>
    <t>INTERNATIONAL JOURNAL OF ARCHITECTURAL COMPUTING</t>
  </si>
  <si>
    <t>Machine learning; text-to-image; socio-technical study; generative AI</t>
  </si>
  <si>
    <t>The emergence of text-to-image generative models (e.g., Midjourney, DALL-E 2, Stable Diffusion) in the summer of 2022 impacted architectural visual culture suddenly, severely, and seemingly out of nowhere. To contextualize this phenomenon, this text offers a socio-technical history of text-to-image generative systems. Three moments in time, or scenes, are presented here: the first at the advent of AI in the middle of the last century; the second at the reawakening of a specific approach to machine learning at the turn of this century; the third that documents a rapid sequence of innovations, dubbed clever little tricks, that occurred across just 18 months. This final scene is the crux, and represents the first formal documentation of the recent history of a specific set of informal innovations. These innovations were produced by non-affiliated researchers and communities of creative contributors, and directly led to the technologies that so compellingly captured the architectural imagination in the summer of 2022. Across these scenes, we examine the technologies, application domains, infrastructures, social contexts, and practices that drive technical research and shape creative practice in this space.</t>
  </si>
  <si>
    <t>[Steinfeld, Kyle] Univ Calif Berkeley, Berkeley, CA 94720 USA</t>
  </si>
  <si>
    <t>University of California System; University of California Berkeley</t>
  </si>
  <si>
    <t>Steinfeld, K (corresponding author), Univ Calif Berkeley, Berkeley, CA 94720 USA.</t>
  </si>
  <si>
    <t>ksteinfe@berkeley.edu</t>
  </si>
  <si>
    <t>Stochastic Labs in Berkeley</t>
  </si>
  <si>
    <t>The research that led to this publication was supported by a Fellowship at Stochastic Labs in Berkeley in the summer of 2022, and could not have proceeded without the insights and inspiration found in this generous community. The authors would like to thank Vero Bollow, Alexander Reben, Joel Simon, and Virj Kan of Stochastic for their kindness and hospitality in sharing their magnificent Victorian home. We would also like to thank the summer 2022 residents - Lisha Li, Chigozie Nri, Adam Letts, Max Kremenski, Evan Casey, Joel Lehman, Nick Shaheed, and Cory Li - for their guidance into the world of creative machine learning.</t>
  </si>
  <si>
    <t>1478-0771</t>
  </si>
  <si>
    <t>2048-3988</t>
  </si>
  <si>
    <t>INT J ARCHIT COMPUT</t>
  </si>
  <si>
    <t>Int. J. Archit. Comput.</t>
  </si>
  <si>
    <t>10.1177/14780771231168230</t>
  </si>
  <si>
    <t>Architecture</t>
  </si>
  <si>
    <t>O5OA4</t>
  </si>
  <si>
    <t>WOS:001030447800001</t>
  </si>
  <si>
    <t>Saeed, M; Naseer, A; Masood, H; Rehman, SU; Gruhn, V</t>
  </si>
  <si>
    <t>Saeed, Mudassir; Naseer, Asma; Masood, Hassan; Rehman, Shafiq Ur; Gruhn, Volker</t>
  </si>
  <si>
    <t>The Power of Generative AI to Augment for Enhanced Skin Cancer Classification: A Deep Learning Approach</t>
  </si>
  <si>
    <t>Skin cancer; CNNs; VGG16; VGG19; GAN; ESRGAN; classification</t>
  </si>
  <si>
    <t>Skin cancer, particularly the malignant melanoma subtype, is widely recognized as a highly lethal form of cancer characterized by abnormal melanocyte cell growth. However, diagnosing and classifying skin lesions, as well as automatically recognizing malignant tumors from dermoscopy images, present significant challenges. To address this challenge, our study employs variants of Convolutional Neural Networks (CNNs) to effectively diagnose and classify various skin lesion types using the latest benchmark datasets ISIC 2019 and 2020. The dataset underwent rigorous preprocessing, which involves employing advanced Generative Artificial Intelligence (AI) techniques i.e., Generative Adversarial Networks (GANs) and Enhanced Super-Resolution Generative Adversarial Networks (ESRGAN), for augmentation. These generative techniques are carefully evaluated and compared for their effectiveness. Our CNN-based approach involves aggregating results from multiple transfer learning models, including VGG16, VGG19, SVM along with a hybrid model in combination of VGG19 and SVM. On ISIC 2019, we have achieved promising accuracies of 92% for VGG16 and 93% for VGG19. Notably, the hybrid VGG19+SVM model exhibits the highest accuracy of 96%. On ISIC 2020, VGG16, VGG19, and SVM achieves accuracies of 90%, 92%, and 92%, respectively. Our findings underscore the potential of generative AI for augmentation, and the efficacy of CNN-based transfer learning models in improving skin cancer classification accuracy.</t>
  </si>
  <si>
    <t>[Saeed, Mudassir; Naseer, Asma; Masood, Hassan] Natl Univ Comp &amp; Emerging Sci, Dept Comp Sci, Lahore 44000, Pakistan; [Rehman, Shafiq Ur] Imam Mohammad Ibn Saud Islamic Univ IMSIU, Coll Comp &amp; Informat Sci, Riyadh 11432, Saudi Arabia; [Gruhn, Volker] Univ Duisburg Essen, Dept Software Engn, D-45141 Essen, Germany</t>
  </si>
  <si>
    <t>Imam Mohammad Ibn Saud Islamic University (IMSIU); University of Duisburg Essen</t>
  </si>
  <si>
    <t>Rehman, SU (corresponding author), Imam Mohammad Ibn Saud Islamic Univ IMSIU, Coll Comp &amp; Informat Sci, Riyadh 11432, Saudi Arabia.</t>
  </si>
  <si>
    <t>srehman@imamu.edu.sa</t>
  </si>
  <si>
    <t>Deanship of Scientific Research at Imam Mohammad Ibn Saud Islamic University (IMSIU)</t>
  </si>
  <si>
    <t>10.1109/ACCESS.2023.3332628</t>
  </si>
  <si>
    <t>AX7K3</t>
  </si>
  <si>
    <t>WOS:001121810700001</t>
  </si>
  <si>
    <t>Ooi, KB; Tan, GWH; Al-Emran, M; Al-Sharafi, MA; Capatina, A; Chakraborty, A; Dwivedi, YK; Huang, TL; Kar, AK; Lee, VH; Loh, XM; Micu, A; Mikalef, P; Mogaji, E; Pandey, N; Raman, R; Rana, NP; Sarker, P; Sharma, A; Teng, C; Wamba, SF; Wong, LW</t>
  </si>
  <si>
    <t>Ooi, Keng-Boon; Tan, Garry Wei-Han; Al-Emran, Mostafa; Al-Sharafi, Mohammed A.; Capatina, Alexandru; Chakraborty, Amrita; Dwivedi, Yogesh K.; Huang, Tzu-Ling; Kar, Arpan Kumar; Lee, Voon-Hsien; Loh, Xiu-Ming; Micu, Adrian; Mikalef, Patrick; Mogaji, Emmanuel; Pandey, Neeraj; Raman, Ramakrishnan; Rana, Nripendra P.; Sarker, Prianka; Sharma, Anshuman; Teng, Ching-, I; Wamba, Samuel Fosso; Wong, Lai-Wan</t>
  </si>
  <si>
    <t>The Potential of Generative Artificial Intelligence Across Disciplines: Perspectives and Future Directions</t>
  </si>
  <si>
    <t>Generative artificial intelligence; machine learning; large language model; ChatGPT; Bard</t>
  </si>
  <si>
    <t>MANAGEMENT</t>
  </si>
  <si>
    <t>In a short span of time since its introduction, generative artificial intelligence (AI) has garnered much interest at both personal and organizational levels. This is because of its potential to cause drastic and widespread shifts in many aspects of life that are comparable to those of the Internet and smartphones. More specifically, generative AI utilizes machine learning, neural networks, and other techniques to generate new content (e.g. text, images, music) by analyzing patterns and information from the training data. This has enabled generative AI to have a wide range of applications, from creating personalized content to improving business operations. Despite its many benefits, there are also significant concerns about the negative implications of generative AI. In view of this, the current article brings together experts in a variety of fields to expound and provide multi-disciplinary insights on the opportunities, challenges, and research agendas of generative AI in specific industries (i.e. marketing, healthcare, human resource, education, banking, retailing, the workplace, manufacturing, and sustainable IT management).</t>
  </si>
  <si>
    <t>[Ooi, Keng-Boon; Tan, Garry Wei-Han] UCSI Univ, UCSI Grad Business Sch, Kuala Lumpur, Malaysia; [Ooi, Keng-Boon] FORE Sch Management, New Delhi, India; [Ooi, Keng-Boon; Tan, Garry Wei-Han] Swinburne Univ Technol, Fac Business Design &amp; Arts, Sarawak Campus, Kuching, Malaysia; [Tan, Garry Wei-Han] Adamson Univ, Coll Business Adm, Manila, Philippines; [Al-Emran, Mostafa] British Univ Dubai, Fac Engn &amp; IT, Dubai, U Arab Emirates; [Al-Emran, Mostafa] Dijlah Univ Coll, Dept Comp Tech Engn, Baghdad, Iraq; [Al-Sharafi, Mohammed A.] Univ Tenaga Nas, Inst Informat &amp; Comp Energy, Kajang, Selangor, Malaysia; [Capatina, Alexandru; Micu, Adrian] Dunarea Jos Univ Galati, Dept Business Adm, Galati, Romania; [Chakraborty, Amrita] Tech Talk, New Delhi, India; [Dwivedi, Yogesh K.] Swansea Univ Bay Campus, Sch Management, Digital Futures Sustainable Business &amp; Soc Res Grp, Swansea, Wales; [Dwivedi, Yogesh K.; Raman, Ramakrishnan] Symbiosis Int, Dept Management, Pune, India; [Huang, Tzu-Ling] Natl Cent Univ, Dept Informat Management, Taoyuan, Taiwan; [Kar, Arpan Kumar] Indian Inst Technol Delhi, Dept Management Studies, New Delhi, India; [Lee, Voon-Hsien; Loh, Xiu-Ming] Univ Tunku Abdul Rahman, Fac Business &amp; Finance, Kampar, Malaysia; [Mikalef, Patrick] Norwegian Univ Sci &amp; Technol, Fac Informat Technol &amp; Elect Engn, Trondheim, Norway; [Mikalef, Patrick] SINTEF Digital, Dept Technol Management, Trondheim, Norway; [Mogaji, Emmanuel] Keele Univ, Keele Business Sch, Keele, England; [Pandey, Neeraj] Indian Inst Management Mumbai, Mumbai, India; [Rana, Nripendra P.] Qatar Univ, Coll Business &amp; Econ, Doha, Qatar; [Sarker, Prianka] Manchester Metropolitan Univ, Business Sch, Manchester, England; [Sharma, Anshuman] Ajman Univ, Coll Business Adm, Dept Mkt, Ajman, U Arab Emirates; [Teng, Ching-, I] Chang Gung Univ, Grad Inst Management, Taoyuan, Taiwan; [Wamba, Samuel Fosso] TBS Business Sch, Informat Operat &amp; Management Sci, Toulouse, France; [Wong, Lai-Wan] Xiamen Univ Malaysia, Sch Elect &amp; Comp Engn, Sepang, Malaysia; [Ooi, Keng-Boon] UCSI Univ, UCSI Grad Business Sch, 1 Jalan Menara Gading,UCSI Hts, Kuala Lumpur 56000, Malaysia</t>
  </si>
  <si>
    <t>UCSI University; FORE School of Management; Swinburne University of Technology; Swinburne University of Technology Sarawak; Adamson University; Dijlah University College; Universiti Tenaga Nasional; Dunarea De Jos University Galati; Symbiosis International University; National Central University; Indian Institute of Technology System (IIT System); Indian Institute of Technology (IIT) - Delhi; Universiti Tunku Abdul Rahman (UTAR); Norwegian University of Science &amp; Technology (NTNU); SINTEF; Keele University; Qatar University; Manchester Metropolitan University; Ajman University; Chang Gung University; Xiamen University Malaysia Campus; UCSI University</t>
  </si>
  <si>
    <t>Ooi, KB (corresponding author), UCSI Univ, UCSI Grad Business Sch, 1 Jalan Menara Gading,UCSI Hts, Kuala Lumpur 56000, Malaysia.</t>
  </si>
  <si>
    <t>ooikengboon@gmail.com</t>
  </si>
  <si>
    <t>Mogaji, Emmanuel/B-8900-2014; WONG, LaiWan/AAV-8498-2020; Lee, Voon-Hsien/S-6123-2017; Dwivedi, Yogesh Kumar/A-5362-2008; Kar, Arpan Kumar/B-9999-2009; Mikalef, Patrick/GVU-5020-2022; Fosso Wamba, Samuel/AAB-4953-2019; Al-Sharafi, Mohammed A./E-1530-2017; OOI, Keng-Boon/I-4143-2019</t>
  </si>
  <si>
    <t>Mogaji, Emmanuel/0000-0003-0544-4842; WONG, LaiWan/0000-0003-1961-8452; Dwivedi, Yogesh Kumar/0000-0002-5547-9990; Kar, Arpan Kumar/0000-0003-4186-4887; Mikalef, Patrick/0000-0002-6788-2277; Fosso Wamba, Samuel/0000-0002-1073-058X; Al-Sharafi, Mohammed A./0000-0003-0726-6031; OOI, Keng-Boon/0000-0002-3384-1207</t>
  </si>
  <si>
    <t>2023 OCT 5</t>
  </si>
  <si>
    <t>10.1080/08874417.2023.2261010</t>
  </si>
  <si>
    <t>T8CC2</t>
  </si>
  <si>
    <t>WOS:001080196300001</t>
  </si>
  <si>
    <t>Sharma, H; Das, S</t>
  </si>
  <si>
    <t>Sharma, Harshad; Das, Smita</t>
  </si>
  <si>
    <t>A brief study of generative adversarial networks and their applications in image synthesis</t>
  </si>
  <si>
    <t>MULTIMEDIA TOOLS AND APPLICATIONS</t>
  </si>
  <si>
    <t>Deep generative models; Generative adversarial networks; Image synthesis; Computer vision</t>
  </si>
  <si>
    <t>Image Synthesis (IS), an expansion to Artificial Intelligence (AI) and Computer Vision, is the technique of artificially producing images that retains some specific required contents. An adequate procedure to handle IS problem is to tackle it using the Deep Generative Models. Generative Models are broadly utilized in numerous sub fields of AI and have empowered versatile demonstration of perplexing scenarios including image, text and music. In this paper, a particular class of Deep Generative model namely Generative Adversarial Networks (GAN) has been considered to provide a way to acquire deep illustrations derived from backpropagation signals and without the use of wide range of annotated training data. The design of GAN architecture plays a key role in image synthesis and the motive behind this paper is to analyse GAN architecture based on different variants of GANs with respect to Image Synthesis. Furthermore, a compact categorization of GANs along with their key features, pros and cons have been investigated to identify the research challenges in this field.</t>
  </si>
  <si>
    <t>[Sharma, Harshad; Das, Smita] NIT Agartala, Dept Comp Sci &amp; Engn, Agartala 799046, Tripura, India</t>
  </si>
  <si>
    <t>National Institute of Technology (NIT System); National Institute of Technology Agartala</t>
  </si>
  <si>
    <t>Das, S (corresponding author), NIT Agartala, Dept Comp Sci &amp; Engn, Agartala 799046, Tripura, India.</t>
  </si>
  <si>
    <t>smitadas.nita@gmail.com</t>
  </si>
  <si>
    <t>1380-7501</t>
  </si>
  <si>
    <t>1573-7721</t>
  </si>
  <si>
    <t>MULTIMED TOOLS APPL</t>
  </si>
  <si>
    <t>Multimed. Tools Appl.</t>
  </si>
  <si>
    <t>10.1007/s11042-023-16175-2</t>
  </si>
  <si>
    <t>Computer Science, Information Systems; Computer Science, Software Engineering; Computer Science, Theory &amp; Methods; Engineering, Electrical &amp; Electronic</t>
  </si>
  <si>
    <t>IB3T8</t>
  </si>
  <si>
    <t>WOS:001035725700009</t>
  </si>
  <si>
    <t>Ficzere, D; Hollósi, G; Frankó, A; Varga, P</t>
  </si>
  <si>
    <t>Boutaba, R; Chemouil, P; Limam, N; Ghaderi, M; Badonnel, R; Fulber-Garcia, V</t>
  </si>
  <si>
    <t>Ficzere, Daniel; Hollosi, Gergely; Franko, Attila; Varga, Pal</t>
  </si>
  <si>
    <t>AI Toolbox Concept for the Arrowhead Framework</t>
  </si>
  <si>
    <t>2023 19TH INTERNATIONAL CONFERENCE ON NETWORK AND SERVICE MANAGEMENT, CNSM</t>
  </si>
  <si>
    <t>International Conference on Network and Service Management</t>
  </si>
  <si>
    <t>19th International Conference on Network and Service Management (CNSM) - Network and Service Management in the Era of Generative AI and Digital Twins</t>
  </si>
  <si>
    <t>OCT 30-NOV 02, 2023</t>
  </si>
  <si>
    <t>Niagara Falls, CANADA</t>
  </si>
  <si>
    <t>IEEE,IEEE Commun Soc,ACM SIGCOMM,IFIP,ACM In Cooperat,IFIP Working Grp 6 6 Network &amp; Distributed Syst Management,IEEE Commun Soc Comm Network Operat &amp; Management</t>
  </si>
  <si>
    <t>AI; machine learning; artificial intelligence; Arrowhead; industrial AI; edge AI; industrial automation; SOA; intelligent services</t>
  </si>
  <si>
    <t>INDUSTRIAL ARTIFICIAL-INTELLIGENCE; MAINTENANCE</t>
  </si>
  <si>
    <t>Artificial Intelligence (AI) has become a game-changer across numerous industrial areas, revolutionizing the way businesses operate and enhancing their competitiveness. The Arrowhead Framework, renowned for its service-oriented architecture and interconnectivity principles, presents an ideal platform for the development and deployment of AI-driven solutions for industrial Cyber-physical System of Systems (CPSoS). This paper delves into the formulation of an AI Toolbox that enhances the capabilities of the Arrowhead Framework, aiming to harness the synergies between AI and a robust architectural foundation. The paper presents the main objectives and requirements for the AI Toolbox, and also describes its concept, operation, and deployment principles. For a better understanding, the paper demonstrates how the AI Toolbox works through a generic industrial safety use case. In conclusion, this paper contributes a comprehensive perspective on the formulation of the Arrowhead AI Toolbox, demonstrating how the Arrowhead Framework can offer AI-based services for industrial use cases.</t>
  </si>
  <si>
    <t>[Ficzere, Daniel; Hollosi, Gergely; Franko, Attila; Varga, Pal] Budapest Univ Technol &amp; Econ, Fac Elect Engn &amp; Informat, Dept Telecommun &amp; Media Informat, Muegyet Rkp 3, H-1111 Budapest, Hungary; [Franko, Attila] AITIA Int Inc, IIoT Div, 48-50 Czetz J Str, H-1039 Budapest, Hungary</t>
  </si>
  <si>
    <t>Budapest University of Technology &amp; Economics</t>
  </si>
  <si>
    <t>Ficzere, D (corresponding author), Budapest Univ Technol &amp; Econ, Fac Elect Engn &amp; Informat, Dept Telecommun &amp; Media Informat, Muegyet Rkp 3, H-1111 Budapest, Hungary.</t>
  </si>
  <si>
    <t>ficzere.daniel@vik.bme.hu</t>
  </si>
  <si>
    <t>Varga, Pal/AAC-4906-2019</t>
  </si>
  <si>
    <t>EU KDT-JU organization within the project AIMS5.0 [101112089]</t>
  </si>
  <si>
    <t>EU KDT-JU organization within the project AIMS5.0</t>
  </si>
  <si>
    <t>The research leading to these results is funded by the EU KDT-JU organization under grant agreement 101112089, within the project AIMS5.0 and from the partners' national programs and funding authorities.</t>
  </si>
  <si>
    <t>2165-9605</t>
  </si>
  <si>
    <t>978-3-903176-59-1</t>
  </si>
  <si>
    <t>INT CONF NETW SER</t>
  </si>
  <si>
    <t>BW2KT</t>
  </si>
  <si>
    <t>WOS:001117985100018</t>
  </si>
  <si>
    <t>Xu, BW; Nguyen, TD; Le-Cong, T; Hoang, T; Liu, JK; Kim, K; Gong, C; Niu, CG; Wang, CY; Le, B; Lo, D</t>
  </si>
  <si>
    <t>Xu, Bowen; Thanh-Dat Nguyen; Thanh Le-Cong; Thong Hoang; Liu, Jiakun; Kim, Kisub; Gong, Chen; Niu, Changan; Wang, Chenyu; Le, Bach; Lo, David</t>
  </si>
  <si>
    <t>Are We Ready to Embrace Generative AI for Software Q&amp;A?</t>
  </si>
  <si>
    <t>Stack Overflow, the world's largest software Q&amp;A (SQA) website, is facing a significant traffic drop due to the emergence of generative AI techniques. ChatGPT is banned by Stack Overflow after only 6 days from its release. The main reason provided by the official Stack Overflow is that the answers generated by ChatGPT are of low quality. To verify this, we conduct a comparative evaluation of human-written and ChatGPT-generated answers. Our methodology employs both automatic comparison and a manual study. Our results suggest that human-written and ChatGPT-generated answers are semantically similar, however, human-written answers outperform ChatGPT-generated ones consistently across multiple aspects, specifically by 10% on the overall score. We release the data, analysis scripts, and detailed results at https://github.com/maxxbw54/GAI4SQA.</t>
  </si>
  <si>
    <t>[Xu, Bowen] North Carolina State Univ, Raleigh, NC 27695 USA; [Xu, Bowen; Liu, Jiakun; Kim, Kisub; Wang, Chenyu; Lo, David] Singapore Management Univ, Singapore, Singapore; [Thanh-Dat Nguyen; Thanh Le-Cong; Le, Bach] Univ Melbourne, Melbourne, Vic, Australia; [Thong Hoang] CSIROs Data61, Eveleigh, Australia; [Gong, Chen] Univ Virginia, Charlottesville, VA 22903 USA; [Niu, Changan] Nanjing Univ, Nanjing, Peoples R China</t>
  </si>
  <si>
    <t>North Carolina State University; Singapore Management University; University of Melbourne; Melbourne Bioinformatics; Commonwealth Scientific &amp; Industrial Research Organisation (CSIRO); University of Virginia; Nanjing University</t>
  </si>
  <si>
    <t>Xu, BW (corresponding author), North Carolina State Univ, Raleigh, NC 27695 USA.;Xu, BW (corresponding author), Singapore Management Univ, Singapore, Singapore.</t>
  </si>
  <si>
    <t>bowenxu.2017@smu.edu.sg; thanhdatn@student.unimelb.edu.au; congthanh.le@student.unimelb.edu.au; james.hoang@data61.csiro.au; jkliu@smu.edu.sg; kisubkim@smu.edu.sg; fzv6en@virginia.edu; niu.ca@outlook.com; chenyuwang@smu.edu.sg; bach.le@unimelb.edu.au; davidlo@smu.edu.sg</t>
  </si>
  <si>
    <t>Lo, David/A-2493-2012</t>
  </si>
  <si>
    <t>Lo, David/0000-0002-4367-7201</t>
  </si>
  <si>
    <t>National Research Foundation, Singapore, under its Industry Alignment Fund - Pre-positioning (IAF-PP) Funding Initiative</t>
  </si>
  <si>
    <t>National Research Foundation, Singapore, under its Industry Alignment Fund - Pre-positioning (IAF-PP) Funding Initiative(National Research Foundation of Korea)</t>
  </si>
  <si>
    <t>This research / project is supported by the National Research Foundation, Singapore, under its Industry Alignment Fund - Pre-positioning (IAF-PP) Funding Initiative. Any opinions, findings and conclusions or recommendations expressed in this material are those of the author(s) and do not reflect the views of National Research Foundation, Singapore.</t>
  </si>
  <si>
    <t>10.1109/ASE56229.2023.00023</t>
  </si>
  <si>
    <t>WOS:001103357200140</t>
  </si>
  <si>
    <t>Karabacak, M; Ozkara, BB; Margetis, K; Wintermark, M; Bisdas, S</t>
  </si>
  <si>
    <t>Karabacak, Mert; Ozkara, Burak Berksu; Margetis, Konstantinos; Wintermark, Max; Bisdas, Sotirios</t>
  </si>
  <si>
    <t>The Advent of Generative Language Models in Medical Education</t>
  </si>
  <si>
    <t>JMIR MEDICAL EDUCATION</t>
  </si>
  <si>
    <t>generative language model; artificial intelligence; medical education; ChatGPT; academic integrity; AI-driven feedback; stimulation; evaluation; technology; learning environment; medical student</t>
  </si>
  <si>
    <t>Artificial intelligence (AI) and generative language models (GLMs) present significant opportunities for enhancing medical education, including the provision of realistic simulations, digital patients, personalized feedback, evaluation methods, and the elimination of language barriers. These advanced technologies can facilitate immersive learning environments and enhance medical students' educational outcomes. However, ensuring content quality, addressing biases, and managing ethical and legal concerns present obstacles. To mitigate these challenges, it is necessary to evaluate the accuracy and relevance of AI-generated content, address potential biases, and develop guidelines and policies governing the use of AI-generated content in medical education. Collaboration among educators, researchers, and practitioners is essential for developing best practices, guidelines, and transparent AI models that encourage the ethical and responsible use of GLMs and AI in medical education. By sharing information about the data used for training, obstacles encountered, and evaluation methods, developers can increase their credibility and trustworthiness within the medical community. In order to realize the full potential of AI and GLMs in medical education while mitigating potential risks and obstacles, ongoing research and interdisciplinary collaboration are necessary. By collaborating, medical professionals can ensure that these technologies are effectively and responsibly integrated, contributing to enhanced learning experiences and patient care.(JMIR Med Educ 2023;9:e48163) doi: 10.2196/48163</t>
  </si>
  <si>
    <t>[Karabacak, Mert; Margetis, Konstantinos] Mt Sinai Hlth Syst, Dept Neurosurg, New York, NY USA; [Ozkara, Burak Berksu; Wintermark, Max; Bisdas, Sotirios] MD Anderson Canc Ctr, Dept Neuroradiol, Houston, TX USA; [Bisdas, Sotirios] Univ Coll London NHS Fdn Trust, Natl Hosp Neurol &amp; Neurosurg, Dept Neuroradiol, London, England; [Bisdas, Sotirios] Univ Coll London NHS Fdn Trust, Natl Hosp Neurol &amp; Neurosurg, Dept Neuroradiol, Queen Sq, London WC1N 3BG, England</t>
  </si>
  <si>
    <t>Icahn School of Medicine at Mount Sinai; University of Texas System; UTMD Anderson Cancer Center; University of London; University College London; UCL Medical School; University College London Hospitals NHS Foundation Trust; University of London; University College London; UCL Medical School; University College London Hospitals NHS Foundation Trust</t>
  </si>
  <si>
    <t>Bisdas, S (corresponding author), Univ Coll London NHS Fdn Trust, Natl Hosp Neurol &amp; Neurosurg, Dept Neuroradiol, Queen Sq, London WC1N 3BG, England.</t>
  </si>
  <si>
    <t>s.bisdas@ucl.ac.uk</t>
  </si>
  <si>
    <t>Karabacak, Mert/HMW-1735-2023; Ozkara, Burak Berksu/JDW-3748-2023</t>
  </si>
  <si>
    <t>Karabacak, Mert/0000-0002-9263-9893; Ozkara, Burak Berksu/0000-0002-8769-3342; Bisdas, Sotirios/0000-0001-9930-5549; Margetis, Konstantinos/0000-0002-3715-8093</t>
  </si>
  <si>
    <t>JMIR PUBLICATIONS, INC</t>
  </si>
  <si>
    <t>TORONTO</t>
  </si>
  <si>
    <t>130 QUEENS QUAY East, Unit 1100, TORONTO, ON M5A 0P6, CANADA</t>
  </si>
  <si>
    <t>2369-3762</t>
  </si>
  <si>
    <t>JMIR MED EDUC</t>
  </si>
  <si>
    <t>JMIR Med. Educ.</t>
  </si>
  <si>
    <t>e48163</t>
  </si>
  <si>
    <t>10.2196/48163</t>
  </si>
  <si>
    <t>L2NM0</t>
  </si>
  <si>
    <t>Green Published, gold</t>
  </si>
  <si>
    <t>WOS:001021677200001</t>
  </si>
  <si>
    <t>Qadri, R; Shelby, R; Bennett, CL; Denton, E</t>
  </si>
  <si>
    <t>Qadri, Rida; Shelby, Renee; Bennett, Cynthia L.; Denton, Emily</t>
  </si>
  <si>
    <t>AI's Regimes of Representation: A Community-centered Study of Text-to-Image Models in South Asia</t>
  </si>
  <si>
    <t>human-centered AI; AI harms; cultural harms of AI; text-to-image models; generative AI; non-western AI fairness; South Asia; qualitative research in AI; failure modes</t>
  </si>
  <si>
    <t>FOCUS GROUPS; WOMEN</t>
  </si>
  <si>
    <t>This paper presents a community-centered study of cultural limitations of text-to-image (T2I) models in the South Asian context. We theorize these failures using scholarship on dominant media regimes of representations and locate them within participants' reporting of their existing social marginalizations. We thus show how generative AI can reproduce an outsiders gaze for viewing South Asian cultures, shaped by global and regional power inequities. By centering communities as experts and soliciting their perspectives on T2I limitations, our study adds rich nuance into existing evaluative frameworks and deepens our understanding of the culturally-specific ways AI technologies can fail in non-Western and Global South settings. We distill lessons for responsible development of T2I models, recommending concrete pathways forward that can allow for recognition of structural inequalities.</t>
  </si>
  <si>
    <t>[Qadri, Rida; Shelby, Renee] Google Res, San Francisco, CA 94103 USA; [Bennett, Cynthia L.; Denton, Emily] Google Res, New York, NY USA</t>
  </si>
  <si>
    <t>Google Incorporated; Google Incorporated</t>
  </si>
  <si>
    <t>Qadri, R (corresponding author), Google Res, San Francisco, CA 94103 USA.</t>
  </si>
  <si>
    <t>; Shelby, Renee/I-7664-2018</t>
  </si>
  <si>
    <t>Denton, Emily/0000-0003-4915-0512; Qadri, Rida/0000-0001-5690-0997; Shelby, Renee/0000-0003-4720-3844</t>
  </si>
  <si>
    <t>10.1145/3593013.3594016</t>
  </si>
  <si>
    <t>Bronze, Green Submitted</t>
  </si>
  <si>
    <t>WOS:001062819300047</t>
  </si>
  <si>
    <t>Shastry, KA; Manjunatha, BA; Mohan, M; Kumar, TGM; Karthik, DU</t>
  </si>
  <si>
    <t>Shastry, K. Aditya; Manjunatha, B. A.; Mohan, M.; Kumar, T. G. Mohan; Karthik, D. U.</t>
  </si>
  <si>
    <t>Generative Adversarial Networks Based Scene Generation on Indian Driving Dataset</t>
  </si>
  <si>
    <t>JOURNAL OF ICT RESEARCH AND APPLICATIONS</t>
  </si>
  <si>
    <t>artificial intelligence; deep learning; driving dataset; generative adversial networks; scene generation</t>
  </si>
  <si>
    <t>IMAGE SYNTHESIS</t>
  </si>
  <si>
    <t>The rate of advancement in the field of artificial intelligence (AI) has drastically increased over the past twenty years or so. From AI models that can classify every object in an image to realistic chatbots, the signs of progress can be found in all fields. This work focused on tackling a relatively new problem in the current scenario-generative capabilities of AI. While the classification and prediction models have matured and entered the mass market across the globe, generation through AI is still in its initial stages. Generative tasks consist of an AI model learning the features of a given input and using these learned values to generate completely new output values that were not originally part of the input dataset. The most common input type given to generative models are images. The most popular architectures for generative models are autoencoders and generative adversarial networks (GANs). Our study aimed to use GANs to generate realistic images from a purely semantic representation of a scene. While our model can be used on any kind of scene, we used the Indian Driving Dataset to train our model. Through this work, we could arrive at answers to the following questions: (1) the scope of GANs in interpreting and understanding textures and variables in complex scenes; (2) the application of such a model in the field of gaming and virtual reality; (3) the possible impact of generating realistic deep fakes on society.</t>
  </si>
  <si>
    <t>[Shastry, K. Aditya; Manjunatha, B. A.; Mohan, M.; Kumar, T. G. Mohan; Karthik, D. U.] Nitte Meenakshi Inst Technol, Dept Informat Sci &amp; Engn, Bengaluru 560064, India</t>
  </si>
  <si>
    <t>Nitte Meenakshi Institute of Technology</t>
  </si>
  <si>
    <t>Shastry, KA (corresponding author), Nitte Meenakshi Inst Technol, Dept Informat Sci &amp; Engn, Bengaluru 560064, India.</t>
  </si>
  <si>
    <t>adityashastry.k@nmit.ac.in</t>
  </si>
  <si>
    <t>T G, Mohan Kumar/0000-0002-9677-6369</t>
  </si>
  <si>
    <t>ITB JOURNAL PUBL</t>
  </si>
  <si>
    <t>BANDUNG</t>
  </si>
  <si>
    <t>LPPM ITB, ITB RECTORATE BUILDING, 5TH FLR, JALAN TAMANSARI 64, BANDUNG, 40116, INDONESIA</t>
  </si>
  <si>
    <t>2337-5787</t>
  </si>
  <si>
    <t>2338-5499</t>
  </si>
  <si>
    <t>J ICT RES APPL</t>
  </si>
  <si>
    <t>J. ICT Res. Appl.</t>
  </si>
  <si>
    <t>10.5614/itbj.ict.res.appl.2023.17.2.4</t>
  </si>
  <si>
    <t>R1DZ3</t>
  </si>
  <si>
    <t>WOS:001061828800004</t>
  </si>
  <si>
    <t>Arkhipova, D; Viidalepp, A</t>
  </si>
  <si>
    <t>Arkhipova, Daria; Viidalepp, Auli</t>
  </si>
  <si>
    <t>Lotman's semiotics of culture in the age of AI: analyzing the cultural dynamics of AI-generated video art in the semiosphere</t>
  </si>
  <si>
    <t>SEMIOTICA</t>
  </si>
  <si>
    <t>generative AI; AI-generated video art; Lotman; digital face representation; cultural dynamics</t>
  </si>
  <si>
    <t>The use of AI-generated videos centered on the face raises various concerns among professionals and audiences due to the difficulty of providing coherent descriptive tools of their cultural significance. At the same time, the focus of artists and their audiences shifts from the art as a text to the collaboration process between artificial intelligence (AI) and the involved social actors. This raises significant concerns between policymakers and other social actors looking for guidelines for the appropriate use of AI as a tool, collaborator or substitute for creative workers, which can have immediate and long-term impacts on society and culture. Semiotics of culture provides descriptive tools for understanding and evaluating artistic texts and their role in semiotic space, the semiosphere. This article addresses how Lotman's theory can contribute to the methodology for analyzing AI-generated texts as dynamic models. The theoretical framework developed by Lotman in his research on artistic text, dynamic systems and culture can be applied to the studies of current shifts related to AI-generated arts. This paper looks at the reception of AI-generated videos focused on face representations. In doing so, it analyses the dynamic processes in the creation process of AI-generated videos through their reception in related texts. The findings of this article highlight how Lotman's theoretical framework can contribute to the methodology to analyze the cultural dynamics evoked by AI-generated artistic texts.</t>
  </si>
  <si>
    <t>[Arkhipova, Daria] Univ Turin, Turin, Italy; [Viidalepp, Auli] Univ Tartu, Tartu, Estonia</t>
  </si>
  <si>
    <t>University of Turin; University of Tartu</t>
  </si>
  <si>
    <t>Arkhipova, D (corresponding author), Univ Turin, Turin, Italy.</t>
  </si>
  <si>
    <t>daria.arkhipova@unito.it; auli.viidalepp@gmail.com</t>
  </si>
  <si>
    <t>Viidalepp, Auli/HPF-3751-2023</t>
  </si>
  <si>
    <t>Viidalepp, Auli/0000-0002-6206-5681; Arkhipova, Daria/0000-0003-2776-0918</t>
  </si>
  <si>
    <t>WALTER DE GRUYTER GMBH</t>
  </si>
  <si>
    <t>GENTHINER STRASSE 13, D-10785 BERLIN, GERMANY</t>
  </si>
  <si>
    <t>0037-1998</t>
  </si>
  <si>
    <t>1613-3692</t>
  </si>
  <si>
    <t>Semiotica</t>
  </si>
  <si>
    <t>10.1515/sem-2023-0167</t>
  </si>
  <si>
    <t>Humanities, Multidisciplinary; Social Sciences, Interdisciplinary</t>
  </si>
  <si>
    <t>Arts &amp; Humanities - Other Topics; Social Sciences - Other Topics</t>
  </si>
  <si>
    <t>Z8FO4</t>
  </si>
  <si>
    <t>WOS:001101941500001</t>
  </si>
  <si>
    <t>Kim, D; Kong, J</t>
  </si>
  <si>
    <t>Kim, Donggyu; Kong, Jungwon</t>
  </si>
  <si>
    <t>Front-end AI vs. Back-end AI: new framework for securing truth in communication during the generative AI era</t>
  </si>
  <si>
    <t>FRONTIERS IN COMMUNICATION</t>
  </si>
  <si>
    <t>truth; artificial intelligence; privacy; disinformation; communication; ethics; algorithmic transparency; bias detection</t>
  </si>
  <si>
    <t>The proliferation of artificial intelligence (AI) in digital platforms has complicated the concept of truth in communication studies. The article presents the dichotomic framework of Front-end AI and Back-end AI to tackle the complexity of distinguishing truth. Front-end AI refers to AI technology used up-front, often as the face of a product or service, challenging the authenticity and truthfulness of content. In contrast, Back-end AI refers to AI technology used behind the scenes, which can generate misleading or biased content without disclosing its AI-generated nature. Addressing these challenges requires different approaches, such as verification and ethical guidelines for Front-end AI and algorithmic transparency, bias detection, and human oversight for Back-end AI.</t>
  </si>
  <si>
    <t>[Kim, Donggyu] Univ Southern Calif, Annenberg Sch Commun &amp; Journalism, Los Angeles, CA 90007 USA; [Kong, Jungwon] Seoul Natl Univ, Technol Management Econ &amp; Policy Program, Seoul, South Korea</t>
  </si>
  <si>
    <t>University of Southern California; Seoul National University (SNU)</t>
  </si>
  <si>
    <t>Kim, D (corresponding author), Univ Southern Calif, Annenberg Sch Commun &amp; Journalism, Los Angeles, CA 90007 USA.</t>
  </si>
  <si>
    <t>donggyuk@usc.edu</t>
  </si>
  <si>
    <t>2297-900X</t>
  </si>
  <si>
    <t>FRONT COMMUN</t>
  </si>
  <si>
    <t>Front. Commun.</t>
  </si>
  <si>
    <t>SEP 12</t>
  </si>
  <si>
    <t>10.3389/fcomm.2023.1243474</t>
  </si>
  <si>
    <t>HK0I8</t>
  </si>
  <si>
    <t>WOS:001159273900001</t>
  </si>
  <si>
    <t>De Peuter, S; Oulasvirta, A; Kaski, S</t>
  </si>
  <si>
    <t>De Peuter, Sebastiaan; Oulasvirta, Antti; Kaski, Samuel</t>
  </si>
  <si>
    <t>Toward AI assistants that let designers design</t>
  </si>
  <si>
    <t>AI MAGAZINE</t>
  </si>
  <si>
    <t>MODEL</t>
  </si>
  <si>
    <t>We need to rethink how we assist designers with artificial intelligence (AI). AI should aim to cooperate, not automate, by supporting and leveraging the creativity and problem-solving capabilities of designers. The challenge for such AI is how to infer designers' goals and then help them without being needlessly disruptive. We introduce AI-assisted design, a new framework for creating such AI, built around generative user models, which allow it to infer and adapt to designers' goals, reasoning, and capabilities.</t>
  </si>
  <si>
    <t>[De Peuter, Sebastiaan; Kaski, Samuel] Aalto Univ, Dept Comp Sci, Espoo, Finland; [Oulasvirta, Antti] Aalto Univ, Dept Informat &amp; Commun Engn, Aalto, Finland; [Kaski, Samuel] Univ Manchester, Dept Comp Sci, Manchester, England</t>
  </si>
  <si>
    <t>Aalto University; Aalto University; University of Manchester</t>
  </si>
  <si>
    <t>De Peuter, S (corresponding author), Aalto Univ, Dept Comp Sci, Espoo, Finland.</t>
  </si>
  <si>
    <t>sebastiaan.depeuter@aalto.fi; antti.oulasvirta@aalto.fi; samuel.kaski@aalto.fi</t>
  </si>
  <si>
    <t>Kaski, Samuel/B-6684-2008; Oulasvirta, Antti/G-8066-2011</t>
  </si>
  <si>
    <t>Kaski, Samuel/0000-0003-1925-9154; Oulasvirta, Antti/0000-0002-2498-7837; De Peuter, Sebastiaan/0000-0002-0684-0110</t>
  </si>
  <si>
    <t>Academy of Finland (flagship program: Finnish Center for Artificial Intelligence, FCAI) [328400, 345604, 341763]; Academy of Finland (BAD); UKRI Turing AI World-Leading Researcher Fellowship [328813]; Academy of Finland (Human Automata); [EP/W002973/1]; [318559]; Academy of Finland (AKA) [328400] Funding Source: Academy of Finland (AKA)</t>
  </si>
  <si>
    <t>Academy of Finland (flagship program: Finnish Center for Artificial Intelligence, FCAI); Academy of Finland (BAD)(Research Council of Finland); UKRI Turing AI World-Leading Researcher Fellowship; Academy of Finland (Human Automata)(Research Council of Finland); ; ; Academy of Finland (AKA)(Research Council of Finland)</t>
  </si>
  <si>
    <t>We would like to thank Julien Gori, Andrew Howes, Jussi Jokinen, Pierre-Alexandre Murena, and Shibei Zhu for their valuable feedback and suggestions. This work was supported by the Academy of Finland (flagship program: Finnish Center for Artificial Intelligence, FCAI, grants 328400, 345604, 341763; BAD, grant 318559; Human Automata, grant 328813) and UKRI Turing AI World-Leading Researcher Fellowship, EP/W002973/1.</t>
  </si>
  <si>
    <t>AMER ASSOC ARTIFICIAL INTELL</t>
  </si>
  <si>
    <t>MENLO PK</t>
  </si>
  <si>
    <t>445 BURGESS DRIVE, MENLO PK, CA 94025-3496 USA</t>
  </si>
  <si>
    <t>0738-4602</t>
  </si>
  <si>
    <t>2371-9621</t>
  </si>
  <si>
    <t>AI MAG</t>
  </si>
  <si>
    <t>AI Mag.</t>
  </si>
  <si>
    <t>10.1002/aaai.12077</t>
  </si>
  <si>
    <t>C6PB3</t>
  </si>
  <si>
    <t>Green Submitted, hybrid, Green Published</t>
  </si>
  <si>
    <t>WOS:000942899500001</t>
  </si>
  <si>
    <t>Yilmaz, FGK; Yilmaz, R; Ceylan, M</t>
  </si>
  <si>
    <t>Yilmaz, Fatma Gizem Karaoglan; Yilmaz, Ramazan; Ceylan, Mehmet</t>
  </si>
  <si>
    <t>Generative Artificial Intelligence Acceptance Scale: A Validity and Reliability Study</t>
  </si>
  <si>
    <t>INTERNATIONAL JOURNAL OF HUMAN-COMPUTER INTERACTION</t>
  </si>
  <si>
    <t>Generative artificial intelligent; ChatGPT; students; technology acceptance; UTAUT model</t>
  </si>
  <si>
    <t>The purpose of this study is to formulate an acceptance scale grounded in the Unified Theory of Acceptance and Use of Technology (UTAUT) model. The scale is designed to scrutinize students' acceptance of generative artificial intelligence (AI) applications. This tool assesses students' acceptance levels toward generative AI applications. The scale development study was conducted in three phases, encompassing 627 university students from various faculties who have utilized generative AI tools such as ChatGPT during the 2022-2023 academic year. To evaluate the face and content validity of the scale, input was sought from professionals with expertise in the field. The initial sample group (n = 338) underwent exploratory factor analysis (EFA) to explore the underlying factors, while the subsequent sample group (n = 250) underwent confirmatory factor analysis (CFA) for the verification of factor structure. Later, it was seen that four factors comprising 20 items accounted for 78.349% of total variance due to EFA. CFA results confirmed that structure of the scale, featuring 20 items and four factors (performance expectancy, effort expectancy, facilitating conditions, and social influence), was compatible with the obtained data. Reliability analysis yielded Cronbach's alpha coefficient of 0.97, and the test-retest method demonstrated a reliability coefficient of 0.95. To evaluate the discriminative power of the items, a comparative analysis was conducted between the lower 27% and upper 27% of participants, with subsequent calculation of corrected item-total correlations. The results demonstrate that the generative AI acceptance scale exhibits robust validity and reliability, thus affirming its effectiveness as a robust measurement instrument.</t>
  </si>
  <si>
    <t>[Yilmaz, Fatma Gizem Karaoglan; Yilmaz, Ramazan] Bartin Univ, Fac Sci, Dept Comp Technol &amp; Informat Syst, Bartin, Turkiye; [Ceylan, Mehmet] Bartin Univ, Dept Commun Coordinat, Bartin, Turkiye</t>
  </si>
  <si>
    <t>Bartin University; Bartin University</t>
  </si>
  <si>
    <t>Yilmaz, FGK (corresponding author), Bartin Univ, Fac Sci, Dept Comp Technol &amp; Informat Syst, Bartin, Turkiye.</t>
  </si>
  <si>
    <t>Yilmaz, Ramazan/F-9517-2019; Karaoglan Yilmaz, Fatma Gizem/W-2168-2017</t>
  </si>
  <si>
    <t>Yilmaz, Ramazan/0000-0002-2041-1750; Karaoglan Yilmaz, Fatma Gizem/0000-0003-4963-8083</t>
  </si>
  <si>
    <t>1044-7318</t>
  </si>
  <si>
    <t>1532-7590</t>
  </si>
  <si>
    <t>INT J HUM-COMPUT INT</t>
  </si>
  <si>
    <t>Int. J. Hum.-Comput. Interact.</t>
  </si>
  <si>
    <t>2023 DEC 12</t>
  </si>
  <si>
    <t>10.1080/10447318.2023.2288730</t>
  </si>
  <si>
    <t>Computer Science, Cybernetics; Ergonomics</t>
  </si>
  <si>
    <t>CD9Y0</t>
  </si>
  <si>
    <t>WOS:001123440600001</t>
  </si>
  <si>
    <t>Zhou, JW; Zhang, YX; Luo, QN; Parker, AG; De Choudhury, M</t>
  </si>
  <si>
    <t>Zhou, Jiawei; Zhang, Yixuan; Luo, Qianni; Parker, Andrea G.; De Choudhury, Munmun</t>
  </si>
  <si>
    <t>Synthetic Lies: Understanding AI-Generated Misinformation and Evaluating Algorithmic and Human Solutions</t>
  </si>
  <si>
    <t>large language model; GPT; misinformation; generative AI; AI-generated misinformation; COVID-19; responsible AI</t>
  </si>
  <si>
    <t>DISINFORMATION</t>
  </si>
  <si>
    <t>Large language models have abilities in creating high-volume human-like texts and can be used to generate persuasive misinformation. However, the risks remain under-explored. To address the gap, this work frst examined characteristics of AI-generated misinformation (AI-misinfo) compared with human creations, and then evaluated the applicability of existing solutions. We compiled human-created COVID-19 misinformation and abstracted it into narrative prompts for a language model to output AI-misinfo. We found signifcant linguistic diferences within human-AI pairs, and patterns of AI-misinfo in enhancing details, communicating uncertainties, drawing conclusions, and simulating personal tones. While existing models remained capable of classifying AI-misinfo, a signifcant performance drop compared to human-misinfo was observed. Results suggested that existing information assessment guidelines had questionable applicability, as AI-misinfo tended to meet criteria in evidence credibility, source transparency, and limitation acknowledgment. We discuss implications for practitioners, researchers, and journalists, as AI can create new challenges to the societal problem of misinformation.</t>
  </si>
  <si>
    <t>[Zhou, Jiawei; Zhang, Yixuan; Parker, Andrea G.; De Choudhury, Munmun] Georgia Inst Technol, Atlanta, GA 30332 USA; [Luo, Qianni] Ohio Univ, Athens, OH 45701 USA</t>
  </si>
  <si>
    <t>University System of Georgia; Georgia Institute of Technology; University System of Ohio; Ohio University</t>
  </si>
  <si>
    <t>Zhou, JW (corresponding author), Georgia Inst Technol, Atlanta, GA 30332 USA.</t>
  </si>
  <si>
    <t>j.zhou@gatech.edu; yixuan@gatech.edu; ql047311@ohio.edu; andrea@cc.gatech.edu; munmund@gatech.edu</t>
  </si>
  <si>
    <t>De Choudhury, Munmun/0000-0002-8939-264X; Parker, Andrea/0000-0002-2362-7717; Zhang, Yixuan/0000-0002-7412-4669; Zhou, Jiawei/0000-0003-2312-4359</t>
  </si>
  <si>
    <t>U.S. National Science Foundation [2137724]</t>
  </si>
  <si>
    <t>U.S. National Science Foundation(National Science Foundation (NSF))</t>
  </si>
  <si>
    <t>Zhou and De Choudhury were partly supported by a U.S. National Science Foundation grant (#2137724). We thank Vedant Das Swain, Qiaosi Wang, Dong Whi Yoo, Andrew Wen, Koustuv Saha, and the anonymous reviewers for their valuable feedback.</t>
  </si>
  <si>
    <t>10.1145/3544548.3581318</t>
  </si>
  <si>
    <t>WOS:001048393803022</t>
  </si>
  <si>
    <t>Parrot, M; Tajmouati, H; da Silva, VBR; Atwood, BR; Fourcade, R; Gaston-Mathé, Y; Do Huu, N; Perron, Q</t>
  </si>
  <si>
    <t>Parrot, Maud; Tajmouati, Hamza; da Silva, Vinicius Barros Ribeiro; Atwood, Brian Ross; Fourcade, Robin; Gaston-Mathe, Yann; Do Huu, Nicolas; Perron, Quentin</t>
  </si>
  <si>
    <t>Integrating synthetic accessibility with AI-based generative drug design</t>
  </si>
  <si>
    <t>In-silico synthesizability; Retrosynthesis artificial intelligence; machine learning; In silico molecular generation</t>
  </si>
  <si>
    <t>Generative models are frequently used for de novo design in drug discovery projects to propose new molecules. However, the question of whether or not the generated molecules can be synthesized is not systematically taken into account during generation, even though being able to synthesize the generated molecules is a fundamental requirement for such methods to be useful in practice. Methods have been developed to estimate molecule synthesizability, but, so far, there is no consensus on whether or not a molecule is synthesizable. In this paper we introduce the Retro-Score (RScore), which computes a synthetic accessibility score of molecules by performing a full retrosynthetic analysis through our data-driven synthetic planning software Spaya, and its dedicated API: Spaya-API (https://spaya.ai). We start by comparing several synthetic accessibility scores to a binary chemist score as estimated by chemists on a bench of generated molecules, as a first experimental validation that the RScore is a reliable synthetic accessibility score. We then describe a pipeline to generate molecules that validate a list of targets while still being easy to synthesize. We further this idea by performing experiments comparing molecular generator outputs across a range of constraints and conditions. We show that the RScore can be learned by a Neural Network, which leads to a new score: RSPred. We demonstrate that using the RScore or RSPred as a constraint during molecular generation enables our molecular generators to produce more synthesizable solutions, with higher diversity. The open-source Python code containing all the scores and the experiments can be found on (https://github.com/iktos/generation-under-synthetic-constraint).</t>
  </si>
  <si>
    <t>[Parrot, Maud; Tajmouati, Hamza; da Silva, Vinicius Barros Ribeiro; Atwood, Brian Ross; Fourcade, Robin; Gaston-Mathe, Yann; Do Huu, Nicolas; Perron, Quentin] Iktos, 65 rue Prony, F-75017 Paris, France</t>
  </si>
  <si>
    <t>Perron, Q (corresponding author), Iktos, 65 rue Prony, F-75017 Paris, France.</t>
  </si>
  <si>
    <t>quentin.perron@iktos.com</t>
  </si>
  <si>
    <t>IKTOS</t>
  </si>
  <si>
    <t>The study was funded by IKTOS.</t>
  </si>
  <si>
    <t>SEP 19</t>
  </si>
  <si>
    <t>10.1186/s13321-023-00742-8</t>
  </si>
  <si>
    <t>FQ6I9</t>
  </si>
  <si>
    <t>Green Published, Green Submitted, gold</t>
  </si>
  <si>
    <t>WOS:001147352100001</t>
  </si>
  <si>
    <t>Wolfe, H; Rogerson, C; Lilleston, A</t>
  </si>
  <si>
    <t>Wolfe, Hannen; Rogerson, Charlotte; Lilleston, Amanda</t>
  </si>
  <si>
    <t>REINTERPRETED SPACES AN AI-PRINTMAKING COLLABORATION</t>
  </si>
  <si>
    <t>2023 IEEE VIS ARTS PROGRAM, VISAP</t>
  </si>
  <si>
    <t>IEEE VIS Arts Program</t>
  </si>
  <si>
    <t>11th IEEE VIS Arts Program Conference (VISAP)</t>
  </si>
  <si>
    <t>OCT 22-27, 2023</t>
  </si>
  <si>
    <t>Melbourne, AUSTRALIA</t>
  </si>
  <si>
    <t>IEEE VIS,IEEE Comp Soc,IEEE VGTC,Monash Art, Design &amp; Architecture, &amp; Small Multiples</t>
  </si>
  <si>
    <t>Generative Adversarial Networks; Printmaking; Book making; Collaboration</t>
  </si>
  <si>
    <t>We present an examination of organic spaces through print, book making, data, and machine learning. Artists created a book that explored the idea of organic and machine-made interpretations of a place that were generate using 3 different processes: a generative adversarial network, traditional printmaking and a camera. The artists found the results unexpected, discussing how the AI-generated image changed and complicated their understanding and constructed narrative about the original image and space. This caused them to think outside the box with over half of the students changing their print matrix and/or ink choices after seeing their AI-generated image. This supported the learning objective for students to collaborate with technology that is uninhibited by perspective or expectation, adapting and responding productively and creatively within a new framework. With the newfound accessibility to AI-generated images we encourage art teachers to explore how it fits into their curriculum.</t>
  </si>
  <si>
    <t>[Wolfe, Hannen; Lilleston, Amanda] Colby Coll, 4000 Mayflower Hill, Waterville, ME 04901 USA; [Rogerson, Charlotte] Google Inc, Mountain View, CA 94043 USA</t>
  </si>
  <si>
    <t>Colby College; Google Incorporated</t>
  </si>
  <si>
    <t>Wolfe, H (corresponding author), Colby Coll, 4000 Mayflower Hill, Waterville, ME 04901 USA.</t>
  </si>
  <si>
    <t>hewolfe@colby.edu; charrog@live.com; ajlilles@colby.edu</t>
  </si>
  <si>
    <t>2767-6994</t>
  </si>
  <si>
    <t>979-8-3503-3022-9</t>
  </si>
  <si>
    <t>IEEE VIS Arts Progra</t>
  </si>
  <si>
    <t>10.1109/VISAP60414.2023.00008</t>
  </si>
  <si>
    <t>Art; Computer Science, Interdisciplinary Applications; Social Sciences, Interdisciplinary</t>
  </si>
  <si>
    <t>Art; Computer Science; Social Sciences - Other Topics</t>
  </si>
  <si>
    <t>BW3BN</t>
  </si>
  <si>
    <t>WOS:001134714800003</t>
  </si>
  <si>
    <t>Lu, W; Kaplan, DL; Buehler, MJ</t>
  </si>
  <si>
    <t>Lu, Wei; Kaplan, David L.; Buehler, Markus J.</t>
  </si>
  <si>
    <t>Generative Modeling, Design, and Analysis of Spider Silk Protein Sequences for Enhanced Mechanical Properties</t>
  </si>
  <si>
    <t>ADVANCED FUNCTIONAL MATERIALS</t>
  </si>
  <si>
    <t>biomaterials; deep learning; generative autoregressive transformer; hierarchical; multiscale modeling; spider silk; spidroin</t>
  </si>
  <si>
    <t>N-TERMINAL DOMAIN; SUPERCONTRACTION; COMPOSITES; OPTIMIZATION; INTEGRATION; SIMULATION; EVOLUTION; HYDROGELS; FIBROIN; FIBERS</t>
  </si>
  <si>
    <t>Spider silks are remarkable materials characterized by superb mechanical properties such as strength, extensibility, and lightweightedness. Yet, to date, limited models are available to fully explore sequence-property relationships for analysis and design. Here a custom generative large-language model is proposed to enable the design of novel spider silk protein sequences to meet complex combinations of target mechanical properties. The model, pretrained on a large set of protein sequences, is fine-tuned on approximate to 1,000 major ampullate spidroin (MaSp) sequences for which associated fiber-level mechanical properties exist, to yield an end-to-end forward and inverse generative approach that is aplied in a multi-agent strategy. Performance is assessed through: 1) a novelty analysis and protein type classification for generated spidroin sequences through Basic Local Alignment Search Tool (BLAST) searches, 2) property evaluation and comparison with similar sequences, 3) comparison of resulting molecular structures, and 4) a detailed sequence motif analyses. This work generates silk sequences with property combinations that do not exist in nature and develops a deeper understanding of the mechanistic roles of sequence patterns in achieving overarching key mechanical properties (elastic modulus (E), strength, toughness, failure strain). The model provides an efficient approach to expand the silkome dataset, facilitating further sequence-structure analyses of silks, and establishes a foundation for synthetic silk design and optimization. The authors develop a generative modeling, design, and analysis technique applied to create novel spider silk protein sequences for enhanced mechanical properties. They create property combinations that do not exist in nature and develop a deep understanding of the mechanistic roles of sequence patterns in achieving overarching key mechanical properties (elastic modulus, strength, toughness, failure strain).image</t>
  </si>
  <si>
    <t>[Lu, Wei; Buehler, Markus J.] MIT, Lab Atomist &amp; Mol Mech LAMM, 77 Massachusetts Ave, Cambridge, MA 02139 USA; [Lu, Wei; Buehler, Markus J.] MIT, Dept Civil &amp; Environm Engn, 77 Massachusetts Ave, Cambridge, MA 02139 USA; [Kaplan, David L.] Tufts Univ, Dept Biomed Engn, Medford, MA 02155 USA; [Buehler, Markus J.] MIT, Schwarzman Coll Comp, Ctr Computat Sci &amp; Engn, 77 Massachusetts Ave, Cambridge, MA 02139 USA</t>
  </si>
  <si>
    <t>Massachusetts Institute of Technology (MIT); Massachusetts Institute of Technology (MIT); Tufts University; Massachusetts Institute of Technology (MIT)</t>
  </si>
  <si>
    <t>Buehler, MJ (corresponding author), MIT, Lab Atomist &amp; Mol Mech LAMM, 77 Massachusetts Ave, Cambridge, MA 02139 USA.;Buehler, MJ (corresponding author), MIT, Dept Civil &amp; Environm Engn, 77 Massachusetts Ave, Cambridge, MA 02139 USA.;Buehler, MJ (corresponding author), MIT, Schwarzman Coll Comp, Ctr Computat Sci &amp; Engn, 77 Massachusetts Ave, Cambridge, MA 02139 USA.</t>
  </si>
  <si>
    <t>mbuehler@mit.edu</t>
  </si>
  <si>
    <t>Buehler, Markus/C-4580-2008</t>
  </si>
  <si>
    <t>Buehler, Markus/0000-0002-4173-9659; Lu, Wei/0000-0002-5168-4428</t>
  </si>
  <si>
    <t>MIT Generative AI Initiative, NIH, USDA; ARO [W911NF2220213]; MIT-IBM Watson AI Lab, MIT Quest; Google Cloud Computing</t>
  </si>
  <si>
    <t>MIT Generative AI Initiative, NIH, USDA; ARO; MIT-IBM Watson AI Lab, MIT Quest; Google Cloud Computing</t>
  </si>
  <si>
    <t>The authors acknowledge support from the MIT Generative AI Initiative, NIH, USDA and ARO (W911NF2220213). Related support from the MIT-IBM Watson AI Lab, MIT Quest, and Google Cloud Computing, is acknowledged. The authors acknowledge Keiji Numata for the development of the Silkome dataset.</t>
  </si>
  <si>
    <t>WILEY-V C H VERLAG GMBH</t>
  </si>
  <si>
    <t>WEINHEIM</t>
  </si>
  <si>
    <t>POSTFACH 101161, 69451 WEINHEIM, GERMANY</t>
  </si>
  <si>
    <t>1616-301X</t>
  </si>
  <si>
    <t>1616-3028</t>
  </si>
  <si>
    <t>ADV FUNCT MATER</t>
  </si>
  <si>
    <t>Adv. Funct. Mater.</t>
  </si>
  <si>
    <t>10.1002/adfm.202311324</t>
  </si>
  <si>
    <t>Chemistry, Multidisciplinary; Chemistry, Physical; Nanoscience &amp; Nanotechnology; Materials Science, Multidisciplinary; Physics, Applied; Physics, Condensed Matter</t>
  </si>
  <si>
    <t>Chemistry; Science &amp; Technology - Other Topics; Materials Science; Physics</t>
  </si>
  <si>
    <t>KI7Q5</t>
  </si>
  <si>
    <t>WOS:001112105200001</t>
  </si>
  <si>
    <t>Baraheem, SS; Nguyen, TV</t>
  </si>
  <si>
    <t>Baraheem, Samah S.; Nguyen, Tam V.</t>
  </si>
  <si>
    <t>AI vs. AI: Can AI Detect AI-Generated Images?</t>
  </si>
  <si>
    <t>JOURNAL OF IMAGING</t>
  </si>
  <si>
    <t>GAN-generated images detection; GAN image localization; detection of computer-generated images; fake AI-generated images recognition; fake and real detection; convolutional neural networks</t>
  </si>
  <si>
    <t>The proliferation of Artificial Intelligence (AI) models such as Generative Adversarial Networks (GANs) has shown impressive success in image synthesis. Artificial GAN-based synthesized images have been widely spread over the Internet with the advancement in generating naturalistic and photo-realistic images. This might have the ability to improve content and media; however, it also constitutes a threat with regard to legitimacy, authenticity, and security. Moreover, implementing an automated system that is able to detect and recognize GAN-generated images is significant for image synthesis models as an evaluation tool, regardless of the input modality. To this end, we propose a framework for reliably detecting AI-generated images from real ones through Convolutional Neural Networks (CNNs). First, GAN-generated images were collected based on different tasks and different architectures to help with the generalization. Then, transfer learning was applied. Finally, several Class Activation Maps (CAM) were integrated to determine the discriminative regions that guided the classification model in its decision. Our approach achieved 100% on our dataset, i.e., Real or Synthetic Images (RSI), and a superior performance on other datasets and configurations in terms of its accuracy. Hence, it can be used as an evaluation tool in image generation. Our best detector was a pre-trained EfficientNetB4 fine-tuned on our dataset with a batch size of 64 and an initial learning rate of 0.001 for 20 epochs. Adam was used as an optimizer, and learning rate reduction along with data augmentation were incorporated.</t>
  </si>
  <si>
    <t>[Baraheem, Samah S.] Umm Al Qura Univ, Dept Comp Sci, Prince Sultan Bin Abdulaz Rd, Mecca 21421, Makkah, Saudi Arabia; [Baraheem, Samah S.; Nguyen, Tam V.] Univ Dayton, Dept Comp Sci, Dayton, OH 45469 USA</t>
  </si>
  <si>
    <t>Umm Al Qura University; University System of Ohio; University of Dayton</t>
  </si>
  <si>
    <t>Baraheem, SS (corresponding author), Umm Al Qura Univ, Dept Comp Sci, Prince Sultan Bin Abdulaz Rd, Mecca 21421, Makkah, Saudi Arabia.;Baraheem, SS (corresponding author), Univ Dayton, Dept Comp Sci, Dayton, OH 45469 USA.</t>
  </si>
  <si>
    <t>ssbaraheem@uqu.edu.sa; tamnguyen@udayton.edu</t>
  </si>
  <si>
    <t>Nguyen, Tam/0000-0003-0236-7992; Baraheem, Samah/0000-0003-4742-6861</t>
  </si>
  <si>
    <t>The first author would like to thank Umm Al-Qura University, in Saudi Arabia, for the continuous support. This work has been supported in part by the University of Dayton Office for Graduate Academic Affairs through the Graduate Student Summer Fellowship P; Umm Al-Qura University, in Saudi Arabia; University of Dayton Office for Graduate Academic Affairs through the Graduate Student Summer Fellowship Program</t>
  </si>
  <si>
    <t>The first author would like to thank Umm Al-Qura University, in Saudi Arabia, for the continuous support. This work has been supported in part by the University of Dayton Office for Graduate Academic Affairs through the Graduate Student Summer Fellowship Program.</t>
  </si>
  <si>
    <t>2313-433X</t>
  </si>
  <si>
    <t>J IMAGING</t>
  </si>
  <si>
    <t>J. Imaging</t>
  </si>
  <si>
    <t>10.3390/jimaging9100199</t>
  </si>
  <si>
    <t>Imaging Science &amp; Photographic Technology</t>
  </si>
  <si>
    <t>W1RP0</t>
  </si>
  <si>
    <t>WOS:001089477900001</t>
  </si>
  <si>
    <t>Ilieva, G; Yankova, T; Klisarova-Belcheva, S; Dimitrov, A; Bratkov, M; Angelov, D</t>
  </si>
  <si>
    <t>Ilieva, Galina; Yankova, Tania; Klisarova-Belcheva, Stanislava; Dimitrov, Angel; Bratkov, Marin; Angelov, Delian</t>
  </si>
  <si>
    <t>Effects of Generative Chatbots in Higher Education</t>
  </si>
  <si>
    <t>INFORMATION</t>
  </si>
  <si>
    <t>active learning; online learning; students' engagement; generative artificial intelligence; conversational chatbots; machine learning</t>
  </si>
  <si>
    <t>Learning technologies often do not meet the university requirements for learner engagement via interactivity and real-time feedback. In addition to the challenge of providing personalized learning experiences for students, these technologies can increase the workload of instructors due to the maintenance and updates required to keep the courses up-to-date. Intelligent chatbots based on generative artificial intelligence (AI) technology can help overcome these disadvantages by transforming pedagogical activities and guiding both students and instructors interactively. In this study, we explore and compare the main characteristics of existing educational chatbots. Then, we propose a new theoretical framework for blended learning with intelligent chatbots integration enabling students to interact online and instructors to create and manage their courses using generative AI tools. The advantages of the proposed framework are as follows: (1) it provides a comprehensive understanding of the transformative potential of AI chatbots in education and facilitates their effective implementation; (2) it offers a holistic methodology to enhance the overall educational experience; and (3) it unifies the applications of intelligent chatbots in teaching-learning activities within universities.</t>
  </si>
  <si>
    <t>[Ilieva, Galina; Yankova, Tania; Klisarova-Belcheva, Stanislava; Dimitrov, Angel] Univ Plovdiv Paisii Hilendarski, Dept Management &amp; Quantitat Methods Econ, Plovdiv 4000, Bulgaria; [Bratkov, Marin] Univ Plovdiv Paisii Hilendarski, Dept Mkt &amp; Int Econ Relat, Plovdiv 4000, Bulgaria; [Angelov, Delian] Univ Plovdiv Paisii Hilendarski, Dept Econ Sci, Plovdiv 4000, Bulgaria</t>
  </si>
  <si>
    <t>Plovdiv University; Plovdiv University; Plovdiv University</t>
  </si>
  <si>
    <t>Ilieva, G (corresponding author), Univ Plovdiv Paisii Hilendarski, Dept Management &amp; Quantitat Methods Econ, Plovdiv 4000, Bulgaria.</t>
  </si>
  <si>
    <t>galili@uni-plovdiv.bg</t>
  </si>
  <si>
    <t>Ilieva, Galina/S-7101-2016; Yankova, Tania Petrova/N-6592-2018</t>
  </si>
  <si>
    <t>Ilieva, Galina/0000-0001-7504-8576; Yankova, Tania Petrova/0000-0001-5877-3098; Klisarova-Belcheva, Stanislava/0000-0003-1703-412X</t>
  </si>
  <si>
    <t>The authors thank the academic editor and anonymous reviewers for their insightful comments and suggestions.</t>
  </si>
  <si>
    <t>2078-2489</t>
  </si>
  <si>
    <t>Information</t>
  </si>
  <si>
    <t>10.3390/info14090492</t>
  </si>
  <si>
    <t>S5YP8</t>
  </si>
  <si>
    <t>WOS:001071922000001</t>
  </si>
  <si>
    <t>Simonetti, F</t>
  </si>
  <si>
    <t>Simonetti, Federico</t>
  </si>
  <si>
    <t>EXTERNALIZATION AND IMAGINATION IN THE ERA OF GENERATIVE ARTIFICIAL INTELLIGENCE. GENERATIVE AI AND THE BIRTH OF ARTIFICIAL IMAGINATION</t>
  </si>
  <si>
    <t>S&amp;F-SCIENZAEFILOSOFIA IT</t>
  </si>
  <si>
    <t>Italian</t>
  </si>
  <si>
    <t>Generative AIs are one of the latest, most amazing and exciting developments in AI technology. Indeed, these AIs have the ability to autonomously create original contents such as images, texts, sounds and videos: starting from a prompt - a description provided by the user these machines are able to 'generate' audiovisual contents in an almost completely indistinguishable from a human operator. Perhaps the time has come for philosophy to question about these tools and the effect they are able to have on their human users - a potentially disruptive effect, to the point of pushing the Hong Kong philosopher Yuk Hui to speak of artificial imagination in relation to the creative capacity of these machines. Facing Kant's thought about Imagination and its role in the process of understanding, we will try to explore the boundaries and characteristics of these machines, in order to be able to understand both their potential and the risks for human imagination.</t>
  </si>
  <si>
    <t>[Simonetti, Federico] Univ Federico II Napoli, Ric Sci Filosof, Naples, Italy; [Simonetti, Federico] Ctr Rag Stato &amp; Democrazia, Naples, Italy</t>
  </si>
  <si>
    <t>University of Naples Federico II</t>
  </si>
  <si>
    <t>Simonetti, F (corresponding author), Univ Federico II Napoli, Ric Sci Filosof, Naples, Italy.;Simonetti, F (corresponding author), Ctr Rag Stato &amp; Democrazia, Naples, Italy.</t>
  </si>
  <si>
    <t>fedsimonetti@gmail.com</t>
  </si>
  <si>
    <t>S&amp;F SCIENZAEFILOSOFIA IT</t>
  </si>
  <si>
    <t>SAN MARCO DEI CAVOTI</t>
  </si>
  <si>
    <t>S&amp;F SCIENZAEFILOFOSIA IT, SAN MARCO DEI CAVOTI, 00000, ITALY</t>
  </si>
  <si>
    <t>2036-2927</t>
  </si>
  <si>
    <t>S F-SCIENZAEFILOSOFI</t>
  </si>
  <si>
    <t>S F-Scienzaefilogosia it</t>
  </si>
  <si>
    <t>IQ0U5</t>
  </si>
  <si>
    <t>WOS:001167685300016</t>
  </si>
  <si>
    <t>Papia, EM; Kondi, A; Constantoudis, V</t>
  </si>
  <si>
    <t>Papia, E. -M.; Kondi, A.; Constantoudis, V.</t>
  </si>
  <si>
    <t>Entropy and complexity analysis of AI-generated and human-made paintings</t>
  </si>
  <si>
    <t>CHAOS SOLITONS &amp; FRACTALS</t>
  </si>
  <si>
    <t>Shannon entropy; Complexity; Art; Generative models; AI</t>
  </si>
  <si>
    <t>FRACTAL ANALYSIS</t>
  </si>
  <si>
    <t>Creativity is the ultimate characteristic of human intellect and expression, and it is inextricably linked to art. Previous research works attempted to analyze and parameterize the manifestations of art, but they had not escaped the human factor. However, the advent of Artificial Intelligence (AI) models has shaken up the research world, raising questions about the nature of creativity and whether in its artistic form it is a uniquely human quality. In this work, we aim to examine the relationship between creativity and the nature of the creator by using paintings created by both AI and humans in various artistic genres. By analysing the paintings through a mathematical lens, utilizing an entropy analysis formulated by the classic Shannon entropy and a complexity measure based on multi-scale entropy, we hope to gain a deeper understanding of the prowess of AI models and possible new insights into the ability to distinguish between a human-created work and an AI-generated one. Based on the results, we observe that differences between AI and human art can be found not only in the schematic representation, but also in the colour changes, with the AI finding it more complicated to represent painting styles without well-shaped objects, as well as colour changes regarding pixels of similar intensity values.</t>
  </si>
  <si>
    <t>[Papia, E. -M.; Kondi, A.; Constantoudis, V.] NCSR Demokritos, Inst Nanosci &amp; Nanotechnol, Aghia Paraskevi 15341, Greece; [Papia, E. -M.; Kondi, A.] Univ Athens, Sch Sci, Dept Phys, Athens 15784, Greece; [Constantoudis, V.] Nanometrisis Pc, Aghia Paraskevi 15341, Greece</t>
  </si>
  <si>
    <t>National Centre of Scientific Research Demokritos; National &amp; Kapodistrian University of Athens</t>
  </si>
  <si>
    <t>Papia, EM (corresponding author), NCSR Demokritos, Inst Nanosci &amp; Nanotechnol, Aghia Paraskevi 15341, Greece.</t>
  </si>
  <si>
    <t>efimariap@gmail.com</t>
  </si>
  <si>
    <t>0960-0779</t>
  </si>
  <si>
    <t>1873-2887</t>
  </si>
  <si>
    <t>CHAOS SOLITON FRACT</t>
  </si>
  <si>
    <t>Chaos Solitons Fractals</t>
  </si>
  <si>
    <t>MAY</t>
  </si>
  <si>
    <t>10.1016/j.chaos.2023.113385</t>
  </si>
  <si>
    <t>Mathematics, Interdisciplinary Applications; Physics, Multidisciplinary; Physics, Mathematical</t>
  </si>
  <si>
    <t>Mathematics; Physics</t>
  </si>
  <si>
    <t>M4OD5</t>
  </si>
  <si>
    <t>WOS:001030009800001</t>
  </si>
  <si>
    <t>Thomas, RJ; Thomson, TJ</t>
  </si>
  <si>
    <t>Thomas, Ryan J.; Thomson, T. J.</t>
  </si>
  <si>
    <t>What Does a Journalist Look like? Visualizing Journalistic Roles through AI</t>
  </si>
  <si>
    <t>DIGITAL JOURNALISM</t>
  </si>
  <si>
    <t>Journalistic representation; metajournalistic discourse; artificial intelligence; AI; visual representation; generative art; algorithmic art; synthetic media</t>
  </si>
  <si>
    <t>DEFINITIONS; IDENTITY; MATTERS; IMAGES</t>
  </si>
  <si>
    <t>The question of who is a journalist? has animated much discussion in journalism scholarship. Such discussions generally stem from the intersecting technological, economic, and social transformations journalism has faced in the twenty-first century. An equally relevant aspect, albeit one that has hitherto been less studied, is what a journalist looks like. Some studies have tackled this through, for example, examining depictions of journalists in popular culture, but artificial intelligence understandings of what a journalist is and what they look like have yet to receive research attention. While AI-enabled generative art has existed since the late 1990s, the ease and accessibility of these processes has greatly been boosted by providers like Midjourney which emerged since the 2020s and allow those without programming skills to easily create algorithmic images from text prompts. This study analyzes 84 images generated by AI from four generic keywords (journalist, reporter, correspondent, and the press) and three specialized ones (news analyst, news commentator, and fact-checker) over a six-month period. The results reveal an uneven distribution of gender and digital technology between the generic and specialized roles and prompt reflection on how AI perpetuates extant biases in the social world.</t>
  </si>
  <si>
    <t>[Thomas, Ryan J.] Washington State Univ, Pullman, WA USA; [Thomson, T. J.] Queensland Univ Technol, Sch Commun &amp; Digital Media Res Ctr, Brisbane, Qld, Australia; [Thomson, T. J.] RMIT, Sch Media &amp; Commun, Melbourne, Vic, Australia</t>
  </si>
  <si>
    <t>Washington State University; Queensland University of Technology (QUT); Royal Melbourne Institute of Technology (RMIT)</t>
  </si>
  <si>
    <t>Thomson, TJ (corresponding author), Queensland Univ Technol, Sch Commun &amp; Digital Media Res Ctr, Brisbane, Qld, Australia.;Thomson, TJ (corresponding author), RMIT, Sch Media &amp; Commun, Melbourne, Vic, Australia.</t>
  </si>
  <si>
    <t>contact@tjthomson.com</t>
  </si>
  <si>
    <t>Thomson, TJ/JXR-7502-2024</t>
  </si>
  <si>
    <t>Thomson, TJ/0000-0003-3913-3030; Thomas, Ryan/0000-0001-5228-631X</t>
  </si>
  <si>
    <t>2167-0811</t>
  </si>
  <si>
    <t>2167-082X</t>
  </si>
  <si>
    <t>DIGIT JOURNAL</t>
  </si>
  <si>
    <t>Digit. Journal.</t>
  </si>
  <si>
    <t>2023 JUN 23</t>
  </si>
  <si>
    <t>10.1080/21670811.2023.2229883</t>
  </si>
  <si>
    <t>L5XX3</t>
  </si>
  <si>
    <t>WOS:001024004400001</t>
  </si>
  <si>
    <t>Althabiti, S; Alsalka, MA; Atwell, E</t>
  </si>
  <si>
    <t>Ceolin, D; Caselli, T; Tulin, M</t>
  </si>
  <si>
    <t>Althabiti, Saud; Alsalka, Mohammad Ammar; Atwell, Eric</t>
  </si>
  <si>
    <t>Generative AI for Explainable Automated Fact Checking on the FactEx: A New Benchmark Dataset</t>
  </si>
  <si>
    <t>DISINFORMATION IN OPEN ONLINE MEDIA, MISDOOM 2023</t>
  </si>
  <si>
    <t>5th Multidisciplinary International Symposium on Disinformation in Open Online Media (MISDOOM)</t>
  </si>
  <si>
    <t>NOV 21-22, 2023</t>
  </si>
  <si>
    <t>Amsterdam, NETHERLANDS</t>
  </si>
  <si>
    <t>European Res Ctr Informat Syst</t>
  </si>
  <si>
    <t>FactEx Dataset; Automatic Fact-check; ChatGPT; Generative LLMs; NLP; Artificial Intelligence; Computer Science; Disinformation</t>
  </si>
  <si>
    <t>FAKE NEWS; SOCIAL MEDIA</t>
  </si>
  <si>
    <t>The immense volume of online information has made verifying claims' credibility more complex, increasing interest in automatic fact-checking models that classify evidence into binary or multi-class verdicts. However, there are few studies on predicting textual verdicts to explain claims' credibility. This field focuses on generating a textual verdict to explain a given claim based on a given news article. This paper presents our three-fold contribution to this field. Firstly, we collected the FactEx, an English dataset of facts with explanations from various fact-checking websites on different topics. Secondly, we employed seq2seq models and LLMs (namely T5, BERT2BERT, and BLOOM) to develop an automated fact-checking system. Lastly, we used ChatGPT to generate verdicts to check its performance and compared the results against other models. In addition, we explored the impact of dataset size on the model performance by conducting a series of experiments on seven different dataset sizes. The findings indicate that our fine-tuned T5-based model outperformed other generative LLMs and Seq2Seq Models with a ROUGE-1 score of about 26.75, making it the selected baseline for this task. Our study recommends examining the semantic similarity of the generative models for automatic fact-checking applications while also highlighting the importance of evaluating such models using additional techniques, such as crowd-based tools, to ensure the accuracy and reliability of the generated verdicts.</t>
  </si>
  <si>
    <t>[Althabiti, Saud; Alsalka, Mohammad Ammar; Atwell, Eric] Univ Leeds, Leeds LS2 9JT, W Yorkshire, England; [Althabiti, Saud] King Abdulaziz Univ, Jeddah 22254, Saudi Arabia</t>
  </si>
  <si>
    <t>University of Leeds; King Abdulaziz University</t>
  </si>
  <si>
    <t>Althabiti, S (corresponding author), Univ Leeds, Leeds LS2 9JT, W Yorkshire, England.;Althabiti, S (corresponding author), King Abdulaziz Univ, Jeddah 22254, Saudi Arabia.</t>
  </si>
  <si>
    <t>salthabiti@kau.edu.sa; scssal@leeds.ac.uk</t>
  </si>
  <si>
    <t>Althabiti, Saud/0000-0002-4646-0577; Atwell, Eric/0000-0001-9395-3764</t>
  </si>
  <si>
    <t>978-3-031-47895-6; 978-3-031-47896-3</t>
  </si>
  <si>
    <t>10.1007/978-3-031-47896-3_1</t>
  </si>
  <si>
    <t>BW5HO</t>
  </si>
  <si>
    <t>WOS:001160755400001</t>
  </si>
  <si>
    <t>Idé, T; Abe, N</t>
  </si>
  <si>
    <t>Ide, Tsuyoshi; Abe, Naoki</t>
  </si>
  <si>
    <t>Generative Perturbation Analysis for Probabilistic Black-Box Anomaly Attribution</t>
  </si>
  <si>
    <t>explainable AI (XAI); anomaly attribution; generative model; variational inference; Shapley value; integrated gradient</t>
  </si>
  <si>
    <t>We address the task of probabilistic anomaly attribution in the black-box regression setting, where the goal is to compute the probability distribution of the attribution score of each input variable, given an observed anomaly. The training dataset is assumed to be unavailable. This task differs from the standard XAI (explainable AI) scenario, since we wish to explain the anomalous deviation from a black-box prediction rather than the black-box model itself. We begin by showing that mainstream model-agnostic explanation methods, such as the Shapley values, are not suitable for this task because of their deviation-agnostic property. We then propose a novel framework for probabilistic anomaly attribution that allows us to not only compute attribution scores as the predictive mean but also quantify the uncertainty of those scores. This is done by considering a generative process for perturbations that counter-factually bring the observed anomalous observation back to normalcy. We introduce a variational Bayes algorithm for deriving the distributions of per variable attribution scores. To the best of our knowledge, this is the first probabilistic anomaly attribution framework that is free from being deviation-agnostic.</t>
  </si>
  <si>
    <t>[Ide, Tsuyoshi; Abe, Naoki] IBM Res, Thomas J Watson Res Ctr, Yorktown Hts, NY 10598 USA</t>
  </si>
  <si>
    <t>International Business Machines (IBM)</t>
  </si>
  <si>
    <t>Idé, T (corresponding author), IBM Res, Thomas J Watson Res Ctr, Yorktown Hts, NY 10598 USA.</t>
  </si>
  <si>
    <t>tide@us.ibm.com; nabe@us.ibm.com</t>
  </si>
  <si>
    <t>10.1145/3580305.3599365</t>
  </si>
  <si>
    <t>WOS:001118896300073</t>
  </si>
  <si>
    <t>Zhao, GN; Magoulianitis, V; You, SY; Kuo, CCJ</t>
  </si>
  <si>
    <t>Zhao, Ganning; Magoulianitis, Vasileios; You, Suya; Kuo, C. -C. Jay</t>
  </si>
  <si>
    <t>Lightweight Quality Evaluation of Generated Samples and Generative Models</t>
  </si>
  <si>
    <t>APSIPA TRANSACTIONS ON SIGNAL AND INFORMATION PROCESSING</t>
  </si>
  <si>
    <t>Generative model; quality evaluation; quality control; green learning; green AI</t>
  </si>
  <si>
    <t>PIXELHOP</t>
  </si>
  <si>
    <t>Although there are metrics to evaluate the performance of generative models, little research is conducted on the quality evaluation of individual generated samples. A lightweight generated sample quality evaluation (LGSQE) method is proposed in this work. LGSQE trains a binary classifier to differentiate real and synthetic images from a generative model and, then, uses it to assign a soft label between zero and one to a generated sample as its quality index. LGSQE can reject poor generations and serve as a post-processing module for quality control. Furthermore, by aggregating quality indices of a large number of generated samples, LGSQE offers four metrics (i.e., classification accuracy (Acc), the area under the curve (AUC), precision, and recall) to evaluate the performance of a generative model as a byproduct. LGSQE demands a significantly smaller memory size and faster evaluation time while preserving the same rank order predicted by the Frechet Inception Distance (FID). Extensive experiments are conducted to demonstrate the effectiveness and efficiency of LGSQE.</t>
  </si>
  <si>
    <t>[Zhao, Ganning; Magoulianitis, Vasileios; Kuo, C. -C. Jay] Univ Southern Calif, Los Angeles, CA 90007 USA; [You, Suya] DEVCOM Army Res Lab, Adelphi, MD USA</t>
  </si>
  <si>
    <t>Zhao, GN (corresponding author), Univ Southern Calif, Los Angeles, CA 90007 USA.</t>
  </si>
  <si>
    <t>ganningz@usc.edu</t>
  </si>
  <si>
    <t>US DoD LUCI (Laboratory University Collaboration Initiative) fellowship; US Army Research Laboratory</t>
  </si>
  <si>
    <t>US DoD LUCI (Laboratory University Collaboration Initiative) fellowship; US Army Research Laboratory(United States Department of DefenseUS Army Research Laboratory (ARL))</t>
  </si>
  <si>
    <t>This project was sponsored by US DoD LUCI (Laboratory University Collaboration Initiative) fellowship and US Army Research Laboratory. The authors also acknowledge the Center for Advanced Research Computing (CARC) at the University of Southern California for providing computing resources.</t>
  </si>
  <si>
    <t>NOW PUBLISHERS INC</t>
  </si>
  <si>
    <t>HANOVER</t>
  </si>
  <si>
    <t>PO BOX 1024, HANOVER, MA 02339, UNITED STATES</t>
  </si>
  <si>
    <t>2048-7703</t>
  </si>
  <si>
    <t>APSIPA TRANS SIGNAL</t>
  </si>
  <si>
    <t>APSIPA Trans. Signal Inf. Proc.</t>
  </si>
  <si>
    <t>10.1561/116.00000076</t>
  </si>
  <si>
    <t>O5UU6</t>
  </si>
  <si>
    <t>WOS:001044466200001</t>
  </si>
  <si>
    <t>Megahed, FM; Chen, YJ; Ferris, JA; Knoth, S; Jones-Farmer, LA</t>
  </si>
  <si>
    <t>Megahed, Fadel M.; Chen, Ying-Ju; Ferris, Joshua A.; Knoth, Sven; Jones-Farmer, L. Allison</t>
  </si>
  <si>
    <t>How generative AI models such as ChatGPT can be (mis)used in SPC practice, education, and research? An exploratory study</t>
  </si>
  <si>
    <t>QUALITY ENGINEERING</t>
  </si>
  <si>
    <t>Artificial intelligence; innovation engineer; large-language models; prompt engineering</t>
  </si>
  <si>
    <t>CONTROL CHARTS; INNOVATION</t>
  </si>
  <si>
    <t>Generative Artificial Intelligence (AI) models such as OpenAI's ChatGPT have the potential to revolutionize Statistical Process Control (SPC) practice, learning, and research. However, these tools are in the early stages of development and can be easily misused or misunderstood. In this paper, we give an overview of the development of Generative AI. Specifically, we explore ChatGPT's ability to provide code, explain basic concepts, and create knowledge related to SPC practice, learning, and research. By investigating responses to structured prompts, we highlight the benefits and limitations of the results. Our study indicates that the current version of ChatGPT performs well for structured tasks, such as translating code from one language to another and explaining well-known concepts but struggles with more nuanced tasks, such as explaining less widely known terms and creating code from scratch. We find that using new AI tools may help practitioners, educators, and researchers to be more efficient and productive. However, in their current stages of development, some results are misleading and wrong. Overall, the use of generative AI models in SPC must be properly validated and used in conjunction with other methods to ensure accurate results.</t>
  </si>
  <si>
    <t>[Megahed, Fadel M.; Ferris, Joshua A.; Jones-Farmer, L. Allison] Miami Univ, Farmer Sch Business, Oxford, OH USA; [Chen, Ying-Ju] Univ Dayton, Dept Math, Dayton, OH USA; [Knoth, Sven] Helmut Schmidt Univ, Dept Math &amp; Stat, Hamburg, Germany</t>
  </si>
  <si>
    <t>University System of Ohio; Miami University; University System of Ohio; University of Dayton; Helmut Schmidt University</t>
  </si>
  <si>
    <t>Jones-Farmer, LA (corresponding author), Miami Univ, Farmer Sch Business, Oxford, OH 45056 USA.</t>
  </si>
  <si>
    <t>farmerl2@miamioh.edu</t>
  </si>
  <si>
    <t>Chen, Ying-Ju/AEY-9526-2022</t>
  </si>
  <si>
    <t>Chen, Ying-Ju/0000-0002-6444-6859; Jones-Farmer, L. Allison/0000-0002-1529-1133; Megahed, Fadel/0000-0003-2194-5110</t>
  </si>
  <si>
    <t>0898-2112</t>
  </si>
  <si>
    <t>1532-4222</t>
  </si>
  <si>
    <t>QUAL ENG</t>
  </si>
  <si>
    <t>Qual. Eng.</t>
  </si>
  <si>
    <t>APR 2</t>
  </si>
  <si>
    <t>10.1080/08982112.2023.2206479</t>
  </si>
  <si>
    <t>Engineering, Industrial; Statistics &amp; Probability</t>
  </si>
  <si>
    <t>Engineering; Mathematics</t>
  </si>
  <si>
    <t>JV1Z6</t>
  </si>
  <si>
    <t>WOS:001009222000001</t>
  </si>
  <si>
    <t>Qu, ZG; Shi, WK; Tiwari, P</t>
  </si>
  <si>
    <t>Qu, Zhiguo; Shi, Wenke; Tiwari, Prayag</t>
  </si>
  <si>
    <t>Quantum conditional generative adversarial network based on patch method for abnormal electrocardiogram generation</t>
  </si>
  <si>
    <t>COMPUTERS IN BIOLOGY AND MEDICINE</t>
  </si>
  <si>
    <t>Quantum generative adversarial network; Abnormal electrocardiogram; Generative algorithm; Data imbalance</t>
  </si>
  <si>
    <t>MODEL; IDENTIFICATION</t>
  </si>
  <si>
    <t>To address the scarcity and class imbalance of abnormal electrocardiogram (ECG) databases, which are crucial in AI-driven diagnostic tools for potential cardiovascular disease detection, this study proposes a novel quantum conditional generative adversarial algorithm (QCGAN-ECG) for generating abnormal ECG signals. The QCGAN-ECG constructs a quantum generator based on patch method. In this method, each sub-generator generates distinct features of abnormal heartbeats in different segments. This patch-based generative algorithm conserves quantum resources and makes QCGAN-ECG practical for near-term quantum devices. Additionally, QCGAN-ECG introduces quantum registers as control conditions. It encodes information about the types and probability distributions of abnormal heartbeats into quantum registers, rendering the entire generative process controllable. Simulation experiments on Pennylane demonstrated that the QCGAN-ECG could generate completely abnormal heartbeats with an average accuracy of 88.8%. Moreover, the QCGAN-ECG can accurately fit the probability distribution of various abnormal ECG data. In the anti-noise experiments, the QCGANECG showcased outstanding robustness across various levels of quantum noise interference. These results demonstrate the effectiveness and potential applicability of the QCGAN-ECG for generating abnormal ECG signals, which will further promote the development of AI-driven cardiac disease diagnosis systems. The source code is available at github.com/VanSWK/QCGAN_ECG.</t>
  </si>
  <si>
    <t>[Qu, Zhiguo] Nanjing Univ Informat Sci &amp; Technol, Jiangsu Collaborat Innovat Ctr Atmospher Environm, Equipment Technol, Nanjing 210044, Peoples R China; [Qu, Zhiguo; Shi, Wenke] Nanjing Univ Informat Sci &amp; Technol, Sch Comp Sci, Nanjing 210044, Peoples R China; [Tiwari, Prayag] Halmstad Univ, Sch Informat Technol, Halmstad, Sweden</t>
  </si>
  <si>
    <t>Nanjing University of Information Science &amp; Technology; Nanjing University of Information Science &amp; Technology; Halmstad University</t>
  </si>
  <si>
    <t>Tiwari, P (corresponding author), Halmstad Univ, Sch Informat Technol, Halmstad, Sweden.</t>
  </si>
  <si>
    <t>002359@nuist.edu.cn; 20211221031@nuist.edu.cn; prayag.tiwari@ieee.org</t>
  </si>
  <si>
    <t>Qu, Zhiguo/N-9008-2015</t>
  </si>
  <si>
    <t>Qu, Zhiguo/0000-0002-5783-313X</t>
  </si>
  <si>
    <t>National Natural Science Foundation of China [61373131, 62071240]; PAPD; CICAEET funds</t>
  </si>
  <si>
    <t>National Natural Science Foundation of China(National Natural Science Foundation of China (NSFC)); PAPD; CICAEET funds</t>
  </si>
  <si>
    <t>This work was supported by the National Natural Science Foundation of China (No. 61373131, 62071240) , PAPD and CICAEET funds.</t>
  </si>
  <si>
    <t>0010-4825</t>
  </si>
  <si>
    <t>1879-0534</t>
  </si>
  <si>
    <t>COMPUT BIOL MED</t>
  </si>
  <si>
    <t>Comput. Biol. Med.</t>
  </si>
  <si>
    <t>10.1016/j.compbiomed.2023.107549</t>
  </si>
  <si>
    <t>Biology; Computer Science, Interdisciplinary Applications; Engineering, Biomedical; Mathematical &amp; Computational Biology</t>
  </si>
  <si>
    <t>Life Sciences &amp; Biomedicine - Other Topics; Computer Science; Engineering; Mathematical &amp; Computational Biology</t>
  </si>
  <si>
    <t>X4LI9</t>
  </si>
  <si>
    <t>WOS:001098179500001</t>
  </si>
  <si>
    <t>Hacker, P</t>
  </si>
  <si>
    <t>Hacker, Philipp</t>
  </si>
  <si>
    <t>The European AI liability directives - Critique of a half-hearted approach and lessons for the future</t>
  </si>
  <si>
    <t>Artificial intelligence; ChatGPT; Product liability; EU law; AI act; Sustainability; Innovation; Large generative AI models</t>
  </si>
  <si>
    <t>ARTIFICIAL-INTELLIGENCE; DISCRIMINATION; EXPLANATION; INFORMATION; CHALLENGES; PROTECTION; DECISIONS; PRODUCTS; FAIRNESS; BIAS</t>
  </si>
  <si>
    <t>The optimal liability framework for AI systems remains an unsolved problem across the globe. With ChatGPT and other large generative models taking the technology to the next level, solutions are urgently needed. In a much-anticipated move, the European Commis-sion advanced two proposals outlining the European approach to AI liability in September 2022: a novel AI Liability Directive (AILD) and a revision of the Product Liability Directive (PLD). They constitute the final cornerstone of AI regulation in the EU. Crucially, the liability proposals and the proposed EU AI Act are inherently intertwined: the latter does not con-tain any individual rights of affected persons, and the former lack specific, substantive rules on AI development and deployment. Taken together, these acts may well trigger a Brussels effect in AI regulation, with significant consequences for the US and other countries.Against this background, this paper makes three novel contributions. First, it examines in detail the liability proposals and shows that, while making steps in the right direction, they ultimately represent a half-hearted approach: if enacted as foreseen, AI liability in the EU will primarily rest on disclosure of evidence mechanisms and a set of narrowly defined presumptions concerning fault, defectiveness and causality.Hence, second, the article suggests amendments to the proposed AI liability framework. They are collected in a concise Annex at the end of the paper. I argue, inter alia, that the dichotomy between the fault-based AILD Proposal and the supposedly strict liability PLD Proposal is fictional and should be abandoned; that an EU framework for AI liability should comprise one fully harmonizing regulation instead of two insufficiently coordinated direc-tives; and that the current proposals unjustifiably collapse fundamental distinctions be-tween social and individual risk by equating high-risk AI systems in the AI Act with those under the liability framework.Third, based on an analysis of the key risks AI poses, the final part of the paper maps out a road for the future of AI liability and regulation, in the EU and beyond. More specif-ically, I make four key proposals. Effective compensation should be ensured by combin-ing truly strict liability for certain high-risk AI systems with general presumptions of de-fectiveness, fault and causality in cases involving SMEs or non-high-risk AI systems. The paper introduces a novel distinction between illegitimate-and legitimate-harm models to delineate strict liability's scope. Truly strict liability should be reserved for high-risk AI sys-tems that, from a social perspective, should not cause harm (illegitimate-harm models, e.g., autonomous vehicles or medical AI). Models meant to cause some unavoidable harm by ranking and rejecting individuals (legitimate-harm models, e.g., credit scoring or insurance scoring) may merely face rebuttable presumptions of defectiveness and causality. General-purpose AI systems and Foundation Models should only be subjected to high-risk regulation, including liability for high-risk AI systems, in specific high-risk use cases for which they are deployed. Consumers, in turn, ought to be liable based on regular fault, in general.Furthermore, innovation and legal certainty should be fostered through a comprehen-sive regime of safe harbours, defined quantitatively to the best extent possible. Moreover, trustworthy AI remains an important goal for AI regulation. Hence, the liability framework must specifically extend to non-discrimination cases and provide for clear rules concerning explainability (XAI).Finally, awareness for the climate effects of AI, and digital technology more broadly, is rapidly growing in computer science. In diametrical opposition to this shift in discourse and understanding, however, EU legislators have long neglected environmental sustainabil-ity in both the draft AI Act and the proposed liability regime. To counter this, I propose to jump-start sustainable AI regulation via sustainability impact assessments in the AI Act and sustainable design defects in the liability regime. In this way, the law may help spur not only fair AI and XAI, but also sustainable AI (SAI).(c) 2023 Philipp Hacker. Published by Elsevier Ltd. CCBYLICENSE This is an open access article under the CC BY-NC license ( http://creativecommons.org/licenses/by-nc/4.0/ )</t>
  </si>
  <si>
    <t>[Hacker, Philipp] European Univ Viadrina, European New Sch Digital Studies, Frankfurt, Germany; [Hacker, Philipp] European Univ Viadrina, European New Sch Digital Studies, Fac Law, Chair Law &amp; Eth Digital Soc, GrosseScharrnstr 59, D-15230 Frankfurt, Germany</t>
  </si>
  <si>
    <t>European University Viadrina Frankfurt Oder; European University Viadrina Frankfurt Oder</t>
  </si>
  <si>
    <t>Hacker, P (corresponding author), European Univ Viadrina, European New Sch Digital Studies, Fac Law, Chair Law &amp; Eth Digital Soc, GrosseScharrnstr 59, D-15230 Frankfurt, Germany.</t>
  </si>
  <si>
    <t>hacker@europa-uni.de</t>
  </si>
  <si>
    <t>10.1016/j.clsr.2023.105871</t>
  </si>
  <si>
    <t>T4SY2</t>
  </si>
  <si>
    <t>WOS:001077914700001</t>
  </si>
  <si>
    <t>Stover, D</t>
  </si>
  <si>
    <t>Stover, Dawn</t>
  </si>
  <si>
    <t>Will AI make us crazy?</t>
  </si>
  <si>
    <t>BULLETIN OF THE ATOMIC SCIENTISTS</t>
  </si>
  <si>
    <t>Artificial intelligence; AI; chatbots; mental illness; mental health</t>
  </si>
  <si>
    <t>Chatbots and other artificial-intelligence applications that mimic human conversation or writing have rapidly become some of the most popular tech applications of all time. Expert analysis and media coverage of the risks and benefits of AI have paid scant attention to how chatbots might affect public health at a time when depression, suicide, anxiety, and mental illness are epidemic in the United States, particularly among children and young adults. Many experts have pointed to a correlation between declining mental health and increasing online engagement. Generative AI's potential to transform education, the job market, and social interactions could come at the expense of humanity's own mental faculties, creativity, and social skills. Chatbots-which are prone to errors and fabrications-could also make it more difficult for humans to tell fact from fiction. But to the extent that mental health experts and the healthcare industry are interested in AI, it's mostly viewed as a promising tool for identifying and treating mental health issues, rather than a potential threat to mental health.</t>
  </si>
  <si>
    <t>dstover@thebulletin.org</t>
  </si>
  <si>
    <t>0096-3402</t>
  </si>
  <si>
    <t>1938-3282</t>
  </si>
  <si>
    <t>B ATOM SCI</t>
  </si>
  <si>
    <t>Bull. Atom. Scient.</t>
  </si>
  <si>
    <t>10.1080/00963402.2023.2245247</t>
  </si>
  <si>
    <t>International Relations; Social Issues</t>
  </si>
  <si>
    <t>R5TV9</t>
  </si>
  <si>
    <t>WOS:001064985500005</t>
  </si>
  <si>
    <t>Jiang, ZY; Zhang, JH; Gong, NZ</t>
  </si>
  <si>
    <t>Jiang, Zhengyuan; Zhang, Jinghuai; Gong, Neil Zhenqiang</t>
  </si>
  <si>
    <t>Evading Watermark based Detection of AI-Generated Content</t>
  </si>
  <si>
    <t>PROCEEDINGS OF THE 2023 ACM SIGSAC CONFERENCE ON COMPUTER AND COMMUNICATIONS SECURITY, CCS 2023</t>
  </si>
  <si>
    <t>30th ACM SIGSAC Conference on Computer and Communications Security (ACM CCS)</t>
  </si>
  <si>
    <t>NOV 26-30, 2023</t>
  </si>
  <si>
    <t>Assoc Comp Machinery,ACM SIGSAC,Huawei,Natl Sci Fdn,Technol Innovat Inst,Twenty Second Century Dora Technol,Ant Res,IBM,TikTok,Abelian,Input Outut</t>
  </si>
  <si>
    <t>AI-generated content detection; Watermarking; Robustness</t>
  </si>
  <si>
    <t>A generative AI model can generate extremely realistic-looking content, posing growing challenges to the authenticity of information. To address the challenges, watermark has been leveraged to detect AI-generated content. Specifically, a watermark is embedded into an AI-generated content before it is released. A content is detected as AI-generated if a similar watermark can be decoded from it. In this work, we perform a systematic study on the robustness of such watermark-based AI-generated content detection. We focus on AI-generated images. Our work shows that an attacker can post-process a watermarked image via adding a small, human-imperceptible perturbation to it, such that the post-processed image evades detection while maintaining its visual quality. We show the effectiveness of our attack both theoretically and empirically. Moreover, to evade detection, our adversarial post-processing method adds much smaller perturbations to AI-generated images and thus better maintain their visual quality than existing popular post-processing methods such as JPEG compression, Gaussian blur, and Brightness/Contrast. Our work shows the insufficiency of existing watermark-based detection of AI-generated content, highlighting the urgent needs of new methods. Our code is publicly available: https://github.com/zhengyuan-jiang/WEvade.</t>
  </si>
  <si>
    <t>[Jiang, Zhengyuan; Zhang, Jinghuai; Gong, Neil Zhenqiang] Duke Univ, Durham, NC 27706 USA</t>
  </si>
  <si>
    <t>Duke University</t>
  </si>
  <si>
    <t>Jiang, ZY (corresponding author), Duke Univ, Durham, NC 27706 USA.</t>
  </si>
  <si>
    <t>zhengyuan.jiang@duke.edu; jinghuai.zhang@duke.edu; neil.gong@duke.edu</t>
  </si>
  <si>
    <t>ZHANG, Jinghuai/0000-0002-1311-3392</t>
  </si>
  <si>
    <t>NSF [1937787, 1937786, 2112562, 2125977]; ARO [W911NF2110182]</t>
  </si>
  <si>
    <t>NSF(National Science Foundation (NSF)); ARO</t>
  </si>
  <si>
    <t>We thank the anonymous reviewers for their constructive comments. This work was supported by NSF grant No. 1937787, 1937786, 2112562, and 2125977, as well as ARO grant No. W911NF2110182.</t>
  </si>
  <si>
    <t>979-8-4007-0050-7</t>
  </si>
  <si>
    <t>10.1145/3576915.3623189</t>
  </si>
  <si>
    <t>Computer Science, Artificial Intelligence; Computer Science, Interdisciplinary Applications; Telecommunications</t>
  </si>
  <si>
    <t>BW2TJ</t>
  </si>
  <si>
    <t>WOS:001124987201012</t>
  </si>
  <si>
    <t>Bannister, P; Peñalver, EA; Urbieta, AS</t>
  </si>
  <si>
    <t>Bannister, Peter; Penalver, Elena Alcalde; Urbieta, Alexandra Santamaria</t>
  </si>
  <si>
    <t>Transnational higher education cultures and generative AI: a nominal group study for policy development in English medium instruction</t>
  </si>
  <si>
    <t>JOURNAL FOR MULTICULTURAL EDUCATION</t>
  </si>
  <si>
    <t>Generative artificial intelligence; English as a medium of instruction; Higher education; Academic integrity policy development; Nominal group technique</t>
  </si>
  <si>
    <t>PurposeThis purpose of this paper is to report on the development of an evidence-informed framework created to facilitate the formulation of generative artificial intelligence (GenAI) academic integrity policy responses for English medium instruction (EMI) higher education, responding to both the bespoke challenges for the sector and longstanding calls to define and disseminate quality implementation good practice.Design/methodology/approachA virtual nominal group technique engaged experts (n = 14) in idea generation, refinement and consensus building across asynchronous and synchronous stages. The resulting qualitative and quantitative data were analysed using thematic analysis and descriptive statistics, respectively.FindingsThe GenAI Academic Integrity Policy Development Blueprint for EMI Tertiary Education is not a definitive mandate but represents a roadmap of inquiry for reflective deliberation as institutions chart their own courses in this complex terrain.Research limitations/implicationsIf repeated with varying expert panellists, findings may vary to a certain extent; thus, further research with a wider range of stakeholders may be necessary for additional validation.Practical implicationsWhile grounded within the theoretical underpinnings of the field, the tool holds practical utility for stakeholders to develop bespoke policies and critically re-examine existing frameworks.Social implicationsAs texts produced by students using English as an additional language are at risk of being wrongly accused of GenAI-assisted plagiarism, owing to the limited efficacy of text classifiers such as Turnitin, the policy recommendations encapsulated in the blueprint aim to reduce potential bias and unfair treatment of students.Originality/valueThe novel blueprint represents a step towards bridging concerning gaps in policy responses worldwide and aims to spark discussion and further much-needed scholarly exploration to this end.</t>
  </si>
  <si>
    <t>[Bannister, Peter; Urbieta, Alexandra Santamaria] Univ Int La Rioja UNIR, La Rioja, Spain; [Penalver, Elena Alcalde] Univ Alcala, Fac Philosophy &amp; Humanities, Alcala De Henares, Spain</t>
  </si>
  <si>
    <t>Universidad Internacional de La Rioja (UNIR); Universidad de Alcala</t>
  </si>
  <si>
    <t>Bannister, P (corresponding author), Univ Int La Rioja UNIR, La Rioja, Spain.</t>
  </si>
  <si>
    <t>peter.bannister@unir.net</t>
  </si>
  <si>
    <t>Bannister, Peter/HDO-4393-2022</t>
  </si>
  <si>
    <t>Bannister, Peter/0000-0002-7216-3912</t>
  </si>
  <si>
    <t>Universidad Internacional de La Rioja (UNIR), Spain as part of the Project of Analysis and Development for the Optimization of Assessment and Regulation of Generative Artificial Intelligence in Humanities (PANDORA) [PP-2023-22]</t>
  </si>
  <si>
    <t>Universidad Internacional de La Rioja (UNIR), Spain as part of the Project of Analysis and Development for the Optimization of Assessment and Regulation of Generative Artificial Intelligence in Humanities (PANDORA)</t>
  </si>
  <si>
    <t>Funding Acknowledgement and Ethics Approval: This research has been carried out using funds from Universidad Internacional de La Rioja (UNIR), Spain as part of the Project of Analysis and Development for the Optimization of Assessment and Regulation of Generative Artificial Intelligence in Humanities (PANDORA), with project reference number PP-2023-22.</t>
  </si>
  <si>
    <t>2053-535X</t>
  </si>
  <si>
    <t>J MULTICULT EDUC</t>
  </si>
  <si>
    <t>J. Multicult. Educ.</t>
  </si>
  <si>
    <t>2023 DEC 29</t>
  </si>
  <si>
    <t>10.1108/JME-10-2023-0102</t>
  </si>
  <si>
    <t>DH3G3</t>
  </si>
  <si>
    <t>WOS:001131092800001</t>
  </si>
  <si>
    <t>Markowitz, DM; Hancock, JT</t>
  </si>
  <si>
    <t>Markowitz, David M.; Hancock, Jeffrey T.</t>
  </si>
  <si>
    <t>Generative AI Are More Truth-Biased Than Humans: A Replication and Extension of Core Truth-Default Theory Principles</t>
  </si>
  <si>
    <t>JOURNAL OF LANGUAGE AND SOCIAL PSYCHOLOGY</t>
  </si>
  <si>
    <t>artificial intelligence; large language models; truth-bias; deception detection; truth-default theory</t>
  </si>
  <si>
    <t>DECEPTION</t>
  </si>
  <si>
    <t>Humans often display a truth-bias-the perception that others are honest independent of message veracity-but does this phenomenon extend to generative artificial intelligence (AI)? We had humans and large language models make nearly 1,000 veracity judgments across different prompts. Human detection accuracies were near chance (50%-53%) with notable truth-biases (59%-64%); AI had a substantially greater truth-bias than humans (67%-99%). GPT-4 was also truth-default, not suspecting deception when veracity assessments were unprompted. Together, people and AI judge most information to be true.</t>
  </si>
  <si>
    <t>[Markowitz, David M.] Michigan State Univ, Dept Commun, E Lansing, MI USA; [Hancock, Jeffrey T.] Stanford Univ, Dept Commun, Stanford, CA USA; [Markowitz, David M.] Michigan State Univ, Dept Commun, 404 Wilson Rd, E Lansing, MI 48824 USA</t>
  </si>
  <si>
    <t>Michigan State University; Stanford University; Michigan State University</t>
  </si>
  <si>
    <t>Markowitz, DM (corresponding author), Michigan State Univ, Dept Commun, 404 Wilson Rd, E Lansing, MI 48824 USA.</t>
  </si>
  <si>
    <t>dmm@msu.edu</t>
  </si>
  <si>
    <t>Markowitz, David/0000-0002-7159-7014</t>
  </si>
  <si>
    <t>0261-927X</t>
  </si>
  <si>
    <t>1552-6526</t>
  </si>
  <si>
    <t>J LANG SOC PSYCHOL</t>
  </si>
  <si>
    <t>J. Lang. Soc. Psychol.</t>
  </si>
  <si>
    <t>10.1177/0261927X231220404</t>
  </si>
  <si>
    <t>Communication; Linguistics; Psychology, Social</t>
  </si>
  <si>
    <t>Communication; Linguistics; Psychology</t>
  </si>
  <si>
    <t>HB2K5</t>
  </si>
  <si>
    <t>WOS:001127456800001</t>
  </si>
  <si>
    <t>Melnyk, O; Ismail, A; Ghorashi, NS; Heekin, M; Javan, R</t>
  </si>
  <si>
    <t>Melnyk, Oleksiy; Ismail, Ahmed; Ghorashi, Nima S.; Heekin, Mary; Javan, Ramin</t>
  </si>
  <si>
    <t>Generative Artificial Intelligence Terminology: A Primer for Clinicians and Medical Researchers</t>
  </si>
  <si>
    <t>CUREUS JOURNAL OF MEDICAL SCIENCE</t>
  </si>
  <si>
    <t>generative artificial intelligence; convoluted neural network; deep learning (dl); large multimodal model; large language model; natural language processing; artificial intelligence; chatgpt; gpt-4</t>
  </si>
  <si>
    <t>RADIOLOGY</t>
  </si>
  <si>
    <t>Generative artificial intelligence (AI) is rapidly transforming the medical field, as advanced tools powered by large language models (LLMs) make their way into clinical practice, research, and education. Chatbots, which can generate human-like responses, have gained attention for their potential applications. Therefore, familiarity with LLMs and other promising generative AI tools is crucial to harness their potential safely and effectively. As these AI-based technologies continue to evolve, medical professionals must develop a strong understanding of AI terminologies and concepts, particularly generative AI, to effectively tackle real-world challenges and create solutions. This knowledge will enable healthcare professionals to utilize AI-driven innovations for improved patient care and increased productivity in the future. In this brief technical report, we explore 20 of the most relevant terminology associated with the underlying technology behind LLMs and generative AI as they relate to the medical field and provide some examples of how these topics relate to healthcare applications to help in their understanding.</t>
  </si>
  <si>
    <t>[Melnyk, Oleksiy; Ismail, Ahmed; Ghorashi, Nima S.; Heekin, Mary; Javan, Ramin] George Washington Univ, Sch Med &amp; Hlth Sci, Dept Radiol, Washington, DC 20052 USA</t>
  </si>
  <si>
    <t>George Washington University</t>
  </si>
  <si>
    <t>Javan, R (corresponding author), George Washington Univ, Sch Med &amp; Hlth Sci, Dept Radiol, Washington, DC 20052 USA.</t>
  </si>
  <si>
    <t>rjavan@mfa.gwu.edu</t>
  </si>
  <si>
    <t>2168-8184</t>
  </si>
  <si>
    <t>CUREUS J MED SCIENCE</t>
  </si>
  <si>
    <t>Cureus J Med Sci</t>
  </si>
  <si>
    <t>DEC 4</t>
  </si>
  <si>
    <t>e49890</t>
  </si>
  <si>
    <t>10.7759/cureus.49890</t>
  </si>
  <si>
    <t>CB1M2</t>
  </si>
  <si>
    <t>WOS:001122699000011</t>
  </si>
  <si>
    <t>Chen, TL; Hong, L; Yudistyra, V; Vincoff, S; Chatterjee, P</t>
  </si>
  <si>
    <t>Chen, Tianlai; Hong, Lauren; Yudistyra, Vivian; Vincoff, Sophia; Chatterjee, Pranam</t>
  </si>
  <si>
    <t>Generative design of therapeutics that bind and modulate protein states</t>
  </si>
  <si>
    <t>CURRENT OPINION IN BIOMEDICAL ENGINEERING</t>
  </si>
  <si>
    <t>Post-translational modifications; Generative AI; Binder design</t>
  </si>
  <si>
    <t>PREDICTION; LANGUAGE; DOCKING</t>
  </si>
  <si>
    <t>Numerous therapeutic approaches have been developed to enable interrogation and modulation of protein isoforms, but often require laborious experimental development or screening of binders to targets of interest. In this article, we focus on efficient, state-of-the-art computational methods to design both small molecule and protein-based binders to target proteins, and highlight recent generative artificial intelligence approaches to binder design, which represents the most promising direction to enable targeting and modulation of any protein state. Integrated with advances in protein-modifying architectures, the strategies described here may serve as the foundation for therapeutic development in the near future.</t>
  </si>
  <si>
    <t>[Chen, Tianlai; Hong, Lauren; Yudistyra, Vivian; Vincoff, Sophia; Chatterjee, Pranam] Duke Univ, Dept Biomed Engn, Durham, NC 27708 USA; [Chatterjee, Pranam] Duke Univ, Dept Comp Sci, Durham, NC 27708 USA; [Chatterjee, Pranam] Duke Univ, Dept Biostat &amp; Bioinformat, Durham, NC 27708 USA</t>
  </si>
  <si>
    <t>Duke University; Duke University; Duke University</t>
  </si>
  <si>
    <t>Chatterjee, P (corresponding author), Duke Univ, Dept Biomed Engn, Durham, NC 27708 USA.;Chatterjee, P (corresponding author), Duke Univ, Dept Comp Sci, Durham, NC 27708 USA.;Chatterjee, P (corresponding author), Duke Univ, Dept Biostat &amp; Bioinformat, Durham, NC 27708 USA.</t>
  </si>
  <si>
    <t>pranam.chatterjee@duke.edu</t>
  </si>
  <si>
    <t>Chatterjee, Pranam/0000-0003-3957-8478; Hong, Lauren/0000-0002-1675-4806</t>
  </si>
  <si>
    <t>2468-4511</t>
  </si>
  <si>
    <t>CURR OPIN BIOMED ENG</t>
  </si>
  <si>
    <t>Curr. Opin. Biomed. Eng.</t>
  </si>
  <si>
    <t>10.1016/j.cobme.2023.100496</t>
  </si>
  <si>
    <t>Engineering, Biomedical</t>
  </si>
  <si>
    <t>U6YM9</t>
  </si>
  <si>
    <t>WOS:001086242200001</t>
  </si>
  <si>
    <t>Hua, SS; Belfield, H</t>
  </si>
  <si>
    <t>Hua, Shin-Shin; Belfield, Haydn</t>
  </si>
  <si>
    <t>Effective Enforceability of EU Competition Law Under AI Development Scenarios a Framework for Anticipatory Governance</t>
  </si>
  <si>
    <t>Antitrust; competition law; anticipatory governance; AI development scenarios</t>
  </si>
  <si>
    <t>FORECASTS</t>
  </si>
  <si>
    <t>This paper examines whether competition law enforcement can remain effective under different AI development scenarios over the coming years. Economic and political power has become increasingly concentrated into a few AI companies, such as Big Tech. The growth of generative AI could further reinforce this concentration of power in Big Tech. The market power of these companies, and increasingly their involvement in AI, is a major focus for regulators such as the European Commission. Recent EU antitrust fines on Google alone run in the billions. The dynamism of technology markets such as AI can make it difficult for regulators to take effective action. If AI continues to develop rapidly over the coming years, propelled by the proliferation of generative AI, this ability to effectively enforce antitrust law may be further challenged. To help ensure regulators remain effective, EU competition law has been bolstered by a new tech-tailored, ex ante competition regime. These are likely to be critical tools to shape the market power of Big Tech but are largely untested. Exploring how these regulatory tools can be most effective in governing future AI development is a timely question for regulators, lawyers, companies, and citizens. This paper examines this question by considering the 'effective enforceability' of EU competition law and the Digital Markets Act under different AI development scenarios. By 'effective enforceability' of EU competition law we mean how well it achieves its policy objectives. We consider four factors: jurisdictional scope, potential loopholes, effectiveness of detection, and ability to remedy/sanction breaches. However, there is significant uncertainty as to how AI will develop in the coming years. Considering this, we propose an analytical framework based on five variables: key inputs, speed of development, AI capability, number of actors, and the nature/relationship of actors. In some of these scenarios, we argue EU competition law would struggle to address the power of the largest AI companies; but in many other scenarios it remains a powerful tool. This is a critical juncture for competition regulators. They stand at the dawn of emerging challenges presented by generative AI. With this paper, we hope to contribute to anticipatory governance at this important intersection of legal governance and technology. Effective and future-proof competition law enforcement is crucial to ensuring this potentially transformative technology has widely distributed benefits, rather than concentrating power in a few hands.</t>
  </si>
  <si>
    <t>[Hua, Shin-Shin; Belfield, Haydn] Univ Cambridge, Leverhulme Ctr Future Intelligence, Cambridge, England</t>
  </si>
  <si>
    <t>University of Cambridge</t>
  </si>
  <si>
    <t>Hua, SS (corresponding author), Univ Cambridge, Leverhulme Ctr Future Intelligence, Cambridge, England.</t>
  </si>
  <si>
    <t>shinshinhua@gmail.com; hb492@cam.ac.uk</t>
  </si>
  <si>
    <t>10.1145/3600211.3604694</t>
  </si>
  <si>
    <t>WOS:001117838100048</t>
  </si>
  <si>
    <t>Alviano, M; Lanzinger, M; Morak, M; Pieris, A</t>
  </si>
  <si>
    <t>Alviano, Mario; Lanzinger, Matthias; Morak, Michael; Pieris, Andreas</t>
  </si>
  <si>
    <t>Generative Datalog with Stable Negation</t>
  </si>
  <si>
    <t>PROCEEDINGS OF THE 42ND ACM SIGMOD-SIGACT-SIGAI SYMPOSIUM ON PRINCIPLES OF DATABASE SYSTEMS, PODS 2023</t>
  </si>
  <si>
    <t>42nd ACM SIGMOD-SIGACT-SIGAI Symposium on Principles of Database Systems (PODS)</t>
  </si>
  <si>
    <t>JUN 18-21, 2023</t>
  </si>
  <si>
    <t>Seattle, WA</t>
  </si>
  <si>
    <t>Assoc Comp Machinery,ACM SIGMOD,ACM SIGACT,ACM SIGAI,Amazon,Microsoft</t>
  </si>
  <si>
    <t>probabilistic programming; generative Datalog; negation; stable model semantics</t>
  </si>
  <si>
    <t>SEMANTICS</t>
  </si>
  <si>
    <t>Extending programming languages with stochastic behaviour such as probabilistic choices or random sampling has a long tradition in computer science. A recent development in this direction is a declarative probabilistic programming language, proposed by Barany et al. in 2017, which operates on standard relational databases. In particular, Barany et al. proposed generative Datalog, a probabilistic extension of Datalog that allows sampling from discrete probability distributions. Intuitively, the output of a generative Datalog program Pi on an input database D is a probability space over the minimal models of D and Pi, the so-called possible outcomes. This is a natural generalization of the (deterministic) semantics of Datalog, where the output of a program on a database is their unique minimal model. A natural question to ask is how generative Datalog can be enriched with the useful feature of negation, which in turn leads to a strictly more expressive declarative probabilistic programming language. In particular, the challenging question is how the probabilistic semantics of generative Datalog with negation can be robustly defined. Our goal is to provide an answer to this question by interpreting negation according to the stable model semantics.</t>
  </si>
  <si>
    <t>[Alviano, Mario] Univ Calabria, Commenda Di Rende, Italy; [Lanzinger, Matthias] Univ Oxford, Oxford, England; [Morak, Michael] Univ Klagenfurt, Klagenfurt, Austria; [Pieris, Andreas] Univ Edinburgh, Edinburgh, Midlothian, Scotland; [Pieris, Andreas] Univ Cyprus, Nicosia, Cyprus</t>
  </si>
  <si>
    <t>University of Calabria; University of Oxford; University of Klagenfurt; University of Edinburgh; University of Cyprus</t>
  </si>
  <si>
    <t>Alviano, M (corresponding author), Univ Calabria, Commenda Di Rende, Italy.</t>
  </si>
  <si>
    <t>alviano@mat.unical.it; matthias.lanzinger@cs.ox.ac.uk; michael.morak@aau.at; apieris@inf.ed.ac.uk</t>
  </si>
  <si>
    <t>Alviano, Mario/H-1355-2012</t>
  </si>
  <si>
    <t>Lanzinger, Matthias/0000-0002-7601-3727; Pieris, Andreas/0000-0003-4779-3469</t>
  </si>
  <si>
    <t>Italian Ministry of Research (MUR) under PNRR project FAIR Future AI Research [CUP H23C22000860006]; LAIA lab (part of the SILA labs); GNCS-INdAM; Royal Society RAISON DATA project [RP\R1\201074]; EPSRC [EP/S003800/1]</t>
  </si>
  <si>
    <t>Italian Ministry of Research (MUR) under PNRR project FAIR Future AI Research(Ministry of Education, Universities and Research (MIUR)); LAIA lab (part of the SILA labs); GNCS-INdAM(Istituto Nazionale di Alta Matematica (INDAM)); Royal Society RAISON DATA project(Royal Society); EPSRC(UK Research &amp; Innovation (UKRI)Engineering &amp; Physical Sciences Research Council (EPSRC))</t>
  </si>
  <si>
    <t>We thank the anonymous referees for their useful feedback. Alviano was partially supported by the Italian Ministry of Research (MUR) under PNRR project FAIR Future AI Research, CUP H23C22000860006, by the LAIA lab (part of the SILA labs), and by GNCS-INdAM. Lanzinger was supported by the Royal Society RAISON DATA project (Reference No. RP\R1\201074). Pieris was supported by the EPSRC grant EP/S003800/1 EQUID.</t>
  </si>
  <si>
    <t>979-8-4007-0127-6</t>
  </si>
  <si>
    <t>10.1145/3584372.3588656</t>
  </si>
  <si>
    <t>BW2MW</t>
  </si>
  <si>
    <t>WOS:001119129400005</t>
  </si>
  <si>
    <t>Atkinson, P; Barker, R</t>
  </si>
  <si>
    <t>Atkinson, Paul; Barker, Richie</t>
  </si>
  <si>
    <t>AI and the social construction of creativity</t>
  </si>
  <si>
    <t>CONVERGENCE-THE INTERNATIONAL JOURNAL OF RESEARCH INTO NEW MEDIA TECHNOLOGIES</t>
  </si>
  <si>
    <t>AI; systems model; creativity; field; domain; filtering; Csikszentmihalyi</t>
  </si>
  <si>
    <t>MIND</t>
  </si>
  <si>
    <t>Artificial Intelligence (AI) encroaches on new terrains of human activity by dint of its efficacy and an expanding ability to autonomously incorporate information from many disciplines and sources. In this paper, we focus specifically on how AI affects the communicative practices associated with creativity. AI has the capacity to reshape discipline and taste communities by providing new content that competes with human production and by mediating between human activity and information sources. To frame these issues, we turn to the influential systems model of creativity devised by Mihaly Csikszentmihalyi (1996), which Csikszentmihalyi and Daniel Gruner (2018) recently extended to incorporate AI, redubbing it Creativity 4.0. The model assesses how AI affects the social structure of creative practice without overly accentuating the similarity between humans and AI, or questioning whether computational devices will replace creative jobs. The paper examines Gruner and Csikszentmihalyi's revised systems model, arguing that it does not sufficiently take into account the variety of ways that AI can be incorporated into creative practice. Prompted by a theoretical reflection on the nature of the model and the emerging features of AI, we propose a new version of the model that highlights how embedded AIs play a key role in filtering and gatekeeping, as well as the importance of generative systems in informing creative practice. We propose that any discussion of AI and the future of creative practice should look at where and how AI supported technologies are used. Weexamine how AI can reduce and shape the qualitative diversity of sources of inspiration drawn into the creative process, with the associated technological biases, as well as provide an emergent platform for the development of novel ideas.</t>
  </si>
  <si>
    <t>[Atkinson, Paul] Monash Univ, Caulfield, Australia; [Barker, Richie] Deakin Univ, Geelong, Australia</t>
  </si>
  <si>
    <t>Monash University; Deakin University</t>
  </si>
  <si>
    <t>Atkinson, P (corresponding author), Monash Univ, Media Film &amp; Journalism, Caulfield, Australia.</t>
  </si>
  <si>
    <t>paul.atkinson@monash.edu</t>
  </si>
  <si>
    <t>1354-8565</t>
  </si>
  <si>
    <t>1748-7382</t>
  </si>
  <si>
    <t>CONVERGENCE-US</t>
  </si>
  <si>
    <t>Convergence</t>
  </si>
  <si>
    <t>10.1177/13548565231187730</t>
  </si>
  <si>
    <t>LH2J8</t>
  </si>
  <si>
    <t>WOS:001185830500015</t>
  </si>
  <si>
    <t>Li, WY; Chen, XL; Li, PZ; Sorkine-Hornung, O; Chen, BQ</t>
  </si>
  <si>
    <t>Li, Weiyu; Chen, Xuelin; Li, Peizhuo; Sorkine-Hornung, Olga; Chen, Baoquan</t>
  </si>
  <si>
    <t>Example-based Motion Synthesis via Generative Motion Matching</t>
  </si>
  <si>
    <t>ACM TRANSACTIONS ON GRAPHICS</t>
  </si>
  <si>
    <t>Article; Proceedings Paper</t>
  </si>
  <si>
    <t>SIGGRAPH Meeting</t>
  </si>
  <si>
    <t>Los Angeles, CA</t>
  </si>
  <si>
    <t>SIGGRAPH</t>
  </si>
  <si>
    <t>motion synthesis; generative model; motion matching</t>
  </si>
  <si>
    <t>TEXTURE</t>
  </si>
  <si>
    <t>We present GenMM, a generative model that mines as many diverse motions as possible from a single or few example sequences. In stark contrast to existing data-driven methods, which typically require long offline training time, are prone to visual artifacts, and tend to fail on large and complex skeletons, GenMM inherits the training-free nature and the superior quality of the well-known Motion Matching method. GenMM can synthesize a high-quality motion within a fraction of a second, even with highly complex and large skeletal structures. At the heart of our generative framework lies the generative motion matching module, which utilizes the bidirectional visual similarity as a generative cost function to motion matching, and operates in a multi-stage framework to progressively refine a random guess using exemplar motion matches. In addition to diverse motion generation, we show the versatility of our generative framework by extending it to a number of scenarios that are not possible with motion matching alone, including motion completion, key frame-guided generation, infinite looping, and motion reassembly.</t>
  </si>
  <si>
    <t>[Li, Weiyu] Shandong Univ, Jinan, Peoples R China; [Chen, Xuelin] Tencent AI Lab, Shenzhen, Peoples R China; [Li, Peizhuo; Sorkine-Hornung, Olga] Swiss Fed Inst Technol, Zurich, Switzerland; [Chen, Baoquan] Peking Univ, Beijing, Peoples R China</t>
  </si>
  <si>
    <t>Shandong University; Tencent; Swiss Federal Institutes of Technology Domain; ETH Zurich; Peking University</t>
  </si>
  <si>
    <t>Li, WY (corresponding author), Shandong Univ, Jinan, Peoples R China.</t>
  </si>
  <si>
    <t>weiyuli.cn@gmail.com; xuelin.chen.3d@gmail.com; peizhuo.li@inf.ethz.ch; sorkine@inf.ethz.ch; baoquan@pku.edu.cn</t>
  </si>
  <si>
    <t>Sorkine-Hornung, Olga/0000-0002-8089-3974; Li, Peizhuo/0000-0001-9309-9967; Chen, Xuelin/0009-0007-0158-9469</t>
  </si>
  <si>
    <t>National Key R&amp;D Program of China [2022ZD0160801]; European Research Council (ERC) under the European Union's Horizon 2020 Research and Innovation Programme (ERC Consolidator Grant) [101003104]</t>
  </si>
  <si>
    <t>National Key R&amp;D Program of China; European Research Council (ERC) under the European Union's Horizon 2020 Research and Innovation Programme (ERC Consolidator Grant)(European Research Council (ERC))</t>
  </si>
  <si>
    <t>We thank the anonymous reviewers for their constructive comments. This work was supported in part by National Key R&amp;D Program of China 2022ZD0160801, and the European Research Council (ERC) under the European Union's Horizon 2020 Research and Innovation Programme (ERC Consolidator Grant, agreement No. 101003104, MYCLOTH). We would also like to thank Han Liu from Tencent AI Lab for providing the motion data of the avatar Ailing (Figure 1).</t>
  </si>
  <si>
    <t>0730-0301</t>
  </si>
  <si>
    <t>1557-7368</t>
  </si>
  <si>
    <t>ACM T GRAPHIC</t>
  </si>
  <si>
    <t>ACM Trans. Graph.</t>
  </si>
  <si>
    <t>10.1145/3592395</t>
  </si>
  <si>
    <t>Science Citation Index Expanded (SCI-EXPANDED); Conference Proceedings Citation Index - Science (CPCI-S)</t>
  </si>
  <si>
    <t>O6CR6</t>
  </si>
  <si>
    <t>WOS:001044671300060</t>
  </si>
  <si>
    <t>Bruss, SMD</t>
  </si>
  <si>
    <t>Bruss, Sara Morais dos Santos</t>
  </si>
  <si>
    <t>Artificial reproduction? Tabita Rezaire's Sugar Walls Teardom and AI liveness</t>
  </si>
  <si>
    <t>AI &amp; SOCIETY</t>
  </si>
  <si>
    <t>Tabita Rezaire; Decolonization; AI; Captive maternal; Care; Critical race theory; Aesthetics</t>
  </si>
  <si>
    <t>Much more than their machinic reality, current iterations of AI rely on imagined divisions of human and non-human properties and skills that have genealogical ties to colonization. For this reason, research efforts have recently been made to historicize these imaginaries, connecting them to colonial ideals that delegate black and brown colonized people into the realm of the non-human. Atanasoski and Vora (Surrogate humanity. Race, robots and the politics of technological futures, Duke, Durham and London, 2019) have called this a surrogate humanity, where narratives of autonomous technologies function to disappear precisely the formerly colonized peoples that are enveloped in its production process. At the same time, the gendered and racialized roots of this maternal figure represents an opportunity to uncover and critique the invisibilization of embodied resources necessary to produce AI, precarious bodies labouring to produce algorithmic infrastructures in a manner that can be considered in a genealogy of carework and reproduction. These genealogies complicate the detachment suggested by the surrogate figure and go beyond it to proclaim a more generative function of the relationship between the black maternal figure and AI. The article analyses Tabita Rezaire's multi-media artwork Sugar Walls Teardom to think through decolonial and queer renderings of the black female bodies upon which technological imaginaries rest, to extend beyond AI surrogacy and towards notions of kinship, care and world-making by producing an AI aesthetics that is relational, embodied, and celebratory of other ways of liveness.</t>
  </si>
  <si>
    <t>[Bruss, Sara Morais dos Santos] HKW, Haus Kulturen der Welt, Berlin, Germany</t>
  </si>
  <si>
    <t>Bruss, SMD (corresponding author), HKW, Haus Kulturen der Welt, Berlin, Germany.</t>
  </si>
  <si>
    <t>s.moraisdossantos@gmail.com</t>
  </si>
  <si>
    <t>0951-5666</t>
  </si>
  <si>
    <t>1435-5655</t>
  </si>
  <si>
    <t>AI SOC</t>
  </si>
  <si>
    <t>AI Soc.</t>
  </si>
  <si>
    <t>10.1007/s00146-023-01762-6</t>
  </si>
  <si>
    <t>HQ1P6</t>
  </si>
  <si>
    <t>WOS:001069069900001</t>
  </si>
  <si>
    <t>Duin, AH; Pedersen, I; Hall, J; Card, D; Breuch, LAK</t>
  </si>
  <si>
    <t>Duin, Ann Hill; Pedersen, Isabel; Hall, Jim; Card, Dan; Breuch, Lee-Ann Kastman</t>
  </si>
  <si>
    <t>Co-AI Technical Writing: Documentation, Experimentation, User Testing, &amp; Ethical Design</t>
  </si>
  <si>
    <t>2023 IEEE INTERNATIONAL PROFESSIONAL COMMUNICATION CONFERENCE, PROCOMM</t>
  </si>
  <si>
    <t>IEEE International Professional Communication Conference (IPCC)</t>
  </si>
  <si>
    <t>IEEE International Professional Communication Conference (ProComm)</t>
  </si>
  <si>
    <t>Ithaca, NY</t>
  </si>
  <si>
    <t>IEEE,IEEE Comp Soc,Cornell Univ, CornellEngineering, Engn Commun Program,Univ Toronto, Inst Studies Transdisciplinary Engn Educ &amp; Practice,Texas Tech Univ, Dept English,Univ Minnesota</t>
  </si>
  <si>
    <t>Artificial Intelligence; ChatGPT; co-AI technical writing; designing ethical futures</t>
  </si>
  <si>
    <t>OpenAI's ChatGPT technology is now in use across academic and professional contexts, and co-writing content with AI is eclipsing older notions of AI assistantship. This panel re-envisions co-AI technical and professional writing amid this transformative AI writing landscape, inviting participants to join in discussion and research on documenting generative AI's ability to develop documentation; providing critical examination to deal with issues of explainability, transparency, and user advocacy; introducing co-AI technical writing and usability testing to students; and designing ethical futures through use of ethical algorithmic impact assessment tools and processes.</t>
  </si>
  <si>
    <t>[Duin, Ann Hill; Card, Dan] Univ Minnesota, Minneapolis, MN 55455 USA; [Hall, Jim; Breuch, Lee-Ann Kastman] Univ Minnesota, Dept Writing Studies, Minneapolis, MN USA; [Pedersen, Isabel] Ontario Tech Univ, Commun Studies, Oshawa, ON, Canada</t>
  </si>
  <si>
    <t>University of Minnesota System; University of Minnesota Twin Cities; University of Minnesota System; University of Minnesota Twin Cities</t>
  </si>
  <si>
    <t>Duin, AH (corresponding author), Univ Minnesota, Minneapolis, MN 55455 USA.</t>
  </si>
  <si>
    <t>ahduin@umn.edu; Isabel.pedersen@ontario-techu.ca; jhall@umn.edu; dcard@umn.edu; lkbreuch@umn.edu</t>
  </si>
  <si>
    <t>Pedersen, Isabel/GQP-2870-2022</t>
  </si>
  <si>
    <t>Pedersen, Isabel/0000-0002-9317-0812</t>
  </si>
  <si>
    <t>2158-091X</t>
  </si>
  <si>
    <t>979-8-3503-2550-8</t>
  </si>
  <si>
    <t>IEEE INT PROF COMMUN</t>
  </si>
  <si>
    <t>10.1109/ProComm57838.2023.00006</t>
  </si>
  <si>
    <t>Communication; Education, Scientific Disciplines; Engineering, Multidisciplinary</t>
  </si>
  <si>
    <t>Communication; Education &amp; Educational Research; Engineering</t>
  </si>
  <si>
    <t>BV6RI</t>
  </si>
  <si>
    <t>WOS:001062047300008</t>
  </si>
  <si>
    <t>Magni, F; Park, J; Chao, MM</t>
  </si>
  <si>
    <t>Magni, Federico; Park, Jiyoung; Chao, Melody Manchi</t>
  </si>
  <si>
    <t>Humans as Creativity Gatekeepers: Are We Biased Against AI Creativity?</t>
  </si>
  <si>
    <t>JOURNAL OF BUSINESS AND PSYCHOLOGY</t>
  </si>
  <si>
    <t>Artificial intelligence; Creativity evaluation; Effort; Creativity; Cognitive biases; Human-AI interaction</t>
  </si>
  <si>
    <t>IDEA GENERATION; SOCIAL-PSYCHOLOGY; ARTIFICIAL-INTELLIGENCE; PEOPLE; ORGANIZATIONS; SATISFACTION; MANAGEMENT; INNOVATION; JUDGMENTS; BEHAVIOR</t>
  </si>
  <si>
    <t>With artificial intelligence (AI) increasingly involved in the creation of organizational and commercial artifacts, human evaluators' role as creativity gatekeepers of AI-produced artifacts will become critical for innovation processes. However, when humans evaluate creativity, their judgment is clouded by biases triggered by the characteristics of the creator. Drawing from folk psychology and algorithm aversion research, we examine whether the identity of the producer of a given artifact as artificial intelligence (AI) or human is a source of bias affecting people's creativity evaluation of such artifact and what drives this effect. With four experimental studies (N = 2039), of which two were pre-registered, using different experimental designs and evaluation targets, we found that people sometimes-but not always-ascribe lower creativity to a product when they are told that the producer is an AI rather than a human. In addition, we found that people consistently perceive generative AI to exert less effort than humans in the creation of a given artifact, which drives the lower creativity ratings ascribed to generative AI producers. We discuss the implication of these findings for organizational creativity and innovation in the context of human-AI interaction.</t>
  </si>
  <si>
    <t>[Magni, Federico] Swiss Fed Inst Technol, Dept Management Technol &amp; Econ, Weinbergstr 56-58, Zurich, Switzerland; [Park, Jiyoung] Duksung Womens Univ, 33 Samyang Ro 144 Gil, Seoul, South Korea; [Chao, Melody Manchi] Hong Kong Univ Sci &amp; Technol, Dept Management, Clear Water Bay, Hong Kong, Peoples R China</t>
  </si>
  <si>
    <t>Swiss Federal Institutes of Technology Domain; ETH Zurich; Duksung Women's University; Hong Kong University of Science &amp; Technology</t>
  </si>
  <si>
    <t>Magni, F (corresponding author), Swiss Fed Inst Technol, Dept Management Technol &amp; Econ, Weinbergstr 56-58, Zurich, Switzerland.</t>
  </si>
  <si>
    <t>fmagni@ethz.ch; jiyoungpark@duksung.ac.kr; mchao@ust.hk</t>
  </si>
  <si>
    <t>Park, Jiyoung/0000-0003-4397-9645; Magni, Federico/0000-0002-3797-8155</t>
  </si>
  <si>
    <t>Swiss Federal Institute of Technology Zurich; Ministry of Education of the Republic of Korea; National Research Foundation of Korea [NRF-2017S1A6A3A01078538]</t>
  </si>
  <si>
    <t>Swiss Federal Institute of Technology Zurich(ETH Zurich); Ministry of Education of the Republic of Korea(Ministry of Education (MOE), Republic of Korea); National Research Foundation of Korea(National Research Foundation of Korea)</t>
  </si>
  <si>
    <t>Open access funding provided by Swiss Federal Institute of Technology Zurich This paper was supported by the Ministry of Education of the Republic of Korea and the National Research Foundation of Korea (NRF-2017S1A6A3A01078538).</t>
  </si>
  <si>
    <t>0889-3268</t>
  </si>
  <si>
    <t>1573-353X</t>
  </si>
  <si>
    <t>J BUS PSYCHOL</t>
  </si>
  <si>
    <t>J. Bus. Psychol.</t>
  </si>
  <si>
    <t>10.1007/s10869-023-09910-x</t>
  </si>
  <si>
    <t>R6IS3</t>
  </si>
  <si>
    <t>hybrid, Green Published</t>
  </si>
  <si>
    <t>WOS:001065378100001</t>
  </si>
  <si>
    <t>Chun, J; Elkins, K</t>
  </si>
  <si>
    <t>Chun, Jon; Elkins, Katherine</t>
  </si>
  <si>
    <t>THE CRISIS OF ARTIFICIAL INTELLIGENCE: A NEW DIGITAL HUMANITIES CURRICULUM FOR HUMAN-CENTRED AI</t>
  </si>
  <si>
    <t>INTERNATIONAL JOURNAL OF HUMANITIES AND ARTS COMPUTING-A JOURNAL OF DIGITAL HUMANITIES</t>
  </si>
  <si>
    <t>digital humanities; artificial intelligence; large language models; generative AI; AI alignment; AI safety; AI curriculum; AI ethics; computational digital humanities</t>
  </si>
  <si>
    <t>This article outlines what a successful artificial intelligence digital humanities (AI DH) curriculum entails and why it is so critical now. Artificial intelligence is rapidly reshaping our world and is poised to exacerbate long-standing crises including (1) the crisis of higher education and the humanities, (2) the lack of diversity, equity and inclusion (DEI) in computer science and technology fields and (3) the wider social and economic crises facilitated by new technologies. We outline a number of ways in which an AI DH curriculum offers concrete and impactful responses to these many crises. AI DH yields meaningful new avenues of research for the humanities and the humanistic social sciences, and offers new ways that higher education can better prepare students for the world into which they graduate. DEI metrics show how an AI DH curriculum can engage students traditionally underserved by conventional STEM courses. Finally, AI DH educates all students for civic engagement in order to address both the social and economic impacts of emerging AI technologies. This article provides an overview of an AI DH curriculum, the motivating theory behind design decisions, and a detailed look into two sample courses.</t>
  </si>
  <si>
    <t>[Chun, Jon] Kenyon Coll, Humanities, Gambier, OH 43022 USA; [Chun, Jon] Kenyon DH Lab, Gambier, OH 43022 USA; [Chun, Jon] Symantec, Dev, Tempe, AZ 85281 USA; [Elkins, Katherine] Kenyon, Human &amp; Comparat Literature, Gambier, OH USA</t>
  </si>
  <si>
    <t>University System of Ohio; Kenyon College; Symantec</t>
  </si>
  <si>
    <t>Chun, J (corresponding author), Kenyon Coll, Humanities, Gambier, OH 43022 USA.;Chun, J (corresponding author), Kenyon DH Lab, Gambier, OH 43022 USA.;Chun, J (corresponding author), Symantec, Dev, Tempe, AZ 85281 USA.</t>
  </si>
  <si>
    <t>Elkins, Katherine/0000-0001-9887-4854</t>
  </si>
  <si>
    <t>EDINBURGH UNIV PRESS</t>
  </si>
  <si>
    <t>EDINBURGH</t>
  </si>
  <si>
    <t>THE TUN-HOLYROOD RD, 12 2F JACKSONS ENTRY, EDINBURGH EH8 8PJ, SCOTLAND</t>
  </si>
  <si>
    <t>1753-8548</t>
  </si>
  <si>
    <t>1755-1706</t>
  </si>
  <si>
    <t>INT J HUMANIT ARTS C</t>
  </si>
  <si>
    <t>Int. J. Humanit. Arts Comput.</t>
  </si>
  <si>
    <t>10.3366/ijhac.2023.0310</t>
  </si>
  <si>
    <t>Humanities, Multidisciplinary; Computer Science, Interdisciplinary Applications</t>
  </si>
  <si>
    <t>Arts &amp; Humanities - Other Topics; Computer Science</t>
  </si>
  <si>
    <t>U8DG0</t>
  </si>
  <si>
    <t>WOS:001087046600008</t>
  </si>
  <si>
    <t>Nikoli, PK; Bertin, G</t>
  </si>
  <si>
    <t>Nikoli, Predrag K.; Bertin, Giacomo</t>
  </si>
  <si>
    <t>AI.R Taletorium: Artificial Intelligence 1001 Cyber Nights</t>
  </si>
  <si>
    <t>ARTNODES</t>
  </si>
  <si>
    <t>generative storytelling; natural language processing; artificial intelligence creativity; human-AI interaction; computer vision</t>
  </si>
  <si>
    <t>AI.R Taletorium is an artificial intelligence-based collaborative learning environment based on Human-AI co-creation and social relationship development between users. AI.R Taletorium is designed to achieve a common creative experience between groups of users with different preferences, not necessarily at the same location. The system is built upon a character-centric interactive storytelling framework. AI follows users' characteristics to transfer participants into the AI-generated story environment via avatars. Additionally, the multimodal interface helps users participate in the story creation and stimulate their perceptive and emotional engagement. In the 1001 Cyber Nights series of AI-created fairy tales, our focus is on the neural-network-based automated storytelling part of the AI.R Taletorium project. We are inspired by the 1001 Middle Eastern folk tales collection and Scheherazade, who fought for her life by telling stories for 1001 nights. We are using our AI.R Taletorium automated storytelling system to challenge AI creativity and imagination in creating fairy tales for children. As in the story of Scheheraza-de, we see this as a paradigm of AI's creative effort toward its further emancipation.</t>
  </si>
  <si>
    <t>[Nikoli, Predrag K.] Coll Creat Studies, Detroit, MI 48202 USA; [Bertin, Giacomo] Univ Padua, Padua, Italy</t>
  </si>
  <si>
    <t>University of Padua</t>
  </si>
  <si>
    <t>Nikoli, PK (corresponding author), Coll Creat Studies, Detroit, MI 48202 USA.</t>
  </si>
  <si>
    <t>pnikolic@collegeforcreativestudies.edu; giacomo.bertin@studenti.unipd.it</t>
  </si>
  <si>
    <t>UNIV OBERTA CATALUNYA</t>
  </si>
  <si>
    <t>BARCELONA</t>
  </si>
  <si>
    <t>AV TIBIDABO 39-43, BARCELONA, 08035, SPAIN</t>
  </si>
  <si>
    <t>1695-5951</t>
  </si>
  <si>
    <t>Artnodes</t>
  </si>
  <si>
    <t>10.7238/artnodes.v0i31.402821</t>
  </si>
  <si>
    <t>Humanities, Multidisciplinary</t>
  </si>
  <si>
    <t>Arts &amp; Humanities - Other Topics</t>
  </si>
  <si>
    <t>IN9S8</t>
  </si>
  <si>
    <t>WOS:001167131600001</t>
  </si>
  <si>
    <t>Ranjan, R; Ullah, S; Sahoo, SS; Kumar, A</t>
  </si>
  <si>
    <t>Ranjan, Rohit; Ullah, Salim; Sahoo, Siva Satyendra; Kumar, Akash</t>
  </si>
  <si>
    <t>SyFAxO-GeN: Synthesizing FPGA-based Approximate Operators with Generative Networks</t>
  </si>
  <si>
    <t>2023 28TH ASIA AND SOUTH PACIFIC DESIGN AUTOMATION CONFERENCE, ASP-DAC</t>
  </si>
  <si>
    <t>Asia and South Pacific Design Automation Conference Proceedings</t>
  </si>
  <si>
    <t>28th Asia and South Pacific Design Automation Conference (ASP-DAC)</t>
  </si>
  <si>
    <t>JAN 16-19, 2023</t>
  </si>
  <si>
    <t>Miraikan Natl Museum Emerging Sci &amp; Informat, Tokyo, JAPAN</t>
  </si>
  <si>
    <t>IEEE,IEEE Circuits &amp; Syst Soc,IEEE Council Electron Design Automat,ACM Special Interest Group on Design Automation,EIC,IPS,Cadence,Kioxia,NEC,Orchestrating</t>
  </si>
  <si>
    <t>Miraikan Natl Museum Emerging Sci &amp; Informat</t>
  </si>
  <si>
    <t>Approximate Computing; Arithmetic Operator Design; Circuit Synthesis; AI-based Exploration</t>
  </si>
  <si>
    <t>With rising trends of moving AI inference to the edge, due to communication and privacy challenges, there has been a growing focus on designing low-cost Edge-AI. Given the diversity of application areas at the edge, FPGA-based systems are increasingly used for high-performance inference. Similarly, approximate computing has emerged as a viable approach to achieve disproportionate resource gains by utilizing the applications' inherent robustness. However, most related research has focused on selecting the appropriate approximate operators for an application from a set of ASIC-based designs. This approach fails to leverage the FPGA's architectural benefits and limits the scope of approximation to already existing generic designs. To this end, we propose an AI-based approach to synthesizing novel approximate operators for FPGA's Look-uptable-based structure. Specifically, we use state-of-the-art generative networks to search for constraint-aware arithmetic operator designs optimized for FPGA-based implementation. With the proposed GANs, we report up to 49% faster training, with negligible accuracy degradation, than related generative networks. Similarly, we report improved hypervolume and increased pareto-front design points compared to state-of-the-art approaches to synthesizing approximate multipliers.</t>
  </si>
  <si>
    <t>[Ranjan, Rohit; Ullah, Salim; Sahoo, Siva Satyendra; Kumar, Akash] Tech Univ Dresden Dresden, Ctr Adv Elect Dresden cfaed, Chair Processor Design, Dresden, Germany</t>
  </si>
  <si>
    <t>Ranjan, R (corresponding author), Tech Univ Dresden Dresden, Ctr Adv Elect Dresden cfaed, Chair Processor Design, Dresden, Germany.</t>
  </si>
  <si>
    <t>rohit.ranjan@mailbox.tu-dresden.de; salim.ullah@tu-dresden.de; siva_satyendra.sahoo@tu-dresden.de; akash.kumar@tu-dresden.de</t>
  </si>
  <si>
    <t>Deutsche Forschungsgemeinschaft (DFG) under the X-ReAp project [380524764]</t>
  </si>
  <si>
    <t>Deutsche Forschungsgemeinschaft (DFG) under the X-ReAp project(German Research Foundation (DFG))</t>
  </si>
  <si>
    <t>This work is supported by the Deutsche Forschungsgemeinschaft (DFG) under the X-ReAp project (Project number 380524764).</t>
  </si>
  <si>
    <t>2153-6961</t>
  </si>
  <si>
    <t>978-1-4503-9783-4</t>
  </si>
  <si>
    <t>ASIA S PACIF DES AUT</t>
  </si>
  <si>
    <t>10.1145/3566097.3567891</t>
  </si>
  <si>
    <t>Automation &amp; Control Systems; Computer Science, Hardware &amp; Architecture; Computer Science, Software Engineering; Engineering, Electrical &amp; Electronic</t>
  </si>
  <si>
    <t>BV0ZJ</t>
  </si>
  <si>
    <t>WOS:000981940000069</t>
  </si>
  <si>
    <t>Meskó, B; Topol, EJ</t>
  </si>
  <si>
    <t>Mesko, Bertalan; Topol, Eric J. J.</t>
  </si>
  <si>
    <t>The imperative for regulatory oversight of large language models (or generative AI) in healthcare</t>
  </si>
  <si>
    <t>NPJ DIGITAL MEDICINE</t>
  </si>
  <si>
    <t>The rapid advancements in artificial intelligence (AI) have led to the development of sophisticated large language models (LLMs) such as GPT-4 and Bard. The potential implementation of LLMs in healthcare settings has already garnered considerable attention because of their diverse applications that include facilitating clinical documentation, obtaining insurance pre-authorization, summarizing research papers, or working as a chatbot to answer questions for patients about their specific data and concerns. While offering transformative potential, LLMs warrant a very cautious approach since these models are trained differently from AI-based medical technologies that are regulated already, especially within the critical context of caring for patients. The newest version, GPT-4, that was released in March, 2023, brings the potentials of this technology to support multiple medical tasks; and risks from mishandling results it provides to varying reliability to a new level. Besides being an advanced LLM, it will be able to read texts on images and analyze the context of those images. The regulation of GPT-4 and generative AI in medicine and healthcare without damaging their exciting and transformative potential is a timely and critical challenge to ensure safety, maintain ethical standards, and protect patient privacy. We argue that regulatory oversight should assure medical professionals and patients can use LLMs without causing harm or compromising their data or privacy. This paper summarizes our practical recommendations for what we can expect from regulators to bring this vision to reality.</t>
  </si>
  <si>
    <t>[Mesko, Bertalan] Med Futurist Inst, Budapest, Hungary; [Mesko, Bertalan] Semmelweis Univ, Dept Behav Sci, Budapest, Hungary; [Topol, Eric J. J.] Scripps Res, Scripps Res Translat Inst, La Jolla, CA USA</t>
  </si>
  <si>
    <t>Semmelweis University; Scripps Research Institute</t>
  </si>
  <si>
    <t>Meskó, B (corresponding author), Med Futurist Inst, Budapest, Hungary.;Meskó, B (corresponding author), Semmelweis Univ, Dept Behav Sci, Budapest, Hungary.</t>
  </si>
  <si>
    <t>berci@medicalfuturist.com</t>
  </si>
  <si>
    <t>Mesko, Bertalan/0000-0002-7005-7083; Topol, Eric/0000-0002-1478-4729</t>
  </si>
  <si>
    <t>2398-6352</t>
  </si>
  <si>
    <t>NPJ DIGIT MED</t>
  </si>
  <si>
    <t>npj Digit. Med.</t>
  </si>
  <si>
    <t>JUL 6</t>
  </si>
  <si>
    <t>10.1038/s41746-023-00873-0</t>
  </si>
  <si>
    <t>Health Care Sciences &amp; Services; Medical Informatics</t>
  </si>
  <si>
    <t>L7JW0</t>
  </si>
  <si>
    <t>WOS:001024995000001</t>
  </si>
  <si>
    <t>Eilam, T; Bello-Maldonado, PD; Bhattacharjee, B; Costa, C; Lee, EK; Tantawi, A</t>
  </si>
  <si>
    <t>Eilam, Tamar; Bello-Maldonado, Pedro D.; Bhattacharjee, Bishwaranjan; Costa, Carlos; Lee, Eun K.; Tantawi, Asser</t>
  </si>
  <si>
    <t>Towards a Methodology and Framework for AI Sustainability Metrics</t>
  </si>
  <si>
    <t>green AI; foundation models; sustainable AI; sustainable computing</t>
  </si>
  <si>
    <t>Recently, we are witnessing truly groundbreaking achievements using AI models, such as the much talked about generative large language models, the broader area of foundation models, and the wide range of applications with a tremendous potential to accelerate scientific discovery, and enhance productivity. AI models and their use are growing at a super-linear pace. Inference jobs are measured by the trillions, and model parameters by the billions. This scaling up comes with a tremendous environmental cost, associated with every aspect of models' life cycle: data preparation, pre-training, and post deployment re-training, inference, and, the embodied emission of the systems used to support the execution. There is an urgent need for the community to come together and conduct a meaningful conversation about the environmental cost of AI. To do that, we ought to develop an agreed upon set of metrics, methodology, and framework to quantify AI's sustainability cost in a holistic and complete fashion. In this paper, we propose unified AI Sustainability metrics that can help foster a sustainability mind-set and enable analysis, and strategy setting. To do that, we build on and extend the data center sustainability metrics, defined in [19], by introducing (for the first time to our knowledge) the concept of embodied product emission (EPC) to capture the creation cost of software assets, such as software platforms, models, and data-sets. We then use this new concept to expand the job sustainability cost metrics (JCS and ASC) offered in [19] to factor in the context of the execution of jobs, such as a platform as-a-service, or a model serving inference jobs. The result is applicable to any data center job, not just for AI, and contributes towards accuracy and completeness. We then show how to apply this approach to AI, with a particular focus on the entire life cycle, including all phases of the life cycle, as well as the provenance of models, where one model is used (distilled) to create another one. We demonstrate how the metric can be used to inform a more meaningful debate about AI strategies and cost. Te novelty of the approach is that it can be used to reason about strategies and trade-offs across the life cycle and 'supply-chain' of models.</t>
  </si>
  <si>
    <t>[Eilam, Tamar; Bello-Maldonado, Pedro D.; Bhattacharjee, Bishwaranjan; Costa, Carlos; Lee, Eun K.; Tantawi, Asser] IBM TJ Watson Res Ctr, Yorktown Hts, NY 10598 USA</t>
  </si>
  <si>
    <t>Eilam, T (corresponding author), IBM TJ Watson Res Ctr, Yorktown Hts, NY 10598 USA.</t>
  </si>
  <si>
    <t>Bhattacharjee, Bishwaranjan/0009-0009-7097-4891; Tantawi, Asser/0000-0001-6598-8863; Eilam, Tamar/0000-0002-0912-0776; Bello-Maldonado, Pedro/0000-0003-0691-5204</t>
  </si>
  <si>
    <t>10.1145/3604930.3605715</t>
  </si>
  <si>
    <t>WOS:001124735600013</t>
  </si>
  <si>
    <t>van den Berg, G; du Plessis, E</t>
  </si>
  <si>
    <t>van den Berg, Geesje; du Plessis, Elize</t>
  </si>
  <si>
    <t>ChatGPT and Generative AI: Possibilities for Its Contribution to Lesson Planning, Critical Thinking and Openness in Teacher Education</t>
  </si>
  <si>
    <t>artificial intelligence; critical thinking; ChatGPT; lesson plans; open education; teacher education</t>
  </si>
  <si>
    <t>Although artificial intelligence (AI) has been part of our lives for some time, the launch of the Generative Pretrained Transformer (ChatGPT) has given it renewed attention. While most of these debates are about higher education in general, this article focuses on schoolteacher education and teacher training. This research aimed to determine the contribution of generative AI tools such as ChatGPT in lesson planning, critical thinking and openness in education. The research used a qualitative approach and document analysis following an interpretative paradigm. The findings reveal that generative language models such as ChatGPT can provide specific materials and support mechanisms, such as lesson plans, to schoolteachers and student teachers. It also showed that ChatGPT has levelled the playing field by opening access to lesson plans to all teachers. However, to unleash their full potential for education, it is crucial to approach these models with caution and critically evaluate their limitations and potential biases, understanding that they are tools to support teaching and learning and do not replace teachers. The study's contribution lies in ChatGPT-generated lesson plans' implications and the enhancement of critical thinking for teacher education, and it also underscores the need for further research to explore best practices for integrating ChatGPT in lesson planning.</t>
  </si>
  <si>
    <t>[van den Berg, Geesje; du Plessis, Elize] Univ South Africa, Dept Curriculum &amp; Instruct Studies, ZA-0003 Pretoria, South Africa</t>
  </si>
  <si>
    <t>University of South Africa</t>
  </si>
  <si>
    <t>du Plessis, E (corresponding author), Univ South Africa, Dept Curriculum &amp; Instruct Studies, ZA-0003 Pretoria, South Africa.</t>
  </si>
  <si>
    <t>vdberg@unisa.ac.za; dplesec@unisa.ac.za</t>
  </si>
  <si>
    <t>du Plessis, Elize/0000-0003-4299-4632; van den Berg, Geesje/0000-0002-0306-4427</t>
  </si>
  <si>
    <t>10.3390/educsci13100998</t>
  </si>
  <si>
    <t>W8EP6</t>
  </si>
  <si>
    <t>WOS:001093907000001</t>
  </si>
  <si>
    <t>Liu, K; Han, YQ; Gong, ZC; Xu, HX</t>
  </si>
  <si>
    <t>Liu, Ke; Han, Yuqiang; Gong, Zhichen; Xu, Hongxia</t>
  </si>
  <si>
    <t>Low-Data Drug Design with Few-Shot Generative Domain Adaptation</t>
  </si>
  <si>
    <t>BIOENGINEERING-BASEL</t>
  </si>
  <si>
    <t>drug design; domain adaptation; generative model</t>
  </si>
  <si>
    <t>Developing new drugs for emerging diseases, such as COVID-19, is crucial for promoting public health. In recent years, the application of artificial intelligence (AI) has significantly advanced drug discovery pipelines. Generative models, such as generative adversarial networks (GANs), exhibit the potential for discovering novel drug molecules by relying on a vast number of training samples. However, for new diseases, only a few samples are typically available, posing a significant challenge to learning a generative model that produces both high-quality and diverse molecules under limited supervision. To address this low-data drug generation issue, we propose a novel molecule generative domain adaptation paradigm (Mol-GenDA), which transfers a pre-trained GAN on a large-scale drug molecule dataset to a new disease domain using only a few references. Specifically, we introduce a molecule adaptor into the GAN generator during the fine tuning, allowing the generator to reuse prior knowledge learned in pre-training to the greatest extent and maintain the quality and diversity of the generated molecules. Comprehensive downstream experiments demonstrate that Mol-GenDA can produce high-quality and diverse drug candidates. In summary, the proposed approach offers a promising solution to expedite drug discovery for new diseases, which could lead to the timely development of effective drugs to combat emerging outbreaks.</t>
  </si>
  <si>
    <t>[Liu, Ke; Han, Yuqiang] Zhejiang Univ, Coll Comp Sci &amp; Technol, Hangzhou 310027, Peoples R China; [Liu, Ke; Han, Yuqiang; Gong, Zhichen] ZJU Hangzhou Global Sci &amp; Technol Innovat Ctr, Hangzhou 311200, Peoples R China; [Gong, Zhichen] UCL, Dept Comp Sci, London WC1E 6BT, England; [Xu, Hongxia] Zhejiang Univ, Innovat Inst Artificial Intelligence Med, Hangzhou 310027, Peoples R China</t>
  </si>
  <si>
    <t>Zhejiang University; University of London; University College London; Zhejiang University</t>
  </si>
  <si>
    <t>Han, YQ (corresponding author), Zhejiang Univ, Coll Comp Sci &amp; Technol, Hangzhou 310027, Peoples R China.;Han, YQ (corresponding author), ZJU Hangzhou Global Sci &amp; Technol Innovat Ctr, Hangzhou 311200, Peoples R China.;Xu, HX (corresponding author), Zhejiang Univ, Innovat Inst Artificial Intelligence Med, Hangzhou 310027, Peoples R China.</t>
  </si>
  <si>
    <t>lk2017@zju.edu.cn; hyq2015@zju.edu.cn; zhichen.gong.18@ucl.ac.uk; einstein@zju.edu.cn</t>
  </si>
  <si>
    <t>Han, Yuqiang/JJE-0972-2023</t>
  </si>
  <si>
    <t>National Natural Science Foundation of China [82202984]</t>
  </si>
  <si>
    <t>This research was funded by National Natural Science Foundation of China under grantsNo. 82202984</t>
  </si>
  <si>
    <t>2306-5354</t>
  </si>
  <si>
    <t>Bioengineering-Basel</t>
  </si>
  <si>
    <t>10.3390/bioengineering10091104</t>
  </si>
  <si>
    <t>Biotechnology &amp; Applied Microbiology; Engineering, Biomedical</t>
  </si>
  <si>
    <t>Biotechnology &amp; Applied Microbiology; Engineering</t>
  </si>
  <si>
    <t>S8BF4</t>
  </si>
  <si>
    <t>WOS:001073358900001</t>
  </si>
  <si>
    <t>Li, YS; Liao, IY; Zhong, N; Toshihiro, F; Wang, Y; Wang, SQ</t>
  </si>
  <si>
    <t>Jia, W; Pan, Z; Bian, Z; He, Z; Kang, W; Ben, X; Yu, S; Wang, J</t>
  </si>
  <si>
    <t>Li, Yisheng; Liao, Iman Yi; Zhong, Ning; Toshihiro, Furukawa; Wang, Yishan; Wang, Shuqiang</t>
  </si>
  <si>
    <t>Generative AI Enables the Detection of Autism Using EEG Signals</t>
  </si>
  <si>
    <t>BIOMETRIC RECOGNITION, CCBR 2023</t>
  </si>
  <si>
    <t>17th Chinese Conference on Biometric Recognition (CCBR)</t>
  </si>
  <si>
    <t>DEC 01-03, 2023</t>
  </si>
  <si>
    <t>Xuzhou, PEOPLES R CHINA</t>
  </si>
  <si>
    <t>China Soc Image &amp; Graph,Chinese Assoc Artificial Intelligence,Springer,China Univ Min &amp; Technol,Chinese Acad Sci, Inst Automat</t>
  </si>
  <si>
    <t>electroencephalogram (EEG); Denoising Diffusion Probability Model (DDPM); synthetic data</t>
  </si>
  <si>
    <t>In disease detection, generative models for data augmentation offer a potential solution to the challenges posed by limited high-quality electroencephalogram (EEG) data. The study proposes a temporal-spatial feature-aware denoising diffusion probabilistic model (DDPM), termed TF-DDPM, as an EEG time-series augmentation framework for autism research. The module for predicting noise is CCA-UNet based on the channel correlation-based attention (CCA) mechanism, which considers the spatial and temporal correlation between channels, and uses depthwise separable convolution instead of traditional convolution, thereby suppressing the interference from irrelevant channels. Visualization and binary classification results on synthetic signals indicate that proposed method generates higher quality synthetic data compared to Generative Adversarial Networks (GAN) and DDPM.</t>
  </si>
  <si>
    <t>[Li, Yisheng; Wang, Yishan; Wang, Shuqiang] Chinese Acad Sci, Shenzhen Inst Adv Technol, Beijing, Peoples R China; [Li, Yisheng] Southern Univ Sci &amp; Technol, Shenzhen, Peoples R China; [Liao, Iman Yi] Univ Nottingham Malaysia Campus, Semenyih, Malaysia; [Zhong, Ning; Toshihiro, Furukawa] Maebashi Inst Technol, Maebashi, Gumma, Japan</t>
  </si>
  <si>
    <t>Chinese Academy of Sciences; Shenzhen Institute of Advanced Technology, CAS; Southern University of Science &amp; Technology; University of Nottingham Malaysia</t>
  </si>
  <si>
    <t>Wang, SQ (corresponding author), Chinese Acad Sci, Shenzhen Inst Adv Technol, Beijing, Peoples R China.</t>
  </si>
  <si>
    <t>sq.wang@siat.ac.cn</t>
  </si>
  <si>
    <t>National Natural Science Foundations of China [62172403]; Distinguished Young Scholars Fund of Guangdong [2021B1515020019]; Excellent Young Scholars of Shenzhen [RCYX20200714114641211]</t>
  </si>
  <si>
    <t>National Natural Science Foundations of China(National Natural Science Foundation of China (NSFC)); Distinguished Young Scholars Fund of Guangdong; Excellent Young Scholars of Shenzhen</t>
  </si>
  <si>
    <t>This work was supported by the National Natural Science Foundations of China under Grant 62172403, the Distinguished Young Scholars Fund of Guangdong under Grant 2021B1515020019, the Excellent Young Scholars of Shenzhen under Grant RCYX20200714114641211.</t>
  </si>
  <si>
    <t>SPRINGER-VERLAG SINGAPORE PTE LTD</t>
  </si>
  <si>
    <t>SINGAPORE</t>
  </si>
  <si>
    <t>152 BEACH ROAD, #21-01/04 GATEWAY EAST, SINGAPORE, 189721, SINGAPORE</t>
  </si>
  <si>
    <t>978-981-99-8564-7; 978-981-99-8565-4</t>
  </si>
  <si>
    <t>10.1007/978-981-99-8565-4_35</t>
  </si>
  <si>
    <t>Computer Science, Artificial Intelligence; Computer Science, Theory &amp; Methods; Mathematical &amp; Computational Biology; Imaging Science &amp; Photographic Technology</t>
  </si>
  <si>
    <t>Computer Science; Mathematical &amp; Computational Biology; Imaging Science &amp; Photographic Technology</t>
  </si>
  <si>
    <t>BW5FW</t>
  </si>
  <si>
    <t>WOS:001160316100035</t>
  </si>
  <si>
    <t>Saxena, D; Wall, PJ; Lewis, D</t>
  </si>
  <si>
    <t>Saxena, Deepak; Wall, P. J.; Lewis, Dave</t>
  </si>
  <si>
    <t>Artificial Intelligence (AI) Ethics: A Critical Realist Emancipatory Approach</t>
  </si>
  <si>
    <t>2023 IEEE INTERNATIONAL SYMPOSIUM ON TECHNOLOGY AND SOCIETY, ISTAS</t>
  </si>
  <si>
    <t>IEEE International Symposium on Technology and Society</t>
  </si>
  <si>
    <t>29th Annual IEEE International Symposium on Technology and Society (ISTAS)</t>
  </si>
  <si>
    <t>SEP 13-15, 2023</t>
  </si>
  <si>
    <t>Swansea, WALES</t>
  </si>
  <si>
    <t>IEEE,IEEE Soc Social Implicat Technol,IEEE Reg 8,IEEE UK &amp; Ireland Sect,IEEE UK &amp; Ireland SSIT Chapter,IEEE UK &amp; Ireland Educ Soc</t>
  </si>
  <si>
    <t>Artificial intelligence; ethics; AI ethics; critical realism; generative mechanisms; reflexivity; citizen engagement</t>
  </si>
  <si>
    <t>The importance of any conversation on the ethics of Artificial Intelligence (AI) cannot be overstated as such advanced technologies now influence almost every aspect of our lives. To date, dominant approaches to AI ethics have traditionally focused on the agency of the organisations creating such AI projects (e.g. the Google AI principles), but more recent approaches focus on wider structures and frameworks that may potentially support responsible AI design (e.g. the Ethically Aligned Design framework by IEEE). In this paper, we argue that such frameworks are both incomplete and insufficient as these approaches give primacy to either agency or structure. Moreover, in both approaches, the emancipation of those for whom AI is designed is almost completely ignored. To remove these lacunae, we suggest an emancipatory approach to AI ethics based on the key tenets of the philosophy and ontology of critical realism. The stratified ontology of critical realism suggests that structural conditions may be modified to activate the mechanisms supporting any desired outcome (e.g., bias-free AI). In addition, such an emancipatory approach works towards activating the mechanisms supporting the reflexivity of the stakeholders in any specific AI context. This paper makes an argument for adopting this particular philosophical approach, and we discuss three critical realist-based mechanisms in support of our argument: ethical training of AI professionals, citizen engagement, and freedom of AI information.</t>
  </si>
  <si>
    <t>[Saxena, Deepak] Indian Inst Technol Jodhpur, Sch Management &amp; Entrepreneurship, Jodhpur, Rajasthan, India; [Wall, P. J.; Lewis, Dave] Trinity Coll Dublin, ADAPT Ctr, Dublin, Ireland</t>
  </si>
  <si>
    <t>Indian Institute of Technology System (IIT System); Indian Institute of Technology (IIT) - Jodhpur; Trinity College Dublin</t>
  </si>
  <si>
    <t>Saxena, D (corresponding author), Indian Inst Technol Jodhpur, Sch Management &amp; Entrepreneurship, Jodhpur, Rajasthan, India.</t>
  </si>
  <si>
    <t>saxenad@iitj.ac.in; wallp2@tcd.ie; dave.lewis@adaptcentre.ie</t>
  </si>
  <si>
    <t>2158-3404</t>
  </si>
  <si>
    <t>979-8-3503-2486-0</t>
  </si>
  <si>
    <t>INT SYMP TECHNOL SOC</t>
  </si>
  <si>
    <t>10.1109/ISTAS57930.2023.10305995</t>
  </si>
  <si>
    <t>Computer Science, Interdisciplinary Applications; History &amp; Philosophy Of Science</t>
  </si>
  <si>
    <t>Computer Science; History &amp; Philosophy of Science</t>
  </si>
  <si>
    <t>BW1AZ</t>
  </si>
  <si>
    <t>WOS:001103233000016</t>
  </si>
  <si>
    <t>Esplugas, M</t>
  </si>
  <si>
    <t>Esplugas, Mireia</t>
  </si>
  <si>
    <t>The use of artificial intelligence (AI) to enhance academic communication, education and research: a balanced approach</t>
  </si>
  <si>
    <t>JOURNAL OF HAND SURGERY-EUROPEAN VOLUME</t>
  </si>
  <si>
    <t>Artificial intelligence (AI); AI-related tools; Large language model (LLM) academics; research; risks</t>
  </si>
  <si>
    <t>Much has been written about the concerns surrounding artificial intelligence (AI). This article looks positively at how AI can enhance communication and academic skills, including teaching and research. The article explains what AI, Generative Pre-trained Transformer (GPT), and chat-GPT are and highlights a few AI-based tools that are currently in use to improve communication and academic skills. It also mentions potential AI problems, such as a lack of personalization, societal biases, and privacy concerns. The future lies in the training of hand surgeons to master the skill of precise communication and academia using AI tools.</t>
  </si>
  <si>
    <t>[Esplugas, Mireia] Kaplan Hand Inst Barcelona, Avinguda Reina Elisenda 17, Barcelona 08034, Spain; [Esplugas, Mireia] Clin Activamutua Tarragona, C Pin i Soler 12-14, Tarragona 43002, Spain</t>
  </si>
  <si>
    <t>Esplugas, M (corresponding author), Clin Activamutua Tarragona, C Pin i Soler 12-14, Tarragona 43002, Spain.</t>
  </si>
  <si>
    <t>mireiaesplugas@institut-kaplan.com</t>
  </si>
  <si>
    <t>1753-1934</t>
  </si>
  <si>
    <t>2043-6289</t>
  </si>
  <si>
    <t>J HAND SURG-EUR VOL</t>
  </si>
  <si>
    <t>J. Hand Surg.-Eur. Vol.</t>
  </si>
  <si>
    <t>10.1177/17531934231185746</t>
  </si>
  <si>
    <t>Orthopedics; Surgery</t>
  </si>
  <si>
    <t>CL8M0</t>
  </si>
  <si>
    <t>WOS:001023812200001</t>
  </si>
  <si>
    <t>Bae, B; Bae, H; Nam, H</t>
  </si>
  <si>
    <t>Bae, Bongsung; Bae, Haelee; Nam, Hojung</t>
  </si>
  <si>
    <t>LOGICS: Learning optimal generative distribution for designing de novo chemical structures</t>
  </si>
  <si>
    <t>De novo drug design; Deep generative models; Reinforcement learning; Bioactivity optimization</t>
  </si>
  <si>
    <t>DRUG DISCOVERY</t>
  </si>
  <si>
    <t>In recent years, the field of computational drug design has made significant strides in the development of artificial intelligence (AI) models for the generation of de novo chemical compounds with desired properties and biological activities, such as enhanced binding affinity to target proteins. These high-affinity compounds have the potential to be developed into more potent therapeutics for a broad spectrum of diseases. Due to the lack of data required for the training of deep generative models, however, some of these approaches have fine-tuned their molecular generators using data obtained from a separate predictor. While these studies show that generative models can produce structures with the desired target properties, it remains unclear whether the diversity of the generated structures and the span of their chemical space align with the distribution of the intended target molecules. In this study, we present a novel generative framework, LOGICS, a framework for Learning Optimal Generative distribution Iteratively for designing target-focused Chemical Structures. We address the exploration-exploitation dilemma, which weighs the choice between exploring new options and exploiting current knowledge. To tackle this issue, we incorporate experience memory and employ a layered tournament selection approach to refine the fine-tuning process. The proposed method was applied to the binding affinity optimization of two target proteins of different protein classes, &amp; kappa;-opioid receptors, and PIK3CA, and the quality and the distribution of the generative molecules were evaluated. The results showed that LOGICS outperforms competing state-of-the-art models and generates more diverse de novo chemical structures with optimized properties. The source code is available at the GitHub repository (https://github.com/GIST-CSBL/LOGICS).</t>
  </si>
  <si>
    <t>[Bae, Bongsung; Nam, Hojung] Gwangju Inst Sci &amp; Technol GIST, Sch Elect Engn &amp; Comp Sci EECS, Gwangju 61005, South Korea; [Bae, Haelee; Nam, Hojung] Gwangju Inst Sci &amp; Technol GIST, AI Grad Sch, Gwangju 61005, South Korea; [Nam, Hojung] Gwangju Inst Sci &amp; Technol GIST, Ctr AI Appl High Efficiency Drug Discovery AHEDD, Gwangju 61005, South Korea</t>
  </si>
  <si>
    <t>Gwangju Institute of Science &amp; Technology (GIST); Gwangju Institute of Science &amp; Technology (GIST); Gwangju Institute of Science &amp; Technology (GIST)</t>
  </si>
  <si>
    <t>Nam, H (corresponding author), Gwangju Inst Sci &amp; Technol GIST, Sch Elect Engn &amp; Comp Sci EECS, Gwangju 61005, South Korea.;Nam, H (corresponding author), Gwangju Inst Sci &amp; Technol GIST, AI Grad Sch, Gwangju 61005, South Korea.;Nam, H (corresponding author), Gwangju Inst Sci &amp; Technol GIST, Ctr AI Appl High Efficiency Drug Discovery AHEDD, Gwangju 61005, South Korea.</t>
  </si>
  <si>
    <t>hjnam@gist.ac.kr</t>
  </si>
  <si>
    <t>Nam, Hojung/AAR-4065-2020</t>
  </si>
  <si>
    <t>Nam, Hojung/0000-0002-5109-9114</t>
  </si>
  <si>
    <t>Not applicable.</t>
  </si>
  <si>
    <t>SEP 7</t>
  </si>
  <si>
    <t>10.1186/s13321-023-00747-3</t>
  </si>
  <si>
    <t>Q9UA5</t>
  </si>
  <si>
    <t>WOS:001060882900001</t>
  </si>
  <si>
    <t>Glazko, K; Yamagami, M; Desai, A; Mack, KA; Potluri, V; Xu, XH; Mankoff, J</t>
  </si>
  <si>
    <t>Glazko, Kate; Yamagami, Momona; Desai, Aashaka; Mack, Kelly Avery; Potluri, Venkatesh; Xu, Xuhai; Mankoff, Jennifer</t>
  </si>
  <si>
    <t>An Autoethnographic Case Study of Generative Artificial Intelligence's Utility for Accessibility</t>
  </si>
  <si>
    <t>PROCEEDINGS OF THE 25TH INTERNATIONAL ACM SIGACCESS CONFERENCE ON COMPUTERS AND ACCESSIBILITY, ASSETS 2023</t>
  </si>
  <si>
    <t>25th International ACM SIGACCESS Conference on Computers and Accessibility (ASSETS)</t>
  </si>
  <si>
    <t>OCT 22-25, 2023</t>
  </si>
  <si>
    <t>Assoc Comp Machinery,Google,Meta,Apple,NW Ctr Assist Technol Training,NSF,ACM SIGACCESS</t>
  </si>
  <si>
    <t>auto-ethnography; generative artificial intelligence; accessibility; ableism</t>
  </si>
  <si>
    <t>With the recent rapid rise in Generative Artificial Intelligence (GAI) tools, it is imperative that we understand their impact on people with disabilities, both positive and negative. However, although we know that AI in general poses both risks and opportunities for people with disabilities, little is known specifically about GAI in particular. To address this, we conducted a three-month autoethnography of our use of GAI to meet personal and professional needs as a team of researchers with and without disabilities. Our findings demonstrate a wide variety of potential accessibility-related uses for GAI while also highlighting concerns around verifiability, training data, ableism, and false promises.</t>
  </si>
  <si>
    <t>[Glazko, Kate; Yamagami, Momona; Desai, Aashaka; Mack, Kelly Avery; Potluri, Venkatesh; Mankoff, Jennifer] Univ Washington, Paul G Allen Sch Comp Sci &amp; Engn, Seattle, WA 98195 USA; [Xu, Xuhai] Univ Washington, Informat Sch, Seattle, WA 98195 USA</t>
  </si>
  <si>
    <t>University of Washington; University of Washington Seattle; University of Washington; University of Washington Seattle</t>
  </si>
  <si>
    <t>Mankoff, J (corresponding author), Univ Washington, Paul G Allen Sch Comp Sci &amp; Engn, Seattle, WA 98195 USA.</t>
  </si>
  <si>
    <t>jmankoff@acm.org</t>
  </si>
  <si>
    <t>Xu, Xuhai/0000-0001-5930-3899</t>
  </si>
  <si>
    <t>Meta, Center for Research and Education on Accessible Technology and Experiences (CREATE); Google; NIDILRR ARRT Training Grant [90ARCP0005-01-00]; NSF GRFP [DGE-2140004]; NSF [EDA 2009977]; NSF CSGrad4US Graduate Fellowship; UW Paul G. Allen School of Computer Science and Engineering Richard Ladner Endowed Fund for Graduate Student Support; Apple Scholars in AI/ML PhD fellowship</t>
  </si>
  <si>
    <t>Meta, Center for Research and Education on Accessible Technology and Experiences (CREATE); Google(Google Incorporated); NIDILRR ARRT Training Grant; NSF GRFP(National Science Foundation (NSF)NSF - Office of the Director (OD)); NSF(National Science Foundation (NSF)); NSF CSGrad4US Graduate Fellowship; UW Paul G. Allen School of Computer Science and Engineering Richard Ladner Endowed Fund for Graduate Student Support; Apple Scholars in AI/ML PhD fellowship</t>
  </si>
  <si>
    <t>This work was funded by Meta, Center for Research and Education on Accessible Technology and Experiences (CREATE), Google, a NIDILRR ARRT Training Grant 90ARCP0005-01-00, the NSF GRFP under Grant No. DGE-2140004, and NSF EDA 2009977. Kate Glazko was supported by an an NSF CSGrad4US Graduate Fellowship and the UW Paul G. Allen School of Computer Science and Engineering Richard Ladner Endowed Fund for Graduate Student Support. Venkatesh Potluri was supported by the Apple Scholars in AI/ML PhD fellowship.</t>
  </si>
  <si>
    <t>979-8-4007-0220-4</t>
  </si>
  <si>
    <t>10.1145/3597638.3614548</t>
  </si>
  <si>
    <t>Computer Science, Theory &amp; Methods; Engineering, Electrical &amp; Electronic</t>
  </si>
  <si>
    <t>BW2UD</t>
  </si>
  <si>
    <t>WOS:001125956600099</t>
  </si>
  <si>
    <t>Osadcha, K; Osadcha, M</t>
  </si>
  <si>
    <t>Osadcha, Kateryna; Osadcha, Maryna</t>
  </si>
  <si>
    <t>GENERATIVE ARTIFICIAL INTELLIGENCE VS HUMANS IN THE PROCESS OF CREATING CORPORATE IDENTITY ELEMENTS</t>
  </si>
  <si>
    <t>INFORMATION TECHNOLOGIES AND LEARNING TOOLS</t>
  </si>
  <si>
    <t>generative artificial intelligence; advertising graphic; logotype; digital design; professional training; higher education</t>
  </si>
  <si>
    <t>The emergence of new tools, the appearance of new technologies and improvements to existing ones have resulted in expansion of generative artificial intelligence. The technologies of generative artificial intelligence have already been used by people to perform not only intellectual tasks, but also creative ones, in particular in the field of design. Therefore, their capabilities in graphic design need to be studied. One of the routine tasks of a designer is the development of corporate identity elements (a logo, font, and colour). Designers can spend a lot of time on this, choosing different style options. Therefore, delegating this routine work to generative artificial intelligence may be appropriate. With this practical need in mind, the capabilities of modern AI tools for image and logo generation were studied in the research, and the results of AI logo generation compared to the work of novice designers were analysed. As a result, conclusions were drawn about the expediency of using generative AI technology in the work of designers, in particular, for the development of corporate identity elements, and the appropriateness of studying generative artificial intelligence technology in the training of future designers. These conclusions were made on the basis of a survey of 41 experts in the field of design, information technology and artificial intelligence. Based on the findings of the survey, we can note that it was difficult for experts to distinguish between logos generated by artificial intelligence and logos created by novice designers. Logos developed by novice designers (5) were recognized as the most attractive among the 45 logos presented in the survey. Images generated in some AI tools (Tailor Brands, Hatchful) are considered attractive by design, information technology and artificial intelligence professionals. Therefore, they can be used to create corporate identity elements. Thus, the vast majority of experts agreed that artificial intelligence tools for generating images and logos should be used in the process of creating corporate identity elements. In addition, the vast majority of experts found it advisable to use generative artificial intelligence technologies in the process of professional training of future designers.</t>
  </si>
  <si>
    <t>[Osadcha, Kateryna] Norwegian Univ Sci &amp; Technol, Dept Comp Sci, Trondheim, Norway; [Osadcha, Maryna] Univ Tsukuba, Tsukuba, Japan; [Osadcha, Maryna] Bogdan Khmelnitsky Melitopol State Pedag Univ, Zaporizhzhia, Ukraine</t>
  </si>
  <si>
    <t>Norwegian University of Science &amp; Technology (NTNU); University of Tsukuba</t>
  </si>
  <si>
    <t>Osadcha, K (corresponding author), Norwegian Univ Sci &amp; Technol, Dept Comp Sci, Trondheim, Norway.</t>
  </si>
  <si>
    <t>katheryna.osadcha@ntnu.no; s2258003@u.tsukuba.ac.jp</t>
  </si>
  <si>
    <t>Osadcha, Kateryna/L-5268-2016</t>
  </si>
  <si>
    <t>Osadcha, Kateryna/0000-0003-0653-6423</t>
  </si>
  <si>
    <t>NATL ACAD EDUCATIONAL SCIENCES UKRAINE, INST DIGITALISATION EDUCATION</t>
  </si>
  <si>
    <t>KYIV</t>
  </si>
  <si>
    <t>VUL M BERLYNSKOHO 9, KYIV, 04060, UKRAINE</t>
  </si>
  <si>
    <t>2076-8184</t>
  </si>
  <si>
    <t>INF TECHNOL LEARN TO</t>
  </si>
  <si>
    <t>Inf. Technol. Learn. Tools</t>
  </si>
  <si>
    <t>10.33407/itlt.v98i6.5494</t>
  </si>
  <si>
    <t>ED1V2</t>
  </si>
  <si>
    <t>WOS:001136895900011</t>
  </si>
  <si>
    <t>Yoon, H; Jun, S</t>
  </si>
  <si>
    <t>Yoon, Harin; Jun, Soojin</t>
  </si>
  <si>
    <t>Ethical Awareness of UXers in the Loop Ethical Issues in the Uxer-AI Collaboration Process from a UX Perspective</t>
  </si>
  <si>
    <t>PUBLICATION OF THE 25TH ACM INTERNATIONAL CONFERENCE ON MOBILE HUMAN-COMPUTER INTERACTION, MOBILEHCI 2023 ADJUNCT</t>
  </si>
  <si>
    <t>25th ACM International Conference on Mobile Human-Computer Interaction (MobileHCI)</t>
  </si>
  <si>
    <t>SEP 26-29, 2023</t>
  </si>
  <si>
    <t>Athens, GREECE</t>
  </si>
  <si>
    <t>Assoc Comp Machinery,ACM SIGCHI,Greek SIGCHI,Univ Aegean,Univ Patras,Ist Sci Tecnologie Informazione A Faedo Cosiglio Nazl Ric,Google Res,Knowledge,Ergologic,Clio Muse,Unisystems,Efood,Moptil,Dynacomp,P Net,Plaisio,Athens Convent &amp; Visiting Bur,Veneti</t>
  </si>
  <si>
    <t>Generative AI; Co-Creation; Ethical UX; AI Ethics; Uxer-AI Co-Creation Model</t>
  </si>
  <si>
    <t>Artificial Intelligence (AI) has emerged as a prominent collaborative tool across diverse domains, driving innovation in various tasks. However, this human-AI process brings forth a range of ethical considerations that require careful examination. This study investigates the ethical concerns that arise during the user experience designer (UXer)-AI co-creation process and the evolving role of UXers. Employing a mixed methods approach, combining observational task performance experiments and in-depth interviews, the study captures UXers' perceptions of ethical issues in the UXer-AI co-creation process. The findings shed light on three prominent ethical challenges in the UXer-AI co-creation process: reliability, bias, and unemployment. Consequently, this study emphasizes the crucial role of UXers, such as fact-checking, empathy-based decision making, and effective communication with AI, mitigating these ethical challenges. These findings enhance our understanding of UXers' responsibilities and shed light on the potential of leveraging AI as an effective collaborative tool for task completion.</t>
  </si>
  <si>
    <t>[Yoon, Harin; Jun, Soojin] Yonsei Univ, Grad Sch Commun &amp; Arts, Seoul, South Korea</t>
  </si>
  <si>
    <t>Yonsei University</t>
  </si>
  <si>
    <t>Yoon, H (corresponding author), Yonsei Univ, Grad Sch Commun &amp; Arts, Seoul, South Korea.</t>
  </si>
  <si>
    <t>harin_ys@yonsei.ac.kr; soojinjun@yonsei.ac.kr</t>
  </si>
  <si>
    <t>ICONS(Institute of Convergence Science), Yonsei University</t>
  </si>
  <si>
    <t>This work was supported by the ICONS(Institute of Convergence Science), Yonsei University.</t>
  </si>
  <si>
    <t>978-1-4503-9924-1</t>
  </si>
  <si>
    <t>10.1145/3565066.3608691</t>
  </si>
  <si>
    <t>Computer Science, Artificial Intelligence; Computer Science, Cybernetics</t>
  </si>
  <si>
    <t>BW3UG</t>
  </si>
  <si>
    <t>WOS:001143735000006</t>
  </si>
  <si>
    <t>Regenwetter, L; Srivastava, A; Gutfreund, D; Ahmed, F</t>
  </si>
  <si>
    <t>Regenwetter, Lyle; Srivastava, Akash; Gutfreund, Dan; Ahmed, Faez</t>
  </si>
  <si>
    <t>Beyond Statistical Similarity: Rethinking Metrics for Deep Generative Models in Engineering Design</t>
  </si>
  <si>
    <t>COMPUTER-AIDED DESIGN</t>
  </si>
  <si>
    <t>Generative Models; Artificial Intelligence; Evaluation Metrics; Design Automation; Machine Learning</t>
  </si>
  <si>
    <t>DIVERSITY; OPTIMIZATION</t>
  </si>
  <si>
    <t>Deep generative models such as Variational Autoencoders (VAEs), Generative Adversarial Networks (GANs), Diffusion Models, and Transformers, have shown great promise in a variety of applications, including image and speech synthesis, natural language processing, and drug discovery. However, when applied to engineering design problems, evaluating the performance of these models can be challenging, as traditional statistical metrics based on likelihood may not fully capture the requirements of engineering applications. This paper doubles as a review and practical guide to evaluation metrics for deep generative models (DGMs) in engineering design. We first summarize the well-accepted 'classic' evaluation metrics for deep generative models grounded in machine learning theory. Using case studies, we then highlight why these metrics seldom translate well to design problems but see frequent use due to the lack of established alternatives. Next, we curate a set of design-specific metrics which have been proposed across different research communities and can be used for evaluating deep generative models. These metrics focus on unique requirements in design and engineering, such as constraint satisfaction, functional performance, novelty, and conditioning. Throughout our discussion, we apply the metrics to models trained on simple-to-visualize 2-dimensional example problems. Finally, we evaluate four deep generative models on a bicycle frame design problem and structural topology generation problem. In particular, we showcase the use of proposed metrics to quantify performance target achievement, design novelty, and geometric constraints. We publicly release the code for the datasets, models, and metrics used throughout the paper at https://decode. mit.edu/projects/metrics/.(c) 2023 Elsevier Ltd. All rights reserved.</t>
  </si>
  <si>
    <t>[Regenwetter, Lyle; Ahmed, Faez] MIT, Dept Mech Engn, 77 Massachusetts Ave, Cambridge, MA 02139 USA; [Srivastava, Akash; Gutfreund, Dan] MIT IBM Watson AI Lab, 314 Main St, Cambridge, MA 02142 USA</t>
  </si>
  <si>
    <t>Regenwetter, L (corresponding author), MIT, Dept Mech Engn, 77 Massachusetts Ave, Cambridge, MA 02139 USA.</t>
  </si>
  <si>
    <t>regenwet@mit.edu</t>
  </si>
  <si>
    <t>Regenwetter, Lyle/0000-0002-8769-0037</t>
  </si>
  <si>
    <t>MIT-IBM Wat-son AI Lab</t>
  </si>
  <si>
    <t>MIT-IBM Wat-son AI Lab(International Business Machines (IBM))</t>
  </si>
  <si>
    <t>The authors would like to acknowledge the MIT-IBM Wat-son AI Lab in supporting this research. They would also like to acknowledge Giorgio Giannone for his assistance with TopoDiff training.</t>
  </si>
  <si>
    <t>0010-4485</t>
  </si>
  <si>
    <t>1879-2685</t>
  </si>
  <si>
    <t>COMPUT AIDED DESIGN</t>
  </si>
  <si>
    <t>Comput.-Aided Des.</t>
  </si>
  <si>
    <t>10.1016/j.cad.2023.103609</t>
  </si>
  <si>
    <t>GA7L6</t>
  </si>
  <si>
    <t>WOS:001150001800001</t>
  </si>
  <si>
    <t>Evirgen, N; Chen, X</t>
  </si>
  <si>
    <t>Evirgen, Noyan; Chen, Xiang 'Anthony'</t>
  </si>
  <si>
    <t>GANravel: User-Driven Direction Disentanglement in Generative Adversarial Networks</t>
  </si>
  <si>
    <t>Generative Adversarial Networks; Disentanglement; Interactive Systems; Explainable-AI</t>
  </si>
  <si>
    <t>Generative adversarial networks (GANs) have many application over how to improve editing directions through disentanglement. areas including image editing, domain translation, missing data imputation, and support for creative work. However, GANs are considered 'black boxes'. Specifcally, the end-users have little control over how to improve editing directions through disentanglement. Prior work focused on new GAN architectures to disentangle editing directions. Alternatively, we propose GAN(RAVEL-a) user-driven direction disentanglement tool that complements the existing GAN architectures and allows users to improve editing directions iteratively. In two user studies with 16 participants each, GAN(RAVEL) users were able to disentangle directions and outperformed the state-of-the-art direction discovery baselines in disentanglement performance. In the second user study, GAN(RAVEL) was used in a creative task of creating dog memes and was able to create high-quality edited images and GIFs.</t>
  </si>
  <si>
    <t>[Evirgen, Noyan; Chen, Xiang 'Anthony'] Univ Calif Los Angeles, HCI Res, Los Angeles, CA 90024 USA</t>
  </si>
  <si>
    <t>University of California System; University of California Los Angeles</t>
  </si>
  <si>
    <t>Evirgen, N (corresponding author), Univ Calif Los Angeles, HCI Res, Los Angeles, CA 90024 USA.</t>
  </si>
  <si>
    <t>nevirgen@ucla.edu; xac@ucla.edu</t>
  </si>
  <si>
    <t>10.1145/3544548.3581226</t>
  </si>
  <si>
    <t>WOS:001048393801051</t>
  </si>
  <si>
    <t>Arakawa, R; Yakura, H; Goto, M</t>
  </si>
  <si>
    <t>Arakawa, Riku; Yakura, Hiromu; Goto, Masataka</t>
  </si>
  <si>
    <t>CatAlyst: Domain-Extensible Intervention for Preventing Task Procrastination Using Large Generative Models</t>
  </si>
  <si>
    <t>large generative models; behavior change; task engagement; procrastination</t>
  </si>
  <si>
    <t>CatAlyst uses generative models to help workers' progress by influencing their task engagement instead of directly contributing to their task outputs. It prompts distracted workers to resume their tasks by generating a continuation of their work and presenting it as an intervention that is more context-aware than conventional (predetermined) feedback. The prompt can function by drawing their interest and lowering the hurdle for resumption even when the generated continuation is insufficient to substitute their work, while recent human-AI collaboration research aiming at work substitution depends on a stable high accuracy. This frees CatAlyst from domain-specific model-tuning and makes it applicable to various tasks. Our studies involving writing and slide-editing tasks demonstrated CatAlyst's effectiveness in helping workers swiftly resume tasks with a lowered cognitive load. The results suggest a new form of human-AI collaboration where large generative models publicly available but imperfect for each individual domain can contribute to workers' digital well-being.</t>
  </si>
  <si>
    <t>[Arakawa, Riku] Carnegie Mellon Univ, Pittsburgh, PA 15213 USA; [Yakura, Hiromu] Univ Tsukuba, Natl Inst Adv Ind Sci &amp; Technol AIST, Tsukuba, Japan; [Goto, Masataka] Natl Inst Adv Ind Sci &amp; Technol, Tsukuba, Japan</t>
  </si>
  <si>
    <t>Carnegie Mellon University; National Institute of Advanced Industrial Science &amp; Technology (AIST); University of Tsukuba; National Institute of Advanced Industrial Science &amp; Technology (AIST)</t>
  </si>
  <si>
    <t>Arakawa, R (corresponding author), Carnegie Mellon Univ, Pittsburgh, PA 15213 USA.</t>
  </si>
  <si>
    <t>rarakawa@cs.cmu.edu; hiromu.yakura@aist.go.jp; m.goto@aist.go.jp</t>
  </si>
  <si>
    <t>Arakawa, Riku/0000-0001-7868-4754; Yakura, Hiromu/0000-0002-2558-735X</t>
  </si>
  <si>
    <t>JST ACT-X [JPMJAX200R]; JSPS KAKENHI [JP21J20353]</t>
  </si>
  <si>
    <t>JST ACT-X; JSPS KAKENHI(Ministry of Education, Culture, Sports, Science and Technology, Japan (MEXT)Japan Society for the Promotion of ScienceGrants-in-Aid for Scientific Research (KAKENHI))</t>
  </si>
  <si>
    <t>This work was supported in part by JST ACT-X Grant Number JPMJAX200R and JSPS KAKENHI Grant Numbers JP21J20353.</t>
  </si>
  <si>
    <t>10.1145/3544548.3581133</t>
  </si>
  <si>
    <t>WOS:001048393800008</t>
  </si>
  <si>
    <t>Odri, GA; Yoonb, DJY</t>
  </si>
  <si>
    <t>Odri, Guillaume-Anthony; Yoonb, Diane Ji Yun</t>
  </si>
  <si>
    <t>Detecting generative artificial intelligence in scientific articles: Evasion techniques and implications for scientific integrity</t>
  </si>
  <si>
    <t>ORTHOPAEDICS &amp; TRAUMATOLOGY-SURGERY &amp; RESEARCH</t>
  </si>
  <si>
    <t>Generative artificial intelligence; Academic writing; Scientific fraud</t>
  </si>
  <si>
    <t>Background: Artificial intelligence (AI) tools, although beneficial for data collection and analysis, can also facilitate scientific fraud. AI detectors can help resolve this problem, but their effectiveness depends on their ability to track AI progress. In addition, many methods of evading AI detection exist and their constantly evolving sophistication can make the task more difficult. Thus, from an AI-generated text, we wanted to: (1) evaluate the AI detection sites on a text generated entirely by the AI, (2) test the methods described for evading AI detection, and (3) evaluate the effectiveness of these methods to evade AI detection on the sites tested previously. Hypothesis: Not all AI detection tools are equally effective in detecting AI-generated text and some techniques used to evade AI detection can make an AI-produced text almost undetectable. Materials and methods: We created a text with ChatGPT-4 (Chat Generative Pre-trained Transformer) and submitted it to 11 AI detection web tools (Originality, ZeroGPT, Writer, Copyleaks, Crossplag, GPTZero, Sapling, Content at scale, Corrector, Writefull et Quill), before and after applying strategies to minimise AI detection. The strategies used to minimize AI detection were the improvement of command messages in ChatPGT, the introduction of minor grammatical errors such as comma deletion, paraphrasing, and the substitution of Latin letters with similar Cyrillic letters (a and o) which is also a method used elsewhere to evade the detection of plagiarism. We have also tested the effectiveness of these tools in correctly identifying a scientific text written by a human in 1960. Results: From the initial text generated by the AI, 7 of the 11 detectors concluded that the text was mainly written by humans. Subsequently, the introduction of simple modifications, such as the removal of commas or paraphrasing can effectively reduce AI detection and make the text appear human for all detectors. In addition, replacing certain Latin letters with Cyrillic letters can make an AI text completely undetectable. Finally, we observe that in a paradoxical way, certain sites detect a significant proportion of AI in a text written by a human in 1960. Discussion: AI detectors have low efficiency, and simple modifications can allow even the most robust detectors to be easily bypassed. The rapid development of generative AI raises questions about the future of scientific writing but also about the detection of scientific fraud, such as data fabrication. Level of evidence: III Control case study. (c) 2023 Elsevier Masson SAS. All rights reserved.</t>
  </si>
  <si>
    <t>[Odri, Guillaume-Anthony] Ctr Hosp Univ Lariboisiere, Serv Chirurg Orthoped &amp; Traumatol, 2 Rue Ambroise Pare, F-75010 Paris, France; [Odri, Guillaume-Anthony; Yoonb, Diane Ji Yun] Univ Paris Cite, Inserm U1132, BIOSCAR, F-75010 Paris, France</t>
  </si>
  <si>
    <t>Assistance Publique Hopitaux Paris (APHP); Universite Paris Cite; Hopital Universitaire Lariboisiere-Fernand-Widal - APHP; Universite Paris Cite; Institut National de la Sante et de la Recherche Medicale (Inserm)</t>
  </si>
  <si>
    <t>Odri, GA (corresponding author), Ctr Hosp Univ Lariboisiere, Serv Chirurg Orthoped &amp; Traumatol, 2 Rue Ambroise Pare, F-75010 Paris, France.</t>
  </si>
  <si>
    <t>guillaume.odri@aphp.fr</t>
  </si>
  <si>
    <t>ELSEVIER MASSON, CORP OFF</t>
  </si>
  <si>
    <t>PARIS</t>
  </si>
  <si>
    <t>65 CAMILLE DESMOULINS CS50083 ISSY-LES-MOULINEAUX, 92442 PARIS, FRANCE</t>
  </si>
  <si>
    <t>1877-0568</t>
  </si>
  <si>
    <t>ORTHOP TRAUMATOL-SUR</t>
  </si>
  <si>
    <t>Orthop. Traumatol.-Surg. Res.</t>
  </si>
  <si>
    <t>10.1016/j.otsr.2023.103706</t>
  </si>
  <si>
    <t>CT9K2</t>
  </si>
  <si>
    <t>WOS:001127605700001</t>
  </si>
  <si>
    <t>Farazouli, A; Cerratto-Pargman, T; Bolander-Laksov, K; McGrath, C</t>
  </si>
  <si>
    <t>Farazouli, Alexandra; Cerratto-Pargman, Teresa; Bolander-Laksov, Klara; McGrath, Cormac</t>
  </si>
  <si>
    <t>Hello GPT! Goodbye home examination? An exploratory study of AI chatbots impact on university teachers' assessment practices</t>
  </si>
  <si>
    <t>ASSESSMENT &amp; EVALUATION IN HIGHER EDUCATION</t>
  </si>
  <si>
    <t>AI-chatbots; assessment; higher education; home examination; Turing test; &gt;</t>
  </si>
  <si>
    <t>AI chatbots have recently fuelled debate regarding education practices in higher education institutions worldwide. Focusing on Generative AI and ChatGPT in particular, our study examines how AI chatbots impact university teachers' assessment practices, exploring teachers' perceptions about how ChatGPT performs in response to home examination prompts in undergraduate contexts. University teachers (n = 24) from four different departments in humanities and social sciences participated in Turing Test-inspired experiments, where they blindly assessed student and ChatGPT-written responses to home examination questions. Additionally, we conducted semi-structured interviews in focus groups with the same teachers examining their reflections about the quality of the texts they assessed. Regarding chatbot-generated texts, we found a passing rate range across the cohort (37.5 - 85.7%) and a chatbot-written suspicion range (14-23%). Regarding the student-written texts, we identified patterns of downgrading, suggesting that teachers were more critical when grading student-written texts. Drawing on post-phenomenology and mediation theory, we discuss AI chatbots as a potentially disruptive technology in higher education practices.</t>
  </si>
  <si>
    <t>[Farazouli, Alexandra; Cerratto-Pargman, Teresa; Bolander-Laksov, Klara; McGrath, Cormac] Stockholm Univ, Stockholm, Sweden</t>
  </si>
  <si>
    <t>Stockholm University</t>
  </si>
  <si>
    <t>Farazouli, A (corresponding author), Stockholm Univ, Stockholm, Sweden.</t>
  </si>
  <si>
    <t>alexandra.farazouli@edu.su.se</t>
  </si>
  <si>
    <t>McGrath, Cormac/H-8935-2019; Farazouli, Alexandra/HME-1464-2023</t>
  </si>
  <si>
    <t>McGrath, Cormac/0000-0002-8215-3646; Farazouli, Alexandra/0000-0001-7601-3850; Bolander Laksov, Klara/0000-0002-3345-3810; Cerratto Pargman, Teresa/0000-0001-6389-0467</t>
  </si>
  <si>
    <t>Marianne and Marcus Wallenberg Foundation; WASP-HS-The Wallenberg AI, Autonomous Systems and Software Program-Humanities and Society [2020.0138]</t>
  </si>
  <si>
    <t>Marianne and Marcus Wallenberg Foundation; WASP-HS-The Wallenberg AI, Autonomous Systems and Software Program-Humanities and Society</t>
  </si>
  <si>
    <t>This work was supported by Marianne and Marcus Wallenberg Foundation-WASP-HS-The Wallenberg AI, Autonomous Systems and Software Program-Humanities and Society (Grant number: 2020.0138).</t>
  </si>
  <si>
    <t>0260-2938</t>
  </si>
  <si>
    <t>1469-297X</t>
  </si>
  <si>
    <t>ASSESS EVAL HIGH EDU</t>
  </si>
  <si>
    <t>Assess. Eval. High. Educ.</t>
  </si>
  <si>
    <t>10.1080/02602938.2023.2241676</t>
  </si>
  <si>
    <t>O0GH0</t>
  </si>
  <si>
    <t>WOS:001040685700001</t>
  </si>
  <si>
    <t>Jain, S; Geraci, J; Ruda, HE</t>
  </si>
  <si>
    <t>Jain, Siddhant; Geraci, Joseph; Ruda, Harry E.</t>
  </si>
  <si>
    <t>Comparing Classical and Quantum Generative Learning Models for High-Fidelity Image Synthesis</t>
  </si>
  <si>
    <t>TECHNOLOGIES</t>
  </si>
  <si>
    <t>Quantum Machine Learning; quantum computation; generative AI; machine learning; Quantum Boltzmann Machine</t>
  </si>
  <si>
    <t>The field of computer vision has long grappled with the challenging task of image synthesis, which entails the creation of novel high-fidelity images. This task is underscored by the Generative Learning Trilemma, which posits that it is not possible for any image synthesis model to simultaneously excel at high-quality sampling, achieve mode convergence with diverse sample representation, and perform rapid sampling. In this paper, we explore the potential of Quantum Boltzmann Machines (QBMs) for image synthesis, leveraging the D-Wave 2000Q quantum annealer. We undertake a comprehensive performance assessment of QBMs in comparison to established generative models in the field: Restricted Boltzmann Machines (RBMs), Variational Autoencoders (VAEs), Generative Adversarial Networks (GANs), and Denoising Diffusion Probabilistic Models (DDPMs). Our evaluation is grounded in widely recognized scoring metrics, including the Frechet Inception Distance (FID), Kernel Inception Distance (KID), and Inception Scores. The results of our study indicate that QBMs do not significantly outperform the conventional models in terms of the three evaluative criteria. Moreover, QBMs have not demonstrated the capability to overcome the challenges outlined in the Trilemma of Generative Learning. Through our investigation, we contribute to the understanding of quantum computing's role in generative learning and identify critical areas for future research to enhance the capabilities of image synthesis models.</t>
  </si>
  <si>
    <t>[Jain, Siddhant] Univ Toronto, Div Engn Sci, Toronto, ON M5S 1A1, Canada; [Geraci, Joseph] Queens Univ, Dept Pathol &amp; Mol Med, Kingston, ON K7L 3N6, Canada; [Geraci, Joseph] Univ Calif San Diego, Arthur C Clarke Ctr Human Imaginat, Quantum Computat &amp; Neurosci, La Jolla, CA 92093 USA; [Geraci, Joseph] Med Coll Georgia, Ctr Biotechnol &amp; Genom Med, Augusta, GA 30912 USA; [Geraci, Joseph] NetraMark Holdings, Toronto, ON M6P 3T1, Canada; [Ruda, Harry E.] Univ Toronto, Ctr Quantum Informat &amp; Quantum Control, Ctr Nanotechnol, Dept Elect Engn, Toronto, ON M5S 3G4, Canada</t>
  </si>
  <si>
    <t>University of Toronto; McMaster University; Queens University - Canada; University of California System; University of California San Diego; University System of Georgia; Augusta University; University of Toronto</t>
  </si>
  <si>
    <t>Geraci, J (corresponding author), Queens Univ, Dept Pathol &amp; Mol Med, Kingston, ON K7L 3N6, Canada.;Geraci, J (corresponding author), Univ Calif San Diego, Arthur C Clarke Ctr Human Imaginat, Quantum Computat &amp; Neurosci, La Jolla, CA 92093 USA.;Geraci, J (corresponding author), Med Coll Georgia, Ctr Biotechnol &amp; Genom Med, Augusta, GA 30912 USA.;Geraci, J (corresponding author), NetraMark Holdings, Toronto, ON M6P 3T1, Canada.</t>
  </si>
  <si>
    <t>siddhant.jain@utoronto.ca; geracij@queensu.ca; harry.ruda@utoronto.ca</t>
  </si>
  <si>
    <t>2227-7080</t>
  </si>
  <si>
    <t>Technologies</t>
  </si>
  <si>
    <t>10.3390/technologies11060183</t>
  </si>
  <si>
    <t>Engineering, Multidisciplinary</t>
  </si>
  <si>
    <t>DG0Y6</t>
  </si>
  <si>
    <t>WOS:001130770100001</t>
  </si>
  <si>
    <t>Asperti, A; Evangelista, D; Marro, S; Merizzi, F</t>
  </si>
  <si>
    <t>Asperti, Andrea; Evangelista, Davide; Marro, Samuele; Merizzi, Fabio</t>
  </si>
  <si>
    <t>Image embedding for denoising generative models</t>
  </si>
  <si>
    <t>ARTIFICIAL INTELLIGENCE REVIEW</t>
  </si>
  <si>
    <t>Denoising diffusion models; Generative models; Embedding; Latent space; Representation learning</t>
  </si>
  <si>
    <t>Denoising Diffusion models are gaining increasing popularity in the field of generative modeling for several reasons, including the simple and stable training, the excellent generative quality, and the solid probabilistic foundation. In this article, we address the problem of embedding an image into the latent space of Denoising Diffusion Models, that is finding a suitable noisy image whose denoising results in the original image. We particularly focus on Denoising Diffusion Implicit Models due to the deterministic nature of their reverse diffusion process. As a side result of our investigation, we gain a deeper insight into the structure of the latent space of diffusion models, opening interesting perspectives on its exploration, the definition of semantic trajectories, and the manipulation/conditioning of encodings for editing purposes. A particularly interesting property highlighted by our research, which is also characteristic of this class of generative models, is the independence of the latent representation from the networks implementing the reverse diffusion process. In other words, a common seed passed to different networks (each trained on the same dataset), eventually results in identical images.</t>
  </si>
  <si>
    <t>[Asperti, Andrea; Marro, Samuele; Merizzi, Fabio] Univ Bologna, Dept Informat Sci &amp; Engn DISI, Mura Anteo Zamboni 7, I-40126 Bologna, Italy; [Evangelista, Davide] Univ Bologna, Dept Math, Piazza Porta San Donato 1, I-40126 Bologna, Italy</t>
  </si>
  <si>
    <t>University of Bologna; University of Bologna</t>
  </si>
  <si>
    <t>Asperti, A (corresponding author), Univ Bologna, Dept Informat Sci &amp; Engn DISI, Mura Anteo Zamboni 7, I-40126 Bologna, Italy.</t>
  </si>
  <si>
    <t>andrea.asperti@unibo.it; davide.evangelista5@unibo.it; samuele.marro@unibo.it; fabio.merizzi@unibo.it</t>
  </si>
  <si>
    <t>Evangelista, Davide/JXM-4178-2024</t>
  </si>
  <si>
    <t>Evangelista, Davide/0000-0001-6261-7717</t>
  </si>
  <si>
    <t>Alma Mater Studiorum -Universita di Bologna within the CRUI-CARE Agreement; Future AI Research (FAIR) project of the National Recovery and Resilience Plan (NRRP); European Union -NextGenerationEU</t>
  </si>
  <si>
    <t>Alma Mater Studiorum -Universita di Bologna within the CRUI-CARE Agreement; Future AI Research (FAIR) project of the National Recovery and Resilience Plan (NRRP); European Union -NextGenerationEU(European Union (EU))</t>
  </si>
  <si>
    <t>Funding Open access funding provided by Alma Mater Studiorum -Universita di Bologna within the CRUI-CARE Agreement. Research partially supported by the Future AI Research (FAIR) project of the National Recovery and Resilience Plan (NRRP), Mission 4 Component 2 Investment 1.3 funded from the European Union -NextGenerationEU.</t>
  </si>
  <si>
    <t>0269-2821</t>
  </si>
  <si>
    <t>1573-7462</t>
  </si>
  <si>
    <t>ARTIF INTELL REV</t>
  </si>
  <si>
    <t>Artif. Intell. Rev.</t>
  </si>
  <si>
    <t>10.1007/s10462-023-10504-5</t>
  </si>
  <si>
    <t>AM5H2</t>
  </si>
  <si>
    <t>Green Published, hybrid, Green Submitted</t>
  </si>
  <si>
    <t>WOS:000999767800002</t>
  </si>
  <si>
    <t>Dermawan, A</t>
  </si>
  <si>
    <t>Dermawan, Artha</t>
  </si>
  <si>
    <t>Text and data mining exceptions in the development of generative AI models: What the EU member states could learn from the Japanese nonenjoyment purposes?</t>
  </si>
  <si>
    <t>JOURNAL OF WORLD INTELLECTUAL PROPERTY</t>
  </si>
  <si>
    <t>copyright and related rights; freier werkgenuss; generative AI models; innovation; text and data mining</t>
  </si>
  <si>
    <t>The European Union (EU) text and data mining (TDM) provisions are a progressive move, but the horizon is still uncertain for both generative artificial intelligence (GenAI) models researchers and developers. This article suggests that to drive innovation and further the commitment to the digital single market, during the national implementation, EU Member States could consider taking the Japanese broad, all-encompassing and nonenjoyment-based TDM as an example. The Japanese nonenjoyment purposes, however, are not foreign to the European continental view of copyright. A similar concept can be found under the German concept of Freier Werkgenuss or enjoyment of the work. A flexible TDM exception built upon the German notion of nonenjoyment purposes could become an opening clause to foster innovation and creativity in the age of GenAI. Moreover, the article argues that an opening clause allowing TDM with nonenjoyment purposes could be permissible under the so-called three-step test. This article further suggests, if there is no political will to safeguard the right to read should be the right to mine and to provide a welcoming environment for GenAI researchers and developers, when shaping the legal interpretation through national case law, the EU Member States could consider the following: (1) advocate for 72 h of response if technological protection measures (TPMs) are preventing TDM, and (2) Robot Exclusion Standard (robot.txt) as a warning when TDM is not allowed on a website. It is now in the hands of the EU Member States, whether to protect the interests of rightholders or to create a balance between safeguarding the right to read should be the right to mine, protecting rightholders exclusivity, and creating a supportive environment for the GenAI models researcher and developers.</t>
  </si>
  <si>
    <t>[Dermawan, Artha] Max Planck Inst Innovat &amp; Competit, Munich, Germany; [Dermawan, Artha] Univ Lapland, Fac Law, Law Technol &amp; Design Thinking LTDT Res Grp, Rovaniemi, Finland</t>
  </si>
  <si>
    <t>University of Lapland</t>
  </si>
  <si>
    <t>Dermawan, A (corresponding author), Max Planck Inst Innovat &amp; Competit, Munich, Germany.</t>
  </si>
  <si>
    <t>artha.dermawan@ip.mpg.de</t>
  </si>
  <si>
    <t>Dermawan, Artha/IVV-0125-2023</t>
  </si>
  <si>
    <t>Dermawan, Artha/0000-0003-4357-4656</t>
  </si>
  <si>
    <t>The author's sincere appreciation goes to the anonymous reviewers of the ATRIP Annual Essay Competition 2022 and the editorial team of the Journal of World Intellectual Property. The author also would like to thank the following: Prof. Rosa Ballardini, Prof. Peter Mezei, Prof. Tatsuhiro Ueno, Prof. Jean-Marc Deltorn, Prof. Anne Lauber-Roensberg, Prof. Ana Ramalho, Dr. David Linke, Dr. Sven Hetmank, Dr. Gabriele Spina Ali, Dr. Daria Kim, Ansgar Kaiser, Natasha Mangal, Ryoko Oshikamo, Alexandre Drouet, Miriam Steinhart, Ana Andrijevic and all of the participants of the Research Atelier AI and IP at CEIPI, the University of Strasbourg (France), and IRGET, TU Dresden (Germany) for the wonderful discussion and their endless support during the writing process. Open Access funding enabled and organized by Projekt DEAL.</t>
  </si>
  <si>
    <t>1422-2213</t>
  </si>
  <si>
    <t>1747-1796</t>
  </si>
  <si>
    <t>J WORLD INTELLECT PR</t>
  </si>
  <si>
    <t>J. World Intellect. Prop.</t>
  </si>
  <si>
    <t>10.1111/jwip.12285</t>
  </si>
  <si>
    <t>LD9Y2</t>
  </si>
  <si>
    <t>WOS:000995626800001</t>
  </si>
  <si>
    <t>de Villiers, C; Dimes, R; Molinari, M</t>
  </si>
  <si>
    <t>de Villiers, Charl; Dimes, Ruth; Molinari, Matteo</t>
  </si>
  <si>
    <t>How will AI text generation and processing impact sustainability reporting? Critical analysis, a conceptual framework and avenues for future research</t>
  </si>
  <si>
    <t>SUSTAINABILITY ACCOUNTING MANAGEMENT AND POLICY JOURNAL</t>
  </si>
  <si>
    <t>Sustainability reporting; Artificial intelligence (AI)</t>
  </si>
  <si>
    <t>ARTIFICIAL-INTELLIGENCE; CORPORATE; ACCOUNTABILITY; ADOPTION; MEDIA</t>
  </si>
  <si>
    <t>PurposeThe ability of generative artificial intelligence (AI) tools such as ChatGPT to produce convincing, human-like text has major implications for the future of corporate reporting, including sustainability reporting. As the importance of sustainability reporting continues to grow, this study aims to critically analyse the benefits and pitfalls of automated text generation and processing.Design/methodology/approachThis study develops a conceptual framework to delineate the field, assess the implications and form the basis for the generation of research questions. This study uses Alvesson and Deetz's critical framework, considering insight (a review of literature and practice in the field), critique (consideration of the influences on the production and use of non-financial information and the implications for assurers of such information) and transformative redefinition (considering the implications of generative AI for sustainability reporting and proposing a research agenda).FindingsThis study highlights the implications of generative AI for sustainability accounting, reporting, assurance and report usage, including the risk of AI facilitating greenwashing, and the importance of more research on the use of AI for these matters.Practical implicationsThe paper highlights to stakeholders the implications of AI for all aspects of sustainability reporting, including accounting, reporting, assurance and usage of reports.Social implicationsThe implications of AI need to be understood in society, which this paper facilitates.Originality/valueThis study critically analyses the potential use of AI for sustainability reporting, construct a conceptual framework to delineate the field and develop a research agenda.</t>
  </si>
  <si>
    <t>[de Villiers, Charl; Dimes, Ruth] Univ Auckland, Dept Accounting &amp; Finance, Auckland, New Zealand; [de Villiers, Charl] Univ Pretoria, Dept Accounting, Pretoria, South Africa; [Molinari, Matteo] Kent Business Sch, Canterbury, England</t>
  </si>
  <si>
    <t>University of Auckland; University of Pretoria; University of Kent</t>
  </si>
  <si>
    <t>de Villiers, C (corresponding author), Univ Auckland, Dept Accounting &amp; Finance, Auckland, New Zealand.;de Villiers, C (corresponding author), Univ Pretoria, Dept Accounting, Pretoria, South Africa.</t>
  </si>
  <si>
    <t>charl.devilliers@auckland.ac.nz</t>
  </si>
  <si>
    <t>de Villiers, Charl/G-1334-2019</t>
  </si>
  <si>
    <t>Molinari, Matteo/0000-0003-3851-4974</t>
  </si>
  <si>
    <t>2040-8021</t>
  </si>
  <si>
    <t>2040-803X</t>
  </si>
  <si>
    <t>SUSTAIN ACCOUNT MANA</t>
  </si>
  <si>
    <t>Sustain. Account. Manag. Policy J.</t>
  </si>
  <si>
    <t>10.1108/SAMPJ-02-2023-0097</t>
  </si>
  <si>
    <t>Business, Finance; Green &amp; Sustainable Science &amp; Technology; Environmental Studies; Management</t>
  </si>
  <si>
    <t>Business &amp; Economics; Science &amp; Technology - Other Topics; Environmental Sciences &amp; Ecology</t>
  </si>
  <si>
    <t>CR7P0</t>
  </si>
  <si>
    <t>WOS:001074868900001</t>
  </si>
  <si>
    <t>Chan, CKY</t>
  </si>
  <si>
    <t>Chan, Cecilia Ka Yuk</t>
  </si>
  <si>
    <t>A comprehensive AI policy education framework for university teaching and learning</t>
  </si>
  <si>
    <t>AI policy framework; Artificial intelligence; ChatGPT; Ethics; Assessment</t>
  </si>
  <si>
    <t>This study aims to develop an AI education policy for higher education by examining the perceptions and implications of text generative AI technologies. Data was collected from 457 students and 180 teachers and staff across various disciplines in Hong Kong universities, using both quantitative and qualitative research methods. Based on the findings, the study proposes an AI Ecological Education Policy Framework to address the multifaceted implications of AI integration in university teaching and learning. This framework is organized into three dimensions: Pedagogical, Governance, and Operational. The Pedagogical dimension concentrates on using AI to improve teaching and learning outcomes, while the Governance dimension tackles issues related to privacy, security, and accountability. The Operational dimension addresses matters concerning infrastructure and training. The framework fosters a nuanced understanding of the implications of AI integration in academic settings, ensuring that stakeholders are aware of their responsibilities and can take appropriate actions accordingly.</t>
  </si>
  <si>
    <t>[Chan, Cecilia Ka Yuk] Univ Hong Kong, Hong Kong, Peoples R China</t>
  </si>
  <si>
    <t>JUL 7</t>
  </si>
  <si>
    <t>10.1186/s41239-023-00408-3</t>
  </si>
  <si>
    <t>L3QG8</t>
  </si>
  <si>
    <t>WOS:001022433100001</t>
  </si>
  <si>
    <t>Yeung, JA; Kraljevic, Z; Luintel, A; Balston, A; Idowu, E; Dobson, RJ; Teo, JT</t>
  </si>
  <si>
    <t>Au Yeung, Joshua; Kraljevic, Zeljko; Luintel, Akish; Balston, Alfred; Idowu, Esther; Dobson, Richard J. J.; Teo, James T. T.</t>
  </si>
  <si>
    <t>AI chatbots not yet ready for clinical use</t>
  </si>
  <si>
    <t>FRONTIERS IN DIGITAL HEALTH</t>
  </si>
  <si>
    <t>large language models; chatbot; natural language processing (computer science); digital health; AI safety; transformer</t>
  </si>
  <si>
    <t>As large language models (LLMs) expand and become more advanced, so do the natural language processing capabilities of conversational AI, or chatbots. OpenAI's recent release, ChatGPT, uses a transformer-based model to enable human-like text generation and question-answering on general domain knowledge, while a healthcare-specific Large Language Model (LLM) such as GatorTron has focused on the real-world healthcare domain knowledge. As LLMs advance to achieve near human-level performances on medical question and answering benchmarks, it is probable that Conversational AI will soon be developed for use in healthcare. In this article we discuss the potential and compare the performance of two different approaches to generative pretrained transformers-ChatGPT, the most widely used general conversational LLM, and Foresight, a GPT (generative pretrained transformer) based model focused on modelling patients and disorders. The comparison is conducted on the task of forecasting relevant diagnoses based on clinical vignettes. We also discuss important considerations and limitations of transformer-based chatbots for clinical use.</t>
  </si>
  <si>
    <t>[Au Yeung, Joshua; Luintel, Akish; Teo, James T. T.] Kings Coll Hosp London, Dept Neurosci, London, England; [Au Yeung, Joshua; Balston, Alfred; Idowu, Esther; Teo, James T. T.] Guys &amp; St Thomas Hosp, London, England; [Kraljevic, Zeljko; Dobson, Richard J. J.] Kings Coll London, Dept Biostat, London, England; [Dobson, Richard J. J.] South London &amp; Maudsley NHS Fdn Trust, NIHR Biomed Res Ctr, London, England; [Dobson, Richard J. J.] Kings Coll London, London, England</t>
  </si>
  <si>
    <t>King's College Hospital NHS Foundation Trust; King's College Hospital; Guy's &amp; St Thomas' NHS Foundation Trust; University of London; King's College London; South London &amp; Maudsley NHS Trust; University of London; King's College London</t>
  </si>
  <si>
    <t>Yeung, JA (corresponding author), Kings Coll Hosp London, Dept Neurosci, London, England.;Yeung, JA (corresponding author), Guys &amp; St Thomas Hosp, London, England.</t>
  </si>
  <si>
    <t>j.auyeung@nhs.net</t>
  </si>
  <si>
    <t>Teo, James/D-9696-2011; dobson, richard/C-9269-2011</t>
  </si>
  <si>
    <t>Teo, James/0000-0002-6899-8319; dobson, richard/0000-0003-4224-9245; Au Yeung, Joshua/0000-0002-9428-2146</t>
  </si>
  <si>
    <t>2673-253X</t>
  </si>
  <si>
    <t>FRONT DIGIT HEALTH</t>
  </si>
  <si>
    <t>Front. Digit. Health</t>
  </si>
  <si>
    <t>APR 12</t>
  </si>
  <si>
    <t>10.3389/fdgth.2023.1161098</t>
  </si>
  <si>
    <t>M4UI6</t>
  </si>
  <si>
    <t>WOS:001030174600001</t>
  </si>
  <si>
    <t>Doo, FX; Cook, TS; Siegel, EL; Joshi, A; Parekh, V; Elahi, A; Yi, PH</t>
  </si>
  <si>
    <t>Doo, Florence X.; Cook, Tessa S.; Siegel, Eliot L.; Joshi, Anupam; Parekh, Vishwa; Elahi, Ameena; Yi, Paul H.</t>
  </si>
  <si>
    <t>Exploring the Clinical Translation of Generative Models Like ChatGPT: Promise and Pitfalls in Radiology, From Patients to Population Health</t>
  </si>
  <si>
    <t>JOURNAL OF THE AMERICAN COLLEGE OF RADIOLOGY</t>
  </si>
  <si>
    <t>generative artificial intelligence; radiology; limitations; large language models; ChatGPT</t>
  </si>
  <si>
    <t>ARTIFICIAL-INTELLIGENCE; CLIMATE</t>
  </si>
  <si>
    <t>Generative artificial intelligence (AI) tools such as GPT-4, and the chatbot interface ChatGPT, show promise for a variety of applications in radiology and health care. However, like other AI tools, ChatGPT has limitations and potential pitfalls that must be considered before adopting it for teaching, clinical practice, and beyond. We summarize five major emerging use cases for ChatGPT and generative AI in radiology across the levels of increasing data complexity, along with pitfalls associated with each. As the use of AI in health care continues to grow, it is crucial for radiologists (and all physicians) to stay informed and ensure the safe translation of these new technologies.</t>
  </si>
  <si>
    <t>[Doo, Florence X.] Univ Maryland, Med Intelligent Imaging Ctr UM2ii, Innovat, Baltimore, MD USA; [Doo, Florence X.] ACR Commiss Econ, Comm Econ Acad Radiol, Baltimore, MD USA; [Cook, Tessa S.] Emory Univ, Perelman Sch Med, Dept Radiol, Practice Informat, Atlanta, GA USA; [Cook, Tessa S.] Penn Med, Dept Radiol, Imaging Informat, Philadelphia, PA USA; [Cook, Tessa S.] Penn Med, Dept Radiol, 3D &amp; Advanced Imaging, Philadelphia, PA USA; [Cook, Tessa S.] ACR Commiss Patient and Family Ctr Care, RAHSR Affin Grp, Philadelphia, PA USA; [Siegel, Eliot L.] Univ Maryland, Res Informat Syst, Baltimore, MD USA; [Siegel, Eliot L.] US Dept Vet Affairs Maryland Healthcare Syst, USDepartment Vet Affairs Vet Integrated Serv Netwo, Radiol &amp; Nucl Med Diagnost, Baltimore, MD USA; [Joshi, Anupam] Univ Maryland, Comp Sci &amp; Elect Engn, Baltimore, MD USA; [Joshi, Anupam] Univ Maryland Baltimore Cty, Ctr Cybersecur, Baltimore, MD USA; [Parekh, Vishwa] Univ Maryland, Med Intelligent Imaging UM2ii Ctr, Baltimore, MD USA; [Elahi, Ameena] Univ Penn, Philadelphia, PA USA; [Elahi, Ameena] Penn Med, Informat Serv, Philadelphia, PA USA; [Yi, Paul H.] RAD AID Int, Philadelphia, PA USA; [Doo, Florence X.] Stanford Univ, 500 Pasteur Dr, Palo Alto, CA 94304 USA</t>
  </si>
  <si>
    <t>University System of Maryland; University of Maryland Baltimore; Emory University; University of Pennsylvania; Pennsylvania Medicine; University of Pennsylvania; Pennsylvania Medicine; University System of Maryland; University of Maryland Baltimore; University System of Maryland; University of Maryland Baltimore; University System of Maryland; University of Maryland Baltimore County; University System of Maryland; University of Maryland Baltimore; University of Pennsylvania; University of Pennsylvania; Pennsylvania Medicine; Stanford University</t>
  </si>
  <si>
    <t>Doo, FX (corresponding author), Stanford Univ, 500 Pasteur Dr, Palo Alto, CA 94304 USA.</t>
  </si>
  <si>
    <t>fdoo@som.umaryland.edu</t>
  </si>
  <si>
    <t>; Doo, Florence Xini/Q-6640-2018</t>
  </si>
  <si>
    <t>Joshi, Anupam/0000-0002-8641-3193; Doo, Florence Xini/0000-0001-6519-5222; Elahi, Ameena/0000-0001-6938-1735</t>
  </si>
  <si>
    <t>AUR GERRAF; NIH,; IBC; RSNA; NIH; ACR</t>
  </si>
  <si>
    <t>AUR GERRAF; NIH,(United States Department of Health &amp; Human ServicesNational Institutes of Health (NIH) - USA); IBC; RSNA; NIH(United States Department of Health &amp; Human ServicesNational Institutes of Health (NIH) - USA); ACR</t>
  </si>
  <si>
    <t>Dr Doo declares support from AUR GERRAF; honoraria from AIRE; and a leadership role in the University of Maryland Medical Intelligent Imaging (UM2ii) Center, and membership on the ABR Initial Certifiying Advisory Committee. Dr Cook declares support from NIH, IBC, RSNA; honoraria from ISMIE, Icahn, MGH, BJR, Sectra; SIIM Board meeting travel reimbursement, PRS Board meeting travel reimbursement; and leadership roles as SIIM Board Chair, PRRS and PRS Board Member. Dr Joshi declares institutional support from MIPS, DoD, NSF. Dr Elahi declares leadership roles as SIIM Board of Directors-Chair of the Membership Committee, ABII-Item writer, 10 year review committee. RAD-AID International. Dr Yi declares support from NIH, ACR, RSNA; honoraria from SIIM, SNMI; and leadership roles as Vice Chair of Annual Program Planning Committee, SIIM-Board of Directors, Director of UM2ii, Associate Editor of Radiology:Artificial Intelligence, and University of Maryland Baltimore Digital Health Faculty Advisory Board. All other authors state that they have no conflict of interest related to the material discussed in this article. The authors are non-partner/non-partnership track/employees.</t>
  </si>
  <si>
    <t>1546-1440</t>
  </si>
  <si>
    <t>1558-349X</t>
  </si>
  <si>
    <t>J AM COLL RADIOL</t>
  </si>
  <si>
    <t>J. Am. Coll. Radiol.</t>
  </si>
  <si>
    <t>10.1016/j.jacr.2023.07.007</t>
  </si>
  <si>
    <t>Radiology, Nuclear Medicine &amp; Medical Imaging</t>
  </si>
  <si>
    <t>W1FP2</t>
  </si>
  <si>
    <t>WOS:001089157200001</t>
  </si>
  <si>
    <t>Chen, JY; An, J; Lyu, HJ; Luo, JB</t>
  </si>
  <si>
    <t>Chen, Junyu; An, Jie; Lyu, Hanjia; Luo, Jiebo</t>
  </si>
  <si>
    <t>How Art-like are AI-generated Images? An Exploratory Study</t>
  </si>
  <si>
    <t>PROCEEDINGS OF THE 1ST INTERNATIONAL WORKSHOP ON MULTIMEDIA CONTENT GENERATION AND EVALUATION, MCGE 2023: New Methods and Practice</t>
  </si>
  <si>
    <t>1st International Workshop on Multimedia Content Generation and Evaluation - New Methods and Practice (McGE)</t>
  </si>
  <si>
    <t>OCT 29, 2023</t>
  </si>
  <si>
    <t>AI Art; Generative Model; Artness Evaluation</t>
  </si>
  <si>
    <t>Assessing the artness or artistic quality of AI-generated images continues to be a challenge within the realm of image generation. Most existing metrics cannot be used to perform instance-level and reference-free artness evaluation. This paper presents ArtScore, a metric designed to evaluate the degree to which an image resembles authentic artworks by artists (or conversely photographs), thereby offering a novel approach to artness assessment. We first blend pre-trained models for photo and artwork generation, resulting in a series of mixed models. Subsequently, we utilize these mixed models to generate images exhibiting varying degrees of artness with pseudo-annotations. Each photorealistic image has a corresponding artistic counterpart and a series of interpolated images that range from realistic to artistic. This dataset is then employed to train a neural network that learns to estimate quantized artness levels of arbitrary images. Extensive experiments reveal that the artness levels predicted by ArtScore align more closely with human artistic evaluation than existing evaluation metrics, such as Gram loss and ArtFID.</t>
  </si>
  <si>
    <t>[Chen, Junyu; An, Jie; Lyu, Hanjia; Luo, Jiebo] Univ Rochester, Rochester, NY 14627 USA</t>
  </si>
  <si>
    <t>University of Rochester</t>
  </si>
  <si>
    <t>Chen, JY (corresponding author), Univ Rochester, Rochester, NY 14627 USA.</t>
  </si>
  <si>
    <t>jchen175@ur.rochester.edu; jan6@cs.rochester.edu; hlyu5@ur.rochester.edu; jluo@cs.rochester.edu</t>
  </si>
  <si>
    <t>LYU, HANJIA/0000-0002-3876-0094</t>
  </si>
  <si>
    <t>Goergen Institute for Data Science at the University of Rochester</t>
  </si>
  <si>
    <t>This work is supported in part by the Goergen Institute for Data Science at the University of Rochester.</t>
  </si>
  <si>
    <t>979-8-4007-0278-5</t>
  </si>
  <si>
    <t>10.1145/3607541.3616825</t>
  </si>
  <si>
    <t>BW4GK</t>
  </si>
  <si>
    <t>WOS:001147674900003</t>
  </si>
  <si>
    <t>Baradaran, A</t>
  </si>
  <si>
    <t>Baradaran, Amir</t>
  </si>
  <si>
    <t>Towards a decolonial I in AI: mapping the pervasive effects of artificial intelligence on the art ecosystem</t>
  </si>
  <si>
    <t>Artificial intelligence (AI); Art making; Art ecosystem; AI Art; Augmented reality (AR); Virtual reality (VR); Extended reality (XR); Generative AI; Machine learning (ML); Deep learning (DL); ChatGPT; Decolonization; Critical thinking; Creativity; Agency; And self-awareness</t>
  </si>
  <si>
    <t>This paper delves into the intricate relationship between Artificial Intelligence (AI) and the art ecosystem, emphasizing the need for a decolonizing approach in the face of AI's growing influence. It argues that the development of AI is not just a technological leap but also a significant cultural and societal moment, akin to the advent of moving images that Walter Benjamin famously analyzed. The paper examines how AI, particularly in its current oligarchical and corporate-driven form, perpetuates and magnifies the existing social inequalities, thereby necessitating a critical and radical rethinking of its role in society and the arts. At the heart of the discussion is the concept of AI as a broad term encompassing various forms of machine intelligence, from natural language processing to computer vision. The paper criticizes the dominant anthropocentric view of intelligence and creativity, proposing a more inclusive approach that considers the diverse forms of intelligence present in other species and potentially in AI itself. It underscores the role of AI in shaping the art ecosystem, not just in the creative process but also in gatekeeping and decision-making. The paper proposes a framework for decolonizing AI in the art ecosystem, focusing on four key tasks: recognizing access as a form of power, understanding and addressing biases inherent in AI, assessing the impact of AI on marginalized communities, and challenging dominant narratives and epistemologies to create space for alternative voices and perspectives. It emphasizes the need for artists and the art community to engage actively with AI, shaping its development towards more equitable and just outcomes. In conclusion, the paper calls for a radical reimagination of AI's role in society and the arts, advocating for a future where AI is not just about technological advancement but also about fostering a more inclusive, equitable, and creatively diverse world. It invites artists, thinkers, and innovators to join in this journey of reimagining and reshaping the future of AI and the art ecosystem.</t>
  </si>
  <si>
    <t>[Baradaran, Amir] ABXR Engine, New York, NY 45177 USA</t>
  </si>
  <si>
    <t>Baradaran, A (corresponding author), ABXR Engine, New York, NY 45177 USA.</t>
  </si>
  <si>
    <t>amir@abxrengine.com</t>
  </si>
  <si>
    <t>Canada Council for the Arts; Knight Foundation; School of Engineering and Applied Sciences; School of the Arts at Columbia University</t>
  </si>
  <si>
    <t>This special issue was produced with support from Denton Callander, Joshua Tendler, Ikaika Ramones, Farbod Honarpisheh, Isolde Brielmaier, George Zarkadakis, Steven Feiner, and Debora Giannone. I also acknowledge the generous support of the Canada Council for the Arts, The Knight Foundation, and the School of Engineering and Applied Sciences as well as the School of the Arts at Columbia University. Finally, I am sincerely grateful for the gift of company, time, and space that I had the privilege of enjoying alongside a special cohort of writers and practitioners focusing on AI during a month-long residency at the Rockefeller Foundation Bellagio Center (October 2019). Writing this chapter was only possible with these people and organizations. Finally, special thanks to Karamjit Gill and Victoria Vesna, who believed in the necessity of and provided the space for publishing a special issue on this topic. A version of this essay first appeared in Culture as Catalyst, edited by Isolde Brielmaier and published by The Frances Young Tang Teaching Museum and Art Gallery at Skidmore College in 2020.</t>
  </si>
  <si>
    <t>10.1007/s00146-023-01771-5</t>
  </si>
  <si>
    <t>WOS:001117675400001</t>
  </si>
  <si>
    <t>Moghaddam, MM; Boroomand, B; Jalali, M; Zareian, A; Daeijavad, A; Manshaei, MH; Krunz, M</t>
  </si>
  <si>
    <t>Moghaddam, Monireh Mohebbi; Boroomand, Bahar; Jalali, Mohammad; Zareian, Arman; Daeijavad, Alireza; Manshaei, Mohammad Hossein; Krunz, Marwan</t>
  </si>
  <si>
    <t>Games of GANs: game-theoretical models for generative adversarial networks</t>
  </si>
  <si>
    <t>Generative adversarial network (GAN); Game theory; Multi-agent systems; Deep generative models; Deep learning</t>
  </si>
  <si>
    <t>Generative Adversarial Networks (GANs) have recently attracted considerable attention in the AI community due to their ability to generate high-quality data of significant statistical resemblance to real data. Fundamentally, GAN is a game between two neural networks trained in an adversarial manner to reach a zero-sum Nash equilibrium profile. Despite the improvement accomplished in GANs in the last few years, several issues remain to be solved. This paper reviews the literature on the game-theoretic aspects of GANs and addresses how game theory models can address specific challenges of generative models and improve the GAN's performance. We first present some preliminaries, including the basic GAN model and some game theory background. We then present a taxonomy to classify state-of-the-art solutions into three main categories: modified game models, modified architectures, and modified learning methods. The classification is based on modifications made to the basic GAN model by proposed game-theoretic approaches in the literature. We then explore the objectives of each category and discuss recent works in each class. Finally, we discuss the remaining challenges in this field and present future research directions.</t>
  </si>
  <si>
    <t>[Moghaddam, Monireh Mohebbi; Boroomand, Bahar; Jalali, Mohammad; Zareian, Arman; Daeijavad, Alireza; Manshaei, Mohammad Hossein] Isfahan Univ Technol, Dept Elect &amp; Comp Engn, Esfahan, Iran; [Manshaei, Mohammad Hossein; Krunz, Marwan] Univ Arizona, Dept Elect &amp; Comp Engn, Tucson, AZ 85721 USA; [Moghaddam, Monireh Mohebbi] Iran Univ Med Sci, Tehran, Iran; [Boroomand, Bahar] Univ Alberta, Dept Comp Sci, Edmonton, AB, Canada; [Daeijavad, Alireza] McMaster Univ, Dept Comp &amp; Software, Hamilton, ON, Canada</t>
  </si>
  <si>
    <t>Isfahan University of Technology; University of Arizona; Iran University of Medical Sciences; University of Alberta; McMaster University</t>
  </si>
  <si>
    <t>Manshaei, MH (corresponding author), Isfahan Univ Technol, Dept Elect &amp; Comp Engn, Esfahan, Iran.;Manshaei, MH (corresponding author), Univ Arizona, Dept Elect &amp; Comp Engn, Tucson, AZ 85721 USA.</t>
  </si>
  <si>
    <t>mohebi.mn@iums.ac.ir; boroomand.bahar@yahoo.co.uk; mjalali@ec.iut.ac.ir; armanzareian.az@gmail.com; daeijavad@ec.iut.ac.ir; manshaei@arizona.edu; krunz@arizona.edu</t>
  </si>
  <si>
    <t>Jalali, Mohammad/HSH-9853-2023</t>
  </si>
  <si>
    <t>Jalali, Mohammad/0000-0003-1203-6812</t>
  </si>
  <si>
    <t>10.1007/s10462-023-10395-6</t>
  </si>
  <si>
    <t>M7RE0</t>
  </si>
  <si>
    <t>WOS:000930130400001</t>
  </si>
  <si>
    <t>Lozic, E; Stular, B</t>
  </si>
  <si>
    <t>Lozic, Edisa; Stular, Benjamin</t>
  </si>
  <si>
    <t>Fluent but Not Factual: A Comparative Analysis of ChatGPT and Other AI Chatbots' Proficiency and Originality in Scientific Writing for Humanities</t>
  </si>
  <si>
    <t>FUTURE INTERNET</t>
  </si>
  <si>
    <t>generative AI; large language model (LLM); ChatGPT; Bard; Bing; scientific writing; digital humanities</t>
  </si>
  <si>
    <t>Historically, mastery of writing was deemed essential to human progress. However, recent advances in generative AI have marked an inflection point in this narrative, including for scientific writing. This article provides a comprehensive analysis of the capabilities and limitations of six AI chatbots in scholarly writing in the humanities and archaeology. The methodology was based on tagging AI-generated content for quantitative accuracy and qualitative precision by human experts. Quantitative accuracy assessed the factual correctness in a manner similar to grading students, while qualitative precision gauged the scientific contribution similar to reviewing a scientific article. In the quantitative test, ChatGPT-4 scored near the passing grade (-5) whereas ChatGPT-3.5 (-18), Bing (-21) and Bard (-31) were not far behind. Claude 2 (-75) and Aria (-80) scored much lower. In the qualitative test, all AI chatbots, but especially ChatGPT-4, demonstrated proficiency in recombining existing knowledge, but all failed to generate original scientific content. As a side note, our results suggest that with ChatGPT-4, the size of large language models has reached a plateau. Furthermore, this paper underscores the intricate and recursive nature of human research. This process of transforming raw data into refined knowledge is computationally irreducible, highlighting the challenges AI chatbots face in emulating human originality in scientific writing. Our results apply to the state of affairs in the third quarter of 2023. In conclusion, while large language models have revolutionised content generation, their ability to produce original scientific contributions in the humanities remains limited. We expect this to change in the near future as current large language model-based AI chatbots evolve into large language model-powered software.</t>
  </si>
  <si>
    <t>[Lozic, Edisa; Stular, Benjamin] Slovenian Acad Sci &amp; Arts, Res Ctr, Ljubljana 1000, Slovenia</t>
  </si>
  <si>
    <t>Slovenian Academy of Sciences &amp; Arts (SASA)</t>
  </si>
  <si>
    <t>Stular, B (corresponding author), Slovenian Acad Sci &amp; Arts, Res Ctr, Ljubljana 1000, Slovenia.</t>
  </si>
  <si>
    <t>benjamin.stular@zrc-sazu.si</t>
  </si>
  <si>
    <t>Štular, Benjamin/AAE-6455-2020</t>
  </si>
  <si>
    <t>Štular, Benjamin/0000-0003-1474-7183</t>
  </si>
  <si>
    <t>European Union [101070000]; Slovenian Research and Innovation Agency (ARIS) [P6-0064]</t>
  </si>
  <si>
    <t>European Union(European Union (EU)); Slovenian Research and Innovation Agency (ARIS)</t>
  </si>
  <si>
    <t>This research was part of the AI4Europe project that has received funding from the European Union's Horizon Europe research and innovation programme under Grant Agreement no 101070000, and the Slovenian Research and Innovation Agency (ARIS) grant number P6-0064.</t>
  </si>
  <si>
    <t>1999-5903</t>
  </si>
  <si>
    <t>Future Internet</t>
  </si>
  <si>
    <t>10.3390/fi15100336</t>
  </si>
  <si>
    <t>X0WV0</t>
  </si>
  <si>
    <t>WOS:001095748700001</t>
  </si>
  <si>
    <t>Larosa, F; Hoyas, S; García-Martínez, J; Conejero, JA; Nerini, FF; Vinuesa, R</t>
  </si>
  <si>
    <t>Larosa, Francesca; Hoyas, Sergio; Garcia-Martinez, Javier; Conejero, J. Alberto; Fuso Nerini, Francesco; Vinuesa, Ricardo</t>
  </si>
  <si>
    <t>Halting generative AI advancements may slow down progress in climate research</t>
  </si>
  <si>
    <t>NATURE CLIMATE CHANGE</t>
  </si>
  <si>
    <t>Large language models offer an opportunity to advance climate and sustainability research. We believe that a focus on regulation and validation of generative artificial intelligence models would provide more benefits to society than a halt in development.</t>
  </si>
  <si>
    <t>[Larosa, Francesca; Vinuesa, Ricardo] KTH Royal Inst Technol, FLOW, Engn Mech, Stockholm, Sweden; [Larosa, Francesca; Fuso Nerini, Francesco; Vinuesa, Ricardo] KTH Climate Act Ctr, Stockholm, Sweden; [Hoyas, Sergio; Conejero, J. Alberto] Univ Politecn Valencia, Inst Univ Matemat Pura &amp; Aplicada, Valencia, Spain; [Garcia-Martinez, Javier] Univ Alicante, Dept Quim Inorgan, Alicante, Spain; [Fuso Nerini, Francesco] KTH Royal Inst Technol, KTH Div Energy Syst, Sch Ind Engn &amp; Management, Stockholm, Sweden</t>
  </si>
  <si>
    <t>Royal Institute of Technology; Universitat Politecnica de Valencia; Universitat d'Alacant; Royal Institute of Technology</t>
  </si>
  <si>
    <t>Larosa, F; Vinuesa, R (corresponding author), KTH Royal Inst Technol, FLOW, Engn Mech, Stockholm, Sweden.;Larosa, F; Vinuesa, R (corresponding author), KTH Climate Act Ctr, Stockholm, Sweden.</t>
  </si>
  <si>
    <t>larosa@kth.se; rvinuesa@mech.kth.se</t>
  </si>
  <si>
    <t>Vinuesa, Ricardo/ABG-6234-2020; Larosa, Francesca/JDW-7206-2023; Conejero, J. Alberto/A-8589-2008; Hoyas, Sergio/B-6257-2008</t>
  </si>
  <si>
    <t>Vinuesa, Ricardo/0000-0001-6570-5499; Conejero, J. Alberto/0000-0003-3681-7533; Hoyas, Sergio/0000-0002-8458-7288; Larosa, Francesca/0000-0002-4350-8790; garcia-martinez, javier/0000-0002-7089-4973</t>
  </si>
  <si>
    <t>Digital Futures, Demonstrator Projects program; Ministerio de Ciencia, innovacion y Universidades / FEDER [PID2021-128676OB-I00]; ERDF A way of making Europe [PID2021-124618NB-C21, MCIN/AEI/10.13039/501100011033]; European Union</t>
  </si>
  <si>
    <t>Digital Futures, Demonstrator Projects program; Ministerio de Ciencia, innovacion y Universidades / FEDER(Spanish Government); ERDF A way of making Europe; European Union(European Union (EU))</t>
  </si>
  <si>
    <t>F.L., F.F.N. and R.V. acknowledge financial support from the Digital Futures, Demonstrator Projects program. S.H. is partially funded by project PID2021-128676OB-I00 at Ministerio de Ciencia, innovacion y Universidades / FEDER. J.A.C. is partially funded by grant PID2021-124618NB-C21, funded by MCIN/AEI/10.13039/501100011033 and ERDF A way of making Europe' by the European Union.</t>
  </si>
  <si>
    <t>1758-678X</t>
  </si>
  <si>
    <t>1758-6798</t>
  </si>
  <si>
    <t>NAT CLIM CHANGE</t>
  </si>
  <si>
    <t>Nat. Clim. Chang.</t>
  </si>
  <si>
    <t>10.1038/s41558-023-01686-5</t>
  </si>
  <si>
    <t>Environmental Sciences; Environmental Studies; Meteorology &amp; Atmospheric Sciences</t>
  </si>
  <si>
    <t>Environmental Sciences &amp; Ecology; Meteorology &amp; Atmospheric Sciences</t>
  </si>
  <si>
    <t>I7VQ0</t>
  </si>
  <si>
    <t>WOS:000997023000001</t>
  </si>
  <si>
    <t>Curtis, A; Oni, MSSC; Inoue, S; Kamineni, A; Zane, R; Flann, N</t>
  </si>
  <si>
    <t>Curtis, Andrew; Oni, Md Shain Shahid Chowdhury; Inoue, Shuntaro; Kamineni, Abhilash; Zane, Regan; Flann, Nicholas</t>
  </si>
  <si>
    <t>Generative Neural Network Approach to Designing Dynamic Inductive Power Transfer Systems</t>
  </si>
  <si>
    <t>2023 IEEE WIRELESS POWER TECHNOLOGY CONFERENCE AND EXPO, WPTCE</t>
  </si>
  <si>
    <t>IEEE Wireless Power Technology Conference and Expo (WPTCE)</t>
  </si>
  <si>
    <t>JUN 04-08, 2023</t>
  </si>
  <si>
    <t>San Diego, CA</t>
  </si>
  <si>
    <t>IEEE,IEEE Power Elect Soc,IEEE Microwave Theory &amp; Technol Soc</t>
  </si>
  <si>
    <t>deep learning; generative AI; multi-objective optimization; inductive wireless power transfer</t>
  </si>
  <si>
    <t>Generative Neural Networks (GNN) have demonstrated remarkable power in creating novel graphic design images from text-to-image training. This work applies GNNs to design dynamic inductive power transfer systems to make charging electrical vehicles (EVs) more convenient and cheaper. Discovering optimal and safe coil implementations (for EV and road) is challenging because of the combinatorial explosion of possible configurations, along with multiple conflicting objective functions, such as maximizing the output power, while minimizing stray magnetic fields and the volume of windings and magnetic cores. To solve the problem, a differentiable simulator and evaluator define loss functions that train a generative neural network to only produce configurations that satisfy eight given design criteria. Before training, the rate of finding successful designs is 0.005%, but within 500 training epochs, the rate becomes 98% (about 30 seconds run time). Solution diversity and quality may be further improved by applying loss functions trained on pairwise Pareto-optimal generated examples.</t>
  </si>
  <si>
    <t>[Curtis, Andrew; Oni, Md Shain Shahid Chowdhury; Flann, Nicholas] Utah State Univ, Dept Comp Sci, Logan, UT 84322 USA; [Inoue, Shuntaro; Kamineni, Abhilash; Zane, Regan] Utah State Univ, Dept Elect Engn, Logan, UT USA</t>
  </si>
  <si>
    <t>Utah System of Higher Education; Utah State University; Utah System of Higher Education; Utah State University</t>
  </si>
  <si>
    <t>Curtis, A (corresponding author), Utah State Univ, Dept Comp Sci, Logan, UT 84322 USA.</t>
  </si>
  <si>
    <t>a02043584@aggies.usu.edu; mdshainshahid.chowdhuryoni@usu.edu; shuntaro0628@gmail.com; abhilash.kamineni@usu.edu; regan.zane@usu.edu; nick.flann@usu.edu</t>
  </si>
  <si>
    <t>ASPIRE (Advancing Sustainability through Powered Infrastructure for Roadway Electrification) Center, an NSF ERC [1941524]</t>
  </si>
  <si>
    <t>ASPIRE (Advancing Sustainability through Powered Infrastructure for Roadway Electrification) Center, an NSF ERC</t>
  </si>
  <si>
    <t>This research was supported in part by the ASPIRE (Advancing Sustainability through Powered Infrastructure for Roadway Electrification) Center, an NSF ERC, under award number 1941524.</t>
  </si>
  <si>
    <t>979-8-3503-3737-2</t>
  </si>
  <si>
    <t>10.1109/WPTCE56855.2023.10216141</t>
  </si>
  <si>
    <t>BV6KL</t>
  </si>
  <si>
    <t>WOS:001058651600093</t>
  </si>
  <si>
    <t>Kamnis, S</t>
  </si>
  <si>
    <t>Kamnis, Spyros</t>
  </si>
  <si>
    <t>Generative pre-trained transformers (GPT) for surface engineering</t>
  </si>
  <si>
    <t>SURFACE &amp; COATINGS TECHNOLOGY</t>
  </si>
  <si>
    <t>Thermal spray; GPT; Generative AI; LLM; Large language model; NLP</t>
  </si>
  <si>
    <t>The knowledge of scientific articles within Generative Pre-trained Transformers (GPT) is not exhaustive due to factors such as data coverage, freshness, complexity, paywalls, and context. While it can provide general in-formation on scientific topics, it may struggle with specialized terminology, recent research, and nuanced un-derstanding. As a result, relying on GPT as a scientific assistant tool may not be ideal. Instead, it is important to consult specialized resources and databases for a comprehensive understanding of specific scientific domains and access to the latest research. A custom data driven GPT can enhance its performance as a scientific assistant tool by improving domain knowledge, providing up-to-date information, reducing ambiguity and errors, performing customized tasks, and offering enhanced search capabilities. This work demonstrates and evaluates the use of such GPT models using a small selection of peer reviewed published thermal spray articles as the reference domain knowledge. The specific domain knowledge model works exceptionally well outperforming the general state-of-the-art large language models.</t>
  </si>
  <si>
    <t>[Kamnis, Spyros] Castolin Eutect Monitor Coatings Ltd, Newcastle Upon Tyne NE29 8SE, England</t>
  </si>
  <si>
    <t>Kamnis, S (corresponding author), Castolin Eutect Monitor Coatings Ltd, Newcastle Upon Tyne NE29 8SE, England.</t>
  </si>
  <si>
    <t>s_kamnis@hotmail.com</t>
  </si>
  <si>
    <t>Kamnis, Spyros/0000-0001-6433-3101</t>
  </si>
  <si>
    <t>0257-8972</t>
  </si>
  <si>
    <t>1879-3347</t>
  </si>
  <si>
    <t>SURF COAT TECH</t>
  </si>
  <si>
    <t>Surf. Coat. Technol.</t>
  </si>
  <si>
    <t>AUG 15</t>
  </si>
  <si>
    <t>10.1016/j.surfcoat.2023.129680</t>
  </si>
  <si>
    <t>Materials Science, Coatings &amp; Films; Physics, Applied</t>
  </si>
  <si>
    <t>Materials Science; Physics</t>
  </si>
  <si>
    <t>K7MA6</t>
  </si>
  <si>
    <t>WOS:001018231600001</t>
  </si>
  <si>
    <t>Gmeiner, F; Yang, HP; Yao, LN; Holstein, K; Martelaro, N</t>
  </si>
  <si>
    <t>Gmeiner, Frederic; Yang, Humphrey; Yao, Lining; Holstein, Kenneth; Martelaro, Nikolas</t>
  </si>
  <si>
    <t>Exploring Challenges and Opportunities to Support Designers in Learning to Co-create with AI-based Manufacturing Design Tools</t>
  </si>
  <si>
    <t>PROCEEDINGS OF THE 2023 CHI CONFERENCE ON HUMAN FACTORS IN COMPUTING SYSTEMS, CHI 2023</t>
  </si>
  <si>
    <t>computational co-creation; generative AI; human-AI collaboration; think-aloud study; group cognition; team learning</t>
  </si>
  <si>
    <t>TEAM MENTAL MODELS; FRAMEWORK</t>
  </si>
  <si>
    <t>AI-based design tools are proliferating in professional software to assist engineering and industrial designers in complex manufacturing and design tasks. These tools take on more agentic roles than traditional computer-aided design tools and are often portrayed as co-creators. Yet, working effectively with such systems requires different skills than working with complex CAD tools alone. To date, we know little about how engineering designers learn to work with AI-based design tools. In this study, we observed trained designers as they learned to work with two AI-based tools on a realistic design task. We find that designers face many challenges in learning to effectively co-create with current systems, including challenges in understanding and adjusting AI outputs and in communicating their design goals. Based on our findings, we highlight several design opportunities to better support designer-AI co-creation.</t>
  </si>
  <si>
    <t>[Gmeiner, Frederic; Yang, Humphrey; Yao, Lining; Holstein, Kenneth; Martelaro, Nikolas] Carnegie Mellon Univ, HCI Inst, Pittsburgh, PA 15213 USA</t>
  </si>
  <si>
    <t>Gmeiner, F (corresponding author), Carnegie Mellon Univ, HCI Inst, Pittsburgh, PA 15213 USA.</t>
  </si>
  <si>
    <t>gmeiner@cmu.edu; hanliny@cs.cmu.edu; liningy@andrew.cmu.edu; kjholste@cs.cmu.edu; nikmart@cmu.edu</t>
  </si>
  <si>
    <t>Holstein, Ken/0000-0001-6730-922X; Yao, Lining/0000-0002-8842-2317; Martelaro, Nikolas/0000-0002-1824-0243; Yang, Humphrey/0000-0002-3424-0972; Gmeiner, Frederic/0000-0003-4106-1881</t>
  </si>
  <si>
    <t>National Science Foundation [2118924]</t>
  </si>
  <si>
    <t>National Science Foundation(National Science Foundation (NSF))</t>
  </si>
  <si>
    <t>This material is based upon work supported by the National Science Foundation under Grant No. 2118924 Supporting Designers in Learning to Co-create with AI for Complex Computational Design Tasks. Any opinions, findings, and conclusions or recommendations expressed in this material are those of the author(s) and do not necessarily reflect the views of the National Science Foundation.</t>
  </si>
  <si>
    <t>10.1145/3544548.3580999</t>
  </si>
  <si>
    <t>BV4OO</t>
  </si>
  <si>
    <t>WOS:001037809505035</t>
  </si>
  <si>
    <t>Cingillioglu, I</t>
  </si>
  <si>
    <t>Cingillioglu, Ilker</t>
  </si>
  <si>
    <t>Detecting AI-generated essays: the ChatGPT challenge</t>
  </si>
  <si>
    <t>INTERNATIONAL JOURNAL OF INFORMATION AND LEARNING TECHNOLOGY</t>
  </si>
  <si>
    <t>AI generated Text detection; ChatGPT; OpenAI; Machine learning; Recall; F2 score</t>
  </si>
  <si>
    <t>PurposeWith the advent of ChatGPT, a sophisticated generative artificial intelligence (AI) tool, maintaining academic integrity in all educational settings has recently become a challenge for educators. This paper discusses a method and necessary strategies to confront this challenge.Design/methodology/approachIn this study, a language model was defined to achieve high accuracy in distinguishing ChatGPT-generated essays from human written essays with a particular focus on not falsely classifying genuinely human-written essays as AI-generated (Negative).FindingsVia support vector machine (SVM) algorithm 100% accuracy was recorded for identifying human generated essays. The author discussed the key use of Recall and F2 score for measuring classification performance and the importance of eliminating False Negatives and making sure that no actual human generated essays are incorrectly classified as AI generated. The results of the proposed model's classification algorithms were compared to those of AI-generated text detection software developed by OpenAI, GPTZero and Copyleaks.Practical implicationsAI-generated essays submitted by students can be detected by teachers and educational designers using the proposed language model and machine learning (ML) classifier at a high accuracy. Human (student)-generated essays can and must be correctly identified with 100% accuracy even if the overall classification accuracy performance is slightly reduced.Originality/valueThis is the first and only study that used an n-gram bag-of-words (BOWs) discrepancy language model as input for a classifier to make such prediction and compared the classification results of other AI-generated text detection software in an empirical way.</t>
  </si>
  <si>
    <t>[Cingillioglu, Ilker] Univ Sydney, Dept Business Informat Syst, Sydney, Australia</t>
  </si>
  <si>
    <t>University of Sydney</t>
  </si>
  <si>
    <t>Cingillioglu, I (corresponding author), Univ Sydney, Dept Business Informat Syst, Sydney, Australia.</t>
  </si>
  <si>
    <t>ilker.cingillioglu@sydney.edu.au</t>
  </si>
  <si>
    <t>BINGLEY</t>
  </si>
  <si>
    <t>HOWARD HOUSE, WAGON LANE, BINGLEY BD16 1WA, W YORKSHIRE, ENGLAND</t>
  </si>
  <si>
    <t>2056-4880</t>
  </si>
  <si>
    <t>INT J INF LEARN TECH</t>
  </si>
  <si>
    <t>Int. J. Inf. Learn. Technol.</t>
  </si>
  <si>
    <t>MAY 25</t>
  </si>
  <si>
    <t>10.1108/IJILT-03-2023-0043</t>
  </si>
  <si>
    <t>G8KK6</t>
  </si>
  <si>
    <t>WOS:000978002500001</t>
  </si>
  <si>
    <t>Helm, M; Carle, G</t>
  </si>
  <si>
    <t>Helm, Max; Carle, Georg</t>
  </si>
  <si>
    <t>Synthesizing and Scaling WAN Topologies using Permutation-invariant Graph Generative Models</t>
  </si>
  <si>
    <t>graph; wide area networks; generative machine learning</t>
  </si>
  <si>
    <t>Real-world Wide Area Network (WAN) topologies are scarce. The shift towards machine learning in network management and optimization brings a need for large datasets, including real-world topologies. WAN topologies can be generated using graph generative models. Graph generative models can be divided into parameterized and data-driven approaches. Data-driven approaches can be further divided into permutation-invariant and permutation-variant. In this paper, we improve on existing work, which utilized adjacency-matrix-based, permutation-variant Generative Adversarial Networks to synthesize WAN topologies. We achieve this by using existing, data-driven approaches that are permutation-invariant w.r.t. their input. Our results show a decrease in the mean Kolmogorov-Smirnov distance over various graph theoretical metrics of 80%. Furthermore, we employ graph upscaling models to increase WAN topology sizes while preserving their properties up to a scaling factor of 256. We publish all datasets and hope they can be of help in training machine learning models, such as communication network performance prediction models or digital twins, enabling better automated network management.</t>
  </si>
  <si>
    <t>[Helm, Max; Carle, Georg] Tech Univ Munich, Dept Comp Engn, Munich, Germany</t>
  </si>
  <si>
    <t>Technical University of Munich</t>
  </si>
  <si>
    <t>Helm, M (corresponding author), Tech Univ Munich, Dept Comp Engn, Munich, Germany.</t>
  </si>
  <si>
    <t>helm@net.in.tum.de; carle@net.in.tum.de</t>
  </si>
  <si>
    <t>European Union [101008468, 101079774]; Bavarian Ministry of Economic Affairs, Regional Development and Energy (project 6G Future Lab Bavaria); German Federal Ministry of Education and Research [16KISK002, 16KISK107]</t>
  </si>
  <si>
    <t>European Union(European Union (EU)); Bavarian Ministry of Economic Affairs, Regional Development and Energy (project 6G Future Lab Bavaria); German Federal Ministry of Education and Research(Federal Ministry of Education &amp; Research (BMBF))</t>
  </si>
  <si>
    <t>European Union Horizon 2020 (project SLICES-SC, 101008468, and SLICES-PP, 101079774). Bavarian Ministry of Economic Affairs, Regional Development and Energy (project 6G Future Lab Bavaria). German Federal Ministry of Education and Research (project 6G-life, 16KISK002, and project 6G-ANNA, 16KISK107).</t>
  </si>
  <si>
    <t>WOS:001117985100028</t>
  </si>
  <si>
    <t>Seow, O</t>
  </si>
  <si>
    <t>Seow, Olivia</t>
  </si>
  <si>
    <t>LingoLand: An AI-Assisted Immersive Game for Language Learning</t>
  </si>
  <si>
    <t>Language Learning; Generative Games; Large Language Models; Human-AI Interaction</t>
  </si>
  <si>
    <t>Immersion with a foreign language is key to increased motivation, satisfaction, and learning success. However, this can be hindered by anxiety and lack of access to immersive settings. LingoLand will address this by immersing people in foreign language learning environments designed to mimic real scenarios. Using generative machine learning, LingoLand presents players with personalized missions where they can freely interact with game characters, all endlessly patient and supportive of new language learners. Players receive instant feedback through a natural, voice-based interaction. Through LingoLand, players gain an understanding of diferent cultures while building practical language skills in a fun way.</t>
  </si>
  <si>
    <t>[Seow, Olivia] Harvard Univ, Cambridge, MA 02138 USA</t>
  </si>
  <si>
    <t>Seow, O (corresponding author), Harvard Univ, Cambridge, MA 02138 USA.</t>
  </si>
  <si>
    <t>oseow@sigchi.org</t>
  </si>
  <si>
    <t>10.1145/3586182.3625117</t>
  </si>
  <si>
    <t>WOS:001125107000119</t>
  </si>
  <si>
    <t>Zhang, SF; Qian, Z; Huang, KZ; Zhang, R; Xiao, JM; He, Y; Lu, CY</t>
  </si>
  <si>
    <t>Zhang, Shufei; Qian, Zhuang; Huang, Kaizhu; Zhang, Rui; Xiao, Jimin; He, Yuan; Lu, Canyi</t>
  </si>
  <si>
    <t>Robust generative adversarial network</t>
  </si>
  <si>
    <t>MACHINE LEARNING</t>
  </si>
  <si>
    <t>Generative adversarial network; Robustness; Generalization</t>
  </si>
  <si>
    <t>Generative Adversarial Networks (GANs) are one of the most popular and powerful models to learn the complex high dimensional distributions. However, they usually suffer from instability and generalization issues which may lead to poor generations. Most existing works focus on stabilizing the training for the discriminators of GANs while ignoring their generalization issue. In this work, we aim to improve the generalization capability of GANs by promoting the local robustness within the small neighborhood of the training samples. We prove that the robustness in the small neighborhood of the training sets can lead to better generalization. Particularly, we design a new robust method called Robust Generative Adversarial Network (RGAN) in which the generator and discriminator compete with each other in a worst-case setting within a small Wasserstein ball. The generator tries to map the worst input distribution (rather than a Gaussian distribution used in most GANs) to the real data distribution, while the discriminator attempts to distinguish the real and fake distributions with the worst perturbations. Intuitively, the proposed RGAN can learn a good generator and discriminator that can even perform well on the worst-case input points. Strictly, we have proved that RGAN can obtain a tighter generalization upper bound than the traditional GANs under mild assumptions, ensuring a theoretical superiority of RGAN over GANs. We conduct our proposed method on five different baselines (five popular GAN models). And a series of experiments on CIFAR-10, STL-10 and CelebA datasets indicate that our proposed robust frameworks outperform five baseline models substantially and consistently.</t>
  </si>
  <si>
    <t>[Zhang, Shufei] Shanghai Artificial Intelligence Lab, 37th Floor,AI Tower,701 Yunjin Rd, Shanghai, Peoples R China; [Zhang, Shufei] Univ Liverpool, Dept Comp Sci, Liverpool L69 3BX, England; [Qian, Zhuang; Xiao, Jimin] Xian Jiaotong Liverpool Univ, Sch Adv Technol, Suzhou 215123, Peoples R China; [Huang, Kaizhu] Duke Kunshan Univ, Data Sci Res Ctr, Suzhou 215123, Peoples R China; [Zhang, Rui] Xian Jiaotong Liverpool Univ, Sch Math &amp; Phys, Suzhou 215123, Peoples R China; [He, Yuan] Alibaba Grp, Beijing 100020, Peoples R China; [Lu, Canyi] Carnegie Mellon Univ, Pittsburgh, PA 15213 USA; [Qian, Zhuang] Univ Liverpool, Dept Elect &amp; Elect Engn, Liverpool L69 3BX, England</t>
  </si>
  <si>
    <t>University of Liverpool; Xi'an Jiaotong-Liverpool University; Duke Kunshan University; Xi'an Jiaotong-Liverpool University; Alibaba Group; Carnegie Mellon University; University of Liverpool</t>
  </si>
  <si>
    <t>Huang, KZ (corresponding author), Duke Kunshan Univ, Data Sci Res Ctr, Suzhou 215123, Peoples R China.</t>
  </si>
  <si>
    <t>zhangshufei@pjlab.org.cn; zhuang.qian20@student.xjtlu.edu.cn; Kaizhu.Huang@dukekunshan.edu.cn</t>
  </si>
  <si>
    <t>Yan, Miaochen/JLL-5061-2023</t>
  </si>
  <si>
    <t>Jiangsu Science and Technology Programme (Natural Science Foundation of Jiangsu Province) [BE2020006-4]; Natural Science Foundation of the Jiangsu Higher Education Institutions of China [22KJB520039]; National Natural Science Foundation of China [62376113, 62206225]</t>
  </si>
  <si>
    <t>Jiangsu Science and Technology Programme (Natural Science Foundation of Jiangsu Province); Natural Science Foundation of the Jiangsu Higher Education Institutions of China(National Natural Science Foundation of China (NSFC)); National Natural Science Foundation of China(National Natural Science Foundation of China (NSFC))</t>
  </si>
  <si>
    <t>The work was partially supported by the following: Jiangsu Science and Technology Programme (Natural Science Foundation of Jiangsu Province) under no. BE2020006-4; Natural Science Foundation of the Jiangsu Higher Education Institutions of China under no. 22KJB520039; National Natural Science Foundation of China under nos. 62376113 and 62206225.</t>
  </si>
  <si>
    <t>0885-6125</t>
  </si>
  <si>
    <t>1573-0565</t>
  </si>
  <si>
    <t>MACH LEARN</t>
  </si>
  <si>
    <t>Mach. Learn.</t>
  </si>
  <si>
    <t>2023 SEP 13</t>
  </si>
  <si>
    <t>10.1007/s10994-023-06367-0</t>
  </si>
  <si>
    <t>U5IJ7</t>
  </si>
  <si>
    <t>WOS:001085133300003</t>
  </si>
  <si>
    <t>DeGrave, AJ; Cai, ZR; Janizek, JD; Daneshjou, R; Lee, SI</t>
  </si>
  <si>
    <t>DeGrave, Alex J.; Cai, Zhuo Ran; Janizek, Joseph D.; Daneshjou, Roxana; Lee, Su-In</t>
  </si>
  <si>
    <t>Auditing the inference processes of medical-image classifiers by leveraging generative AI and the expertise of physicians</t>
  </si>
  <si>
    <t>NATURE BIOMEDICAL ENGINEERING</t>
  </si>
  <si>
    <t>DERMOSCOPY; RISK</t>
  </si>
  <si>
    <t>The inferences of most machine-learning models powering medical artificial intelligence are difficult to interpret. Here we report a general framework for model auditing that combines insights from medical experts with a highly expressive form of explainable artificial intelligence. Specifically, we leveraged the expertise of dermatologists for the clinical task of differentiating melanomas from melanoma 'lookalikes' on the basis of dermoscopic and clinical images of the skin, and the power of generative models to render 'counterfactual' images to understand the 'reasoning' processes of five medical-image classifiers. By altering image attributes to produce analogous images that elicit a different prediction by the classifiers, and by asking physicians to identify medically meaningful features in the images, the counterfactual images revealed that the classifiers rely both on features used by human dermatologists, such as lesional pigmentation patterns, and on undesirable features, such as background skin texture and colour balance. The framework can be applied to any specialized medical domain to make the powerful inference processes of machine-learning models medically understandable. The inference process of medical-image classifiers can be audited by levering the expertise of physicians to identify medically meaningful features in 'counterfactual' images produced via generative AI.</t>
  </si>
  <si>
    <t>[DeGrave, Alex J.; Janizek, Joseph D.; Lee, Su-In] Univ Washington, Paul G Allen Sch Comp Sci &amp; Engn, Seattle, WA 98195 USA; [DeGrave, Alex J.; Janizek, Joseph D.] Univ Washington, Med Scientist Training Program, Seattle, WA USA; [Cai, Zhuo Ran] Stanford Univ, Dept Dermatol, Program Clin Res &amp; Technol, Sch Med, Stanford, CA USA; [Daneshjou, Roxana] Stanford Univ, Sch Med, Dept Dermatol, Stanford, CA 94305 USA; [Daneshjou, Roxana] Stanford Univ, Sch Med, Dept Biomed Data Sci, Stanford, CA 94305 USA</t>
  </si>
  <si>
    <t>University of Washington; University of Washington Seattle; University of Washington; University of Washington Seattle; Stanford University; Stanford University; Stanford University</t>
  </si>
  <si>
    <t>Lee, SI (corresponding author), Univ Washington, Paul G Allen Sch Comp Sci &amp; Engn, Seattle, WA 98195 USA.;Daneshjou, R (corresponding author), Stanford Univ, Sch Med, Dept Dermatol, Stanford, CA 94305 USA.;Daneshjou, R (corresponding author), Stanford Univ, Sch Med, Dept Biomed Data Sci, Stanford, CA 94305 USA.</t>
  </si>
  <si>
    <t>roxanad@stanford.edu; suinlee@cs.washington.edu</t>
  </si>
  <si>
    <t>Lee, Su-In/0000-0001-5833-5215; Daneshjou, Roxana/0000-0001-7988-9356</t>
  </si>
  <si>
    <t>National Science Foundation (NSF) [CAREER DBI-1552309, DBI-1759487]; National Science Foundation [5T32 AR007422-38]; National Institutes of Health; Stanford Catalyst Program</t>
  </si>
  <si>
    <t>National Science Foundation (NSF)(National Science Foundation (NSF)); National Science Foundation(National Science Foundation (NSF)); National Institutes of Health(United States Department of Health &amp; Human ServicesNational Institutes of Health (NIH) - USA); Stanford Catalyst Program</t>
  </si>
  <si>
    <t>A.J.D., J.D.J., and S.-I.L. were supported by the National Science Foundation (CAREER DBI-1552309 and DBI-1759487) and the National Institutes of Health (R35 GM 128638 and R01 AG061132). R.D. was supported by the National Institutes of Health (5T32 AR007422-38) and the Stanford Catalyst Program.</t>
  </si>
  <si>
    <t>2157-846X</t>
  </si>
  <si>
    <t>NAT BIOMED ENG</t>
  </si>
  <si>
    <t>Nat. Biomed. Eng</t>
  </si>
  <si>
    <t>2023 DEC 28</t>
  </si>
  <si>
    <t>10.1038/s41551-023-01160-9</t>
  </si>
  <si>
    <t>DP1J5</t>
  </si>
  <si>
    <t>WOS:001133165400001</t>
  </si>
  <si>
    <t>Di Maggio, LG; Brusa, E; Delprete, C</t>
  </si>
  <si>
    <t>Di Maggio, Luigi Gianpio; Brusa, Eugenio; Delprete, Cristiana</t>
  </si>
  <si>
    <t>Zero-Shot Generative AI for Rotating Machinery Fault Diagnosis: Synthesizing Highly Realistic Training Data via Cycle-Consistent Adversarial Networks</t>
  </si>
  <si>
    <t>intelligent fault diagnosis; generative adversarial networks; cycleGANs; transfer learning; machine fault diagnosis; convolutional neural networks; maximum mean discrepancy; bearings; rotating machinery; condition monitoring</t>
  </si>
  <si>
    <t>CONVOLUTIONAL NEURAL-NETWORK; K-NEAREST-NEIGHBOR</t>
  </si>
  <si>
    <t>The Intelligent Fault Diagnosis of rotating machinery calls for a substantial amount of training data, posing challenges in acquiring such data for damaged industrial machinery. This paper presents a novel approach for generating synthetic data using a Generative Adversarial Network (GAN) with cycle consistency loss function known as cycleGAN. The proposed method aims to generate synthetic data that could effectively replace real experimental data. The generative model is trained to transform wavelet images of simulated vibrational signals into authentic data obtained from machinery with damaged bearings. The utilization of Maximum Mean Discrepancy (MMD) and Frechet Inception Distance (FID) demonstrates a noteworthy resemblance between synthetic and real experimental data. Also, the generative model enables the synthesis of data that may have been entirely lacking from the experimental observation, indicating generative zero-shot learning capabilities. The efficacy of synthetic data in training diagnosis algorithms by means of Transfer Learning (TL) on Convolutional Neural Networks (CNNs) has been demonstrated to be comparable to that of real data. The study has been validated by means of the test rig for medium-sized industrial bearings accessible at the Politecnico di Torino.</t>
  </si>
  <si>
    <t>[Di Maggio, Luigi Gianpio; Brusa, Eugenio; Delprete, Cristiana] Politecn Torino, Dipartimento Ingn Meccan &amp; Aerosp DIMEAS, Corso Duca Abruzzi 24, I-10129 Turin, Italy</t>
  </si>
  <si>
    <t>Polytechnic University of Turin</t>
  </si>
  <si>
    <t>Di Maggio, LG; Brusa, E (corresponding author), Politecn Torino, Dipartimento Ingn Meccan &amp; Aerosp DIMEAS, Corso Duca Abruzzi 24, I-10129 Turin, Italy.</t>
  </si>
  <si>
    <t>luigi.dimaggio@polito.it; eugenio.brusa@polito.it; cristiana.delprete@polito.it</t>
  </si>
  <si>
    <t>DI MAGGIO, LUIGI GIANPIO/AAG-2863-2021</t>
  </si>
  <si>
    <t>DI MAGGIO, LUIGI GIANPIO/0000-0002-2295-8944; Brusa, Eugenio/0000-0001-7478-0650; DELPRETE, CRISTIANA/0000-0002-0220-4707</t>
  </si>
  <si>
    <t>10.3390/app132212458</t>
  </si>
  <si>
    <t>Z9JU0</t>
  </si>
  <si>
    <t>WOS:001115172800001</t>
  </si>
  <si>
    <t>Guo, PW; Meng, WN; Bao, Y</t>
  </si>
  <si>
    <t>Guo, Pengwei; Meng, Weina; Bao, Yi</t>
  </si>
  <si>
    <t>Intelligent characterization of complex cracks in strain-hardening cementitious composites based on generative computer vision</t>
  </si>
  <si>
    <t>CONSTRUCTION AND BUILDING MATERIALS</t>
  </si>
  <si>
    <t>Crack monitoring; Dense microcrack; Generative artificial intelligence; Generative adversarial network; Strain -hardening cementitious composites; Vision transformer</t>
  </si>
  <si>
    <t>BEHAVIOR; ECC</t>
  </si>
  <si>
    <t>This paper presents a generative artificial intelligence (AI) approach to generate images of strain-hardening cementitious composite (SHCC) with complex crack patterns such as dense microcracks. This approach is developed to address the challenge of lacking data for training deep learning models used to automatically measure cracks in SHCC. The development of the approach is based on a framework which results in a hybrid generative adversarial network (HGAN) that seamlessly integrates a deep convolutional generative adversarial network (DCGAN) for generating images and a conditional generative adversarial network (CGAN) for labelling images. From the results, it was found that this approach provided high-quality labelled images automatically, and using these images significantly improved the accuracy of the deep learning models for measuring cracks in SHCC. The F1 score and Intersection Over Union (IOU) for crack segmentation reached 0.982 and 0.980, respectively. This approach will significantly promote crack measurement for SHCC materials and structures.</t>
  </si>
  <si>
    <t>[Guo, Pengwei; Meng, Weina; Bao, Yi] Stevens Inst Technol, Dept Civil Environm &amp; Ocean Engn, Hoboken, NJ 07030 USA</t>
  </si>
  <si>
    <t>Stevens Institute of Technology</t>
  </si>
  <si>
    <t>Bao, Y (corresponding author), Stevens Inst Technol, Dept Civil Environm &amp; Ocean Engn, Hoboken, NJ 07030 USA.</t>
  </si>
  <si>
    <t>yi.bao@stevens.edu</t>
  </si>
  <si>
    <t>Bao, Yi/0000-0002-2766-2077</t>
  </si>
  <si>
    <t>United States National Science Foundation [CMMI-2046407]</t>
  </si>
  <si>
    <t>United States National Science Foundation(National Science Foundation (NSF))</t>
  </si>
  <si>
    <t>This research was funded by the United States National Science Foundation [award number: CMMI-2046407].</t>
  </si>
  <si>
    <t>0950-0618</t>
  </si>
  <si>
    <t>1879-0526</t>
  </si>
  <si>
    <t>CONSTR BUILD MATER</t>
  </si>
  <si>
    <t>Constr. Build. Mater.</t>
  </si>
  <si>
    <t>JAN 12</t>
  </si>
  <si>
    <t>10.1016/j.conbuildmat.2023.134812</t>
  </si>
  <si>
    <t>Construction &amp; Building Technology; Engineering, Civil; Materials Science, Multidisciplinary</t>
  </si>
  <si>
    <t>Construction &amp; Building Technology; Engineering; Materials Science</t>
  </si>
  <si>
    <t>GH0R0</t>
  </si>
  <si>
    <t>WOS:001151663000001</t>
  </si>
  <si>
    <t>Hussain, A; Qazi, KA</t>
  </si>
  <si>
    <t>Hussain, Adil; Qazi, Khursheed Ahmad</t>
  </si>
  <si>
    <t>Textual Alchemy: AI, Authorship and the Shifting Paradigms of Interpretation</t>
  </si>
  <si>
    <t>RUPKATHA JOURNAL ON INTERDISCIPLINARY STUDIES IN HUMANITIES</t>
  </si>
  <si>
    <t>AI; Post Author; GPT; Death of the Author; Text production</t>
  </si>
  <si>
    <t>BIAS</t>
  </si>
  <si>
    <t>Artificial intelligence is overhauling the publication and textual production. Textual production with Large Language Models (LLMs) is more sophisticated and closer to human knowledge production thanks to its autoregressive nature. AI models by OpenAI such as the Generative Pre-trained Transformer 3 (GPT-3) and its iterations use deep learning to produce more human-like text. Such texts invite all kinds of problems that are not new to the human text-production system. Research shows that the output of such models tends to be biased towards a particular gender, race and ethnicity. This paper explores substantial texts produced by AI including articles, fiction, columns, opinion pieces etc. published in major journals and magazines to understand the nuances of such texts. Moreover, the paper will attempt to understand such features of AI-generated text by presenting the results of a particular set of instructions (prompt) to the LLM. These text outputs will be studied to demonstrate how AI-generated texts pave the way for a postpost author era, echoing Barthes' notion of the Death of the Author. The scope, usability and limitations of the AI's textual production will also be investigated.</t>
  </si>
  <si>
    <t>[Hussain, Adil; Qazi, Khursheed Ahmad] Univ Kashmir, Dept English, North Campus, Srinagar, India</t>
  </si>
  <si>
    <t>University of Kashmir</t>
  </si>
  <si>
    <t>Hussain, A (corresponding author), Univ Kashmir, Dept English, North Campus, Srinagar, India.</t>
  </si>
  <si>
    <t>AESTHETICS MEDIA SERVICES-AESTHETIXMS</t>
  </si>
  <si>
    <t>WEST BENGAL</t>
  </si>
  <si>
    <t>AESTHETICS MEDIA SERVICES-AESTHETIXMS, WEST BENGAL, 742225, INDIA</t>
  </si>
  <si>
    <t>0975-2935</t>
  </si>
  <si>
    <t>RUPKATHA J INTERDISC</t>
  </si>
  <si>
    <t>Rupkatha J. Interdiscip. Stud. Humanit.</t>
  </si>
  <si>
    <t>10.21659/rupkatha.v15n4.08</t>
  </si>
  <si>
    <t>HG2Q1</t>
  </si>
  <si>
    <t>WOS:001158277600008</t>
  </si>
  <si>
    <t>Wach, K; Duong, CD; Ejdys, J; Kazlauskaite, R; Korzynski, P; Mazurek, G; Paliszkiewicz, J; Ziemba, E</t>
  </si>
  <si>
    <t>Wach, Krzysztof; Duong, Cong Doanh; Ejdys, Joanna; Kazlauskaite, Rata; Korzynski, Pawel; Mazurek, Grzegorz; Paliszkiewicz, Joanna; Ziemba, Ewa</t>
  </si>
  <si>
    <t>The dark side of generative artificial intelligence: A critical analysis of controversies and risks of ChatGPT</t>
  </si>
  <si>
    <t>artificial intelligence (AI); generative artificial intelligence (GAI); ChatGPT; technology adoption; digital transformation; OpenAI; chatbots; technostress</t>
  </si>
  <si>
    <t>DECISION-MAKING; DIGITAL TRANSFORMATION; TECHNOSTRESS; ALGORITHMS; IMPACT; USERS</t>
  </si>
  <si>
    <t>Objective: The objective of the article is to provide a comprehensive identification and understanding of the challenges and opportunities associated with the use of generative artificial intelligence (GAI) in business. This study sought to develop a conceptual framework that gathers the negative aspects of GAI development in management and economics, with a focus on ChatGPT.Research Design &amp; Methods: The study employed a narrative and critical literature review and developed a conceptual framework based on prior literature. We used a line of deductive reasoning in formulating our theoretical framework to make the study's overall structure rational and productive. Therefore, this article should be viewed as a conceptual article that highlights the controversies and threats of GAI in management and economics, with ChatGPT as a case study.Findings: Based on the conducted deep and extensive query of academic literature on the subject as well as professional press and Internet portals, we identified various controversies, threats, defects, and disadvantages of GAI, in particular ChatGPT. Next, we grouped the identified threats into clusters to summarize the seven main threats we see. In our opinion they are as follows: (i) no regulation of the AI market and urgent need for regulation, (ii) poor quality, lack of quality control, disinformation, deepfake content, algorithmic bias, (iii) automation spurred job losses, (iv) personal data violation, social surveillance, and privacy violation, (v) social manipulation, weakening ethics and goodwill, (vi) widening socio-economic inequalities, and (vii) AI technostress.Implications &amp; Recommendations: It is important to regulate the AI/GAI market. Advocating for the regulation of the AI market is crucial to ensure a level playing field, promote fair competition, protect intellectual property rights and privacy, and prevent potential geopolitical risks. The changing job market requires workers to continuously acquire new (digital) skills through education and retraining. As the training of AI systems becomes a prominent job category, it is important to adapt and take advantage of new opportunities. To mitigate the risks related to personal data violation, social surveillance, and privacy violation, GAI developers must prioritize ethical considerations and work to develop systems that prioritize user privacy and security. To avoid social manipulation and weaken ethics and goodwill, it is important to implement responsible AI practices and ethical guidelines: transparency in data usage, bias mitigation techniques, and monitoring of generated content for harmful or misleading information.Contribution &amp; Value Added: This article may aid in bringing attention to the significance of resolving the ethical and legal considerations that arise from the use of GAI and ChatGPT by drawing attention to the controversies and hazards associated with these technologies.</t>
  </si>
  <si>
    <t>[Wach, Krzysztof] Krakow Univ Econ, Dept Int Trade, Ul Rakowicka 27, PL-31510 Krakow, Poland; [Duong, Cong Doanh] Natl Econ Univ, Fac Business Man agement, Dept Gen Management, 207 Giai Phong, Hanoi, Vietnam; [Ejdys, Joanna] Bialystok Tech Univ, Fac Engn Management, Ul Wiejska 33A, PL-15351 Bialystok, Poland; [Kazlauskaite, Rata] ISM Univ Management &amp; Econ, Dept Management, Gedimino Pr 7, LT-01103 Vilnius, Lithuania; [Korzynski, Pawel] Kozminski Univ, Dept Human Resource Management, Ul Jagiellonska 59, PL-03301 Warsaw, Poland; [Mazurek, Grzegorz] Kozminski Univ, Dept Mkt, Ul Jagiellonska 59, PL-03301 Warsaw, Poland; [Paliszkiewicz, Joanna] Warsaw Univ Life Sci, Ul Nowoursynowska 166, PL-02787 Warsaw, Poland; [Ziemba, Ewa] Univ Econ Katowice, Ul 1 Maja 50, PL-40287 Katowice, Poland</t>
  </si>
  <si>
    <t>Cracow University of Economics; National Economics University - Vietnam; Bialystok University of Technology; ISM University of Management &amp; Economics; Kozminski University; Kozminski University; Warsaw University of Life Sciences; University of Economics in Katowice</t>
  </si>
  <si>
    <t>Wach, K (corresponding author), Krakow Univ Econ, Dept Int Trade, Ul Rakowicka 27, PL-31510 Krakow, Poland.</t>
  </si>
  <si>
    <t>wachk@uek.krakow.pl; doanhdc@neu.edu.vn; j.ejdys@pb.edu.pl; rutkaz@ism.lt; pkorzynski@alk.edu.pl; gmazurek@kozminski.edu.pl; Joanna_paliszkiewicz@sggw.edu.pl; ewa.ziemba@ue.katowice.pl</t>
  </si>
  <si>
    <t>Wach, Krzysztof/A-5253-2011; Doanh, Duong Cong/AAT-7460-2021; Ziemba, Ewa Wanda/S-2084-2017; Ejdys, Joanna/D-6654-2013; Kazlauskaite, Ruta/H-4694-2013; Mazurek, Grzegorz/P-4258-2015; Korzynski, Pawel/H-5096-2013</t>
  </si>
  <si>
    <t>Wach, Krzysztof/0000-0001-7542-2863; Doanh, Duong Cong/0000-0003-4431-9761; Ziemba, Ewa Wanda/0000-0002-1084-7497; Paliszkiewicz, Joanna/0000-0002-6250-0583; Kazlauskaite, Ruta/0000-0003-4004-0106; Mazurek, Grzegorz/0000-0002-0047-6944; Korzynski, Pawel/0000-0002-6457-4965</t>
  </si>
  <si>
    <t>Bialystok University of Technology (Poland) [WZ/WIZ-INZ/2/2022]</t>
  </si>
  <si>
    <t>Bialystok University of Technology (Poland)</t>
  </si>
  <si>
    <t>Acknowledgements and Financial Disclosure Joanna Ejdys' part of this research has been developed in the framework of the project No. WZ/WIZ-INZ/2/2022 of the Bialystok University of Technology (Poland) .</t>
  </si>
  <si>
    <t>10.15678/EBER.2023.110201</t>
  </si>
  <si>
    <t>O6UI3</t>
  </si>
  <si>
    <t>WOS:001045130500001</t>
  </si>
  <si>
    <t>Tobler, S</t>
  </si>
  <si>
    <t>Tobler, Samuel</t>
  </si>
  <si>
    <t>Smart grading: A generative AI-based tool for knowledge-grounded answer evaluation in educational assessments</t>
  </si>
  <si>
    <t>METHODSX</t>
  </si>
  <si>
    <t>Artificial intelligence; Test evaluation; Educational assessment; Automated grading; GPT; Large language model</t>
  </si>
  <si>
    <t>Evaluating text-based answers obtained in educational settings or behavioral studies is time-consuming and resource-intensive. Applying novel artificial intelligence tools such as ChatGPT might support the process. Still, currently available implementations do not allow for automated and case-specific evaluations of large numbers of student answers. To counter this limitation, we developed a flexible software and user-friendly web application that enables researchers and educators to use cutting-edge artificial intelligence technologies by providing an interface that combines large language models with options to specify questions of interest, sample solutions, and evaluation instructions for automated answer scoring. We validated the method in an empir-ical study and found the software with expert ratings to have high reliability. Hence, the present software constitutes a valuable tool to facilitate and enhance text-based answer evaluation.center dot Generative AI-enhanced software for customizable, case-specific, and automized grading of large amounts of text-based answers.center dot Open-source software and web application for direct implementation and adaptation.</t>
  </si>
  <si>
    <t>[Tobler, Samuel] Swiss Fed Inst Technol, Zurich, Switzerland</t>
  </si>
  <si>
    <t>Swiss Federal Institutes of Technology Domain; ETH Zurich</t>
  </si>
  <si>
    <t>Tobler, S (corresponding author), Swiss Fed Inst Technol, Zurich, Switzerland.</t>
  </si>
  <si>
    <t>samuel.tobler@gess.ethz.ch</t>
  </si>
  <si>
    <t>Tobler, Samuel/AFL-5205-2022</t>
  </si>
  <si>
    <t>Tobler, Samuel/0000-0002-0661-6055</t>
  </si>
  <si>
    <t>2215-0161</t>
  </si>
  <si>
    <t>MethodsX</t>
  </si>
  <si>
    <t>10.1016/j.mex.2023.102531</t>
  </si>
  <si>
    <t>Multidisciplinary Sciences</t>
  </si>
  <si>
    <t>Science &amp; Technology - Other Topics</t>
  </si>
  <si>
    <t>FS5S9</t>
  </si>
  <si>
    <t>WOS:001147864100001</t>
  </si>
  <si>
    <t>Döring, N</t>
  </si>
  <si>
    <t>Doering, Nicola</t>
  </si>
  <si>
    <t>Fifty Shades of ChatGPT : Aktueller Diskussions- und Forschungsstand zu Sex und künstlicher Intelligenz</t>
  </si>
  <si>
    <t>ZEITSCHRIFT FUR SEXUALFORSCHUNG</t>
  </si>
  <si>
    <t>AI-generated images; AI-generated texts; artificial intelligence (AI), ChatGPT; generative artificial intelligence</t>
  </si>
  <si>
    <t>Generative Artificial Intelligence (AI) is an umbrella term for different computer algorithms and systems that are capable of creating new content such as texts, images, and music through machine learning and training on very large data sets. Various generative AI tools are now available to the general public. At present, ChatGPT, a text-generating AI, is the most well-known tool: It shows rapidly growing user numbers and has triggered a renewed AI hype since its publication in November 2022. AI-generated content is also relevant in many ways in the context of sexuality. This article presents the current state of discussion and research on generative AI and its sexuality-related use. It addresses the application of text and image generating AI in three key areas: 1) pornography, 2) sexual relationships, and 3) sex education. Opportunities and risks as well as empirical research possibilities are identified.</t>
  </si>
  <si>
    <t>[Doering, Nicola] Tech Univ Ilmenau, Inst Medien &amp; Kommunikationswissensch, Ehrenbergstr 29, D-98693 Ilmenau, Germany</t>
  </si>
  <si>
    <t>Technische Universitat Ilmenau</t>
  </si>
  <si>
    <t>Döring, N (corresponding author), Tech Univ Ilmenau, Inst Medien &amp; Kommunikationswissensch, Ehrenbergstr 29, D-98693 Ilmenau, Germany.</t>
  </si>
  <si>
    <t>nicola.doering@tu-ilmenau.de</t>
  </si>
  <si>
    <t>0932-8114</t>
  </si>
  <si>
    <t>1438-9460</t>
  </si>
  <si>
    <t>Z SEXUALFORSCH</t>
  </si>
  <si>
    <t>Z. Sex.forsch.</t>
  </si>
  <si>
    <t>10.1055/a-2142-9527</t>
  </si>
  <si>
    <t>Psychology, Clinical; Social Sciences, Interdisciplinary</t>
  </si>
  <si>
    <t>Psychology; Social Sciences - Other Topics</t>
  </si>
  <si>
    <t>T8PH6</t>
  </si>
  <si>
    <t>WOS:001080544000005</t>
  </si>
  <si>
    <t>Bharadwaj, R; Parker, I</t>
  </si>
  <si>
    <t>Blowers, M; Holt, J; Wysocki, BT</t>
  </si>
  <si>
    <t>Bharadwaj, Ramesh; Parker, Ilya</t>
  </si>
  <si>
    <t>Double-Edged Sword of LLMs: Mitigating Security Risks of AI-Generated Code</t>
  </si>
  <si>
    <t>DISRUPTIVE TECHNOLOGIES IN INFORMATION SCIENCES VII</t>
  </si>
  <si>
    <t>Proceedings of SPIE</t>
  </si>
  <si>
    <t>Conference on Disruptive Technologies in Information Sciences VII</t>
  </si>
  <si>
    <t>MAY 01-03, 2023</t>
  </si>
  <si>
    <t>Orlando, FL</t>
  </si>
  <si>
    <t>SPIE</t>
  </si>
  <si>
    <t>Large Language Models; Generative AI; Symbolic AI; Automatic Code Generation; Code Defect Mitigation</t>
  </si>
  <si>
    <t>With the increasing reliance on collaborative and cloud-based systems, there is a drastic increase in attack surfaces and code vulnerabilities. Automation is key for fielding and defending software systems at scale. Researchers in Symbolic AI have had considerable success in finding flaws in human-created code. Also, run-time testing methods such as fuzzing do uncover numerous bugs. However, the major deficiency of both approaches is the inability of the methods to fix the discovered errors. They also do not scale and defy automation. Static analysis methods also suffer from the false positive problem - an overwhelming number of reported flaws are not real bugs. This brings up an interesting conundrum: Symbolic approaches actually have a detrimental impact on programmer productivity, and therefore do not necessarily contribute to improved code quality. What is needed is a combination of automation of code generation using large language models (LLMs), with scalable defect elimination methods using symbolic AI, to create an environment for the automated generation of defect-free code.</t>
  </si>
  <si>
    <t>[Bharadwaj, Ramesh] Naval Res Lab, Ctr High Assurance Comp Syst, Washington, DC 20375 USA; [Parker, Ilya] Arcfield, 14295 Pk Meadow Dr, Chantilly, VA 20151 USA</t>
  </si>
  <si>
    <t>United States Department of Defense; United States Navy; Naval Research Laboratory</t>
  </si>
  <si>
    <t>Bharadwaj, R (corresponding author), Naval Res Lab, Ctr High Assurance Comp Syst, Washington, DC 20375 USA.</t>
  </si>
  <si>
    <t>ramesh.bharadwaj@nrl.navy.mil</t>
  </si>
  <si>
    <t>SPIE-INT SOC OPTICAL ENGINEERING</t>
  </si>
  <si>
    <t>BELLINGHAM</t>
  </si>
  <si>
    <t>1000 20TH ST, PO BOX 10, BELLINGHAM, WA 98227-0010 USA</t>
  </si>
  <si>
    <t>0277-786X</t>
  </si>
  <si>
    <t>1996-756X</t>
  </si>
  <si>
    <t>978-1-5106-6200-1; 978-1-5106-6201-8</t>
  </si>
  <si>
    <t>PROC SPIE</t>
  </si>
  <si>
    <t>125420I</t>
  </si>
  <si>
    <t>10.1117/12.2664116</t>
  </si>
  <si>
    <t>Computer Science, Artificial Intelligence; Computer Science, Information Systems; Computer Science, Interdisciplinary Applications; Computer Science, Theory &amp; Methods</t>
  </si>
  <si>
    <t>BV4XK</t>
  </si>
  <si>
    <t>WOS:001043366600012</t>
  </si>
  <si>
    <t>Jiang, H; Brown, L; Cheng, J; Artist, A; Khan, M; Gupta, A; Workman, D; Hanna, A; Flowers, J; Gebru, T</t>
  </si>
  <si>
    <t>Jiang, Harry; Brown, Lauren; Cheng, Jessica; Artist, Anonymous; Khan, Mehtab; Gupta, Abhishek; Workman, Deja; Hanna, Alex; Flowers, Jonathan; Gebru, Timnit</t>
  </si>
  <si>
    <t>AI Art and its Impact on Artists</t>
  </si>
  <si>
    <t>The last 3 years have resulted in machine learning (ML)-based image generators with the ability to output consistently higher quality images based on natural language prompts as inputs. As a result, many popular commercial generative AI Art products have entered the market, making generative AI an estimated $48B industry [125]. However, many professional artists have spoken up about the harms they have experienced due to the proliferation of large scale image generators trained on image/text pairs from the Internet. In this paper, we review some of these harms which include reputational damage, economic loss, plagiarism and copyright infringement. To guard against these issues while reaping the potential benefits of image generators, we provide recommendations such as regulation that forces organizations to disclose their training data, and tools that help artists prevent using their content as training data without their consent.</t>
  </si>
  <si>
    <t>[Khan, Mehtab] Yale Law, New Haven, CT 06511 USA; [Gupta, Abhishek] Montreal AI Eth Inst, Montreal, PQ, Canada; [Workman, Deja] Penn State Univ, University Pk, PA 16802 USA; [Hanna, Alex; Gebru, Timnit] Distributed AI Res Inst, San Francisco, CA USA; [Flowers, Jonathan] Calif State Univ Northridge, Northridge, CA 91330 USA</t>
  </si>
  <si>
    <t>Pennsylvania Commonwealth System of Higher Education (PCSHE); Pennsylvania State University; Pennsylvania State University - University Park; California State University System; California State University Northridge</t>
  </si>
  <si>
    <t>Khan, M (corresponding author), Yale Law, New Haven, CT 06511 USA.</t>
  </si>
  <si>
    <t>hhj@alumni.cmu.edu; labillustration@gmail.com; chengelingart@gmail.com; mehtab.khan@yale.edu; abhishek@montrealethics.ai; dqw5409@psu.edu; alex@dair-institute.org; johnathan.flowers@csun.edu; timnit@dair-institute.org</t>
  </si>
  <si>
    <t>Hanna, Alex/0000-0002-8957-0813; Flowers, Johnathan/0000-0002-4535-8466</t>
  </si>
  <si>
    <t>10.1145/3600211.3604681</t>
  </si>
  <si>
    <t>WOS:001117838100029</t>
  </si>
  <si>
    <t>Cooper, G</t>
  </si>
  <si>
    <t>Cooper, Grant</t>
  </si>
  <si>
    <t>Examining Science Education in ChatGPT: An Exploratory Study of Generative Artificial Intelligence</t>
  </si>
  <si>
    <t>JOURNAL OF SCIENCE EDUCATION AND TECHNOLOGY</t>
  </si>
  <si>
    <t>Generative artificial intelligence and science education; Large language models; ChatGPT; Digital technologies</t>
  </si>
  <si>
    <t>The advent of generative artificial intelligence (AI) offers transformative potential in the field of education. The study explores three main areas: (1) How did ChatGPT answer questions related to science education? (2) What are some ways educators could utilise ChatGPT in their science pedagogy? and (3) How has ChatGPT been utilised in this study, and what are my reflections about its use as a research tool? This exploratory research applies a self-study methodology to investigate the technology. Impressively, ChatGPT's output often aligned with key themes in the research. However, as it currently stands, ChatGPT runs the risk of positioning itself as the ultimate epistemic authority, where a single truth is assumed without a proper grounding in evidence or presented with sufficient qualifications. Key ethical concerns associated with AI include its potential environmental impact, issues related to content moderation, and the risk of copyright infringement. It is important for educators to model responsible use of ChatGPT, prioritise critical thinking, and be clear about expectations. ChatGPT is likely to be a useful tool for educators designing science units, rubrics, and quizzes. Educators should critically evaluate any AI-generated resource and adapt it to their specific teaching contexts. ChatGPT was used as a research tool for assistance with editing and to experiment with making the research narrative clearer. The intention of the paper is to act as a catalyst for a broader conversation about the use of generative AI in science education.</t>
  </si>
  <si>
    <t>[Cooper, Grant] Curtin Univ, Bentley, WA 6102, Australia</t>
  </si>
  <si>
    <t>Cooper, G (corresponding author), Curtin Univ, Bentley, WA 6102, Australia.</t>
  </si>
  <si>
    <t>grant.cooper@curtin.edu.au</t>
  </si>
  <si>
    <t>BUCCINI, FRANCESCA/HTM-4917-2023</t>
  </si>
  <si>
    <t>Cooper, Grant/0000-0003-3890-0947</t>
  </si>
  <si>
    <t>CAUL</t>
  </si>
  <si>
    <t>Open Access funding enabled and organized by CAUL and its Member Institutions</t>
  </si>
  <si>
    <t>1059-0145</t>
  </si>
  <si>
    <t>1573-1839</t>
  </si>
  <si>
    <t>J SCI EDUC TECHNOL</t>
  </si>
  <si>
    <t>J. Sci. Educ. Technol.</t>
  </si>
  <si>
    <t>10.1007/s10956-023-10039-y</t>
  </si>
  <si>
    <t>Education &amp; Educational Research; Education, Scientific Disciplines</t>
  </si>
  <si>
    <t>E1OM7</t>
  </si>
  <si>
    <t>WOS:000954738400001</t>
  </si>
  <si>
    <t>Schäfer, MS</t>
  </si>
  <si>
    <t>Schaefer, Mike S.</t>
  </si>
  <si>
    <t>The Notorious GPT: science communication in the age of artificial intelligence</t>
  </si>
  <si>
    <t>JCOM-JOURNAL OF SCIENCE COMMUNICATION</t>
  </si>
  <si>
    <t>Science communication; theory and models; Artificial Intelligence; AI; Generative AI</t>
  </si>
  <si>
    <t>ChatGPT provides original, human-like responses to user prompts based on supervised and reinforcement machine learning techniques. It has become the poster child of generative AI, which is widely diagnosed to disrupt many realms of life - including science communication. This essay reflects on this development. It discusses opportunities for the practice of science communication, such as generative AI's translational and multimodal capacities and its capacity to provide dialogical science communication at scale, but also challenges in terms of accuracy, 'wrongness at scale' or job market implications. It also ponders implications for research on science communication, which has largely neglected (generative) AI so far. It argues that scholars should analyze public communication about AI as well as communication with AI, given its 'increased agency'. Furthermore, scholars should analyze the impact of AI on science communication itself and the larger science communication ecosystem.</t>
  </si>
  <si>
    <t>[Schaefer, Mike S.] IKMZ, Sci Commun, Zurich, Switzerland; [Schaefer, Mike S.] Univ Zurich, Dept Commun &amp; Media Res, Zurich, Switzerland; [Schaefer, Mike S.] Univ Zurich, Ctr Higher Educ &amp; Sci Studies CHESS, Zurich, Switzerland</t>
  </si>
  <si>
    <t>University of Zurich; University of Zurich</t>
  </si>
  <si>
    <t>Schäfer, MS (corresponding author), IKMZ, Sci Commun, Zurich, Switzerland.;Schäfer, MS (corresponding author), Univ Zurich, Dept Commun &amp; Media Res, Zurich, Switzerland.;Schäfer, MS (corresponding author), Univ Zurich, Ctr Higher Educ &amp; Sci Studies CHESS, Zurich, Switzerland.</t>
  </si>
  <si>
    <t>m.schaefer@ikmz.uzh.ch</t>
  </si>
  <si>
    <t>Schafer, Mike/F-7238-2010</t>
  </si>
  <si>
    <t>Schafer, Mike/0000-0002-0847-7503</t>
  </si>
  <si>
    <t>SCUOLA INT SUPERIORE STUDI AVANZATI-S I S S A-INT SCH ADVANCED STUDIES</t>
  </si>
  <si>
    <t>TRIESTE</t>
  </si>
  <si>
    <t>VIA BEIRUT 2-4, TRIESTE, 34014, ITALY</t>
  </si>
  <si>
    <t>1824-2049</t>
  </si>
  <si>
    <t>JCOM-J SCI COMMUN</t>
  </si>
  <si>
    <t>JCOM-J. Sci. Commun.</t>
  </si>
  <si>
    <t>10.22323/2.22020402</t>
  </si>
  <si>
    <t>G0EJ2</t>
  </si>
  <si>
    <t>WOS:000985984200001</t>
  </si>
  <si>
    <t>AL-khatib, AW</t>
  </si>
  <si>
    <t>AL-khatib, Ayman wael</t>
  </si>
  <si>
    <t>Drivers of generative artificial intelligence to fostering exploitative and exploratory innovation: A TOE framework</t>
  </si>
  <si>
    <t>Generative artificial intelligence; TOE framework; Exploratory innovation; Exploitative innovation</t>
  </si>
  <si>
    <t>ADOPTION</t>
  </si>
  <si>
    <t>This research work aims to investigate the antecedents of generative artificial intelligence (GEN-AI) adoption, and exploratory and exploitative innovation. A conceptual model based on the technology-organizationenvironment (TOE) framework is proposed and tested empirically using online survey-based data collected from 260 managers and administrative employees located in the Jordanian retailing industry. To achieve the objectives of this work a covariance-based- structural equation modelling (CB-SEM) was employed. The results indicate that relative advantage, top management support, organizational readiness, and customer pressures positively influence GEN-AI adoption. The empirical results demonstrated that the influence of compatibility and competitive pressures on GEN-AI adoption are insignificant. It was found that complexity negatively influence of GEN-AI adoption, also the findings confirm the positive impact of GEN-AI on both exploratory and exploitative innovation. The findings of the existing research would be valuable for GEN-AI technology providers, managers and top management in the retail firms sector in terms of building effective procedures to promote the successful adoption of GEN-AI technologies and innovation.</t>
  </si>
  <si>
    <t>[AL-khatib, Ayman wael] Univ Sains Malaysia, Dept Management, George Town, Malaysia</t>
  </si>
  <si>
    <t>Universiti Sains Malaysia</t>
  </si>
  <si>
    <t>AL-khatib, AW (corresponding author), Univ Sains Malaysia, Dept Management, George Town, Malaysia.</t>
  </si>
  <si>
    <t>Invaymanwk55@gmail.com</t>
  </si>
  <si>
    <t>Alkhatib, Ayman wael/0000-0002-8700-4738</t>
  </si>
  <si>
    <t>10.1016/j.techsoc.2023.102403</t>
  </si>
  <si>
    <t>X7SP0</t>
  </si>
  <si>
    <t>WOS:001100405800001</t>
  </si>
  <si>
    <t>Ettman, CK; Galea, S</t>
  </si>
  <si>
    <t>Ettman, Catherine K.; Galea, Sandro</t>
  </si>
  <si>
    <t>The Potential Influence of AI on Population Mental Health</t>
  </si>
  <si>
    <t>JMIR MENTAL HEALTH</t>
  </si>
  <si>
    <t>mental health; artificial intelligence; AI; policy; policies; population health; population; ChatGPT; generative; tools; digital mental health</t>
  </si>
  <si>
    <t>The integration of artificial intelligence (AI) into everyday life has galvanized a global conversation on the possibilities and perils of AI on human health. In particular, there is a growing need to anticipate and address the potential impact of widely accessible, enhanced, and conversational AI on mental health. We propose 3 considerations to frame how AI may influence population mental health: through the advancement of mental health care; by altering social and economic contexts; and through the policies that shape the adoption, use, and potential abuse of AI-enhanced tools.</t>
  </si>
  <si>
    <t>[Ettman, Catherine K.] Johns Hopkins Bloomberg Sch Publ Hlth, Dept Hlth Policy &amp; Management, Baltimore, MD USA; [Galea, Sandro] Boston Univ, Sch Publ Hlth, Boston, MA USA; [Ettman, Catherine K.] Johns Hopkins Bloomberg Sch Publ Hlth, Dept Hlth Policy &amp; Management, 624 N Broadway St, Baltimore, MD 21205 USA</t>
  </si>
  <si>
    <t>Johns Hopkins University; Johns Hopkins Bloomberg School of Public Health; Boston University; Johns Hopkins University; Johns Hopkins Bloomberg School of Public Health</t>
  </si>
  <si>
    <t>Ettman, CK (corresponding author), Johns Hopkins Bloomberg Sch Publ Hlth, Dept Hlth Policy &amp; Management, 624 N Broadway St, Baltimore, MD 21205 USA.</t>
  </si>
  <si>
    <t>cettman1@jhu.edu</t>
  </si>
  <si>
    <t>Galea, Sandro/GLR-6066-2022</t>
  </si>
  <si>
    <t>Galea, Sandro/0000-0002-7534-0945; Ettman, Catherine/0000-0002-4827-5383</t>
  </si>
  <si>
    <t>2368-7959</t>
  </si>
  <si>
    <t>JMIR MENT HEALTH</t>
  </si>
  <si>
    <t>JMIR Ment. Health</t>
  </si>
  <si>
    <t>e49936</t>
  </si>
  <si>
    <t>10.2196/49936</t>
  </si>
  <si>
    <t>Psychiatry</t>
  </si>
  <si>
    <t>Z8UN6</t>
  </si>
  <si>
    <t>WOS:001114771900001</t>
  </si>
  <si>
    <t>Cheng, SH</t>
  </si>
  <si>
    <t>Cheng, Shih-Hung</t>
  </si>
  <si>
    <t>The Impact of Generative Artificial Intelligence on Design Concept Ideation: Case Study on Lightweight Two-Wheeled Vehicles</t>
  </si>
  <si>
    <t>AI-generated Content; Transportation Design; Design Ideation; Expert evaluation</t>
  </si>
  <si>
    <t>This study explores the impact of Midjourney, a text-to-image generative artificial intelligence (AI) tool, on lightweight two-wheeled vehicle design practices. The focus is on design creativity and practical feasibility. Six sets of prompts were used with Midjourney to generate lightweight two-wheeled vehicle concept ideas. To maintain conceptual ambiguity and flexibility during the early stages of design development, specific and conventional sub-categories of transportation vehicles were gradually obscured, while prompts describing the new design framework and component attributes were introduced progressively. Expert evaluations were conducted by ten bicycle or motorcycle design practitioners, who assessed creativity and practical feasibility using Likert scales and qualitative assessments. ANOVA analysis revealed significant differences in prompt implementation and creativity among the three concept ideas. Qualitative evaluations highlighted several challenges, including difficulties in assessing creativity when framework errors occur, excessive divergence in AI-generated content without the guidance of a clear conventional frame, the challenge for designers to keep pace with the fast and high-quality development efficiency of the AI tool, and AI's limitations in judging feasibility and safety related to human factors. The study suggests the need for improved precision in prompt wording and enhancing the AI's understanding of transportation design terminology. Generative AI still faces challenges in effectively supporting innovative design practices, particularly in addressing new framework details, component conflicts, and understanding professional terminology. Therefore, expert judgment and refinement remain crucial in the overall development phase. Furthermore, uncertainties persist concerning potential patent issues.</t>
  </si>
  <si>
    <t>[Cheng, Shih-Hung] Natl Taiwan Univ Sci &amp; Technol, Taipei 106335, Taiwan</t>
  </si>
  <si>
    <t>National Taiwan University of Science &amp; Technology</t>
  </si>
  <si>
    <t>Cheng, SH (corresponding author), Natl Taiwan Univ Sci &amp; Technol, Taipei 106335, Taiwan.</t>
  </si>
  <si>
    <t>achille@mail.ntust.edu.tw</t>
  </si>
  <si>
    <t>10.1007/978-3-031-48057-7_3</t>
  </si>
  <si>
    <t>WOS:001159622900003</t>
  </si>
  <si>
    <t>Farnia, F; Wang, WW; Das, S; Jadbabaie, A</t>
  </si>
  <si>
    <t>Farnia, Farzan; Wang, William W.; Das, Subhro; Jadbabaie, Ali</t>
  </si>
  <si>
    <t>GAT--GMM: Generative Adversarial Training for Gaussian Mixture Models</t>
  </si>
  <si>
    <t>SIAM JOURNAL ON MATHEMATICS OF DATA SCIENCE</t>
  </si>
  <si>
    <t>minimax learning; Gaussian mixture models; optimal transport; generative adversarial networks; federated learning</t>
  </si>
  <si>
    <t>DISTANCE; LIKELIHOOD</t>
  </si>
  <si>
    <t>Generative adversarial networks (GANs) learn the distribution of observed samples through a zero -sum game between two machine players, a generator and a discriminator. While GANs achieve great success in learning the complex distribution of image, sound, and text data, they perform suboptimally in learning multimodal distribution-learning benchmarks such as Gaussian mixture models (GMMs). In this paper, we propose Generative Adversarial Training for Gaussian Mixture Models (GAT-GMM), a minimax GAN framework for learning GMMs. Motivated by optimal trans-port theory, we design the zero-sum game in GAT-GMM using a random linear generator and a softmax-based quadratic discriminator architecture, which leads to a nonconvex concave minimax optimization problem. We show that a gradient descent ascent (GDA) method converges to an approximate stationary minimax point of the GAT-GMM optimization problem. In the benchmark case of a mixture of two symmetric, well-separated Gaussians, we further show that this station-ary point recovers the true parameters of the underlying GMM. We discuss the application of the proposed GAT-GMM framework for learning GMMs in the distributed federated learning setting, where the widely used expectation-maximization (EM) algorithm can incur great computational and communication costs. On the other hand, we show that GAT-GMM provides a scalable learning approach and a distributed GDA algorithm can still solve the GAT-GMM minimax problem without incurring extra computation costs. We numerically support our theoretical results by performing experiments which show that our minimax framework is successful in centralized learning tasks and can outperform standard EM-type algorithms in the federated setting.</t>
  </si>
  <si>
    <t>[Farnia, Farzan] Chinese Univ Hong Kong, Shatin, Hong Kong, Peoples R China; [Farnia, Farzan; Wang, William W.; Jadbabaie, Ali] MIT, Cambridge, MA 02139 USA; [Das, Subhro] IBM Res, MIT IBM Watson AI Lab, Cambridge, MA 02142 USA</t>
  </si>
  <si>
    <t>Chinese University of Hong Kong; Massachusetts Institute of Technology (MIT); International Business Machines (IBM)</t>
  </si>
  <si>
    <t>Farnia, F (corresponding author), Chinese Univ Hong Kong, Shatin, Hong Kong, Peoples R China.</t>
  </si>
  <si>
    <t>farnia@cse.cuhk.edu.hk; wwang314@mit.edu; Subhro.Das@ibm.com; Subhro.Das@ibm.com</t>
  </si>
  <si>
    <t>Wang, Shuai/JAZ-0277-2023; wang, wy/JDD-3603-2023</t>
  </si>
  <si>
    <t>Farnia, Farzan/0000-0002-6049-9232</t>
  </si>
  <si>
    <t>MIT -IBM Watson AI Lab, a Vannevar Bush Faculty Fellowship; ARO MURI [W911NF-19-1-0217]</t>
  </si>
  <si>
    <t>MIT -IBM Watson AI Lab, a Vannevar Bush Faculty Fellowship; ARO MURI(MURI)</t>
  </si>
  <si>
    <t>Funding: This work was funded by the MIT -IBM Watson AI Lab, a Vannevar Bush Faculty Fellowship, and ARO MURI W911NF-19-1-0217.</t>
  </si>
  <si>
    <t>SIAM PUBLICATIONS</t>
  </si>
  <si>
    <t>3600 UNIV CITY SCIENCE CENTER, PHILADELPHIA, PA 19104-2688 USA</t>
  </si>
  <si>
    <t>2577-0187</t>
  </si>
  <si>
    <t>SIAM J MATH DATA SCI</t>
  </si>
  <si>
    <t>SIAM J. Math. Data Sci.</t>
  </si>
  <si>
    <t>10.1137/21M1445831</t>
  </si>
  <si>
    <t>Mathematics, Applied</t>
  </si>
  <si>
    <t>Mathematics</t>
  </si>
  <si>
    <t>G6XB1</t>
  </si>
  <si>
    <t>WOS:000990553700002</t>
  </si>
  <si>
    <t>Xu, K; Zhong, GQ; Deng, ZY; Zhang, K; Huang, KZ</t>
  </si>
  <si>
    <t>Xu, Ke; Zhong, Guoqiang; Deng, Zhaoyang; Zhang, Kang; Huang, Kaizhu</t>
  </si>
  <si>
    <t>Self-supervised generative learning for sequential data prediction</t>
  </si>
  <si>
    <t>APPLIED INTELLIGENCE</t>
  </si>
  <si>
    <t>Sequential data prediction; Self-supervised learning; Generative learning; Vector Generative Network (VGN); High-order Tensor Generative Network (HTGN)</t>
  </si>
  <si>
    <t>NEURAL-NETWORKS</t>
  </si>
  <si>
    <t>For many real world applications, such as stock price prediction and video frame synthesis, sequential data prediction is a fundamental and challenging task. Considering the temporal features of sequential data, existing approaches generally adopt recurrent neural network and its variants for the prediction. However, for sequences with complex structure, these approaches cannot guarantee to obtain promising results. In this paper, to address the above issue, we formulate sequential data prediction as a self-supervised generative learning problem. Concretely, we design a generator to learn the distribution of the sequential data and generate the predicted values, as well as a discriminator to judge whether or not the input sequential data are real or fake. Based on this proposed framework and the adversarial learning scheme, we develop the corresponding networks for vector inputs and high-order tensor inputs, respectively, which are respectively named vector generative network (VGN) and high-order tensor generative network (HTGN). Extensive experiments on five stock price prediction datasets and two video frame prediction datasets demonstrate the effectiveness of our framework, and its advantages over the state-of-the-art approaches. Our main code and the used data have been shared at https://github.com/xsavagek/SSGL.</t>
  </si>
  <si>
    <t>[Xu, Ke; Zhong, Guoqiang; Deng, Zhaoyang] Ocean Univ China, Coll Comp Sci &amp; Technol, Qingdao 266100, Peoples R China; [Zhang, Kang] Kyushu Univ, Grad Sch Syst Life Sci, Fukuok 8190395, Japan; [Huang, Kaizhu] Duke Kunshan Univ, Data Sci Res Ctr, Suzhou 215316, Peoples R China; [Huang, Kaizhu] Duke Kunshan Univ, Div Nat &amp; Appl Sci, Suzhou 215316, Peoples R China</t>
  </si>
  <si>
    <t>Ocean University of China; Kyushu University; Duke Kunshan University; Duke Kunshan University</t>
  </si>
  <si>
    <t>Zhong, GQ (corresponding author), Ocean Univ China, Coll Comp Sci &amp; Technol, Qingdao 266100, Peoples R China.;Huang, KZ (corresponding author), Duke Kunshan Univ, Data Sci Res Ctr, Suzhou 215316, Peoples R China.;Huang, KZ (corresponding author), Duke Kunshan Univ, Div Nat &amp; Appl Sci, Suzhou 215316, Peoples R China.</t>
  </si>
  <si>
    <t>gqzhong@ouc.edu.cn; Kaizhu.huang@dukekunshan.edu.cn</t>
  </si>
  <si>
    <t>Zhong, Guoqiang/D-7114-2014</t>
  </si>
  <si>
    <t>Zhong, Guoqiang/0000-0002-2952-6642</t>
  </si>
  <si>
    <t>National Key Research and Development Program of China [2018AAA0100400, LZY2022033004]; Natural Science Foundation of Shandong Province [ZR2020MF131, ZR2021ZD19]; Project of the Marine Science and Technology cooperative Innovation Center [22-05-CXZX-04-03-17]; Science and Technology Program of Qingdao [21-1-4-ny-19-nsh]; Project of Associative Training of Ocean University of China [202265007]</t>
  </si>
  <si>
    <t>National Key Research and Development Program of China; Natural Science Foundation of Shandong Province(Natural Science Foundation of Shandong Province); Project of the Marine Science and Technology cooperative Innovation Center; Science and Technology Program of Qingdao; Project of Associative Training of Ocean University of China</t>
  </si>
  <si>
    <t>This work was partially supported by the National Key Research and Development Program of China under Grant No. 2018AAA0100400, HY Project under Grant No. LZY2022033004, the Natural Science Foundation of Shandong Province under Grants No. ZR2020MF131 and No. ZR2021ZD19, Project of the Marine Science and Technology cooperative Innovation Center under Grant No. 22-05-CXZX-04-03-17, the Science and Technology Program of Qingdao under Grant No. 21-1-4-ny-19-nsh, and Project of Associative Training of Ocean University of China under Grant No. 202265007.We want to thank Qingdao AI Computing Center and Eco-Innovation Center for providing inclusive computing power and technical support of MindSpore during the completion of this paper.</t>
  </si>
  <si>
    <t>0924-669X</t>
  </si>
  <si>
    <t>1573-7497</t>
  </si>
  <si>
    <t>APPL INTELL</t>
  </si>
  <si>
    <t>Appl. Intell.</t>
  </si>
  <si>
    <t>10.1007/s10489-023-04578-5</t>
  </si>
  <si>
    <t>R7GZ7</t>
  </si>
  <si>
    <t>WOS:000975570200003</t>
  </si>
  <si>
    <t>Wang, R; Fung, JCH; Lau, AKH</t>
  </si>
  <si>
    <t>Wang, Rui; Fung, Jimmy C. H.; Lau, Alexis K. H.</t>
  </si>
  <si>
    <t>Physical-Dynamic-Driven AI-Synthetic Precipitation Nowcasting Using Task-Segmented Generative Model</t>
  </si>
  <si>
    <t>GEOPHYSICAL RESEARCH LETTERS</t>
  </si>
  <si>
    <t>RADAR; TRACKING; IDENTIFICATION; TITAN</t>
  </si>
  <si>
    <t>Precise and timely rainfall nowcasting plays a critical role in ensuring public safety amid disasters triggered by heavy precipitation. While deep-learning models have exhibited superior performance over traditional nowcasting methods in recent years, their efficacy is still hampered by limited forecasting skill, insufficient training data, and escalating blurriness in forecasts. To address these challenges, we present the Synthetic-data Task-segmented Generative Model (STGM), an innovative physical-dynamic-driven heavy rainfall nowcasting model. The STGM encompasses three key components: the Long Video Generation (LVG) model generating synthetic radar data from observed radar images and data provided by the Weather Research and Forecasting (WRF) model, MaskPredNet predicting the spatial coverage of various rainfall intensities, and SPADE determining rainfall intensity based on the coverage provided by MaskPredNet. The STGM has demonstrated promising skill for precipitation forecasts for up to six hours, and significantly reduce the blurriness of predicted images, thus showcasing advances in rainfall nowcasting. Deep-learning methods have proven superior to traditional techniques in rainfall nowcasting, but current models still face limitations such as low accuracy, insufficient training data, and a brief effective forecast period. To address these challenges, we've developed the STGM, a novel deep-learning-based architecture for predicting heavy rainfall. The STGM shows excellent performance by using a new design that breaks tasks into smaller parts and relies on AI-generated data. Our results indicate that it excels in predicting heavy rainfall for up to 6 hr, accurately tracking the spatial and temporal evolution of storm cells over extended periods. Moreover, it significantly improves the clarity of the produced images compared to commonly used baseline models. Our novel STGM model outperforms common baseline models, showcasing high proficiency in predicting precipitation up to 6 hr aheadBy integrating physical data from numerical weather prediction models, the performance of the STGM model is significantly enhancedThe use of synthetic data provides a substantial boost to the predictive capabilities of the STGM model</t>
  </si>
  <si>
    <t>[Wang, Rui; Fung, Jimmy C. H.; Lau, Alexis K. H.] Hong Kong Univ Sci &amp; Technol, Div Environm &amp; Sustainabil, Hong Kong, Peoples R China; [Fung, Jimmy C. H.] Hong Kong Univ Sci &amp; Technol, Dept Math, Hong Kong, Peoples R China; [Lau, Alexis K. H.] Hong Kong Univ Sci &amp; Technol, Dept Civil &amp; Environm Engn, Hong Kong, Peoples R China</t>
  </si>
  <si>
    <t>Hong Kong University of Science &amp; Technology; Hong Kong University of Science &amp; Technology; Hong Kong University of Science &amp; Technology</t>
  </si>
  <si>
    <t>Fung, JCH (corresponding author), Hong Kong Univ Sci &amp; Technol, Div Environm &amp; Sustainabil, Hong Kong, Peoples R China.;Fung, JCH (corresponding author), Hong Kong Univ Sci &amp; Technol, Dept Math, Hong Kong, Peoples R China.</t>
  </si>
  <si>
    <t>majfung@ust.hk</t>
  </si>
  <si>
    <t>wang, rui/JAC-6240-2023</t>
  </si>
  <si>
    <t>Fung, Jimmy/0000-0002-7859-8511</t>
  </si>
  <si>
    <t>We appreciate the assistance of the Hong Kong Observatory (HKO), which provided the meteorological data. The work described in this paper was supported by a grant from the Research Grants Council of the Hong Kong Special Administrative Region, China (Proje [AoE/E-603/18, T31-603/21-N, R4040-22]; Research Grants Council of the Hong Kong Special Administrative Region, China</t>
  </si>
  <si>
    <t>We appreciate the assistance of the Hong Kong Observatory (HKO), which provided the meteorological data. The work described in this paper was supported by a grant from the Research Grants Council of the Hong Kong Special Administrative Region, China (Proje; Research Grants Council of the Hong Kong Special Administrative Region, China(Hong Kong Research Grants Council)</t>
  </si>
  <si>
    <t>We appreciate the assistance of the Hong Kong Observatory (HKO), which provided the meteorological data. The work described in this paper was supported by a grant from the Research Grants Council of the Hong Kong Special Administrative Region, China (Project Nos. AoE/E-603/18, T31-603/21-N, and R4040-22).</t>
  </si>
  <si>
    <t>AMER GEOPHYSICAL UNION</t>
  </si>
  <si>
    <t>2000 FLORIDA AVE NW, WASHINGTON, DC 20009 USA</t>
  </si>
  <si>
    <t>0094-8276</t>
  </si>
  <si>
    <t>1944-8007</t>
  </si>
  <si>
    <t>GEOPHYS RES LETT</t>
  </si>
  <si>
    <t>Geophys. Res. Lett.</t>
  </si>
  <si>
    <t>NOV 16</t>
  </si>
  <si>
    <t>e2023GL106084</t>
  </si>
  <si>
    <t>10.1029/2023GL106084</t>
  </si>
  <si>
    <t>Geosciences, Multidisciplinary</t>
  </si>
  <si>
    <t>Geology</t>
  </si>
  <si>
    <t>W3MH3</t>
  </si>
  <si>
    <t>WOS:001090697900001</t>
  </si>
  <si>
    <t>You, YW; Chen, YQ; You, YJ; Zhang, Q; Cao, Q</t>
  </si>
  <si>
    <t>You, Yanwei; Chen, Yuquan; You, Yujun; Zhang, Qi; Cao, Qiang</t>
  </si>
  <si>
    <t>Evolutionary Game Analysis of Artificial Intelligence Such as the Generative Pre-Trained Transformer in Future Education</t>
  </si>
  <si>
    <t>education; artificial intelligence; generative pre-trained transformer; evolutionary game; replicator dynamic equation</t>
  </si>
  <si>
    <t>As an emerging research area since generative artificial intelligence (represented by Chat Generative Pre-trained Transformer (ChatGPT)) has been accessible to the public, especially in education, appropriate AI application could bring numerous benefits to education; however, its abuse has the potential to be harmful. In this paper, we aimed to explore the potential of AI in the future of education with the analytical method of evolutionary game analysis (EGA). By studying the behavior of two agents, the school and the students, EGA can be used to identify strategies that can be used to improve the effectiveness of the education model in the context of the AI era. A stable evolutionary strategy for the school and students was devised under a variety of scenarios. Additionally, we conducted a numerical analysis to further explore the impact of several key factors on the stable strategy. The results indicated that schools should adopt positive supervision to standardize the use of AI in education, and students should be more active in becoming involved in AI technology. Based on this study, we believe that the school has the ability to provide effective suggestions and practical guidelines to help students succeed academically and embrace future trends in AI education.</t>
  </si>
  <si>
    <t>[You, Yanwei] Tsinghua Univ, Sch Social Sci, Beijing 100084, Peoples R China; [You, Yanwei] Tsinghua Univ, Div Sports Sci &amp; Phys Educ, Beijing 100084, Peoples R China; [Chen, Yuquan] Chinese Acad Med Sci &amp; Peking Union Med Coll, Inst Med Informat Med Lib, Beijing 100020, Peoples R China; [You, Yujun] Yangzhou Univ, Sch Educ Sci, Yangzhou 225009, Peoples R China; [Zhang, Qi] Taishan Univ, Undergraduate Dept, Tai An 250111, Peoples R China; [Cao, Qiang] Macau Univ Sci &amp; Technol, Sch Pharm, Macau 999078, Peoples R China</t>
  </si>
  <si>
    <t>Tsinghua University; Tsinghua University; Chinese Academy of Medical Sciences - Peking Union Medical College; Peking Union Medical College; Yangzhou University; Taishan University; Macau University of Science &amp; Technology</t>
  </si>
  <si>
    <t>Cao, Q (corresponding author), Macau Univ Sci &amp; Technol, Sch Pharm, Macau 999078, Peoples R China.</t>
  </si>
  <si>
    <t>1909853rpa11001@student.must.edu.mo</t>
  </si>
  <si>
    <t>Cao, Qiang/GPW-9525-2022; You, Yanwei/GPJ-9813-2022</t>
  </si>
  <si>
    <t>Cao, Qiang/0000-0001-8160-8883; Chen, Yuquan/0000-0001-5792-6566; You, Yanwei/0000-0001-8367-4980; Zhang, Qi/0000-0003-3165-9740</t>
  </si>
  <si>
    <t>National Social Science Fund of China [BIA190201]</t>
  </si>
  <si>
    <t>National Social Science Fund of China</t>
  </si>
  <si>
    <t>This study was supported by the National Social Science Fund of China (Grant number BIA190201, general program of pedagogy: research on the financing and investment management of China's Double First-Class universities under the new normal).</t>
  </si>
  <si>
    <t>10.3390/su15129355</t>
  </si>
  <si>
    <t>K7BA5</t>
  </si>
  <si>
    <t>WOS:001017945200001</t>
  </si>
  <si>
    <t>Pagano, S; Holzapfel, S; Kappenschneider, T; Meyer, M; Maderbacher, G; Grifka, J; Holzapfel, DE</t>
  </si>
  <si>
    <t>Pagano, Stefano; Holzapfel, Sabrina; Kappenschneider, Tobias; Meyer, Matthias; Maderbacher, Guenther; Grifka, Joachim; Holzapfel, Dominik Emanuel</t>
  </si>
  <si>
    <t>Arthrosis diagnosis and treatment recommendations in clinical practice: an exploratory investigation with the generative AI model GPT-4</t>
  </si>
  <si>
    <t>JOURNAL OF ORTHOPAEDICS AND TRAUMATOLOGY</t>
  </si>
  <si>
    <t>Artificial intelligence; ChatGPT-4; Large language model; Orthopaedics; Total joint replacement; Arthrosis</t>
  </si>
  <si>
    <t>RELIABILITY</t>
  </si>
  <si>
    <t>Background The spread of artificial intelligence (AI) has led to transformative advancements in diverse sectors, including healthcare. Specifically, generative writing systems have shown potential in various applications, but their effectiveness in clinical settings has been barely investigated. In this context, we evaluated the proficiency of ChatGPT-4 in diagnosing gonarthrosis and coxarthrosis and recommending appropriate treatments compared with orthopaedic specialists.Methods A retrospective review was conducted using anonymized medical records of 100 patients previously diagnosed with either knee or hip arthrosis. ChatGPT-4 was employed to analyse these historical records, formulating both a diagnosis and potential treatment suggestions. Subsequently, a comparative analysis was conducted to assess the concordance between the AI's conclusions and the original clinical decisions made by the physicians.Results In diagnostic evaluations, ChatGPT-4 consistently aligned with the conclusions previously drawn by physicians. In terms of treatment recommendations, there was an 83% agreement between the AI and orthopaedic specialists. The therapeutic concordance was verified by the calculation of a Cohen's Kappa coefficient of 0.580 (p &lt; 0.001). This indicates a moderate-to-good level of agreement. In recommendations pertaining to surgical treatment, the AI demonstrated a sensitivity and specificity of 78% and 80%, respectively. Multivariable logistic regression demonstrated that the variables reduced quality of life (OR 49.97, p &lt; 0.001) and start-up pain (OR 12.54, p = 0.028) have an influence on ChatGPT-4's recommendation for a surgery.Conclusion This study emphasises ChatGPT-4's notable potential in diagnosing conditions such as gonarthrosis and coxarthrosis and in aligning its treatment recommendations with those of orthopaedic specialists. However, it is crucial to acknowledge that AI tools such as ChatGPT-4 are not meant to replace the nuanced expertise and clinical judgment of seasoned orthopaedic surgeons, particularly in complex decision-making scenarios regarding treatment indications. Due to the exploratory nature of the study, further research with larger patient populations and more complex diagnoses is necessary to validate the findings and explore the broader potential of AI in healthcare.</t>
  </si>
  <si>
    <t>[Pagano, Stefano; Kappenschneider, Tobias; Meyer, Matthias; Maderbacher, Guenther; Grifka, Joachim; Holzapfel, Dominik Emanuel] Univ Regensburg, Dept Orthopaed Surg, Asklepios Klinikum, Bad Abbach, Germany; [Holzapfel, Sabrina] Univ Regensburg, Univ Childrens Hosp Regensburg, Hosp St Hedwig Order St John, Dept Neonatol, Regensburg, Germany</t>
  </si>
  <si>
    <t>University of Regensburg; University of Regensburg</t>
  </si>
  <si>
    <t>Pagano, S (corresponding author), Univ Regensburg, Dept Orthopaed Surg, Asklepios Klinikum, Bad Abbach, Germany.</t>
  </si>
  <si>
    <t>stefano.pagano@ukr.de</t>
  </si>
  <si>
    <t>Maderbacher, Günther/S-5946-2019</t>
  </si>
  <si>
    <t>Pagano, Stefano/0009-0006-6721-7564</t>
  </si>
  <si>
    <t>Universitt Regensburg (3161)</t>
  </si>
  <si>
    <t>1590-9921</t>
  </si>
  <si>
    <t>1590-9999</t>
  </si>
  <si>
    <t>J ORTHOP TRAUMATOL</t>
  </si>
  <si>
    <t>J. Orthop. Traumatol.</t>
  </si>
  <si>
    <t>10.1186/s10195-023-00740-4</t>
  </si>
  <si>
    <t>Orthopedics</t>
  </si>
  <si>
    <t>Z2NI5</t>
  </si>
  <si>
    <t>WOS:001110492100001</t>
  </si>
  <si>
    <t>Iqbal, F; Samsom, F; Kamoun, F; MacDermott, A</t>
  </si>
  <si>
    <t>Iqbal, Farkhund; Samsom, Faniel; Kamoun, Faouzi; MacDermott, Aine</t>
  </si>
  <si>
    <t>When ChatGPT goes rogue: exploring the potential cybersecurity threats of AI-powered conversational chatbots</t>
  </si>
  <si>
    <t>FRONTIERS IN COMMUNICATIONS AND NETWORKS</t>
  </si>
  <si>
    <t>ChatGPT; AI-powered chatbot; AI-based cyberattacks; AI malware creation; generative AI; cybersecurity threats</t>
  </si>
  <si>
    <t>ChatGPT has garnered significant interest since its release in November 2022 and it has showcased a strong versatility in terms of potential applications across various industries and domains. Defensive cybersecurity is a particular area where ChatGPT has demonstrated considerable potential thanks to its ability to provide customized cybersecurity awareness training and its capability to assess security vulnerabilities and provide concrete recommendations to remediate them. However, the offensive use of ChatGPT (and AI-powered conversational agents, in general) remains an underexplored research topic. This preliminary study aims to shed light on the potential weaponization of ChatGPT to facilitate and initiate cyberattacks. We briefly review the defensive usage of ChatGPT in cybersecurity, then, through practical examples and use-case scenarios, we illustrate the potential misuse of ChatGPT to launch hacking and cybercrime activities. We discuss the practical implications of our study and provide some recommendations for future research.</t>
  </si>
  <si>
    <t>[Iqbal, Farkhund; Samsom, Faniel] Zayed Univ, Coll Technol Innovat, Abu Dhabi, U Arab Emirates; [Kamoun, Faouzi] ESPRIT, Sch Engn, Tunis, Tunisia; [Kamoun, Faouzi] ESPRIT, Sch Business, Tunis, Tunisia; [MacDermott, Aine] Liverpool John Moores Univ, Sch Comp Sci &amp; Math, Liverpool, England</t>
  </si>
  <si>
    <t>Zayed University; Liverpool John Moores University</t>
  </si>
  <si>
    <t>Iqbal, F (corresponding author), Zayed Univ, Coll Technol Innovat, Abu Dhabi, U Arab Emirates.</t>
  </si>
  <si>
    <t>farkhund.iqbal@zu.ac.ae</t>
  </si>
  <si>
    <t>MacDermott, Aine/0000-0001-8939-4664</t>
  </si>
  <si>
    <t>Research Incentive Fund, research office, Zayed University, United Arab Emirates [R22022]</t>
  </si>
  <si>
    <t>Research Incentive Fund, research office, Zayed University, United Arab Emirates</t>
  </si>
  <si>
    <t>This study is supported with Research Incentive Fund (R22022), research office, Zayed University, United Arab Emirates.</t>
  </si>
  <si>
    <t>2673-530X</t>
  </si>
  <si>
    <t>FRONT COMMUN NETW</t>
  </si>
  <si>
    <t>Front. Commun. Netw.</t>
  </si>
  <si>
    <t>SEP 4</t>
  </si>
  <si>
    <t>10.3389/frcmn.2023.1220243</t>
  </si>
  <si>
    <t>R8QE0</t>
  </si>
  <si>
    <t>WOS:001066938900001</t>
  </si>
  <si>
    <t>Biroli, G; Mézard, M</t>
  </si>
  <si>
    <t>Biroli, Giulio; Mezard, Marc</t>
  </si>
  <si>
    <t>Generative diffusion in very large dimensions</t>
  </si>
  <si>
    <t>JOURNAL OF STATISTICAL MECHANICS-THEORY AND EXPERIMENT</t>
  </si>
  <si>
    <t>Statistical Physics; Machine Learning; Diffusion; Generative Models</t>
  </si>
  <si>
    <t>Generative models based on diffusion have become the state of the art in the last few years, notably for image generation. Here, we analyze them in the high-dimensional limit, where data are formed by a very large number of variables. We use methods from statistical physics and focus on two well-controlled high-dimensional cases: a Gaussian model and the Curie-Weiss model of ferromagnetism. In the latter case, we highlight the mechanism of symmetry breaking in the inverse diffusion, and point out that, in order to reconstruct the relative asymmetry of the two low-temperature states, and thus to obtain the correct probability weights, one needs a database with a number of points much larger than the dimension of each data point. We characterize the scaling laws in the number of data and in the number of dimensions for an efficient generation.</t>
  </si>
  <si>
    <t>[Biroli, Giulio] Sorbonne Univ, Univ PSL, Univ Paris Diderot, Lab Phys Ecole Normale Super,ENS,CNRS,Sorbonne Par, Paris, France; [Mezard, Marc] Bocconi Univ, Dept Comp Sci, Milan, Italy</t>
  </si>
  <si>
    <t>Universite Paris Cite; Universite PSL; Ecole Normale Superieure (ENS); Sorbonne Universite; Centre National de la Recherche Scientifique (CNRS); Bocconi University</t>
  </si>
  <si>
    <t>Biroli, G (corresponding author), Sorbonne Univ, Univ PSL, Univ Paris Diderot, Lab Phys Ecole Normale Super,ENS,CNRS,Sorbonne Par, Paris, France.</t>
  </si>
  <si>
    <t>giulio.biroli@ens.fr</t>
  </si>
  <si>
    <t>We thank J P Bouchaud, D Chafai and V De Bortoli for discussions. G B acknowledges support from the ANR PRAIRIE. M M acknowledges financial support by the PNRR-PE-AI FAIR Project funded by the NextGeneration EU program.; ANR PRAIRIE; PNRR-PE-AI FAIR Project funded by the NextGeneration EU program</t>
  </si>
  <si>
    <t>We thank J P Bouchaud, D Chafai and V De Bortoli for discussions. G B acknowledges support from the ANR PRAIRIE. M M acknowledges financial support by the PNRR-PE-AI FAIR Project funded by the NextGeneration EU program.(Agence Nationale de la Recherche (ANR)); ANR PRAIRIE(Agence Nationale de la Recherche (ANR)); PNRR-PE-AI FAIR Project funded by the NextGeneration EU program</t>
  </si>
  <si>
    <t>We thank J P Bouchaud, D Chafai and V De Bortoli for discussions. G B acknowledges support from the ANR PRAIRIE. M M acknowledges financial support by the PNRR-PE-AI FAIR Project funded by the NextGeneration EU program.</t>
  </si>
  <si>
    <t>IOP Publishing Ltd</t>
  </si>
  <si>
    <t>TEMPLE CIRCUS, TEMPLE WAY, BRISTOL BS1 6BE, ENGLAND</t>
  </si>
  <si>
    <t>1742-5468</t>
  </si>
  <si>
    <t>J STAT MECH-THEORY E</t>
  </si>
  <si>
    <t>J. Stat. Mech.-Theory Exp.</t>
  </si>
  <si>
    <t>10.1088/1742-5468/acf8ba</t>
  </si>
  <si>
    <t>Mechanics; Physics, Mathematical</t>
  </si>
  <si>
    <t>Mechanics; Physics</t>
  </si>
  <si>
    <t>T8WV8</t>
  </si>
  <si>
    <t>WOS:001080743000001</t>
  </si>
  <si>
    <t>Gero, KI; Long, T; Chilton, L</t>
  </si>
  <si>
    <t>Gero, Katy Ilonka; Long, Tao; Chilton, Lydia</t>
  </si>
  <si>
    <t>Social Dynamics of AI Support in Creative Writing</t>
  </si>
  <si>
    <t>creative writing; writing support tools; writing assistants; human-AI collaboration; language models</t>
  </si>
  <si>
    <t>MODELS</t>
  </si>
  <si>
    <t>Recently, large language models have made huge advances in generating coherent, creative text. While much research focuses on how users can interact with language models, less work considers the social-technical gap that this technology poses. What are the social nuances that underlie receiving support from a generative AI? In this work we ask when and why a creative writer might turn to a computer versus a peer or mentor for support. We interview 20 creative writers about their writing practice and their attitudes towards both human and computer support. We discover three elements that govern a writer's interaction with support actors: 1) what writers desire help with, 2) how writers perceive potential support actors, and 3) the values writers hold. We align our results with existing frameworks of writing cognition and creativity support, uncovering the social dynamics which modulate user responses to generative technologies.</t>
  </si>
  <si>
    <t>[Gero, Katy Ilonka; Long, Tao; Chilton, Lydia] Columbia Univ, New York, NY 10027 USA</t>
  </si>
  <si>
    <t>Gero, KI (corresponding author), Columbia Univ, New York, NY 10027 USA.</t>
  </si>
  <si>
    <t>katy@cs.columbia.edu; long@cs.columbia.edu; chilton@cs.columbia.edu</t>
  </si>
  <si>
    <t>Long, Tao/0000-0002-1173-3475</t>
  </si>
  <si>
    <t>NSF [IIS 2129020]</t>
  </si>
  <si>
    <t>NSF(National Science Foundation (NSF))</t>
  </si>
  <si>
    <t>Katy Ilonka Gero was supported by NSF IIS 2129020.</t>
  </si>
  <si>
    <t>10.1145/3544548.3580782</t>
  </si>
  <si>
    <t>WOS:001037809502056</t>
  </si>
  <si>
    <t>Bercea, CI; Wiestler, B; Rueckert, D; Schnabe, JA</t>
  </si>
  <si>
    <t>Greenspan, H; Madabhushi, A; Mousavi, P; Salcudean, S; Duncan, J; Syeda-Mahmood, T; Taylor, R</t>
  </si>
  <si>
    <t>Bercea, Cosmin I.; Wiestler, Benedikt; Rueckert, Daniel; Schnabe, Julia A.</t>
  </si>
  <si>
    <t>Reversing the Abnormal: Pseudo-Healthy Generative Networks for Anomaly Detection</t>
  </si>
  <si>
    <t>MEDICAL IMAGE COMPUTING AND COMPUTER ASSISTED INTERVENTION, MICCAI 2023, PT V</t>
  </si>
  <si>
    <t>26th International Conference on Medical Image Computing and Computer-Assisted Intervention (MICCAI)</t>
  </si>
  <si>
    <t>OCT 08-12, 2023</t>
  </si>
  <si>
    <t>Vancouver, CANADA</t>
  </si>
  <si>
    <t>Unsupervised Anomaly Detection; Generative Networks</t>
  </si>
  <si>
    <t>Early and accurate disease detection is crucial for patient management and successful treatment outcomes. However, the automatic identification of anomalies in medical images can be challenging. Conventional methods rely on large labeled datasets which are difficult to obtain. To overcome these limitations, we introduce a novel unsupervised approach, called PHANES (Pseudo Healthy generative networks for ANomaly Segmentation). Our method has the capability of reversing anomalies, i.e., preserving healthy tissue and replacing anomalous regions with pseudo-healthy (PH) reconstructions. Unlike recent diffusion models, our method does not rely on a learned noise distribution nor does it introduce random alterations to the entire image. Instead, we use latent generative networks to create masks around possible anomalies, which are refined using inpainting generative networks. We demonstrate the effectiveness of PHANES in detecting stroke lesions in T1w brain MRI datasets and show significant improvements over state-of-the-art (SOTA) methods. We believe that our proposed framework will open new avenues for interpretable, fast, and accurate anomaly segmentation with the potential to support various clinical-oriented downstream tasks. Code: https://github.com/ci-ber/PHANES</t>
  </si>
  <si>
    <t>[Bercea, Cosmin I.; Rueckert, Daniel; Schnabe, Julia A.] Tech Univ Munich, Munich, Germany; [Bercea, Cosmin I.; Schnabe, Julia A.] Helmholtz AI &amp; Helmholtz Ctr Munich, Munich, Germany; [Wiestler, Benedikt; Rueckert, Daniel] Klinikum Rechts Der Isar, Munich, Germany; [Rueckert, Daniel] Imperial Coll London, London, England; [Schnabe, Julia A.] Kings Coll London, London, England</t>
  </si>
  <si>
    <t>Technical University of Munich; Technical University of Munich; Imperial College London; University of London; King's College London</t>
  </si>
  <si>
    <t>Bercea, CI (corresponding author), Tech Univ Munich, Munich, Germany.;Bercea, CI (corresponding author), Helmholtz AI &amp; Helmholtz Ctr Munich, Munich, Germany.</t>
  </si>
  <si>
    <t>cosmin.bercea@tum.de</t>
  </si>
  <si>
    <t>Rueckert, Daniel/C-4393-2008</t>
  </si>
  <si>
    <t>Helmholtz Association under the joint research school Munich School for Data Science -MUDS</t>
  </si>
  <si>
    <t>C.I.B. is in part supported by the Helmholtz Association under the joint research school Munich School for Data Science -MUDS.</t>
  </si>
  <si>
    <t>978-3-031-43903-2; 978-3-031-43904-9</t>
  </si>
  <si>
    <t>10.1007/978-3-031-43904-9_29</t>
  </si>
  <si>
    <t>Computer Science, Artificial Intelligence; Computer Science, Theory &amp; Methods; Radiology, Nuclear Medicine &amp; Medical Imaging</t>
  </si>
  <si>
    <t>Computer Science; Radiology, Nuclear Medicine &amp; Medical Imaging</t>
  </si>
  <si>
    <t>BW1RJ</t>
  </si>
  <si>
    <t>WOS:001109633700029</t>
  </si>
  <si>
    <t>Uprety, D; Zhu, DX; West, H</t>
  </si>
  <si>
    <t>Uprety, Dipesh; Zhu, Dongxiao; West, Howard (Jack)</t>
  </si>
  <si>
    <t>ChatGPT-A promising generative AI tool and its implications for cancer care</t>
  </si>
  <si>
    <t>CANCER</t>
  </si>
  <si>
    <t>artificial intelligence (AI); cancer care; ChatGPT; oncology</t>
  </si>
  <si>
    <t>Since its launch, ChatGPT has taken the internet by storm and has the potential to be used broadly in the health care system, particularly in a setting such as medical oncology.ChatGPT is well suited to review and extract key content from records of patients with cancer, interpret next-generation sequencing reports, and offer a list of potential clinical trial options.</t>
  </si>
  <si>
    <t>[Uprety, Dipesh] Barbara Ann Karmanos Canc Inst, Dept Med Oncol, Detroit, MI USA; [Zhu, Dongxiao] Wayne State Univ, Dept Comp Sci, Detroit, MI USA; [West, Howard (Jack)] City Hope Comprehens Canc Ctr, Dept Med Oncol, Duarte, CA USA; [West, Howard (Jack)] City Hope Comprehens Canc Ctr, Dept Med Oncol, 1500 E Duarte Rd, Duarte, CA 91010 USA</t>
  </si>
  <si>
    <t>Barbara Ann Karmanos Cancer Institute; Wayne State University; City of Hope; City of Hope</t>
  </si>
  <si>
    <t>West, H (corresponding author), City Hope Comprehens Canc Ctr, Dept Med Oncol, 1500 E Duarte Rd, Duarte, CA 91010 USA.</t>
  </si>
  <si>
    <t>hwest@coh.org</t>
  </si>
  <si>
    <t>Uprety, Dipesh/0000-0002-4278-9703</t>
  </si>
  <si>
    <t>0008-543X</t>
  </si>
  <si>
    <t>1097-0142</t>
  </si>
  <si>
    <t>CANCER-AM CANCER SOC</t>
  </si>
  <si>
    <t>Cancer</t>
  </si>
  <si>
    <t>AUG 1</t>
  </si>
  <si>
    <t>10.1002/cncr.34827</t>
  </si>
  <si>
    <t>Oncology</t>
  </si>
  <si>
    <t>N8KZ0</t>
  </si>
  <si>
    <t>WOS:000988601900001</t>
  </si>
  <si>
    <t>Miao, HY; Li, CD; Wang, J</t>
  </si>
  <si>
    <t>Miao, Hongyu; Li, Chengdong; Wang, Jing</t>
  </si>
  <si>
    <t>A Future of Smarter Digital Health Empowered by Generative Pretrained Transformer</t>
  </si>
  <si>
    <t>JOURNAL OF MEDICAL INTERNET RESEARCH</t>
  </si>
  <si>
    <t>generative pretrained model; artificial intelligence; digital health; generative pretrained transformer; ChatGPT; precision medicine; AI; privacy; ethics</t>
  </si>
  <si>
    <t>Generative pretrained transformer (GPT) tools have been thriving, as ignited by the remarkable success of OpenAI's recent chatbot product. GPT technology offers countless opportunities to significantly improve or renovate current health care research and practice paradigms, especially digital health interventions and digital health-enabled clinical care, and a future of smarter digital health can thus be expected. In particular, GPT technology can be incorporated through various digital health platforms in homes and hospitals embedded with numerous sensors, wearables, and remote monitoring devices. In this viewpoint paper, we highlight recent research progress that depicts the future picture of a smarter digital health ecosystem through GPT-facilitated centralized communications, automated analytics, personalized health care, and instant decision-making.</t>
  </si>
  <si>
    <t>[Miao, Hongyu; Li, Chengdong; Wang, Jing] Florida State Univ, Coll Nursing, Tallahassee, FL USA; [Wang, Jing] Florida State Univ, Coll Nursing, 98 Varsity Way, Tallahassee, FL 32306 USA</t>
  </si>
  <si>
    <t>State University System of Florida; Florida State University; State University System of Florida; Florida State University</t>
  </si>
  <si>
    <t>Wang, J (corresponding author), Florida State Univ, Coll Nursing, 98 Varsity Way, Tallahassee, FL 32306 USA.</t>
  </si>
  <si>
    <t>JingWang@nursing.fsu.edu</t>
  </si>
  <si>
    <t>Miao, Hongyu/0000-0002-4131-3164; Wang, Jing/0000-0002-4012-0977; Li, Chengdong/0000-0001-5330-9624</t>
  </si>
  <si>
    <t>National Science Foundation [2133106]; National Institutes of Health's National Center for Advancing Translational Sciences [UL1TR001427]</t>
  </si>
  <si>
    <t>National Science Foundation(National Science Foundation (NSF)); National Institutes of Health's National Center for Advancing Translational Sciences</t>
  </si>
  <si>
    <t>Acknowledgments HM's work is partially supported by a National Science Foundation grant (#2133106) . JW's and HM's work is supported in part by the National Institutes of Health's National Center for Advancing Translational Sciences (award UL1TR001427) .</t>
  </si>
  <si>
    <t>1438-8871</t>
  </si>
  <si>
    <t>J MED INTERNET RES</t>
  </si>
  <si>
    <t>J. Med. Internet Res.</t>
  </si>
  <si>
    <t>SEP 26</t>
  </si>
  <si>
    <t>e49963</t>
  </si>
  <si>
    <t>10.2196/49963</t>
  </si>
  <si>
    <t>U6IT7</t>
  </si>
  <si>
    <t>WOS:001085827000006</t>
  </si>
  <si>
    <t>Du, XJ; An, PC; Leung, J; Li, A; Chapman, LE; Zhao, J</t>
  </si>
  <si>
    <t>Du, Xuejun; An, Pengcheng; Leung, Justin; Li, April; Chapman, Linda E.; Zhao, Jian</t>
  </si>
  <si>
    <t>DeepThInk: Designing and probing human-AI co-creation in digital art therapy</t>
  </si>
  <si>
    <t>INTERNATIONAL JOURNAL OF HUMAN-COMPUTER STUDIES</t>
  </si>
  <si>
    <t>Digital art therapy; Deep Learning; Generative art model; Human -AI co -creation</t>
  </si>
  <si>
    <t>EXPRESSIVE THERAPIES; ADULTS</t>
  </si>
  <si>
    <t>Art therapy has been an essential form of psychotherapy to facilitate psychological well-being, which has been promoted and transformed by recent technological advances into digital art therapy. However, the potential of digital technologies has not been fully leveraged; especially, applying AI technologies in digital art therapy is still under-explored. In this paper, we propose an AI-infused art-making system, DeepThInk, to investigate the potential of introducing a human-AI co-creative process into art therapy, by collaborating with five experienced registered art therapists over ten months. DeepThInk offers a range of tools which can lower the expertise threshold for art-making while improving users' creativity and expressivity. We gathered the insights of DeepThInk through expert reviews and a two-part user evaluation with both synchronous and asynchronous therapy setups. This longitudinal iterative design process helped us derive and contextualize design principles of human-AI co-creation for art therapy, shedding light on future design in relevant domains.</t>
  </si>
  <si>
    <t>[Du, Xuejun; An, Pengcheng; Leung, Justin; Li, April; Zhao, Jian] Univ Waterloo, Sch Comp Sci, Waterloo, ON N2L 3G1, Canada; [An, Pengcheng] Southern Univ Sci &amp; Technol, Sch Design, Shenzhen 518055, Guangdong, Peoples R China</t>
  </si>
  <si>
    <t>University of Waterloo; Southern University of Science &amp; Technology</t>
  </si>
  <si>
    <t>Zhao, J (corresponding author), Univ Waterloo, Sch Comp Sci, Waterloo, ON N2L 3G1, Canada.</t>
  </si>
  <si>
    <t>xuejun.du@uwaterloo.ca; anpc@sustech.edu.cn; justin.leung1@uwaterloo.ca; siyue.li@uwaterloo.ca; lchapmantoronto@gmail.com; jianzhao@uwaterloo.ca</t>
  </si>
  <si>
    <t>Natural Sciences and Engineering Research Council of Canada (NSERC); NSSFC Art [22CG184]</t>
  </si>
  <si>
    <t>Natural Sciences and Engineering Research Council of Canada (NSERC)(Natural Sciences and Engineering Research Council of Canada (NSERC)); NSSFC Art</t>
  </si>
  <si>
    <t>We thank all our participants for their time and valuable input. This work is supported in part by the Natural Sciences and Engineering Research Council of Canada (NSERC) and NSSFC Art (22CG184) .</t>
  </si>
  <si>
    <t>ACADEMIC PRESS LTD- ELSEVIER SCIENCE LTD</t>
  </si>
  <si>
    <t>24-28 OVAL RD, LONDON NW1 7DX, ENGLAND</t>
  </si>
  <si>
    <t>1071-5819</t>
  </si>
  <si>
    <t>1095-9300</t>
  </si>
  <si>
    <t>INT J HUM-COMPUT ST</t>
  </si>
  <si>
    <t>Int. J. Hum.-Comput. Stud.</t>
  </si>
  <si>
    <t>10.1016/j.ijhcs.2023.103139</t>
  </si>
  <si>
    <t>Computer Science, Cybernetics; Ergonomics; Psychology, Multidisciplinary</t>
  </si>
  <si>
    <t>Computer Science; Engineering; Psychology</t>
  </si>
  <si>
    <t>T8RN9</t>
  </si>
  <si>
    <t>WOS:001080604100001</t>
  </si>
  <si>
    <t>Daun, M; Brings, J</t>
  </si>
  <si>
    <t>Daun, Marian; Brings, Jennifer</t>
  </si>
  <si>
    <t>How ChatGPT Will Change Software Engineering Education</t>
  </si>
  <si>
    <t>PROCEEDINGS OF THE 2023 CONFERENCE ON INNOVATION AND TECHNOLOGY IN COMPUTER SCIENCE EDUCATION, ITICSE 2023, VOL 1</t>
  </si>
  <si>
    <t>28th Annual Conference on Innovation and Technology in Computer Science Education (ITiCSE)</t>
  </si>
  <si>
    <t>JUL 08-12, 2023</t>
  </si>
  <si>
    <t>Assoc Comp Machinery,ACM Special Interest Grp Comp Sci Educ,ACM Europe Council,Informat Europe</t>
  </si>
  <si>
    <t>ChatGPT; Generative AI; Software Engineering Education</t>
  </si>
  <si>
    <t>This paper discusses the potential for using generative AIs like ChatGPT in software engineering education. Currently, discussions center around potential threats emerging from student's use of ChatGPT. For instance, generative AI will limit the usefulness of graded homework dramatically. However, there exist potential opportunities as well. For example, ChatGPT's ability to understand and generate human language allows providing personalized feedback to students, and can thus accompany current software engineering education approaches. This paper highlights the potential for enhancing software engineering education. The availability of generative AI will improve the individualization of education approaches. In addition, we discuss the need to adapt software engineering curricula to the changed profiles of software engineers. Moreover, we point out why it is important to provide guidance for using generative AI and, thus, integrate it in courses rather than accepting the unsupervised use by students, which can negatively impact the students' learning.</t>
  </si>
  <si>
    <t>[Daun, Marian] Tech Univ Appl Sci, Schweinfurt, Germany; [Brings, Jennifer] Univ Duisburg Essen, Essen, Germany</t>
  </si>
  <si>
    <t>University of Duisburg Essen</t>
  </si>
  <si>
    <t>Daun, M (corresponding author), Tech Univ Appl Sci, Schweinfurt, Germany.</t>
  </si>
  <si>
    <t>marian.daun@thws.de; jennifer.brings@uni-due.de</t>
  </si>
  <si>
    <t>Daun, Marian/0000-0002-9156-9731</t>
  </si>
  <si>
    <t>979-8-4007-0138-2</t>
  </si>
  <si>
    <t>10.1145/3587102.3588815</t>
  </si>
  <si>
    <t>BV5PJ</t>
  </si>
  <si>
    <t>WOS:001051691300018</t>
  </si>
  <si>
    <t>Yu, YS; Lakemond, N; Holmberg, G</t>
  </si>
  <si>
    <t>Yu, Youshan; Lakemond, Nicolette; Holmberg, Gunnar</t>
  </si>
  <si>
    <t>AI in the Context of Complex Intelligent Systems: Engineering Management Consequences</t>
  </si>
  <si>
    <t>IEEE TRANSACTIONS ON ENGINEERING MANAGEMENT</t>
  </si>
  <si>
    <t>Artificial intelligence; Complex systems; Engineering management; Accidents; Technological innovation; Stakeholders; Safety; Artificial intelligence (AI); complex intelligent systems (CoIS); criticality; engineering management; generativity</t>
  </si>
  <si>
    <t>ARTIFICIAL-INTELLIGENCE; PRODUCT SYSTEMS; INTEGRATION; INNOVATION; DESIGN; COPS</t>
  </si>
  <si>
    <t>As artificial intelligence (AI) is increasingly integrated into the context of complex products and systems (CoPS), making complex systems more intelligent, this article explores the consequences and implications for engineering management in emerging complex intelligent systems (CoIS). Based on five engineering management aspects, including design objectives, system boundaries, architecting and modeling, predictability and emergence, and learning and adaptation, a case study representing future CoIS illustrates how these five aspects, as well as their relationship to criticality and generativity, emerge as AI becomes an integrated part of the system. The findings imply that a future combined perspective on allowing generativity and maintaining or enhancing criticality is necessary, and notably, the results suggest that the understanding of system integrators and CoPS management partly fundamentally alters and partly is complemented with the emergence of CoIS. CoIS puts learning and adaptation characteristics in the foreground, i.e., CoIS are associated with increasingly generative design objectives, fluid system boundaries, new architecting and modeling approaches, and challenges predictability. The notion of bounded generativity is suggested to emphasize the combination of generativity and criticality as a direction for transforming engineering management in CoPS contexts and demands new approaches for designing future CoIS and safeguard its important societal functions.</t>
  </si>
  <si>
    <t>[Yu, Youshan; Lakemond, Nicolette; Holmberg, Gunnar] Linkoping Univ, Dept Management &amp; Engn, S-58183 Linkoping, Sweden; [Holmberg, Gunnar] Saab AB, S-58188 Linkoping, Sweden</t>
  </si>
  <si>
    <t>Linkoping University; Saab Group</t>
  </si>
  <si>
    <t>Lakemond, N (corresponding author), Linkoping Univ, Dept Management &amp; Engn, S-58183 Linkoping, Sweden.</t>
  </si>
  <si>
    <t>youshan.yu@liu.se; nicolette.lakemond@liu.se; gunnar.holmberg@liu.se</t>
  </si>
  <si>
    <t>Lakemond, Nicolette/C-6197-2015</t>
  </si>
  <si>
    <t>Lakemond, Nicolette/0000-0002-5427-3560; YU, Youshan/0000-0002-4966-4620; Holmberg, Gunnar/0000-0002-8338-0218</t>
  </si>
  <si>
    <t>Wallenberg AI, Autonomous Systems and Software Program-Humanities and Society - Marianne and Marcus Wallenberg Foundation</t>
  </si>
  <si>
    <t>This work was supported by the Wallenberg AI, Autonomous Systems and Software Program-Humanities and Society funded by the Marianne and Marcus Wallenberg Foundation.</t>
  </si>
  <si>
    <t>0018-9391</t>
  </si>
  <si>
    <t>1558-0040</t>
  </si>
  <si>
    <t>IEEE T ENG MANAGE</t>
  </si>
  <si>
    <t>IEEE Trans. Eng. Manage.</t>
  </si>
  <si>
    <t>2023 MAY 4</t>
  </si>
  <si>
    <t>10.1109/TEM.2023.3268340</t>
  </si>
  <si>
    <t>Business; Engineering, Industrial; Management</t>
  </si>
  <si>
    <t>Business &amp; Economics; Engineering</t>
  </si>
  <si>
    <t>F5BO9</t>
  </si>
  <si>
    <t>WOS:000982501600001</t>
  </si>
  <si>
    <t>Zhang, YF; Schlueter, A; Waibel, C</t>
  </si>
  <si>
    <t>Zhang, Yufei; Schlueter, Arno; Waibel, Christoph</t>
  </si>
  <si>
    <t>SolarGAN: Synthetic annual solar irradiance time series on urban building facades via Deep Generative Networks</t>
  </si>
  <si>
    <t>ENERGY AND AI</t>
  </si>
  <si>
    <t>Urban solar potential; Data-driven; Deep Generative Networks (DGN); Building-integrated photovoltaic (BIPV); Generative Adversarial Network (GAN); Variational Autoencoder (VAE)</t>
  </si>
  <si>
    <t>ENERGY; SIMULATION</t>
  </si>
  <si>
    <t>Building Integrated Photovoltaics (BIPV) is a promising technology to decarbonize urban energy systems via harnessing solar energy available on building envelopes. While methods to assess solar irradiation, especially on rooftops, are well established, the assessment on building facades usually involves a higher effort due to more complex urban features and obstructions. The drawback of existing physics-based simulation programs are that they require significant manual modeling effort and computing time for generating time resolved deterministic results. Yet, solar irradiation is highly intermittent and representing its inherent uncertainty may be required for designing robust BIPV energy systems. Targeting on these drawbacks, this paper proposes a data-driven model based on Deep Generative Networks (DGN) to efficiently generate stochastic ensembles of annual hourly solar irradiance time series on building facades with uncompromised spatiotemporal resolution at the urban scale. The only input required are easily obtainable fisheye images as categorical shading masks captured from 3D models. In principle, even actual photographs of urban contexts can be utilized, given they Contents lists available at ScienceDirect Energy and AI journal homepage: www.elsevier.com/locate/egyai</t>
  </si>
  <si>
    <t>[Zhang, Yufei; Schlueter, Arno; Waibel, Christoph] Swiss Fed Inst Technol, Chair Architecture &amp; Bldg Syst AS, Stefano Franscini Pl 1, CH-8093 Zurich, Switzerland</t>
  </si>
  <si>
    <t>Waibel, C (corresponding author), Swiss Fed Inst Technol, Chair Architecture &amp; Bldg Syst AS, Stefano Franscini Pl 1, CH-8093 Zurich, Switzerland.</t>
  </si>
  <si>
    <t>waibel@arch.ethz.ch</t>
  </si>
  <si>
    <t>Waibel, Christoph/0000-0001-6077-1411</t>
  </si>
  <si>
    <t>2666-5468</t>
  </si>
  <si>
    <t>ENERGY AI</t>
  </si>
  <si>
    <t>Energy AI</t>
  </si>
  <si>
    <t>10.1016/j.egyai.2022.100223</t>
  </si>
  <si>
    <t>Computer Science, Artificial Intelligence; Energy &amp; Fuels</t>
  </si>
  <si>
    <t>Computer Science; Energy &amp; Fuels</t>
  </si>
  <si>
    <t>Y7AI4</t>
  </si>
  <si>
    <t>WOS:001106746100001</t>
  </si>
  <si>
    <t>Qi, YH; Hossain, MS</t>
  </si>
  <si>
    <t>Qi, Yuanhang; Hossain, M. Shamim</t>
  </si>
  <si>
    <t>Harnessing federated generative learning for green and sustainable Internet of Things</t>
  </si>
  <si>
    <t>JOURNAL OF NETWORK AND COMPUTER APPLICATIONS</t>
  </si>
  <si>
    <t>IoT; Green and sustainable; Federated learning; Generative learning; AI</t>
  </si>
  <si>
    <t>FUTURE</t>
  </si>
  <si>
    <t>The rapid proliferation of devices in the Internet of Things (IoT) has ushered in a transformative era of data-driven connectivity across various domains. However, this exponential growth has raised pressing concerns about environmental sustainability and data privacy. In response to these challenges, this paper introduces One-shot Federated Learning (OSFL), an innovative paradigm that harmonizes sustainability and machine learning within IoT ecosystems. OSFL revolutionizes the traditional Federated Learning (FL) workflow by condensing multiple iterative communication rounds into a single operation, thus significantly reducing energy consumption, communication overhead, and latency. This breakthrough is coupled with the strategic integration of generative learning techniques, ensuring robust data privacy while promoting efficient knowledge sharing among IoT devices. By curtailing resource utilization, OSFL aligns seamlessly with the vision of green and sustainable IoT, effectively extending device lifespans and mitigating their environmental footprint. Our research underscores the transformative potential of OSFL, poised to reshape the landscape of IoT applications across domains such as energy-efficient smart cities and groundbreaking healthcare solutions. This contribution marks a pivotal step towards a more responsible, sustainable, and technologically advanced future</t>
  </si>
  <si>
    <t>[Qi, Yuanhang] Univ Elect Sci &amp; Technol China, Zhongshan Inst, Sch Comp Sci, Zhongshan 528402, Peoples R China; [Hossain, M. Shamim] King Saud Univ, Coll Comp &amp; Informat Sci, Res Chair Pervas &amp; Mobile Comp, Riyadh 13272, Saudi Arabia; [Hossain, M. Shamim] King Saud Univ, Coll Comp &amp; Informat Sci, Dept Software Engn, Riyadh 13272, Saudi Arabia</t>
  </si>
  <si>
    <t>University of Electronic Science &amp; Technology of China; King Saud University; King Saud University</t>
  </si>
  <si>
    <t>Hossain, MS (corresponding author), King Saud Univ, Coll Comp &amp; Informat Sci, Res Chair Pervas &amp; Mobile Comp, Riyadh 13272, Saudi Arabia.;Hossain, MS (corresponding author), King Saud Univ, Coll Comp &amp; Informat Sci, Dept Software Engn, Riyadh 13272, Saudi Arabia.</t>
  </si>
  <si>
    <t>qiyuanhang@zsc.edu.cn; mshossain@ksu.edu.sa</t>
  </si>
  <si>
    <t>Hossain, M. Shamim/0000-0001-5906-9422</t>
  </si>
  <si>
    <t>Deputyship for Research and Innovation, Ministry of Education in Saudi Arabia [IFKSURC-1-0306]</t>
  </si>
  <si>
    <t>Deputyship for Research and Innovation, Ministry of Education in Saudi Arabia</t>
  </si>
  <si>
    <t>The authors extend their appreciation to the Deputyship for Research and Innovation, Ministry of Education in Saudi Arabia for funding this research through (IFKSURC-1-0306).</t>
  </si>
  <si>
    <t>1084-8045</t>
  </si>
  <si>
    <t>1095-8592</t>
  </si>
  <si>
    <t>J NETW COMPUT APPL</t>
  </si>
  <si>
    <t>J. Netw. Comput. Appl.</t>
  </si>
  <si>
    <t>10.1016/j.jnca.2023.103812</t>
  </si>
  <si>
    <t>Computer Science, Hardware &amp; Architecture; Computer Science, Interdisciplinary Applications; Computer Science, Software Engineering</t>
  </si>
  <si>
    <t>HM9U2</t>
  </si>
  <si>
    <t>WOS:001160047600001</t>
  </si>
  <si>
    <t>Cámara, J; Troya, J; Burgueño, L; Vallecillo, A</t>
  </si>
  <si>
    <t>Camara, Javier; Troya, Javier; Burgueno, Lola; Vallecillo, Antonio</t>
  </si>
  <si>
    <t>On the assessment of generative AI in modeling tasks: an experience report with ChatGPT and UML</t>
  </si>
  <si>
    <t>SOFTWARE AND SYSTEMS MODELING</t>
  </si>
  <si>
    <t>Large language models; ChatGPT; Software models; Modeling languages; UML</t>
  </si>
  <si>
    <t>Most experts agree that large language models (LLMs), such as those used by Copilot and ChatGPT, are expected to revolutionize the way in which software is developed. Many papers are currently devoted to analyzing the potential advantages and limitations of these generative AI models for writing code. However, the analysis of the current state of LLMs with respect to software modeling has received little attention. In this paper, we investigate the current capabilities of ChatGPT to perform modeling tasks and to assist modelers, while also trying to identify its main shortcomings. Our findings show that, in contrast to code generation, the performance of the current version of ChatGPT for software modeling is limited, with various syntactic and semantic deficiencies, lack of consistency in responses and scalability issues. We also outline our views on how we perceive the role that LLMs can play in the software modeling discipline in the short term, and how the modeling community can help to improve the current capabilities of ChatGPT and the coming LLMs for software modeling.</t>
  </si>
  <si>
    <t>[Camara, Javier; Troya, Javier; Burgueno, Lola; Vallecillo, Antonio] Univ Malaga, ITIS Software, ETSI Informat, Campus Teatinos,Bulevar Louis Pasteur 35, Malaga 29071, Spain</t>
  </si>
  <si>
    <t>Universidad de Malaga</t>
  </si>
  <si>
    <t>Cámara, J (corresponding author), Univ Malaga, ITIS Software, ETSI Informat, Campus Teatinos,Bulevar Louis Pasteur 35, Malaga 29071, Spain.</t>
  </si>
  <si>
    <t>jcamara@uma.es; jtroya@uma.es; lolaburgueno@uma.es; av@uma.es</t>
  </si>
  <si>
    <t>Vallecillo, Antonio/B-1884-2014; Troya, Javier/B-6951-2017; Burgueno, Lola/L-3817-2014</t>
  </si>
  <si>
    <t>Vallecillo, Antonio/0000-0002-8139-9986; Troya, Javier/0000-0002-1314-9694; Burgueno, Lola/0000-0002-7779-8810</t>
  </si>
  <si>
    <t>Spanish Government (FEDER/Ministerio de Ciencia e Innovacion-Agencia Estatal de Investigacion) [PID2021-125527NB-I00, TED2021-130523B-I00]</t>
  </si>
  <si>
    <t>Spanish Government (FEDER/Ministerio de Ciencia e Innovacion-Agencia Estatal de Investigacion)</t>
  </si>
  <si>
    <t>We would like to thank Joerg Kienzle for his comments and very valuable feedback on an earlier draft of this paper. This work was partially funded by the Spanish Government (FEDER/Ministerio de Ciencia e Innovacion-Agencia Estatal de Investigacion) under projects PID2021-125527NB-I00 and TED2021-130523B-I00.</t>
  </si>
  <si>
    <t>1619-1366</t>
  </si>
  <si>
    <t>1619-1374</t>
  </si>
  <si>
    <t>SOFTW SYST MODEL</t>
  </si>
  <si>
    <t>Softw. Syst. Model.</t>
  </si>
  <si>
    <t>10.1007/s10270-023-01105-5</t>
  </si>
  <si>
    <t>H8XN3</t>
  </si>
  <si>
    <t>WOS:000992393200001</t>
  </si>
  <si>
    <t>Colton, S; Cardinale, S</t>
  </si>
  <si>
    <t>Colton, Simon; Cardinale, Sara</t>
  </si>
  <si>
    <t>Extending Generative Neo-Riemannian Theory for Event-Based Soundtrack Production</t>
  </si>
  <si>
    <t>Generative Music; Neo-Riemannian Theory; Soundtracks</t>
  </si>
  <si>
    <t>We present the GENRT music generation system specifically designed for making soundtracks to fit given media such as video clips. This is based on Neo-Riemannian Theory (NRT), an analytical approach to describing chromatic chord progressions. We describe the implementation of GENRT in terms of a generative NRT formalism, which produces suitable chord sequences to fit the timing and atmosphere requirements of the media. We provide an illustrative example using GENRT to produce a soundtrack for a clip from the film A Beautiful Mind.</t>
  </si>
  <si>
    <t>[Colton, Simon; Cardinale, Sara] Queen Mary Univ London, Sch Elect Engn &amp; Comp Sci, London, England</t>
  </si>
  <si>
    <t>Cardinale, S (corresponding author), Queen Mary Univ London, Sch Elect Engn &amp; Comp Sci, London, England.</t>
  </si>
  <si>
    <t>s.colton@qmul.ac.uk; s.cardinale@qmul.ac.uk</t>
  </si>
  <si>
    <t>UKRI as part of the UKRI Centre for Doctoral Training in AI and Music [EP/S022694/1]</t>
  </si>
  <si>
    <t>UKRI as part of the UKRI Centre for Doctoral Training in AI and Music</t>
  </si>
  <si>
    <t>This work has been funded by the UKRI as part of the UKRI Centre for Doctoral Training in AI and Music, under grant EP/S022694/1. We would like to thank the anonymous reviewers for providing helpful feedback.</t>
  </si>
  <si>
    <t>10.1007/978-3-031-29956-8_5</t>
  </si>
  <si>
    <t>WOS:000999872400005</t>
  </si>
  <si>
    <t>Zhu, W; Liu, XS; Li, Q; Gao, F; Liu, TT; Chen, XJ; Zhang, M; Aliper, A; Ren, F; Ding, X; Zhavoronkov, A</t>
  </si>
  <si>
    <t>Zhu, Wei; Liu, Xiaosong; Li, Qi; Gao, Feng; Liu, Tingting; Chen, Xiaojing; Zhang, Man; Aliper, Alex; Ren, Feng; Ding, Xiao; Zhavoronkov, Alex</t>
  </si>
  <si>
    <t>Discovery of novel and selective SIK2 inhibitors by the application of AlphaFold structures and generative models</t>
  </si>
  <si>
    <t>BIOORGANIC &amp; MEDICINAL CHEMISTRY</t>
  </si>
  <si>
    <t>Salt-inducible kinase 2; AlphaFold; Generative Models; Novel Selectivity</t>
  </si>
  <si>
    <t>INDUCIBLE KINASE 2; CANCER CELL-LINES; ASSAY; ERK2</t>
  </si>
  <si>
    <t>Salt-inducible kinase 2 (SIK2) has been recognized as a potential target for anti-inflammation and anti-cancer therapy. In this paper, based on the binding pose of the reported compound (GLPG-3970, 3) with AlphaFold protein structure, a series of hinge cores were generated via AI-generative models (Chemistry42). After the molecular docking, synthesis, and biological evaluation, a hit molecule (7f) targeting SIK2 was obtained with a novel scaffold. Further SAR exploration led to the discovery of compound 8g with superior potency against SIK2 compared with the reported inhibitors. Furthermore, 8g also demonstrated excellent selectivity over other AMPK kinases, favorable in vitro ADMET profiles and decent cellular activities. This work provides an alternative approach to the discovery of novel and selective kinase inhibitors.</t>
  </si>
  <si>
    <t>[Zhu, Wei; Liu, Xiaosong; Li, Qi; Gao, Feng; Liu, Tingting; Chen, Xiaojing; Zhang, Man; Ren, Feng; Ding, Xiao; Zhavoronkov, Alex] Insil Med Shanghai Ltd, Shanghai 201203, Peoples R China; [Aliper, Alex; Zhavoronkov, Alex] Insil Med AI Ltd, Abu Dhabi 145748, U Arab Emirates</t>
  </si>
  <si>
    <t>Ding, X; Zhavoronkov, A (corresponding author), Insil Med Shanghai Ltd, Shanghai 201203, Peoples R China.;Zhavoronkov, A (corresponding author), Insil Med AI Ltd, Abu Dhabi 145748, U Arab Emirates.</t>
  </si>
  <si>
    <t>xiao.ding@insilico.ai; alex@insilico.com</t>
  </si>
  <si>
    <t>0968-0896</t>
  </si>
  <si>
    <t>1464-3391</t>
  </si>
  <si>
    <t>BIOORGAN MED CHEM</t>
  </si>
  <si>
    <t>Bioorg. Med. Chem.</t>
  </si>
  <si>
    <t>10.1016/j.bmc.2023.117414</t>
  </si>
  <si>
    <t>Biochemistry &amp; Molecular Biology; Chemistry, Medicinal; Chemistry, Organic</t>
  </si>
  <si>
    <t>Science Citation Index Expanded (SCI-EXPANDED); Index Chemicus (IC)</t>
  </si>
  <si>
    <t>Biochemistry &amp; Molecular Biology; Pharmacology &amp; Pharmacy; Chemistry</t>
  </si>
  <si>
    <t>O3GR2</t>
  </si>
  <si>
    <t>WOS:001042740600001</t>
  </si>
  <si>
    <t>Bendoly, E; Chandrasekaran, A; Lima, MDF; Handfield, R; Khajavi, SH; Roscoe, S</t>
  </si>
  <si>
    <t>Bendoly, Elliot; Chandrasekaran, Aravind; Lima, Mateus do Rego Ferreira; Handfield, Robert; Khajavi, Siavash H.; Roscoe, Samuel</t>
  </si>
  <si>
    <t>The role of generative design and additive manufacturing capabilities in developing human-AI symbiosis: Evidence from multiple case studies</t>
  </si>
  <si>
    <t>DECISION SCIENCES</t>
  </si>
  <si>
    <t>additive manufacturing; case study; generative design; theory building</t>
  </si>
  <si>
    <t>OPERATIONS; INNOVATION; CONTINGENCY; DYNAMICS; FUTURE; FIT</t>
  </si>
  <si>
    <t>The benefits of additive manufacturing (AM) extend beyond the attributes of physical products and production processes they enable. Experience with AM can augment the way design is approached and can increase opportunities to pivot toward less familiar design tasks. We begin this qualitative study with a natural experiment made possible by an exogenous shock: the COVID-19 pandemic. Through a three-stage case study approach using a grounded theory-building method, we contrast AM usage among a set of firms, half of which pivoted their resources away from their traditional production and toward a response to this shock. We engage in an abductive reasoning approach to consider common threads in AM capabilities that facilitated this pivoting. Our analyses suggest that the advanced use of generative design (GD), a category of computational technologies enabling novel and optimized design, is a critical attribute of these firms that ended up pivoting to make COVID-related products. Specifically, firms with experience applying this capability demonstrated a unique ability to pivot during this shock and emphasized their valuation of AM-enabled agility. We revisited these firms 2 years after initial contact and found that GD was associated with higher levels of innovation and was largely viewed by designers as a mechanism driving double-loop learning. Overall, our study provides insights into the symbiosis between human and artificially intelligent GD, and the role of such symbiosis in advancing AM capabilities.</t>
  </si>
  <si>
    <t>[Bendoly, Elliot] Ohio State Univ, Operat &amp; Business Analyt Dept, Columbus, OH USA; [Chandrasekaran, Aravind] Ohio State Univ, Operat &amp; Business Analyt, Fisher Coll Business, Columbus, OH USA; [Lima, Mateus do Rego Ferreira] Ohio State Univ, Operat Management, Fisher Coll Business, Columbus, OH USA; [Handfield, Robert] North Carolina State Univ, Supply Chain Management, Raleigh, NC USA; [Khajavi, Siavash H.] Aalto Univ, Dept Ind Engn &amp; Management, Espoo, Finland; [Roscoe, Samuel] Univ British Columbia, Vancouver, BC, Canada; [Bendoly, Elliot] Ohio State Univ, Columbus, OH 43210 USA</t>
  </si>
  <si>
    <t>University System of Ohio; Ohio State University; University System of Ohio; Ohio State University; University System of Ohio; Ohio State University; North Carolina State University; Aalto University; University of British Columbia; University System of Ohio; Ohio State University</t>
  </si>
  <si>
    <t>Bendoly, E (corresponding author), Ohio State Univ, Columbus, OH 43210 USA.</t>
  </si>
  <si>
    <t>bendoly.2@osu.edu</t>
  </si>
  <si>
    <t>Khajavi, Siavash Haghighat/H-5187-2018; Handfield, Robert/D-3200-2015; Bendoly, Elliot/D-7865-2015</t>
  </si>
  <si>
    <t>Handfield, Robert/0000-0003-3895-1955; Bendoly, Elliot/0000-0002-0158-8403</t>
  </si>
  <si>
    <t>The authors would like to acknowledge Ed Herderick (Center for Design and Manufacturing Excellence) and James McGuffin-Cawley (CWRU), who were instrumental in facilitating connections to industry and interpreting use cases.</t>
  </si>
  <si>
    <t>0011-7315</t>
  </si>
  <si>
    <t>1540-5915</t>
  </si>
  <si>
    <t>DECISION SCI</t>
  </si>
  <si>
    <t>Decis. Sci.</t>
  </si>
  <si>
    <t>2023 OCT 28</t>
  </si>
  <si>
    <t>10.1111/deci.12619</t>
  </si>
  <si>
    <t>W3PK3</t>
  </si>
  <si>
    <t>WOS:001090779300001</t>
  </si>
  <si>
    <t>Saadi, JI; Yang, MC</t>
  </si>
  <si>
    <t>Saadi, Jana I.; Yang, Maria C.</t>
  </si>
  <si>
    <t>Generative Design: Reframing the Role of the Designer in Early-Stage Design Process</t>
  </si>
  <si>
    <t>JOURNAL OF MECHANICAL DESIGN</t>
  </si>
  <si>
    <t>artificial intelligence; generative design; collaborative design; design methodology; design process; product design</t>
  </si>
  <si>
    <t>Generative design tools empowered by recent advancements in artificial intelligence (AI) offer the opportunity for human designers and design tools to collaborate in new, more advanced modes throughout various stages of the product design process to facilitate the creation of higher performing and more complex products. This paper explores how the use of these generative design tools may impact the design process, designer behavior, and overall outcomes. Six in-depth interviews were conducted with practicing and student designers from different disciplines who use commercial generative design tools, detailing the design processes they followed. From a grounded theory-based analysis of the interviews, a provisional process diagram for generative design and its uses in the early-stage design process is proposed. The early stages of defining tool inputs bring about a constraint-driven process in which designers focus on the abstraction of the design problem. Designers will iterate through the inputs to improve both quantitative and qualitative metrics. The learning through iteration allows designers to gain a thorough understanding of the design problem and solution space. This can bring about creative applications of generative design tools in early-stage design to provide guidance for traditionally designed products.</t>
  </si>
  <si>
    <t>[Saadi, Jana I.; Yang, Maria C.] MIT, Dept Mech Engn, 77 Massachusetts Ave,3-449b, Cambridge, MA 02139 USA</t>
  </si>
  <si>
    <t>Saadi, JI (corresponding author), MIT, Dept Mech Engn, 77 Massachusetts Ave,3-449b, Cambridge, MA 02139 USA.</t>
  </si>
  <si>
    <t>jsaadi@mit.edu; mcyang@mit.edu</t>
  </si>
  <si>
    <t>National Science Foundation [1854833]; Operational Program for Competitiveness and Internationalisation; European Regional Development Fund (ERDF); Portuguese Foundation for Science and Technology (FTC) - MIT Portugal program</t>
  </si>
  <si>
    <t>National Science Foundation(National Science Foundation (NSF)); Operational Program for Competitiveness and Internationalisation; European Regional Development Fund (ERDF)(European Union (EU)); Portuguese Foundation for Science and Technology (FTC) - MIT Portugal program</t>
  </si>
  <si>
    <t>This research was supported in part by the National Science Foundation Award #1854833 and in part by the NewSat project. The NewSat project is co-funded by the Operational Program for Competitiveness and Internationalisation (COMPETE2020), Portugal 2020, the European Regional Development Fund (ERDF), and the Portuguese Foundation for Science and Technology (FTC) under the MIT Portugal program. Any opinions, findings, and conclusions or recommendations expressed in this material are those of the authors and do not necessarily reflect the views of the funders.</t>
  </si>
  <si>
    <t>ASME</t>
  </si>
  <si>
    <t>TWO PARK AVE, NEW YORK, NY 10016-5990 USA</t>
  </si>
  <si>
    <t>1050-0472</t>
  </si>
  <si>
    <t>1528-9001</t>
  </si>
  <si>
    <t>J MECH DESIGN</t>
  </si>
  <si>
    <t>J. Mech. Des.</t>
  </si>
  <si>
    <t>10.1115/1.4056799</t>
  </si>
  <si>
    <t>Engineering, Mechanical</t>
  </si>
  <si>
    <t>9X8EF</t>
  </si>
  <si>
    <t>WOS:000949997800003</t>
  </si>
  <si>
    <t>Castellano, G; Fanelli, N; Scaringi, R; Vessio, G</t>
  </si>
  <si>
    <t>Ciancarini, P; DiIorio , A; Hlavacs, H; Poggi, F</t>
  </si>
  <si>
    <t>Castellano, Giovanna; Fanelli, Nicola; Scaringi, Raffaele; Vessio, Gennaro</t>
  </si>
  <si>
    <t>Exploring New Frontiers at the Intersection of AI and Art</t>
  </si>
  <si>
    <t>ENTERTAINMENT COMPUTING, ICEC 2023</t>
  </si>
  <si>
    <t>22nd IFIP TC 14 International Conference on Entertainment Computing (ICEC)</t>
  </si>
  <si>
    <t>NOV 15-17, 2023</t>
  </si>
  <si>
    <t>Univ Bologna, Dept Comp Sci, Bologna, ITALY</t>
  </si>
  <si>
    <t>Int Federat Informat Proc TC 14</t>
  </si>
  <si>
    <t>Univ Bologna, Dept Comp Sci</t>
  </si>
  <si>
    <t>Computer vision; Cultural heritage; Digital humanities; Deep learning; Generative AI; Knowledge graphs</t>
  </si>
  <si>
    <t>This tutorial explores how AI advancements can enrich the understanding, enjoyment, and accessibility of art, offering new and intriguing ways to engage with artistic works (Tutorial website: https:// sites.google.com/view/aiarttutorial.).</t>
  </si>
  <si>
    <t>[Castellano, Giovanna; Fanelli, Nicola; Scaringi, Raffaele; Vessio, Gennaro] Univ Bari Aldo Moro, Dept Comp Sci, Bari, Italy</t>
  </si>
  <si>
    <t>Universita degli Studi di Bari Aldo Moro</t>
  </si>
  <si>
    <t>Vessio, G (corresponding author), Univ Bari Aldo Moro, Dept Comp Sci, Bari, Italy.</t>
  </si>
  <si>
    <t>giovanna.castellano@uniba.it; raffaele.scaringi@uniba.it; gennaro.vessio@uniba.it</t>
  </si>
  <si>
    <t>Vessio, Gennaro/AAG-9890-2019</t>
  </si>
  <si>
    <t>Vessio, Gennaro/0000-0002-0883-2691</t>
  </si>
  <si>
    <t>978-981-99-8247-9; 978-981-99-8248-6</t>
  </si>
  <si>
    <t>BW5HD</t>
  </si>
  <si>
    <t>WOS:001160614300050</t>
  </si>
  <si>
    <t>Shibata, H; Hanaoka, S; Cao, Y; Yoshikawa, M; Takenaga, T; Nomura, Y; Hayashi, N; Abe, O</t>
  </si>
  <si>
    <t>Shibata, Hisaichi; Hanaoka, Shouhei; Cao, Yang; Yoshikawa, Masatoshi; Takenaga, Tomomi; Nomura, Yukihiro; Hayashi, Naoto; Abe, Osamu</t>
  </si>
  <si>
    <t>Local Differential Privacy Image Generation Using Flow-Based Deep Generative Models</t>
  </si>
  <si>
    <t>differential privacy; deep generative models; medical images; privacy protection; database; image obfuscation</t>
  </si>
  <si>
    <t>Diagnostic radiologists need artificial intelligence (AI) for medical imaging, but access to medical images required for training in AI has become increasingly restrictive. To release and use medical images, we need an algorithm that can simultaneously protect privacy and preserve pathologies in medical images. To address this, we introduce DP-GLOW, a hybrid that combines the local differential privacy (LDP) algorithm with GLOW, one of the flow-based deep generative models. By applying a GLOW model, we disentangle the pixelwise correlation of images, which makes it difficult to protect privacy with straightforward LDP algorithms for images. Specifically, we map images to the latent vector of the GLOW model, where each element follows an independent normal distribution. We then apply the Laplace mechanism to this latent vector to achieve epsilon-LDP, which is one of the LDP algorithms. Moreover, we applied DP-GLOW to chest X-ray images to generate LDP images while preserving pathologies. The epsilon-LDP-processed chest X-ray images obtained with DP-GLOW indicate that we have obtained a powerful tool for releasing and using medical images for training AI.</t>
  </si>
  <si>
    <t>[Shibata, Hisaichi; Hanaoka, Shouhei; Takenaga, Tomomi; Abe, Osamu] Univ Tokyo Hosp, Dept Radiol, 7-3-1 Hongo,Bunkyo Ku, Tokyo 1138655, Japan; [Cao, Yang] Hokkaido Univ, Grad Sch Informat Sci &amp; Technol, Kita 14,Nishi 9,Kita Ku, Sapporo 0600814, Japan; [Yoshikawa, Masatoshi] Osaka Seikei Univ, Fac Data Sci, 1-3-7 Aikawa,Higashiyodogawa Ku, Osaka 5330007, Japan; [Nomura, Yukihiro] Chiba Univ, Ctr Frontier Med Engn, 1-33 Yayoi Cho,Inage Ku, Chiba 2638522, Japan; [Nomura, Yukihiro; Hayashi, Naoto] Univ Tokyo Hosp, Dept Computat Diagnost Radiol &amp; Prevent Med, 7-3-1 Hongo,Bunkyo Ku, Tokyo 1138655, Japan</t>
  </si>
  <si>
    <t>University of Tokyo; Hokkaido University; Chiba University; University of Tokyo</t>
  </si>
  <si>
    <t>Shibata, H (corresponding author), Univ Tokyo Hosp, Dept Radiol, 7-3-1 Hongo,Bunkyo Ku, Tokyo 1138655, Japan.</t>
  </si>
  <si>
    <t>sh@g.ecc.u-tokyo.ac.jp</t>
  </si>
  <si>
    <t>CAO, YANG/AFS-9621-2022</t>
  </si>
  <si>
    <t>CAO, YANG/0000-0002-6424-8633; Nomura, Yukihiro/0000-0001-6471-9936; Yoshikawa, Masatoshi/0000-0002-1176-700X; Abe, Osamu/0000-0002-1180-2629; Hanaoka, Shouhei/0000-0002-7496-1651; Hayashi, Naoto/0000-0003-2626-0751</t>
  </si>
  <si>
    <t>JST; HIMEDIC Inc.; Siemens Healthcare K.K.</t>
  </si>
  <si>
    <t>JST(Japan Science &amp; Technology Agency (JST)); HIMEDIC Inc.; Siemens Healthcare K.K.</t>
  </si>
  <si>
    <t>Department of Computational Diagnostic Radiology and Preventive Medicine, The University of Tokyo Hospital is sponsored by HIMEDIC Inc. and Siemens Healthcare K.K.</t>
  </si>
  <si>
    <t>10.3390/app131810132</t>
  </si>
  <si>
    <t>AN6S8</t>
  </si>
  <si>
    <t>WOS:001119190900001</t>
  </si>
  <si>
    <t>Gwon, H; Ahn, I; Kim, Y; Kang, HJ; Seo, H; Choi, H; Cho, HN; Kim, M; Han, JY; Kee, G; Park, S; Lee, KH; Jun, TJ; Kim, YH</t>
  </si>
  <si>
    <t>Gwon, Hansle; Ahn, Imjin; Kim, Yunha; Kang, Hee Jun; Seo, Hyeram; Choi, Heejung; Cho, Ha Na; Kim, Minkyoung; Han, Jiye; Kee, Gaeun; Park, Seohyun; Lee, Kye Hwa; Jun, Tae Joon; Kim, Young-Hak</t>
  </si>
  <si>
    <t>LDP-GAN : Generative adversarial networks with local differential privacy for patient medical records synthesis</t>
  </si>
  <si>
    <t>Electronic medical records; Deep generative model; Privacy</t>
  </si>
  <si>
    <t>ELECTRONIC HEALTH RECORDS</t>
  </si>
  <si>
    <t>Electronic medical records(EMR) have considerable potential to advance healthcare technologies, including medical AI. Nevertheless, due to the privacy issues associated with the sharing of patient's personal information, it is difficult to sufficiently utilize them. Generative models based on deep learning can solve this problem by creating synthetic data similar to real patient data. However, the data used for training these deep learning models run into the risk of getting leaked because of malicious attacks. This means that traditional deep learning-based generative models cannot completely solve the privacy issues. Therefore, we suggested a method to prevent the leakage of training data by protecting the model from malicious attacks using local differential privacy(LDP). Our method was evaluated in terms of utility and privacy. Experimental results demonstrated that the proposed method can generate medical data with reasonable performance while protecting training data from malicious attacks.</t>
  </si>
  <si>
    <t>[Gwon, Hansle; Cho, Ha Na; Kee, Gaeun; Park, Seohyun; Lee, Kye Hwa] Asan Med Ctr, Dept Informat Med, 8 Olympicro 43gil, Seoul 05505, South Korea; [Kim, Yunha; Seo, Hyeram; Choi, Heejung; Kim, Minkyoung; Han, Jiye] Univ Ulsan, Asan Med Ctr, Asan Med Inst Convergence Sci &amp; Technol, Dept Med Sci,Coll Med, 88 Olympicro 43gil, Seoul 05505, South Korea; [Kang, Hee Jun] Asan Med Ctr, Div Cardiol, Div Pediat Cardiol, Coll Med, 88 Olympicro 43gil, Seoul 05505, South Korea; [Jun, Tae Joon] Asan Med Ctr, Asan Inst Life Sci, Big Data Res Ctr, 88 Olympicro 43gil, Seoul 05505, South Korea; [Kim, Young-Hak] Univ Ulsan, Asan Med Ctr, Dept Informat Med, Div Cardiol,Coll Med, 88 Olympicro 43gil, Seoul 05505, South Korea</t>
  </si>
  <si>
    <t>University of Ulsan; University of Ulsan</t>
  </si>
  <si>
    <t>Jun, TJ (corresponding author), Asan Med Ctr, Asan Inst Life Sci, Big Data Res Ctr, 88 Olympicro 43gil, Seoul 05505, South Korea.</t>
  </si>
  <si>
    <t>taejoon@amc.seoul.kr</t>
  </si>
  <si>
    <t>Lee, Kye Hwa/0000-0002-7593-7020</t>
  </si>
  <si>
    <t>Institute of Information &amp; communications Technology Planning &amp; Evaluation (IITP) - Korea government (MSIT) [2021-0-00982]; Korea Health Technology R&amp;D Project through the Korea Health Industry Develop-ment Institute (KHIDI) - Ministry of Health &amp; Welfare, Republic of Korea [HR21C0198]</t>
  </si>
  <si>
    <t>Institute of Information &amp; communications Technology Planning &amp; Evaluation (IITP) - Korea government (MSIT)(Institute for Information &amp; Communication Technology Planning &amp; Evaluation (IITP), Republic of KoreaMinistry of Science &amp; ICT (MSIT), Republic of Korea); Korea Health Technology R&amp;D Project through the Korea Health Industry Develop-ment Institute (KHIDI) - Ministry of Health &amp; Welfare, Republic of Korea</t>
  </si>
  <si>
    <t>This work was partially supported by Institute of Information &amp; communications Technology Planning &amp; Evaluation (IITP) grant funded by the Korea government (MSIT) (2021-0-00982, Development of the multi-center distributed intelligence reinforcement federation technol-ogy for cooperating optimal treatments, 50%) ; and by the Korea Health Technology R&amp;D Project through the Korea Health Industry Develop-ment Institute (KHIDI) , funded by the Ministry of Health &amp; Welfare, Republic of Korea (Grant Number : HR21C0198, 50%) ;.</t>
  </si>
  <si>
    <t>10.1016/j.compbiomed.2023.107738</t>
  </si>
  <si>
    <t>CK3K4</t>
  </si>
  <si>
    <t>WOS:001125105300001</t>
  </si>
  <si>
    <t>Sison, AJG; Daza, MT; Gozalo-Brizuela, R; Garrido-Merchán, EC</t>
  </si>
  <si>
    <t>Sison, Alejo Jose G.; Daza, Marco Tulio; Gozalo-Brizuela, Roberto; Garrido-Merchan, Eduardo C.</t>
  </si>
  <si>
    <t>ChatGPT: More Than a Weapon of Mass Deception Ethical Challenges and Responses from the Human-Centered Artificial Intelligence (HCAI) Perspective</t>
  </si>
  <si>
    <t>ChatGPT; generative AI; HCAI; combating disinformation; AI ethics</t>
  </si>
  <si>
    <t>AI</t>
  </si>
  <si>
    <t>This article explores the ethical problems arising from the use of ChatGPT as a kind of generative AI and suggests responses based on the Human-Centered Artificial Intelligence (HCAI) framework. The HCAI framework is appropriate because it understands technology above all as a tool to empower, augment, and enhance human agency while referring to human wellbeing as a grand challenge, thus perfectly aligning itself with ethics, the science of human flourishing. Further, HCAI provides objectives, principles, procedures, and structures for reliable, safe, and trustworthy AI which we apply to our ChatGPT assessments. The main danger ChatGPT presents is the propensity to be used as a weapon of mass deception (WMD) and an enabler of criminal activities involving deceit. We review technical specifications to better comprehend its potentials and limitations. We then suggest both technical (watermarking, styleme, detectors, and fact-checkers) and non-technical measures (terms of use, transparency, educator considerations, HITL) to mitigate ChatGPT misuse or abuse and recommend best uses (creative writing, non-creative writing, teaching and learning). We conclude with considerations regarding the role of hu mans in ensuring the proper use of ChatGPT for individual and social wellbeing.</t>
  </si>
  <si>
    <t>[Sison, Alejo Jose G.; Daza, Marco Tulio] Univ Navarra, Inst Data Sci &amp; Artificial Intelligence DATAI, Sch Econ &amp; Business Adm, Pamplona, Spain; [Daza, Marco Tulio] Univ Guadalajara, Univ Ctr Econ &amp; Adm Sci CUCEA, Informat Syst Dept, Guadalajara, Mexico; [Gozalo-Brizuela, Roberto; Garrido-Merchan, Eduardo C.] Univ Pontificia Comillas, Quantitat Methods Dept, Madrid, Spain</t>
  </si>
  <si>
    <t>University of Navarra; Universidad de Guadalajara; Comillas Pontifical University</t>
  </si>
  <si>
    <t>Daza, MT (corresponding author), Univ Navarra, Inst Data Sci &amp; Artificial Intelligence DATAI, Sch Econ &amp; Business Adm, Pamplona, Spain.</t>
  </si>
  <si>
    <t>mdazaramire@alumni.unav.es</t>
  </si>
  <si>
    <t>Daza, Marco Tulio/HPE-8057-2023; Garrido-Merchan, Eduardo C./G-1211-2016</t>
  </si>
  <si>
    <t>Daza, Marco Tulio/0000-0003-4079-0361; Sison, Alejo Jose G./0000-0003-2130-8023; Garrido-Merchan, Eduardo C./0000-0002-2695-5484</t>
  </si>
  <si>
    <t>2023 JUN 27</t>
  </si>
  <si>
    <t>10.1080/10447318.2023.2225931</t>
  </si>
  <si>
    <t>K6TY4</t>
  </si>
  <si>
    <t>WOS:001017757000001</t>
  </si>
  <si>
    <t>Romero, J; Razniewski, S</t>
  </si>
  <si>
    <t>Payne, TR; Presutti, V; Qi, G; Poveda-Villalon, M; Stoilos, G; Hollink, L; Kaoudi, Z; Cheng, G; Li, J</t>
  </si>
  <si>
    <t>Romero, Julien; Razniewski, Simon</t>
  </si>
  <si>
    <t>Mapping and Cleaning Open Commonsense Knowledge Bases with Generative Translation</t>
  </si>
  <si>
    <t>SEMANTIC WEB, ISWC 2023, PART I</t>
  </si>
  <si>
    <t>22nd International Semantic Web Conference (ISWC)</t>
  </si>
  <si>
    <t>NOV 06-10, 2023</t>
  </si>
  <si>
    <t>Create Link,Zhipu Ai,Bosch,IBM Res,Metaphacts,Google,Gesis, Leibniz Inst Social Sci,Ontotext,Ebay,Huawei,Elsevier, Journal of Artificial Intelligence,Qualco Grp,Bupsolutions</t>
  </si>
  <si>
    <t>Open Knowledge Bases; Generative Language Models; Schema Matching</t>
  </si>
  <si>
    <t>OPEN INFORMATION EXTRACTION</t>
  </si>
  <si>
    <t>Structured knowledge bases (KBs) are the backbone of many knowledge-intensive applications, and their automated construction has received considerable attention. In particular, open information extraction (OpenIE) is often used to induce structure from a text. However, although it allows high recall, the extracted knowledge tends to inherit noise from the sources and the OpenIE algorithm. Besides, OpenIE tuples contain an open-ended, non-canonicalized set of relations, making the extracted knowledge's downstream exploitation harder. In this paper, we study the problem of mapping an open KB into the fixed schema of an existing KB, specifically for the case of commonsense knowledge. We propose approaching the problem by generative translation, i.e., by training a language model to generate fixed-schema assertions from open ones. Experiments show that this approach occupies a sweet spot between traditional manual, rule-based, or classification-based canonicalization and purely generative KB construction like COMET. Moreover, it produces higher mapping accuracy than the former while avoiding the association-based noise of the latter. Code and data are available. (https://github.com/Aunsiels/GenT, julienromero.fr/data/GenT)</t>
  </si>
  <si>
    <t>[Romero, Julien] Teleom SudParis, IPParis, Palaiseau, France; [Razniewski, Simon] Bosch Ctr AI, Renningen, Germany</t>
  </si>
  <si>
    <t>Romero, J (corresponding author), Teleom SudParis, IPParis, Palaiseau, France.</t>
  </si>
  <si>
    <t>julien.romero@telecom-sudparis.eu; simon.razniewski@de.bosch.com</t>
  </si>
  <si>
    <t>Hi!Paris center; GENCI-IDRIS [2022-AD010613537]</t>
  </si>
  <si>
    <t>Hi!Paris center; GENCI-IDRIS</t>
  </si>
  <si>
    <t>This work was partially funded by the Hi!Paris center, and the experiments were performed using HPC resources from GENCI-IDRIS (Grant 2022-AD010613537).</t>
  </si>
  <si>
    <t>978-3-031-47239-8; 978-3-031-47240-4</t>
  </si>
  <si>
    <t>10.1007/978-3-031-47240-4_20</t>
  </si>
  <si>
    <t>Computer Science, Artificial Intelligence; Computer Science, Information Systems; Computer Science, Theory &amp; Methods</t>
  </si>
  <si>
    <t>BW5HL</t>
  </si>
  <si>
    <t>WOS:001160736700020</t>
  </si>
  <si>
    <t>Gude, V</t>
  </si>
  <si>
    <t>Gude, Vinayaka</t>
  </si>
  <si>
    <t>Factors Influencing ChatGpt Adoption for Product Research and Information Retrieval</t>
  </si>
  <si>
    <t>Digital marketing; product research; generative AI</t>
  </si>
  <si>
    <t>WORD-OF-MOUTH; TECHNOLOGY</t>
  </si>
  <si>
    <t>In recent months, Generative AI-based systems have become increasingly prevalent for public use. Traditionally, people use Google and other search platforms to research a product before purchasing. However, with the integration of ChatGPT into Bing and Google's announcement of BARD, these models have the potential to impact how customers search for and discover products significantly. This article aims to understand whether people will shift from traditional to Generative AI-based search engines. The research examines the factors influencing purchase decisions and the likelihood of individuals using ChatGPT instead of traditional search engines and other sources. The results indicate that gender, product knowledge, and preference for online or retail store purchases can help predict their inclination to switch to ChatGPT. The paper also discusses people's trust in Generative AI and the influence of demographic features on their attitude toward these machine learning systems.</t>
  </si>
  <si>
    <t>[Gude, Vinayaka] Texas A&amp;M Univ, Commerce, TX USA; [Gude, Vinayaka] Texas A&amp;M Univ, Mkt &amp; Business Analyt Dept, 2200 Campbell St, Commerce, TX 75428 USA</t>
  </si>
  <si>
    <t>Texas A&amp;M University System; Texas A&amp;M University System</t>
  </si>
  <si>
    <t>Gude, V (corresponding author), Texas A&amp;M Univ, Mkt &amp; Business Analyt Dept, 2200 Campbell St, Commerce, TX 75428 USA.</t>
  </si>
  <si>
    <t>vinayaka.gude@tamuc.com</t>
  </si>
  <si>
    <t>10.1080/08874417.2023.2280918</t>
  </si>
  <si>
    <t>Y8MA6</t>
  </si>
  <si>
    <t>WOS:001107734400001</t>
  </si>
  <si>
    <t>Kasturi, A; Hota, C</t>
  </si>
  <si>
    <t>Kasturi, Anirudh; Hota, Chittaranjan</t>
  </si>
  <si>
    <t>OSGAN: One-shot distributed learning using generative adversarial networks</t>
  </si>
  <si>
    <t>JOURNAL OF SUPERCOMPUTING</t>
  </si>
  <si>
    <t>Federated learning; Generative adversarial networks; Distributed learning; Communication efficiency; One-shot learning</t>
  </si>
  <si>
    <t>With the advancements in mobile technology, a large amount of data is generated by end devices, which has created a renewed interest in developing new AI-based applications for gaining insights into these data. However, most of these distributed applications need data aggregated at a central server, which has posed severe bandwidth, latency, security, and privacy issues. This paper presents OSGAN (One-Shot distributed learning algorithm using Generative Adversarial Networks), a generic framework that trains a generative adversarial network (GAN) at each client and uses GAN's generative capabilities to create sample data at the server. The server aggregates these data from various clients, builds a deep learning model and sends its parameters back to the clients in one communication round, i.e. the exchange of information between the clients and the server happens only once. In this paper, we present the design and implementation of OSGAN and evaluate its performance by comparing it with the state-of-the-art federated learning (FL) and central training algorithms for both IID and non-IID distribution of data. Our experiments on multiple datasets show that our proposed approach achieves a similar accuracy when compared with both FL and central training algorithms. Specifically, the accuracy drop with OSGAN is maintained within 2% for multiple datasets and multiple numbers of clients. Our results show that the proposed approach reduces the amount of data transfer by almost 98% when compared with federated learning and close to 80% when compared with the central learning approach thereby providing substantial benefit in terms of saving the bandwidth.</t>
  </si>
  <si>
    <t>[Kasturi, Anirudh; Hota, Chittaranjan] BITS Pilani, Comp Sci Dept, Hyderabad Campus, Hyderabad 500078, Telangana, India</t>
  </si>
  <si>
    <t>Birla Institute of Technology &amp; Science Pilani (BITS Pilani)</t>
  </si>
  <si>
    <t>Kasturi, A (corresponding author), BITS Pilani, Comp Sci Dept, Hyderabad Campus, Hyderabad 500078, Telangana, India.</t>
  </si>
  <si>
    <t>p20170403@hyderabad.bits-pilani.ac.in; hota@hyderabad.bits-pilani.ac.in</t>
  </si>
  <si>
    <t>Hota, Chittaranjan/AAV-2180-2020</t>
  </si>
  <si>
    <t>Hota, Chittaranjan/0000-0002-6031-6408</t>
  </si>
  <si>
    <t>0920-8542</t>
  </si>
  <si>
    <t>1573-0484</t>
  </si>
  <si>
    <t>J SUPERCOMPUT</t>
  </si>
  <si>
    <t>J. Supercomput.</t>
  </si>
  <si>
    <t>10.1007/s11227-023-05182-7</t>
  </si>
  <si>
    <t>Computer Science, Hardware &amp; Architecture; Computer Science, Theory &amp; Methods; Engineering, Electrical &amp; Electronic</t>
  </si>
  <si>
    <t>J3MB8</t>
  </si>
  <si>
    <t>WOS:000961860500002</t>
  </si>
  <si>
    <t>Costa, V; Lourenço, N; Correia, J; Machado, P</t>
  </si>
  <si>
    <t>Costa, Victor; Lourenco, Nuno; Correia, Joao; Machado, Penousal</t>
  </si>
  <si>
    <t>Exploring Generative Adversarial Networks for Text-to-Image Generation with Evolution Strategies</t>
  </si>
  <si>
    <t>PROCEEDINGS OF THE 2023 GENETIC AND EVOLUTIONARY COMPUTATION CONFERENCE COMPANION, GECCO 2023 COMPANION</t>
  </si>
  <si>
    <t>Genetic and Evolutionary Computation Conference (GECCO)</t>
  </si>
  <si>
    <t>JUL 15-19, 2023</t>
  </si>
  <si>
    <t>Lisbon, PORTUGAL</t>
  </si>
  <si>
    <t>Assoc Comp Machinery,ACM, Special Interest Grp Genet &amp; Evolutionary Computat</t>
  </si>
  <si>
    <t>evolution strategies; generative adversarial networks; generative models</t>
  </si>
  <si>
    <t>Text-to-image generation has achieved impressive results, featuring a variety of models trained on extensive datasets comprising text-image pairs. However, some methods depend on pre-trained models, using gradient-based approaches to update latent vectors in the latent space. In this work, we propose the use of Covariance Matrix Adaptation Evolution Strategy to explore the latent space of a Generative Adversarial Network. Our experimental study compares our approach with gradient-based and hybrid strategies, using diverse text inputs for image generation. We adapt an evaluation method that projects the generated samples into a two-dimensional grid to assess the diversity of the distribution. Results evidence that the evolutionary method produces more diverse samples across different grid regions, while the hybrid method combines gradient-based and evolutionary approaches, enhancing result quality.</t>
  </si>
  <si>
    <t>[Costa, Victor; Lourenco, Nuno; Correia, Joao; Machado, Penousal] Univ Coimbra, CISUC, DEI, Coimbra, Portugal</t>
  </si>
  <si>
    <t>Universidade de Coimbra</t>
  </si>
  <si>
    <t>Costa, V (corresponding author), Univ Coimbra, CISUC, DEI, Coimbra, Portugal.</t>
  </si>
  <si>
    <t>vfc@dei.uc.pt; naml@dei.uc.pt; jncor@dei.uc.pt; machado@dei.uc.pt</t>
  </si>
  <si>
    <t>Penousal Martins Machado, Fernando Jorge/A-8370-2013; Lourenco, Nuno/E-1699-2018; Correia, Joao/F-8229-2019</t>
  </si>
  <si>
    <t>Penousal Martins Machado, Fernando Jorge/0000-0002-6308-6484; Lourenco, Nuno/0000-0002-2154-0642; Costa, Victor/0000-0001-8807-8491; Correia, Joao/0000-0001-5562-1996</t>
  </si>
  <si>
    <t>Portuguese Recovery and Resilience Plan (PRR), Center for Responsible AI [C645008882-00000055]; FCT - Foundation for Science and Technology, I.P./MCTES through national funds (PIDDAC) [UIDP/00326/2020, UIDB/00326/2020]</t>
  </si>
  <si>
    <t>Portuguese Recovery and Resilience Plan (PRR), Center for Responsible AI; FCT - Foundation for Science and Technology, I.P./MCTES through national funds (PIDDAC)</t>
  </si>
  <si>
    <t>This research was supported by the Portuguese Recovery and Resilience Plan (PRR) through project C645008882-00000055, Center for Responsible AI. This work is funded by the FCT - Foundation for Science and Technology, I.P./MCTES through national funds (PIDDAC), within the scope of CISUC R&amp;D Unit - UIDB/00326/2020 or project code UIDP/00326/2020.</t>
  </si>
  <si>
    <t>979-8-4007-0120-7</t>
  </si>
  <si>
    <t>10.1145/3583133.3590549</t>
  </si>
  <si>
    <t>BW2KQ</t>
  </si>
  <si>
    <t>WOS:001117972600090</t>
  </si>
  <si>
    <t>Hwang, U; Kim, SW; Jung, D; Kim, S; Lee, H; Seo, SW; Seong, JK; Yoon, S</t>
  </si>
  <si>
    <t>Hwang, Uiwon; Kim, Sung-Woo; Jung, Dahuin; Kim, SeungWook; Lee, Hyejoo; Seo, Sang Won; Seong, Joon-Kyung; Yoon, Sungroh</t>
  </si>
  <si>
    <t>Alzheimer's Dis Neuroimaging Initi</t>
  </si>
  <si>
    <t>Real-world prediction of preclinical Alzheimer's disease with a deep generative model</t>
  </si>
  <si>
    <t>ARTIFICIAL INTELLIGENCE IN MEDICINE</t>
  </si>
  <si>
    <t>Deep generative models; Preclinical Alzheimer's disease; Real-world classification; Explainable AI</t>
  </si>
  <si>
    <t>HIPPOCAMPAL ATROPHY; NEURAL-NETWORKS; PROGRESSION; NEURODEGENERATION; FUSION; TAU; SEX</t>
  </si>
  <si>
    <t>Amyloid positivity is an early indicator of Alzheimer's disease and is necessary to determine the disease. In this study, a deep generative model is utilized to predict the amyloid positivity of cognitively normal individuals using proxy measures, such as structural MRI scans, demographic variables, and cognitive scores, instead of invasive direct measurements. Through its remarkable efficacy in handling imperfect datasets caused by missing data or labels, and imbalanced classes, the model outperforms previous studies and widely used machine learning approaches with an AUROC of 0.8609. Furthermore, this study illuminates the model's adaptability to diverse clinical scenarios, even when feature sets or diagnostic criteria differ from the training data. We identify the brain regions and variables that contribute most to classification, including the lateral occipital lobes, posterior temporal lobe, and APOE epsilon 4 allele. Taking advantage of deep generative models, our approach can not only provide inexpensive, non-invasive, and accurate diagnostics for preclinical Alzheimer's disease, but also meet real-world requirements for clinical translation of a deep learning model, including transferability and interpretability.</t>
  </si>
  <si>
    <t>[Hwang, Uiwon] Yonsei Univ, Div Digital Healthcare, Wonju 26493, South Korea; [Kim, Sung-Woo; Kim, SeungWook] Korea Univ, Dept Bioconvergence Engn, Seoul 02841, South Korea; [Jung, Dahuin; Yoon, Sungroh] Seoul Natl Univ, Dept Elect &amp; Comp Engn, Seoul 08826, South Korea; [Lee, Hyejoo; Seo, Sang Won] Sungkyunkwan Univ, Samsung Med Ctr, Sch Med, Dept Neurol, Seoul 06351, South Korea; [Lee, Hyejoo; Seo, Sang Won] Samsung Med Ctr, Neurosci Ctr, Seoul 06351, South Korea; [Seong, Joon-Kyung] Korea Univ, Dept Artificial Intelligence, Seoul 02841, South Korea; [Seong, Joon-Kyung] Korea Univ, Sch Biomed Engn, Seoul 02841, South Korea; [Seong, Joon-Kyung] Korea Univ, Coll Hlth Sci, Interdisciplinary Program Precis Publ Hlth, Seoul 02841, South Korea; [Yoon, Sungroh; Alzheimer's Dis Neuroimaging Initi] Seoul Natl Univ, Interdisciplinary Program Artificial Intelligence, Seoul 08826, South Korea</t>
  </si>
  <si>
    <t>Yonsei University; Korea University; Seoul National University (SNU); Sungkyunkwan University (SKKU); Samsung Medical Center; Sungkyunkwan University (SKKU); Samsung Medical Center; Korea University; Korea University; Korea University; Seoul National University (SNU)</t>
  </si>
  <si>
    <t>Yoon, S (corresponding author), Seoul Natl Univ, Dept Elect &amp; Comp Engn, Seoul 08826, South Korea.;Seong, JK (corresponding author), Korea Univ, Dept Artificial Intelligence, Seoul 02841, South Korea.;Seong, JK (corresponding author), Korea Univ, Sch Biomed Engn, Seoul 02841, South Korea.;Seong, JK (corresponding author), Korea Univ, Coll Hlth Sci, Interdisciplinary Program Precis Publ Hlth, Seoul 02841, South Korea.;Yoon, S (corresponding author), Seoul Natl Univ, Interdisciplinary Program Artificial Intelligence, Seoul 08826, South Korea.</t>
  </si>
  <si>
    <t>jkseong@korea.ac.kr; sryoon@snu.ac.kr</t>
  </si>
  <si>
    <t>Hwang, Uiwon/0000-0001-5054-2236</t>
  </si>
  <si>
    <t>National Research Foundation of Korea (NRF) - Korea government (MSIT) [2022R1A5A708390811, 2021-0-01343]; BK21 FOUR program of the Education and Research Program for Future ICT Pioneers, Seoul National University; Institute of Information &amp; communications Technology Planning &amp; Evaluation (IITP) - Korea government (MSIT) [2022R1A3B1077720]; NRF - Ministry of Science and ICT (MSIT) of the Korea government [2023R1A2C2006201]</t>
  </si>
  <si>
    <t>National Research Foundation of Korea (NRF) - Korea government (MSIT)(National Research Foundation of KoreaMinistry of Science, ICT &amp; Future Planning, Republic of KoreaMinistry of Science &amp; ICT (MSIT), Republic of Korea); BK21 FOUR program of the Education and Research Program for Future ICT Pioneers, Seoul National University; Institute of Information &amp; communications Technology Planning &amp; Evaluation (IITP) - Korea government (MSIT)(Institute for Information &amp; Communication Technology Planning &amp; Evaluation (IITP), Republic of KoreaMinistry of Science &amp; ICT (MSIT), Republic of Korea); NRF - Ministry of Science and ICT (MSIT) of the Korea government(National Research Foundation of KoreaMinistry of Science &amp; ICT (MSIT), Republic of Korea)</t>
  </si>
  <si>
    <t>This research was supported by the National Research Foundation of Korea (NRF) grant funded by the Korea government (MSIT) (No. 2022R1A3B1077720); the BK21 FOUR program of the Education and Research Program for Future ICT Pioneers, Seoul National University in 2023; Institute of Information &amp; communications Technology Planning &amp; Evaluation (IITP) grant funded by the Korea government (MSIT) (NO.2021-0-01343, Artificial Intelligence Graduate School Program (Seoul National University) ); and the National Research Foundation of Korea (NRF) grant funded by the Korea government (MSIT) (No. 2022R1A5A708390811). This research was also supported by the NRF grant funded by the Ministry of Science and ICT (MSIT) of the Korea government (No. 2023R1A2C2006201) .</t>
  </si>
  <si>
    <t>0933-3657</t>
  </si>
  <si>
    <t>1873-2860</t>
  </si>
  <si>
    <t>ARTIF INTELL MED</t>
  </si>
  <si>
    <t>Artif. Intell. Med.</t>
  </si>
  <si>
    <t>10.1016/j.artmed.2023.102654</t>
  </si>
  <si>
    <t>Computer Science, Artificial Intelligence; Engineering, Biomedical; Medical Informatics</t>
  </si>
  <si>
    <t>Computer Science; Engineering; Medical Informatics</t>
  </si>
  <si>
    <t>U3IM5</t>
  </si>
  <si>
    <t>WOS:001083768800001</t>
  </si>
  <si>
    <t>Tam, W; Huynh, T; Tang, A; Luong, S; Khatri, Y; Zhou, W</t>
  </si>
  <si>
    <t>Tam, Wilson; Huynh, Tom; Tang, Arthur; Luong, Stanley; Khatri, Yunus; Zhou, Wentao</t>
  </si>
  <si>
    <t>Nursing education in the age of artificial intelligence powered Chatbots (AI-Chatbots): Are we ready yet?</t>
  </si>
  <si>
    <t>NURSE EDUCATION TODAY</t>
  </si>
  <si>
    <t>Nursing education; AI-Chatbot; ChatGPT; Artificial intelligence</t>
  </si>
  <si>
    <t>This article discusses the challenges and implications of artificial intelligence powered chatbot (AI-Chatbots) in nursing education. Chat Generative Pre-trained Transformer (ChatGPT) is an AI-Chatbot that can engage in detailed dialog and pass qualification tests in various fields. It can be applied for drafting course materials and administrative paperwork. Students can use it for personalized self-paced learning. AI-Chatbot technology can be applied in problem-based learning for hands-on practice experiences. There are concerns about over-reliance on the technology, including issues with plagiarism and limiting critical thinking skills. Educators must provide clear guidelines on appropriate use and emphasize the importance of critical thinking and proper citation. Educators must proactively adjust their curricula and pedagogy. AI-Chatbot technology could transform the nursing profession by aiding and streamlining administrative tasks, allowing nurses to focus on patient care. The use of AI-Chatbots to socially assist patients and for therapeutic purposes in mental health shows promise in improving well-being of patients, and potentially easing shortage and burnout for healthcare workers. AI-Chatbots can help nursing students and researchers to overcome technical barriers in nursing informatics, increasing accessibility for individuals without technical background. AI-Chatbot technology has potential in easing tasks for nurses, improving patient care, and enhancing nursing education.</t>
  </si>
  <si>
    <t>[Tam, Wilson; Zhou, Wentao] Natl Univ Singapore, Alice Lee Ctr Nursing Studies, Singapore, Singapore; [Huynh, Tom; Tang, Arthur; Luong, Stanley; Khatri, Yunus] RMIT Univ, Sch Sci Engn &amp; Technol, Melbourne, Vietnam; [Tang, Arthur] RMIT Univ, Sch Sci Engn &amp; Technol, 702 Nguyen Linh Blvd Dist 7, Ho Chi Minh City, Vietnam</t>
  </si>
  <si>
    <t>National University of Singapore; Royal Melbourne Institute of Technology (RMIT); Royal Melbourne Institute of Technology (RMIT)</t>
  </si>
  <si>
    <t>Tang, A (corresponding author), RMIT Univ, Sch Sci Engn &amp; Technol, 702 Nguyen Linh Blvd Dist 7, Ho Chi Minh City, Vietnam.</t>
  </si>
  <si>
    <t>arthur.tang@rmit.edu.vn</t>
  </si>
  <si>
    <t>Tang, Arthur/JCN-7377-2023</t>
  </si>
  <si>
    <t>Luong, Stanley/0000-0002-3303-2979</t>
  </si>
  <si>
    <t>CHURCHILL LIVINGSTONE</t>
  </si>
  <si>
    <t>JOURNAL PRODUCTION DEPT, ROBERT STEVENSON HOUSE, 1-3 BAXTERS PLACE, LEITH WALK, EDINBURGH EH1 3AF, MIDLOTHIAN, SCOTLAND</t>
  </si>
  <si>
    <t>0260-6917</t>
  </si>
  <si>
    <t>1532-2793</t>
  </si>
  <si>
    <t>NURS EDUC TODAY</t>
  </si>
  <si>
    <t>Nurse Educ. Today</t>
  </si>
  <si>
    <t>10.1016/j.nedt.2023.105917</t>
  </si>
  <si>
    <t>Education, Scientific Disciplines; Nursing</t>
  </si>
  <si>
    <t>Education &amp; Educational Research; Nursing</t>
  </si>
  <si>
    <t>P5DG5</t>
  </si>
  <si>
    <t>WOS:001050869000001</t>
  </si>
  <si>
    <t>Carmody, S; John, D</t>
  </si>
  <si>
    <t>Carmody, Sean; John, Deepu</t>
  </si>
  <si>
    <t>On Generating Synthetic Histopathology Images Using Generative Adversarial Networks</t>
  </si>
  <si>
    <t>2023 34TH IRISH SIGNALS AND SYSTEMS CONFERENCE, ISSC</t>
  </si>
  <si>
    <t>Irish Signals and Systems Conference</t>
  </si>
  <si>
    <t>34th Irish Signals and Systems Conference (ISSC)</t>
  </si>
  <si>
    <t>JUN 13-14, 2023</t>
  </si>
  <si>
    <t>Dublin, IRELAND</t>
  </si>
  <si>
    <t>IEEE United Kingdom &amp; Ireland Sect Circuits &amp; Syst Chapter,IEEE Intelligence Chapter,IEEE Signal Proc Chapter</t>
  </si>
  <si>
    <t>Artificial Intelligence; Generative Adversarial Networks; Progressive GAN; StyleGAN; Digital Pathology; Histopathology</t>
  </si>
  <si>
    <t>Interest has been growing over the past number of years in the application of Artificial Intelligence (AI) to aid in cancer diagnosis. However, the requirement for extensive training data to train these AI models presents a significant challenge. This paper proposes a viable solution to this issue by synthesising images to augment the real data in the training dataset. We investigate the potential of Generative Adversarial Networks (GANs) in generating high-quality tissue images for both colon and prostate. The datasets we use are from the TCGA repository and contain various cancerous diseases for both colon and prostate. We outline how the data was pre-processed, and quality controlled and we also delineate the relevant experiments applied. We apply some of the most recent GAN architectures in ProGAN and StyleGAN to generate synthetic colon tissue images, achieving a literature-high Fr ' echet Inception Score (FID) score of 6.019 for colon tissue images and an FID score of 3.03 for prostate tissue images. Notably, the synthetic images produced were deemed indistinguishable from real samples when assessed by a practicing consultant histopathologist. By addressing the challenge of limited training data, our approach could ultimately contribute to earlier detection and improved treatment outcomes for cancer patients worldwide.</t>
  </si>
  <si>
    <t>[Carmody, Sean; John, Deepu] Univ Coll Dublin, Sch Elect &amp; Elect Engn, Dublin, Ireland</t>
  </si>
  <si>
    <t>Carmody, S (corresponding author), Univ Coll Dublin, Sch Elect &amp; Elect Engn, Dublin, Ireland.</t>
  </si>
  <si>
    <t>sean.carmody@ucdconnect.ie; deepu.john@ucd.ie</t>
  </si>
  <si>
    <t>John, Deepu/0000-0002-6139-1100</t>
  </si>
  <si>
    <t>2688-1446</t>
  </si>
  <si>
    <t>2688-1454</t>
  </si>
  <si>
    <t>979-8-3503-4057-0</t>
  </si>
  <si>
    <t>IR SIG SYST CON</t>
  </si>
  <si>
    <t>10.1109/ISSC59246.2023.10162094</t>
  </si>
  <si>
    <t>BV4BE</t>
  </si>
  <si>
    <t>WOS:001027141000040</t>
  </si>
  <si>
    <t>Salah, M; Abdelfattah, F; Halbusi, HA; Mohammed, M</t>
  </si>
  <si>
    <t>Salah, Mohammed; Abdelfattah, Fadi; Halbusi, Hussam Al; Mohammed, Muna</t>
  </si>
  <si>
    <t>Beyond the Death of Research: Reimagining the Human-AI Collaboration in Scientific Research</t>
  </si>
  <si>
    <t>CHANGING SOCIETIES &amp; PERSONALITIES</t>
  </si>
  <si>
    <t>Artificial Intelligence; human intelligence; research evolution; ethical conduct; human behavior; Generative AI; ChatGPT; Bard</t>
  </si>
  <si>
    <t>ARTIFICIAL-INTELLIGENCE; IMPACT</t>
  </si>
  <si>
    <t>The prevailing narrative of AI rendering research obsolete overlooks its immense potential as a collaborative tool with the capacity to revolutionize scientific exploration. This paper critically examines the relationship between AI and human intelligence, advocating for a synergistic approach that harnesses the unique strengths of both. By weaving AI's computational prowess with human creativity, ethical reasoning, and contextual understanding, we can unlock unprecedented avenues for discovery and innovation across diverse research fields. This paper delves into the intricate interplay between AI and human intelligence, meticulously examining their strengths, limitations, and potential for collaborative synergy. It underscores the critical role of human judgment in ensuring ethical and responsible research practices, emphasizing the need for a robust philosophical and ethical framework to guide the integration of AI. Instead of succumbing to the fear of the death of research, this paper presents a compelling vision of a future with AI as a powerful tool to augment human capabilities. This symbiotic</t>
  </si>
  <si>
    <t>[Salah, Mohammed; Abdelfattah, Fadi; Mohammed, Muna] Modern Coll Business &amp; Sci MCBS, Muscat, Oman; [Halbusi, Hussam Al] Ahmed Bin Mohammed Mil Coll ABMMC, Doha, Qatar</t>
  </si>
  <si>
    <t>Salah, M (corresponding author), Modern Coll Business &amp; Sci MCBS, Muscat, Oman.</t>
  </si>
  <si>
    <t>; Abdelfattah, Fadi/L-7441-2014</t>
  </si>
  <si>
    <t>Salah, Mohammed/0000-0002-1742-2790; Abdelfattah, Fadi/0000-0002-4665-4777</t>
  </si>
  <si>
    <t>URAL FEDERAL UNIV PUBLISHING CENTER</t>
  </si>
  <si>
    <t>YEKATERINBURG</t>
  </si>
  <si>
    <t>4, TURGENEV ST, YEKATERINBURG, 620000, RUSSIA</t>
  </si>
  <si>
    <t>2587-6104</t>
  </si>
  <si>
    <t>2587-8964</t>
  </si>
  <si>
    <t>CHANG SOC PERSONAL</t>
  </si>
  <si>
    <t>Chang. Soc. Pers.</t>
  </si>
  <si>
    <t>10.15826/csp.2023.7.4.250</t>
  </si>
  <si>
    <t>KX2E9</t>
  </si>
  <si>
    <t>WOS:001183189300004</t>
  </si>
  <si>
    <t>Miller, EJ; Steward, B; Witkower, Z; Sutherland, CAM; Krumhuber, EG; Dawel, A</t>
  </si>
  <si>
    <t>Miller, Elizabeth J.; Steward, Ben A.; Witkower, Zak; Sutherland, Clare A. M.; Krumhuber, Eva G.; Dawel, Amy</t>
  </si>
  <si>
    <t>AI Hyperrealism: Why AI Faces Are Perceived as More Real Than Human Ones</t>
  </si>
  <si>
    <t>PSYCHOLOGICAL SCIENCE</t>
  </si>
  <si>
    <t>artificial intelligence; face perception; face-space theory; generative adversarial network; StyleGAN2</t>
  </si>
  <si>
    <t>CONFIDENCE; RACE</t>
  </si>
  <si>
    <t>Recent evidence shows that AI-generated faces are now indistinguishable from human faces. However, algorithms are trained disproportionately on White faces, and thus White AI faces may appear especially realistic. In Experiment 1 (N = 124 adults), alongside our reanalysis of previously published data, we showed that White AI faces are judged as human more often than actual human faces-a phenomenon we term AI hyperrealism. Paradoxically, people who made the most errors in this task were the most confident (a Dunning-Kruger effect). In Experiment 2 (N = 610 adults), we used face-space theory and participant qualitative reports to identify key facial attributes that distinguish AI from human faces but were misinterpreted by participants, leading to AI hyperrealism. However, the attributes permitted high accuracy using machine learning. These findings illustrate how psychological theory can inform understanding of AI outputs and provide direction for debiasing AI algorithms, thereby promoting the ethical use of AI.</t>
  </si>
  <si>
    <t>[Miller, Elizabeth J.; Steward, Ben A.; Dawel, Amy] Australian Natl Univ, Sch Med &amp; Psychol, Canberra, Australia; [Witkower, Zak] Univ Toronto, Dept Psychol, Toronto, ON, Canada; [Sutherland, Clare A. M.] Univ Aberdeen, Kings Coll, Sch Psychol, Aberdeen, Scotland; [Sutherland, Clare A. M.] Univ Western Australia, Sch Psychol Sci, Perth, Australia; [Krumhuber, Eva G.] UCL, Dept Expt Psychol, London, England</t>
  </si>
  <si>
    <t>Australian National University; University of Toronto; University of Aberdeen; University of Western Australia; University of London; University College London</t>
  </si>
  <si>
    <t>Dawel, A (corresponding author), Australian Natl Univ, Sch Med &amp; Psychol, Canberra, Australia.</t>
  </si>
  <si>
    <t>amy.dawel@anu.edu.au</t>
  </si>
  <si>
    <t>Sutherland, Clare AM/P-9959-2016; Dawel, Amy/AAY-2083-2020</t>
  </si>
  <si>
    <t>Dawel, Amy/0000-0001-6668-3121; Miller, Elizabeth/0000-0003-2572-6134; Sutherland, Clare/0000-0003-0443-3412; Steward, Ben Albert/0000-0002-7517-9215; Witkower, Zachary/0000-0002-6767-9834</t>
  </si>
  <si>
    <t>We thank Sophie J. Nightingale and Hany Farid for providing open access to their stimuli and data.</t>
  </si>
  <si>
    <t>0956-7976</t>
  </si>
  <si>
    <t>1467-9280</t>
  </si>
  <si>
    <t>PSYCHOL SCI</t>
  </si>
  <si>
    <t>Psychol. Sci.</t>
  </si>
  <si>
    <t>10.1177/09567976231207095</t>
  </si>
  <si>
    <t>CR1P3</t>
  </si>
  <si>
    <t>WOS:001100739100001</t>
  </si>
  <si>
    <t>Xie, WJ; Liu, DL; Wang, XY; Zhang, AX; Wei, QJ; Nandi, A; Dong, SW; Warshel, A</t>
  </si>
  <si>
    <t>Xie, Wen Jun; Liu, Dangliang; Wang, Xiaoya; Zhang, Aoxuan; Wei, Qijia; Nandi, Ashim; Dong, Suwei; Warshel, Arieh</t>
  </si>
  <si>
    <t>Enhancing luciferase activity and stability through generative modeling of natural enzyme sequences</t>
  </si>
  <si>
    <t>PROCEEDINGS OF THE NATIONAL ACADEMY OF SCIENCES OF THE UNITED STATES OF AMERICA</t>
  </si>
  <si>
    <t>generative model; enzyme design; enzyme catalysis; natural evolution; mutation effects</t>
  </si>
  <si>
    <t>BIOLUMINESCENCE; EVOLUTION</t>
  </si>
  <si>
    <t>The availability of natural protein sequences synergized with generative AI provides new paradigms to engineer enzymes. Although active enzyme variants with numerous mutations have been designed using generative models, their performance often falls short of their wild type counterparts. Additionally, in practical applications, choosing fewer mutations that can rival the efficacy of extensive sequence alterations is usually more advantageous. Pinpointing beneficial single mutations continues to be a formidable task. In this study, using the generative maximum entropy model to analyze Renilla luciferase (RLuc) homologs, and in conjunction with biochemistry experiments, we demonstrated that natural evolutionary information could be used to predictively improve enzyme activity and stability by engineering the active center and protein scaffold, respectively. The success rate to improve either luciferase activity or stability of designed single mutants is similar to 50%. This finding highlights nature's ingenious approach to evolving proficient enzymes, wherein diverse evolutionary pressures are preferentially applied to distinct regions of the enzyme, ultimately culminating in an overall high performance. We also reveal an evolutionary preference in RLuc toward emitting blue light that holds advantages in terms of water penetration compared to other light spectra. Taken together, our approach facilitates navigation through enzyme sequence space and offers effective strategies for computer -aided rational enzyme engineering.</t>
  </si>
  <si>
    <t>[Xie, Wen Jun; Zhang, Aoxuan; Nandi, Ashim; Warshel, Arieh] Univ Southern Calif, Dept Chem, Los Angeles, CA 90089 USA; [Xie, Wen Jun] Univ Florida, Genet Inst, Ctr Nat Prod Drug Discovery &amp; Dev, Dept Med Chem, Gainesville, FL 32610 USA; [Liu, Dangliang; Wang, Xiaoya; Wei, Qijia; Dong, Suwei] Peking Univ, Chem Biol Ctr, Sch Pharmaceut Sci, State Key Lab Nat &amp; Biomimet Drugs, Beijing 100191, Peoples R China</t>
  </si>
  <si>
    <t>University of Southern California; State University System of Florida; University of Florida; Peking University</t>
  </si>
  <si>
    <t>Dong, SW (corresponding author), Peking Univ, Chem Biol Ctr, Sch Pharmaceut Sci, State Key Lab Nat &amp; Biomimet Drugs, Beijing 100191, Peoples R China.</t>
  </si>
  <si>
    <t>dongsw@pku.edu.cn</t>
  </si>
  <si>
    <t>Nandi, Ashim/0000-0002-1090-7664; Liu, Dangliang/0000-0001-6598-8871</t>
  </si>
  <si>
    <t>NIH [R35 GM122472]; NSF [MCB 1707167]; National Natural Science Foundation of China [22177004, 92153301]; University of Florida; High Performance Computing and Communication Center at the University of Southern California</t>
  </si>
  <si>
    <t>NIH(United States Department of Health &amp; Human ServicesNational Institutes of Health (NIH) - USA); NSF(National Science Foundation (NSF)); National Natural Science Foundation of China(National Natural Science Foundation of China (NSFC)); University of Florida(University of Florida); High Performance Computing and Communication Center at the University of Southern California</t>
  </si>
  <si>
    <t>A.W. is supported by the NIH R35 GM122472 and the NSF Grant MCB 1707167. S.D. is supported by the National Natural Science Foundation of China (Nos. 22177004 and 92153301) . W.J.X. is supported by the startup funding from University of Florida. We thank the High Performance Computing and Communication Center at the University of Southern California and the HiPerGator at the University of Florida for providing computational resources. We thank Tianmin Fu, Marc Chevrette, Zhenghan Liao, and Xiaoyu Chen for their insightful discussions.</t>
  </si>
  <si>
    <t>NATL ACAD SCIENCES</t>
  </si>
  <si>
    <t>2101 CONSTITUTION AVE NW, WASHINGTON, DC 20418 USA</t>
  </si>
  <si>
    <t>0027-8424</t>
  </si>
  <si>
    <t>1091-6490</t>
  </si>
  <si>
    <t>P NATL ACAD SCI USA</t>
  </si>
  <si>
    <t>Proc. Natl. Acad. Sci. U. S. A.</t>
  </si>
  <si>
    <t>e2312848120</t>
  </si>
  <si>
    <t>10.1073/pnas.2312848120</t>
  </si>
  <si>
    <t>CW0M4</t>
  </si>
  <si>
    <t>WOS:001128154400012</t>
  </si>
  <si>
    <t>Gong, CW; Jing, CH; Liu, XA; Wang, VX; Tang, CY; Kenny, PJ; Li, Y; Chen, ZX; Wang, SQ</t>
  </si>
  <si>
    <t>Gong, Changwei; Jing, Changhong; Liu, Xin-an; Wang, Victoria X.; Tang, Cheuk Ying; Kenny, Paul J.; Li, Ye; Chen, Zuxin; Wang, Shuqiang</t>
  </si>
  <si>
    <t>Generative artificial intelligence-enabled dynamic detection of rat nicotine-related circuits</t>
  </si>
  <si>
    <t>NEURAL COMPUTING &amp; APPLICATIONS</t>
  </si>
  <si>
    <t>Generative model; Contrastive learning; Graph representation; Neural circuits detection; Functional brain networks</t>
  </si>
  <si>
    <t>ADDICTION; BRAIN; CONNECTIVITY; ASSOCIATION; SEVERITY</t>
  </si>
  <si>
    <t>Nicotine addiction circuits involve integrating specific brain regions that alter to frequent smoking. Detection of these circuits via fMRI contributes to understanding addiction-related mechanisms. Identification of the functional circuits and networks altered by nicotine is essential to improve the treatment of nicotine addiction. However, analyzing fMRI data and detecting functional addiction circuits still have challenges. In this work, we developed a generative AI-enabled framework, rat addiction-related circuits detection platform (RADP), to detect nicotine-related circuits. It has an end-to-end pipeline: functional imaging data acquisition from neurobiological experiments, computational modeling for brain networks, and a novel generative model including spatiotemporal transformer auto-encoder (STA) and dynamic circuits analysis. The proposed spatiotemporal representation contrasting trains the encoder of STA to contrastively capture representations between the addictive and the control groups. Experimental results indicate that the framework can efficiently detect the verified addiction circuits and discover the unknown but significant circuits. Moreover, RADP can be served as a general tool which can be extended to other brain circuits.</t>
  </si>
  <si>
    <t>[Gong, Changwei; Jing, Changhong; Li, Ye; Wang, Shuqiang] Chinese Acad Sci, Shenzhen Inst Adv Technol, Shenzhen 518055, Peoples R China; [Liu, Xin-an; Chen, Zuxin] Chinese Acad Sci, Brain Cognit &amp; Brain Dis Inst, Shenzhen Inst Adv Technol, Shenzhen Key Lab Drug Addict, Shenzhen 518055, Peoples R China; [Liu, Xin-an; Chen, Zuxin] Shenzhen Fundamental Res Inst, Shenzhen Hong Kong Inst Brain Sci, Shenzhen 518055, Peoples R China; [Wang, Victoria X.; Tang, Cheuk Ying] Icahn Sch Med Mt Sinai, Dept Radiol, Translat &amp; Mol Imaging Inst, New York, NY 10029 USA; [Kenny, Paul J.] Icahn Sch Med Mt Sinai, Nash Family Dept Neurosci, New York, NY 10029 USA</t>
  </si>
  <si>
    <t>Chinese Academy of Sciences; Shenzhen Institute of Advanced Technology, CAS; Chinese Academy of Sciences; Shenzhen Institute of Advanced Technology, CAS; Icahn School of Medicine at Mount Sinai; Icahn School of Medicine at Mount Sinai</t>
  </si>
  <si>
    <t>Wang, SQ (corresponding author), Chinese Acad Sci, Shenzhen Inst Adv Technol, Shenzhen 518055, Peoples R China.;Chen, ZX (corresponding author), Chinese Acad Sci, Brain Cognit &amp; Brain Dis Inst, Shenzhen Inst Adv Technol, Shenzhen Key Lab Drug Addict, Shenzhen 518055, Peoples R China.;Chen, ZX (corresponding author), Shenzhen Fundamental Res Inst, Shenzhen Hong Kong Inst Brain Sci, Shenzhen 518055, Peoples R China.</t>
  </si>
  <si>
    <t>zx.chen3@siat.ac.cn; sq.wang@siat.ac.cn</t>
  </si>
  <si>
    <t>National Natural Science Foundation of China [62172403]; National Natural Science Foundations of China [2021B1515020019]; Distinguished Young Scholars Fund of Guangdong [JCYJ20200109115641762]; Shenzhen Key Basic Research Projects [RCYX20200714114641211]; Excellent Young Scholars of Shenzhen</t>
  </si>
  <si>
    <t>National Natural Science Foundation of China(National Natural Science Foundation of China (NSFC)); National Natural Science Foundations of China(National Natural Science Foundation of China (NSFC)); Distinguished Young Scholars Fund of Guangdong; Shenzhen Key Basic Research Projects; Excellent Young Scholars of Shenzhen</t>
  </si>
  <si>
    <t>This work was supported by the National Natural Science Foundations of China under Grants 62172403, the Distinguished Young Scholars Fund of Guangdong under Grant 2021B1515020019, Shenzhen Key Basic Research Projects under Grant JCYJ20200109115641762 and the Excellent Young Scholars of Shenzhen under Grant RCYX20200714114641211.</t>
  </si>
  <si>
    <t>SPRINGER LONDON LTD</t>
  </si>
  <si>
    <t>236 GRAYS INN RD, 6TH FLOOR, LONDON WC1X 8HL, ENGLAND</t>
  </si>
  <si>
    <t>0941-0643</t>
  </si>
  <si>
    <t>1433-3058</t>
  </si>
  <si>
    <t>NEURAL COMPUT APPL</t>
  </si>
  <si>
    <t>Neural Comput. Appl.</t>
  </si>
  <si>
    <t>2023 DEC 17</t>
  </si>
  <si>
    <t>10.1007/s00521-023-09307-0</t>
  </si>
  <si>
    <t>DA1R6</t>
  </si>
  <si>
    <t>WOS:001129226900001</t>
  </si>
  <si>
    <t>Wolfe, R; Yang, YW; Howe, B; Caliskan, A</t>
  </si>
  <si>
    <t>Wolfe, Robert; Yang, Yiwei; Howe, Bill; Caliskan, Aylin</t>
  </si>
  <si>
    <t>Contrastive Language-Vision AI Models Pretrained on Web-Scraped Multimodal Data Exhibit Sexual Objectification Bias</t>
  </si>
  <si>
    <t>language-vision AI; generative AI; text-to-image generators; representation learning; AI bias; gender bias; sexualization; AI bias propagation; AI bias in applications</t>
  </si>
  <si>
    <t>SELF-OBJECTIFICATION; MENTAL-HEALTH; WOMEN; GENDER</t>
  </si>
  <si>
    <t>Nine language-vision AI models trained on web scrapes with the Contrastive Language-Image Pretraining (CLIP) objective are evaluated for evidence of a bias studied by psychologists: the sexual objectification of girls and women, which occurs when a person's human characteristics, such as emotions, are disregarded and the person is treated as a body or a collection of body parts. We replicate three experiments in the psychology literature quantifying sexual objectification and show that the phenomena persist in trained AI models. A first experiment uses standardized images of women from the Sexual OBjectification and EMotion Database, and finds that human characteristics are disassociated from images of objectified women: the model's recognition of emotional state is mediated by whether the subject is fully or partially clothed. Embedding association tests (EATs) return significant effect sizes for both anger (d &gt; 0.80) and sadness (d &gt; 0.50), associating images of fully clothed subjects with emotions. GRAD-CAM saliency maps highlight that CLIP gets distracted from emotional expressions in objectified images where subjects are partially clothed. A second experiment measures the effect in a representative application: an automatic image captioner (Antarctic Captions) includes words denoting emotion less than 50% as often for images of partially clothed women than for images of fully clothed women. A third experiment finds that images of female professionals (scientists, doctors, executives) are likely to be associated with sexual descriptions relative to images of male professionals. A fourth experiment shows that a prompt of a [age] year old girl generates sexualized images (as determined by an NSFW classifier) up to 73% of the time for VQGAN-CLIP (age 17), and up to 42% of the time for Stable Diffusion (ages 14 and 18); the corresponding rate for boys never surpasses 9%. The evidence indicates that language-vision AI models trained on automatically collected web scrapes learn biases of sexual objectification, which propagate to downstream applications.</t>
  </si>
  <si>
    <t>[Wolfe, Robert; Yang, Yiwei; Howe, Bill; Caliskan, Aylin] Univ Washington, Seattle, WA 98195 USA</t>
  </si>
  <si>
    <t>Wolfe, R (corresponding author), Univ Washington, Seattle, WA 98195 USA.</t>
  </si>
  <si>
    <t>rwolfe3@uw.edu; yanyiwei@uw.edu; billhowe@uw.edu; aylin@uw.edu</t>
  </si>
  <si>
    <t>U.S. National Institute of Standards and Technology (NIST) [60NANB20D212T]</t>
  </si>
  <si>
    <t>U.S. National Institute of Standards and Technology (NIST)(National Institute of Standards &amp; Technology (NIST) - USA)</t>
  </si>
  <si>
    <t>This material is based on research partially supported by the U.S. National Institute of Standards and Technology (NIST) Grant 60NANB20D212T. Any opinions, findings, and conclusions or recommendations expressed in this material are those of the authors and do not necessarily reflect those of NIST.</t>
  </si>
  <si>
    <t>10.1145/3593013.3594072</t>
  </si>
  <si>
    <t>WOS:001062819300101</t>
  </si>
  <si>
    <t>Chan, KCK; Xu, XY; Wang, XT; Gu, JW; Loy, CC</t>
  </si>
  <si>
    <t>Chan, Kelvin C. K.; Xu, Xiangyu; Wang, Xintao; Gu, Jinwei; Loy, Chen Change</t>
  </si>
  <si>
    <t>GLEAN: Generative Latent Bank for Image Super-Resolution and Beyond</t>
  </si>
  <si>
    <t>IEEE TRANSACTIONS ON PATTERN ANALYSIS AND MACHINE INTELLIGENCE</t>
  </si>
  <si>
    <t>Image restoration; Generative adversarial networks; Task analysis; Superresolution; Generators; Faces; Optimization; Super-resolution; colorization; restoration; generative adversarial networks; generative prior</t>
  </si>
  <si>
    <t>We show that pre-trained Generative Adversarial Networks (GANs) such as StyleGAN and BigGAN can be used as a latent bank to improve the performance of image super-resolution. While most existing perceptual-oriented approaches attempt to generate realistic outputs through learning with adversarial loss, our method, Generative LatEnt bANk (GLEAN), goes beyond existing practices by directly leveraging rich and diverse priors encapsulated in a pre-trained GAN. But unlike prevalent GAN inversion methods that require expensive image-specific optimization at runtime, our approach only needs a single forward pass for restoration. GLEAN can be easily incorporated in a simple encoder-bank-decoder architecture with multi-resolution skip connections. Employing priors from different generative models allows GLEAN to be applied to diverse categories (e.g., human faces, cats, buildings, and cars). We further present a lightweight version of GLEAN, named LightGLEAN, which retains only the critical components in GLEAN. Notably, LightGLEAN consists of only 21% of parameters and 35% of FLOPs while achieving comparable image quality. We extend our method to different tasks including image colorization and blind image restoration, and extensive experiments show that our proposed models perform favorably in comparison to existing methods. Codes and models are available at https://github.com/open-mmlab/mmediting.</t>
  </si>
  <si>
    <t>[Chan, Kelvin C. K.; Xu, Xiangyu; Loy, Chen Change] Nanyang Technol Univ NTU, S Lab, Singapore 639798, Singapore; [Wang, Xintao] Tencent PCG, Appl Res Ctr, Shenzhen 518054, Guangdong, Peoples R China; [Gu, Jinwei] Tetras AI, San Francisco, CA 94105 USA; [Gu, Jinwei] Shanghai AI Lab, Shanghai 200237, Peoples R China</t>
  </si>
  <si>
    <t>Nanyang Technological University; Shanghai Artificial Intelligence Laboratory</t>
  </si>
  <si>
    <t>Loy, CC (corresponding author), Nanyang Technol Univ NTU, S Lab, Singapore 639798, Singapore.</t>
  </si>
  <si>
    <t>chan0899@ntu.edu.sg; xiangyu.xu@ntu.edu.sg; xintao.wang@outlook.com; gujinwei@tetras.ai; ccloy@ntu.edu.sg</t>
  </si>
  <si>
    <t>Chan, Kelvin C.K./0000-0002-5456-8991; Loy, Chen Change/0000-0001-5345-1591</t>
  </si>
  <si>
    <t>RIE2020 Industry Alignment Fund Industry Collaboration Projects (IAF-ICP) Funding Initiative; NTU NAP</t>
  </si>
  <si>
    <t>This work was supported in part by RIE2020 Industry Alignment Fund Industry Collaboration Projects (IAF-ICP) Funding Initiative, in part by cash and in-kind contribution from industry partner(s), and in part by NTU NAP.</t>
  </si>
  <si>
    <t>0162-8828</t>
  </si>
  <si>
    <t>1939-3539</t>
  </si>
  <si>
    <t>IEEE T PATTERN ANAL</t>
  </si>
  <si>
    <t>IEEE Trans. Pattern Anal. Mach. Intell.</t>
  </si>
  <si>
    <t>MAR 1</t>
  </si>
  <si>
    <t>10.1109/TPAMI.2022.3186715</t>
  </si>
  <si>
    <t>Computer Science, Artificial Intelligence; Engineering, Electrical &amp; Electronic</t>
  </si>
  <si>
    <t>D1KX5</t>
  </si>
  <si>
    <t>WOS:000966390900001</t>
  </si>
  <si>
    <t>Zhu, QH; Zhang, XY; Luo, JX</t>
  </si>
  <si>
    <t>Zhu, Qihao; Zhang, Xinyu; Luo, Jianxi</t>
  </si>
  <si>
    <t>Biologically Inspired Design Concept Generation Using Generative Pre-Trained Transformers</t>
  </si>
  <si>
    <t>artificial intelligence; computer-aided design; conceptual design; creativity and concept generation; data-driven design; design automation; generative design; machine learning</t>
  </si>
  <si>
    <t>ANALOGY; BIOMIMETICS; MODEL</t>
  </si>
  <si>
    <t>Biological systems in nature have evolved for millions of years to adapt and survive the environment. Many features they developed can be inspirational and beneficial for solving technical problems in modern industries. This leads to a specific form of design-by-analogy called bio-inspired design (BID). Although BID as a design method has been proven beneficial, the gap between biology and engineering continuously hinders designers from effectively applying the method. Therefore, we explore the recent advance of artificial intelligence (AI) for a data-driven approach to bridge the gap. This paper proposes a generative design approach based on the generative pre-trained language model (PLM) to automatically retrieve and map biological analogy and generate BID in the form of natural language. The latest generative pre-trained transformer, namely generative pre-trained transformer 3 (GPT-3), is used as the base PLM. Three types of design concept generators are identified and fine-tuned from the PLM according to the looseness of the problem space representation. Machine evaluators are also fine-tuned to assess the mapping relevancy between the domains within the generated BID concepts. The approach is evaluated and then employed in a real-world project of designing light-weighted flying cars during its conceptual design phase The results show our approach can generate BID concepts with good performance.</t>
  </si>
  <si>
    <t>[Zhu, Qihao] Singapore Univ Technol &amp; Design, Engn Prod Dev Pillar, 8 Somapah Rd, Singapore 487372, Singapore; [Zhang, Xinyu] Tsinghua Univ, State Key Lab Automot Safety &amp; Energy, Beijing 100084, Peoples R China; [Luo, Jianxi] Singapore Univ Technol &amp; Design, Data Driven Innovat Lab, 8 Somapah Rd, Singapore 487372, Singapore</t>
  </si>
  <si>
    <t>Singapore University of Technology &amp; Design; Tsinghua University; Singapore University of Technology &amp; Design</t>
  </si>
  <si>
    <t>Zhu, QH (corresponding author), Singapore Univ Technol &amp; Design, Engn Prod Dev Pillar, 8 Somapah Rd, Singapore 487372, Singapore.</t>
  </si>
  <si>
    <t>qihao_zhu@mymail.sutd.edu.sg; xyzhang@tsinghua.edu.cn; luo@sutd.edu.sg</t>
  </si>
  <si>
    <t>Shi, Z/ISB-4324-2023; Zhu, Qihao/JWO-8071-2024</t>
  </si>
  <si>
    <t>10.1115/1.4056598</t>
  </si>
  <si>
    <t>WOS:000949997800017</t>
  </si>
  <si>
    <t>Yun, H; Yi, E; Song, S</t>
  </si>
  <si>
    <t>Yun, Hongoak; Yi, Eunkyung; Song, Sanghoun</t>
  </si>
  <si>
    <t>Exploring AI-Generated English Relative Clauses in Comparison to Human Production</t>
  </si>
  <si>
    <t>JOURNAL OF COGNITIVE SCIENCE</t>
  </si>
  <si>
    <t>large language models; asymmetry of relative clauses; semantic sensitivity; AI-generated corpus; ChatGPT</t>
  </si>
  <si>
    <t>FREQUENCY; EXPECTATIONS; CHATGPT; MEMORY; VERBS</t>
  </si>
  <si>
    <t>Human behavioral studies have consistently indicated a preference for subject-extracted relative clauses (SRCs) over object-extracted relative clauses (ORCs) in sentence production and comprehension. Some studies have further shown that this preference can be influenced by the semantic properties of head nouns, particularly animacy. In this study, we use AI language models, specifically GPT-2 and ChatGPT 3.5, to simulate human sentence generation. Our primary goal is to evaluate the extent to which these language models replicate human behaviors in sentence production and identify any divergences. We tasked the models with completing sentence fragments structured as 'the,' followed by a head noun and 'that' (The reporter that ...). We varied the semantic property of head nouns such that they are all animate (the secretary that ... ) in Study 1 and are either animate or inanimate (the musician/book that ... ) in Study 2. Our findings reveal that in Study 1, both GPT models exhibited a robust SRC bias, replicating human-like behavior in relative clause production. However, in Study 2, we observed divergent behavior between the models when head nouns were inanimate, while consistency was maintained when head nouns were animate. Specifically, ChatGTP 3.5 generated more ORCs than SRCs in the presence of inanimate head nouns. These results, particularly those from ChatGPT 3.5, closely mirror human relative clause production patterns. Our study highlights the potential of language generative language models as efficient and versatile corpus simulators. Furthermore, our findings contribute to the evolving field of AI linguistics, shedding light on the capacity of AI generative systems to emulate human-like linguistic patterns in sentence production.</t>
  </si>
  <si>
    <t>[Yun, Hongoak] Jeju Natl Univ, Jeju Si, South Korea; [Yi, Eunkyung] Ewha Womans Univ, Seoul, South Korea; [Song, Sanghoun] Korea Univ, Seoul, South Korea</t>
  </si>
  <si>
    <t>Jeju National University; Ewha Womans University; Korea University</t>
  </si>
  <si>
    <t>Yi, E (corresponding author), Ewha Womans Univ, Seoul, South Korea.;Song, S (corresponding author), Korea Univ, Seoul, South Korea.</t>
  </si>
  <si>
    <t>eyi@ewha.ac.kr; sanghoun@korea.ac.kr</t>
  </si>
  <si>
    <t>Jeju National University</t>
  </si>
  <si>
    <t>Funding This research was supported by the 2023 scientific promotion program funded by Jeju National University.</t>
  </si>
  <si>
    <t>SEOUL NATL UNIV, INST COGNITIVE SCIENCE</t>
  </si>
  <si>
    <t>SEOUL</t>
  </si>
  <si>
    <t>SEOUL NATL UNIV, SEOUL, 151-742, SOUTH KOREA</t>
  </si>
  <si>
    <t>1598-2327</t>
  </si>
  <si>
    <t>J COGN SCI</t>
  </si>
  <si>
    <t>J. Cogn. Sci.</t>
  </si>
  <si>
    <t>FQ1Y6</t>
  </si>
  <si>
    <t>WOS:001147235500003</t>
  </si>
  <si>
    <t>Reilly, C; O'Shaughnessy, S; Thorpe, C</t>
  </si>
  <si>
    <t>Reilly, Ciaran; O'Shaughnessy, Stephen; Thorpe, Christina</t>
  </si>
  <si>
    <t>Robustness of Image-Based Malware Classification Models trained with Generative Adversarial Networks</t>
  </si>
  <si>
    <t>PROCEEDINGS OF THE 2023 EUROPEAN INTERDISCIPLINARY CYBERSECURITY CONFERENCE, EICC 2023</t>
  </si>
  <si>
    <t>European Interdisciplinary Cybersecurity Conference (EICC)</t>
  </si>
  <si>
    <t>JUN 14-15, 2023</t>
  </si>
  <si>
    <t>Univ Stavanger, Stavanger, NORWAY</t>
  </si>
  <si>
    <t>Univ Stavanger</t>
  </si>
  <si>
    <t>Malware Analysis; Adversarial AI; Cybersecurity; Incident Response; Generative Adversarial Networks</t>
  </si>
  <si>
    <t>As malware continues to evolve, deep learning models are increasingly used for malware detection and classification, including image-based classification. However, adversarial attacks can be used to perturb images so as to evade detection by these models. This study investigates the effectiveness of training deep learning models with Generative Adversarial Network-generated data to improve their robustness against such attacks. Two image conversion methods, byteplot and space-filling curves, were used to represent the malware samples, and a ResNet-50 architecture was used to train models on the image datasets. The models were then tested against a projected gradient descent attack. It was found that without GAN-generated data, the models' prediction performance drastically decreased from 93-95% to 4.5% accuracy. However, the addition of adversarial images to the training data almost doubled the accuracy of the models. This study highlights the potential benefits of incorporating GAN-generated data in the training of deep learning models to improve their robustness against adversarial attacks.</t>
  </si>
  <si>
    <t>[Reilly, Ciaran; O'Shaughnessy, Stephen; Thorpe, Christina] Technol Univ Dublin, Dublin, Ireland</t>
  </si>
  <si>
    <t>Reilly, C (corresponding author), Technol Univ Dublin, Dublin, Ireland.</t>
  </si>
  <si>
    <t>B00123609@mytudublin.ie; stephen.oshaughnessy@tudublin.ie; christina.thorpe@tudublin.ie</t>
  </si>
  <si>
    <t>978-1-4503-9829-9</t>
  </si>
  <si>
    <t>10.1145/3590777.3590792</t>
  </si>
  <si>
    <t>Computer Science, Software Engineering; Computer Science, Theory &amp; Methods; Telecommunications</t>
  </si>
  <si>
    <t>BW2RZ</t>
  </si>
  <si>
    <t>WOS:001124185500015</t>
  </si>
  <si>
    <t>Li, Z; Wu, XF; Zhu, DR; Cheng, MF; Chen, SY; Zhang, FY; Xie, XF; Ma, L; Zhao, JJ</t>
  </si>
  <si>
    <t>Li, Zhuo; Wu, Xiongfei; Zhu, Derui; Cheng, Mingfei; Chen, Siyuan; Zhang, Fuyuan; Xie, Xiaofei; Ma, Lei; Zhao, Jianjun</t>
  </si>
  <si>
    <t>Generative Model-Based Testing on Decision-Making Policies</t>
  </si>
  <si>
    <t>generative model; testing; decision-making policies</t>
  </si>
  <si>
    <t>COMPREHENSIVE SURVEY; REINFORCEMENT; SYSTEMS; GO</t>
  </si>
  <si>
    <t>The reliability of decision-making policies is urgently important today as they have established the fundamentals of many critical applications, such as autonomous driving and robotics. To ensure reliability, there have been a number of research efforts on testing decision-making policies that solve Markov decision processes (MDPs). However, due to the deep neural network (DNN)-based inherit and infinite state space, developing scalable and effective testing frameworks for decision-making policies still remains open and challenging. In this paper, we present an effective testing framework for decision-making policies. The framework adopts a generative diffusion model-based test case generator that can easily adapt to different search spaces, ensuring the practicality and validity of test cases. Then, we propose a termination state novelty-based guidance to diversify agent behaviors and improve the test effectiveness. Finally, we evaluate the framework on five widely used benchmarks, including autonomous driving, aircraft collision avoidance, and gaming scenarios. The results demonstrate that our approach identifies more diverse and influential failure-triggering test cases compared to current state-of-the-art techniques. Moreover, we employ the detected failure cases to repair the evaluated models, achieving better robustness enhancement compared to the baseline method.</t>
  </si>
  <si>
    <t>[Li, Zhuo; Wu, Xiongfei; Chen, Siyuan; Zhang, Fuyuan; Zhao, Jianjun] Kyushu Univ, Fukuoka, Japan; [Zhu, Derui] Tech Univ Munich, Munich, Germany; [Cheng, Mingfei; Xie, Xiaofei] Singapore Management Univ, Singapore, Singapore; [Ma, Lei] Univ Tokyo, Tokyo, Japan; [Ma, Lei] Univ Alberta, Edmonton, AB, Canada</t>
  </si>
  <si>
    <t>Kyushu University; Technical University of Munich; Singapore Management University; University of Tokyo; University of Alberta</t>
  </si>
  <si>
    <t>Li, Z (corresponding author), Kyushu Univ, Fukuoka, Japan.</t>
  </si>
  <si>
    <t>Zhu, Derui/JXM-9163-2024</t>
  </si>
  <si>
    <t>, Xiaofei/0000-0002-1288-6502</t>
  </si>
  <si>
    <t>JSPS KAKENHI [JP21K11841, JP23K11049, JP23H03372]; JST SPRING [JPMJSP2136]; JST [JPMJFS2132]; National Research Foundation Singapore; DSO National Laboratories under the AI Singapore Programme (AISG Award) [AISG2-GC-2023-008]; Canada CIFAR AI Chairs Program; Natural Sciences and Engineering Research Council of Canada (NSERC) [RGPIN-2021-02549, RGPAS-2021-00034, DGECR-2021-00019]</t>
  </si>
  <si>
    <t>JSPS KAKENHI(Ministry of Education, Culture, Sports, Science and Technology, Japan (MEXT)Japan Society for the Promotion of ScienceGrants-in-Aid for Scientific Research (KAKENHI)); JST SPRING; JST(Japan Science &amp; Technology Agency (JST)); National Research Foundation Singapore(National Research Foundation, Singapore); DSO National Laboratories under the AI Singapore Programme (AISG Award); Canada CIFAR AI Chairs Program; Natural Sciences and Engineering Research Council of Canada (NSERC)(Natural Sciences and Engineering Research Council of Canada (NSERC))</t>
  </si>
  <si>
    <t>This work was supported in part by JSPS KAKENHI Grant No.JP21K11841, No.JP23K11049 and No.JP23H03372, JST SPRING Grant No.JPMJSP2136, JST Grant No.JPMJFS2132, the National Research Foundation Singapore and DSO National Laboratories under the AI Singapore Programme (AISG Award No: AISG2-GC-2023-008) as well as Canada CIFAR AI Chairs Program, the Natural Sciences and Engineering Research Council of Canada (NSERC No.RGPIN-2021-02549, No.RGPAS-2021-00034, No.DGECR-2021-00019).</t>
  </si>
  <si>
    <t>10.1109/ASE56229.2023.00153</t>
  </si>
  <si>
    <t>WOS:001103357200020</t>
  </si>
  <si>
    <t>Jackson, I; Saenz, MJ; Ivanov, D</t>
  </si>
  <si>
    <t>Jackson, Ilya; Saenz, Maria Jesus; Ivanov, Dmitry</t>
  </si>
  <si>
    <t>From natural language to simulations: applying AI to automate simulation modelling of logistics systems</t>
  </si>
  <si>
    <t>INTERNATIONAL JOURNAL OF PRODUCTION RESEARCH</t>
  </si>
  <si>
    <t>Generative AI; artificial intelligence; NLP; simulation; GPT-3; supply chain</t>
  </si>
  <si>
    <t>SUPPLY CHAIN; OPTIMIZATION; GENERATION; SUPPORT</t>
  </si>
  <si>
    <t>Our research strives to examine how simulation models of logistics systems can be produced automatically from verbal descriptions in natural language and how human experts and artificial intelligence (AI)-based systems can collaborate in the domain of simulation modelling. We demonstrate that a framework constructed upon the refined GPT-3 Codex is capable of generating functionally valid simulations for queuing and inventory management systems when provided with a verbal explanation. As a result, the language model could produce simulation models for inventory and process control. These results, along with the rapid improvement of language models, enable a significant simplification of simulation model development. Our study offers guidelines and a design of a natural language processing-based framework on how to build simulation models of logistics systems automatically, given the verbal description. In generalised terms, our work offers a technological underpinning of human-AI collaboration for the development of simulation models.</t>
  </si>
  <si>
    <t>[Jackson, Ilya; Saenz, Maria Jesus] MIT, Ctr Transportat &amp; Logist, Cambridge, MA USA; [Ivanov, Dmitry] Berlin Sch Econ &amp; Law, Berlin, Germany; [Jackson, Ilya] MIT, Ctr Transportat &amp; Logist, 1 Amherst St, Cambridge, MA 02139 USA</t>
  </si>
  <si>
    <t>Massachusetts Institute of Technology (MIT); Berlin School of Economics &amp; Law; Massachusetts Institute of Technology (MIT)</t>
  </si>
  <si>
    <t>Jackson, I (corresponding author), MIT, Ctr Transportat &amp; Logist, 1 Amherst St, Cambridge, MA 02139 USA.</t>
  </si>
  <si>
    <t>ilyajack@mit.edu</t>
  </si>
  <si>
    <t>Saenz, Maria Jesus/KEH-1085-2024; Jackson, Ilya/AAD-7251-2020</t>
  </si>
  <si>
    <t>Saenz, Maria Jesus/0000-0002-2858-6707; Jackson, Ilya/0000-0002-7457-6040</t>
  </si>
  <si>
    <t>0020-7543</t>
  </si>
  <si>
    <t>1366-588X</t>
  </si>
  <si>
    <t>INT J PROD RES</t>
  </si>
  <si>
    <t>Int. J. Prod. Res.</t>
  </si>
  <si>
    <t>FEB 16</t>
  </si>
  <si>
    <t>10.1080/00207543.2023.2276811</t>
  </si>
  <si>
    <t>HC1P1</t>
  </si>
  <si>
    <t>WOS:001093498100001</t>
  </si>
  <si>
    <t>Wang, YY; Zhang, WN</t>
  </si>
  <si>
    <t>Wang, Yiyang; Zhang, Weining</t>
  </si>
  <si>
    <t>Factors Influencing the Adoption of Generative AI for Art Designing Among Chinese Generation Z: A Structural Equation Modeling Approach</t>
  </si>
  <si>
    <t>Art designing; artificial intelligence; generative; technology readiness index; generation Z; trait curiosity; UTAUT2</t>
  </si>
  <si>
    <t>TECHNOLOGY READINESS; CONTINUANCE INTENTION; CONSUMER ACCEPTANCE; ARTIFICIAL-INTELLIGENCE; INFORMATION-TECHNOLOGY; PERCEIVED VALUE; ATTITUDES; SERVICES; UTAUT2</t>
  </si>
  <si>
    <t>The integration of generative artificial intelligence (GenAI) technology in the realm of art and design has demonstrated significant positive effects on designers and related industries. The current study aimed to explore and evaluate the factors and personal traits that drive Generation Z to embrace GenAI-assisted design. The study model incorporated factors derived from the Unified Theory of Acceptance and Use of Technology 2 (UTAUT2), the Technology Readiness Index, and the concept of trait curiosity. Empirical validation was conducted using data collected from 326 participants in the southeast of Chinese Mainland. The results of structural equation modeling indicated that: 1) Factors such as effort expectancy, price value, and hedonic motivation from UTAUT2 have a positive influence on the intention to use GenAI, while performance expectancy does not show a statistically significant effect. 2) Both optimism and creativity significantly contribute to performance expectancy, effort expectancy, price value, and hedonic motivation. 3) Trait curiosity has a significant positive impact on both optimism and the intention to use GenAI. The research findings suggest the need for further improvements in the construction and operational strategies of GenAI platforms and provide practical insights for enhancing Generation Z's intention to utilize such platforms.</t>
  </si>
  <si>
    <t>[Wang, Yiyang] Nanchang Univ, Architecture &amp; Design Coll, Nanchang 330003, Jiangxi, Peoples R China; [Zhang, Weining] Shijiazhuang Inst Railway Technol, Shijiazhuang 050061, Hebei, Peoples R China</t>
  </si>
  <si>
    <t>Nanchang University; Shijiazhuang Tiedao University</t>
  </si>
  <si>
    <t>Zhang, WN (corresponding author), Shijiazhuang Inst Railway Technol, Shijiazhuang 050061, Hebei, Peoples R China.</t>
  </si>
  <si>
    <t>zhangweining@student.usm.my</t>
  </si>
  <si>
    <t>10.1109/ACCESS.2023.3342055</t>
  </si>
  <si>
    <t>CV8Q2</t>
  </si>
  <si>
    <t>WOS:001128106200001</t>
  </si>
  <si>
    <t>Han, C; Choo, H; Jeong, J</t>
  </si>
  <si>
    <t>Han, Chansu; Choo, Hyunseung; Jeong, Jongpil</t>
  </si>
  <si>
    <t>Bidirectional-Feature-Learning-Based Adversarial Domain Adaptation with Generative Network</t>
  </si>
  <si>
    <t>adversarial domain adaptation; bidirectional feature learning process; generative network; adversarial learning</t>
  </si>
  <si>
    <t>Studying domain adaptation is a recent research trend. Generally, many generative models that researchers have studied perform well on training data from a specific domain. However, their ability to be generalized to other domains might be limited. Therefore, a growing body of research has utilized domain adaptation techniques to address the problem of generative models being vulnerable to input from other domains. In this paper, we focused on generative models and representation learning. Generative models have received a lot of attention for their ability to generate various types of data such as images, music, and text. In particular, studies utilizing generative adversarial neural networks (GANs) and autoencoder structures have received a lot of attention. In this paper, we solved the domain adaptation problem by reconstructing real image data using an autoencoder structure. In particular, reconstructed image data, considered a type of noisy image data, are used as input data. How to reconstruct data by extracting features and selectively transforming them in order to reduce differences in characteristics between domains entails representative learning. Considering these research trends, this paper proposed a novel methodology combining bidirectional feature learning and generative networks to innovatively approach the domain adaptation problem. It could improve the adaptation ability by accurately simulating the real data distribution. The experimental results show that the proposed model outperforms the traditional DANN and ADDA. This demonstrates that combining bidirectional feature learning and generative networks is an effective solution in the field of domain adaptation. These results break new ground in the field of domain adaptation. They are expected to provide great inspiration for future research and applications. Finally, through various experiments and evaluations, we verify that the proposed approach outperforms the existing works. We conducted experiments for representative generative models and domain adaptation techniques and found that the proposed approach was effective in improving data and domain robustness. We hope to contribute to the development of domain-adaptive models that are robust to the domain.</t>
  </si>
  <si>
    <t>[Han, Chansu] Sungkyunkwan Univ, Dept Elect &amp; Comp Engn, Suwon 16419, South Korea; [Choo, Hyunseung] Sungkyunkwan Univ, Dept AI Syst Engn, Suwon 16419, South Korea; [Jeong, Jongpil] Sungkyunkwan Univ, Dept Smart Factory Convergence, Suwon 16419, South Korea</t>
  </si>
  <si>
    <t>Sungkyunkwan University (SKKU); Sungkyunkwan University (SKKU); Sungkyunkwan University (SKKU)</t>
  </si>
  <si>
    <t>Choo, H (corresponding author), Sungkyunkwan Univ, Dept AI Syst Engn, Suwon 16419, South Korea.;Jeong, J (corresponding author), Sungkyunkwan Univ, Dept Smart Factory Convergence, Suwon 16419, South Korea.</t>
  </si>
  <si>
    <t>b2451184@naver.com; choo@skku.edu; jpjeong@skku.edu</t>
  </si>
  <si>
    <t>Jeong, Jongpil/0000-0002-4061-9532</t>
  </si>
  <si>
    <t>This research was supported by the SungKyunKwan University and the BK21 FOUR (Graduate School Innovation) and funded by the Ministry of Education (MOE, Korea) and National Research Foundation of Korea (NRF). Moreover, this research was supported by the MSI; SungKyunKwan University; BK21 FOUR (Graduate School Innovation) - Ministry of Education (MOE, Korea); National Research Foundation of Korea (NRF) [IITP-2023-2020-0-01821]; MSIT (Ministry of Science and ICT), Korea, under the ICT Creative Consilience Program</t>
  </si>
  <si>
    <t>This research was supported by the SungKyunKwan University and the BK21 FOUR (Graduate School Innovation) and funded by the Ministry of Education (MOE, Korea) and National Research Foundation of Korea (NRF). Moreover, this research was supported by the MSI; SungKyunKwan University; BK21 FOUR (Graduate School Innovation) - Ministry of Education (MOE, Korea)(Ministry of Education (MOE), Republic of Korea); National Research Foundation of Korea (NRF)(National Research Foundation of Korea); MSIT (Ministry of Science and ICT), Korea, under the ICT Creative Consilience Program(Ministry of Science &amp; ICT (MSIT), Republic of KoreaMinistry of Science, ICT &amp; Future Planning, Republic of Korea)</t>
  </si>
  <si>
    <t>This research was supported by the SungKyunKwan University and the BK21 FOUR (Graduate School Innovation) and funded by the Ministry of Education (MOE, Korea) and National Research Foundation of Korea (NRF). Moreover, this research was supported by the MSIT (Ministry of Science and ICT), Korea, under the ICT Creative Consilience Program (IITP-2023-2020-0-01821) supervised by the IITP (Institute for Information &amp; communications Technology Planning &amp; Evaluation).</t>
  </si>
  <si>
    <t>10.3390/app132111825</t>
  </si>
  <si>
    <t>X6FX6</t>
  </si>
  <si>
    <t>WOS:001099399400001</t>
  </si>
  <si>
    <t>Victor, BG; Kubiak, S; Angell, B; Perron, BE</t>
  </si>
  <si>
    <t>Victor, Bryan G.; Kubiak, Sheryl; Angell, Beth; Perron, Brian E.</t>
  </si>
  <si>
    <t>Time to Move Beyond the ASWB Licensing Exams: Can Generative Artificial Intelligence Offer a Way Forward for Social Work?</t>
  </si>
  <si>
    <t>RESEARCH ON SOCIAL WORK PRACTICE</t>
  </si>
  <si>
    <t>licensing; social work professionals; generative artificial intelligence; validity; dynamic testing</t>
  </si>
  <si>
    <t>Social work scholars have long questioned the validity and utility of the Association of Social Work Boards (ASWB) licensing exams. Data released in 2022 revealed severe disparities in pass rates based on race, age, and language, exacerbating these concerns. In this paper, we explore the potential of generative artificial intelligence (AI) such as ChatGPT to address core problems of the ASWB exams, including the use of a multiple-choice format that does not reflect real-world social work practice. To assess its social work reasoning, we used ChatGPT to answer ASWB-developed practice questions for the Bachelors, Masters, and Clinical exams. ChatGPT scored 76%, 80%, and 64%, respectively, and identified additional validity challenges. Based on this performance, we provide a proof-of-concept for how generative AI might move us toward a more valid and equitable exam. While we strongly support licensure requirements, state regulators and legislators should temporarily suspend the use of the ASWB exams for this purpose.</t>
  </si>
  <si>
    <t>[Victor, Bryan G.; Kubiak, Sheryl] Wayne State Univ, Sch Social Work, Detroit, MI 48202 USA; [Angell, Beth; Perron, Brian E.] Univ Michigan, Sch Social Work, Ann Arbor, MI USA; [Victor, Bryan G.] Wayne State Univ, 5447 Woodward Ave, Detroit, MI 48202 USA</t>
  </si>
  <si>
    <t>Wayne State University; University of Michigan System; University of Michigan; Wayne State University</t>
  </si>
  <si>
    <t>Victor, BG (corresponding author), Wayne State Univ, 5447 Woodward Ave, Detroit, MI 48202 USA.</t>
  </si>
  <si>
    <t>Angell, Beth/JED-6032-2023; Victor, Bryan/T-8349-2019; Perron, Brian E./AFW-1605-2022</t>
  </si>
  <si>
    <t>Victor, Bryan/0000-0002-2092-912X;</t>
  </si>
  <si>
    <t>1049-7315</t>
  </si>
  <si>
    <t>1552-7581</t>
  </si>
  <si>
    <t>RES SOCIAL WORK PRAC</t>
  </si>
  <si>
    <t>Res. Soc. Work. Pract.</t>
  </si>
  <si>
    <t>10.1177/10497315231166125</t>
  </si>
  <si>
    <t>K4MZ8</t>
  </si>
  <si>
    <t>WOS:000955152500001</t>
  </si>
  <si>
    <t>Chen, SS</t>
  </si>
  <si>
    <t>Chen, Shr-Shian</t>
  </si>
  <si>
    <t>THE DAWN OF AI GENERATED CONTENTS: REVISITING COMPULSORY MEDIATION AND IP DISPUTES RESOLUTION</t>
  </si>
  <si>
    <t>CONTEMPORARY ASIA ARBITRATION JOURNAL</t>
  </si>
  <si>
    <t>artificial intelligence; AI; machine learning; natural language processing; intellectual property; IP protection; IP infringement through AI; Alternate dispute resolution; compulsory mediation; deficiency in law; AIgenerated content; machine learning data</t>
  </si>
  <si>
    <t>With the popularity of generative artificial intelligence (hereinafter AI), current intellectual property laws are being greatly challenged and the established doctrines redefined. As different jurisdictions are in the process of catching up to the technology, this paper argues that compulsory mediation, as an alternate dispute resolution, has the potential to address legal uncertainties. The flexible and informal nature of the compulsory mediation process makes a suitable environment for all stakeholders involved, the right owners, the creators, and the users of the AI, to come to an agreement, thus lessening the impact such new invention brings to domestic legal framework. Moreover, by looking into compulsory mediations in Taiwan, the Philippines, and Turkey, this paper hopes to outline key factors for compulsory mediation to properly tackle the subject of intellectual property disputes of AI nature.</t>
  </si>
  <si>
    <t>[Chen, Shr-Shian] Natl Taiwan Univ, Dept Law, Taipei, Taiwan; [Chen, Shr-Shian] Asian Ctr WTO &amp; Int Hlth Law &amp; Policy, Taipei, Taiwan</t>
  </si>
  <si>
    <t>National Taiwan University</t>
  </si>
  <si>
    <t>Chen, SS (corresponding author), Natl Taiwan Univ, Dept Law, Taipei, Taiwan.;Chen, SS (corresponding author), Asian Ctr WTO &amp; Int Hlth Law &amp; Policy, Taipei, Taiwan.</t>
  </si>
  <si>
    <t>r10a21029@ntu.edu.tw</t>
  </si>
  <si>
    <t>ASIAN CENTER WTO &amp; INT HEALTH LAW &amp; POLICY, COLL LAW</t>
  </si>
  <si>
    <t>TAIPEI</t>
  </si>
  <si>
    <t>NATL TAIWAN UNIV-ACWH, NO 1, SEC 4, ROOSEVELT RD, TAIPEI, 106, TAIWAN</t>
  </si>
  <si>
    <t>1999-9747</t>
  </si>
  <si>
    <t>CONTEMP ASIA ARBITAT</t>
  </si>
  <si>
    <t>Contemp. Asia Arbitat. J.</t>
  </si>
  <si>
    <t>Z3SJ9</t>
  </si>
  <si>
    <t>WOS:001111303600004</t>
  </si>
  <si>
    <t>Larey, A; Daniel, N; Aknin, E; Fisher, Y; Savir, Y</t>
  </si>
  <si>
    <t>Larey, Ariel; Daniel, Nati; Aknin, Eliel; Fisher, Yael; Savir, Yonatan</t>
  </si>
  <si>
    <t>DEPAS: De-novo Pathology Semantic Masks using a Generative Model</t>
  </si>
  <si>
    <t>2023 45TH ANNUAL INTERNATIONAL CONFERENCE OF THE IEEE ENGINEERING IN MEDICINE &amp; BIOLOGY SOCIETY, EMBC</t>
  </si>
  <si>
    <t>IEEE Engineering in Medicine and Biology Society Conference Proceedings</t>
  </si>
  <si>
    <t>45th Annual International Conference of the IEEE-Engineering-in-Medicine-and-Biology-Society (EMBC)</t>
  </si>
  <si>
    <t>JUL 24-27, 2023</t>
  </si>
  <si>
    <t>IEEE,IEEE Engn Med &amp; Biol Soc</t>
  </si>
  <si>
    <t>Digital pathology; Generative Adversarial Network; Tissue Image Generation; Histological Image Generation</t>
  </si>
  <si>
    <t>The integration of artificial intelligence (AI) into digital pathology has the potential to automate and improve various tasks, such as image analysis and diagnostic decision-making. Yet, the inherent variability of tissues, together with the need for image labeling, lead to biased datasets that limit the generalizability of algorithms trained on them. One of the emerging solutions for this challenge is synthetic histological images. Debiasing real datasets require not only generating photorealistic images but also the ability to control the cellular features within them. A common approach is to use generative methods that perform image translation between semantic masks that reflect prior knowledge of the tissue and a histological image. However, unlike other image domains, the complex structure of the tissue prevents a simple creation of histology semantic masks that are required as input to the image translation model, while semantic masks extracted from real images reduce the process's scalability. In this work, we introduce a scalable generative model, coined as DEPAS (De-novo Pathology Semantic Masks), that captures tissue structure and generates high-resolution semantic masks with state-of-the-art quality. We demonstrate the ability of DEPAS to generate realistic semantic maps of tissue for three types of organs: skin, prostate, and lung. Moreover, we show that these masks can be processed using a generative image translation model to produce photorealistic histology images of two types of cancer with two different types of staining techniques. Finally, we harness DEPAS to generate multi-label semantic masks that capture different cell types distributions and use them to produce histological images with on-demand cellular features. Overall, our work provides a state-of-the-art solution for the challenging task of generating synthetic histological images while controlling their semantic information in a scalable way.</t>
  </si>
  <si>
    <t>[Larey, Ariel; Daniel, Nati; Aknin, Eliel; Savir, Yonatan] Technion IIT, Dept Physiol Biophys &amp; Syst Biol, Fac Med, Haifa, Israel; [Larey, Ariel] Technion IIT, Fac Comp Sci, Haifa, Israel; [Aknin, Eliel] Technion IIT, Fac Ind Engn, Haifa, Israel; [Fisher, Yael] Rambam Hlth Care Campus, Div Pathol, Haifa, Israel</t>
  </si>
  <si>
    <t>Technion Israel Institute of Technology; Rappaport Faculty of Medicine; Technion Israel Institute of Technology; Technion Israel Institute of Technology; Rambam Health Care Campus</t>
  </si>
  <si>
    <t>Savir, Y (corresponding author), Technion IIT, Dept Physiol Biophys &amp; Syst Biol, Fac Med, Haifa, Israel.</t>
  </si>
  <si>
    <t>yoni.savir@technion.ac.il</t>
  </si>
  <si>
    <t>Israel Science Foundation (ISF) [1619/20]; Israeli Ministry of Science and Technology (MOST) [2149]</t>
  </si>
  <si>
    <t>Israel Science Foundation (ISF)(Israel Science Foundation); Israeli Ministry of Science and Technology (MOST)(Ministry of Science, Technology and Space (MOST), Israel)</t>
  </si>
  <si>
    <t>The authors would like to thank Tanya Wasserman for valuable discussions. The results shown here are in part based upon data generated by the TCGA Research Network: https://www.cancer.gov/tcga.This work is supported by Israel Science Foundation (ISF) grant #1619/20, and by the Israeli Ministry of Science and Technology (MOST) grant #2149.</t>
  </si>
  <si>
    <t>1557-170X</t>
  </si>
  <si>
    <t>1558-4615</t>
  </si>
  <si>
    <t>979-8-3503-2447-1</t>
  </si>
  <si>
    <t>IEEE ENG MED BIO</t>
  </si>
  <si>
    <t>10.1109/EMBC40787.2023.10340437</t>
  </si>
  <si>
    <t>Computer Science, Artificial Intelligence; Computer Science, Interdisciplinary Applications; Engineering, Biomedical</t>
  </si>
  <si>
    <t>BW2ZJ</t>
  </si>
  <si>
    <t>WOS:001133788302024</t>
  </si>
  <si>
    <t>Chaudhary, S; Huembeli, P; MacCormack, I; Patti, TL; Kossaifi, J; Galda, A</t>
  </si>
  <si>
    <t>Chaudhary, Smit; Huembeli, Patrick; MacCormack, Ian; Patti, Taylor L.; Kossaifi, Jean; Galda, Alexey</t>
  </si>
  <si>
    <t>Towards a scalable discrete quantum generative adversarial neural network</t>
  </si>
  <si>
    <t>QUANTUM SCIENCE AND TECHNOLOGY</t>
  </si>
  <si>
    <t>quantum machine learning; generative learning; binary data; quantum generative adversarial network</t>
  </si>
  <si>
    <t>DIVERSITY</t>
  </si>
  <si>
    <t>Quantum generative adversarial networks (QGANs) have been studied in the context of quantum machine learning for several years, but there has not been yet a proposal for a fully QGAN with both, a quantum generator and discriminator. We introduce a fully QGAN intended for use with binary data. The architecture incorporates several features found in other classical and quantum machine learning models, which up to this point had not been used in conjunction. In particular, we incorporate classical noise reuploading in the generator, auxiliary qubits in the discriminator to enhance expressivity, and a direct connection between the generator and discriminator circuits, obviating the need to access the generator's probability distribution. We show that, as separate components, the generator and discriminator perform as desired. We empirically demonstrate the expressive power of our model on both synthetic data as well as low energy states of an Ising model. Our demonstrations suggest that the model is not only capable of reproducing discrete training data, but also of potentially generalizing from it.</t>
  </si>
  <si>
    <t>[Chaudhary, Smit; Huembeli, Patrick; MacCormack, Ian; Galda, Alexey] Menten AI, San Francisco, CA 94111 USA; [Chaudhary, Smit] Delft Univ Technol, Delft, Netherlands; [Patti, Taylor L.; Kossaifi, Jean] NVIDIA, Santa Clara, CA 95051 USA</t>
  </si>
  <si>
    <t>Delft University of Technology; Nvidia Corporation</t>
  </si>
  <si>
    <t>Huembeli, P (corresponding author), Menten AI, San Francisco, CA 94111 USA.</t>
  </si>
  <si>
    <t>science@phuembeli.com</t>
  </si>
  <si>
    <t>Huembeli, Patrick/0000-0001-7047-6897; Patti, Taylor/0000-0002-4242-6072; Chaudhary, Smit/0000-0003-0243-6513</t>
  </si>
  <si>
    <t>2058-9565</t>
  </si>
  <si>
    <t>QUANTUM SCI TECHNOL</t>
  </si>
  <si>
    <t>Quantum Sci. Technol.</t>
  </si>
  <si>
    <t>JUL 1</t>
  </si>
  <si>
    <t>10.1088/2058-9565/acc4e4</t>
  </si>
  <si>
    <t>Quantum Science &amp; Technology; Physics, Multidisciplinary</t>
  </si>
  <si>
    <t>Physics</t>
  </si>
  <si>
    <t>C6LX0</t>
  </si>
  <si>
    <t>WOS:000963020100001</t>
  </si>
  <si>
    <t>Iskender, A</t>
  </si>
  <si>
    <t>Iskender, Ali</t>
  </si>
  <si>
    <t>Holy or Unholy? Interview with Open AI?s ChatGPT</t>
  </si>
  <si>
    <t>EUROPEAN JOURNAL OF TOURISM RESEARCH</t>
  </si>
  <si>
    <t>Open AI; ChatGPT; Natural language processing; Pre-trained data; AI tools; Education; Academic publishing; Tourism and Hospitality</t>
  </si>
  <si>
    <t>In this paper, OpenAI's ChatGPT (Generative Pre-trained Transformer), also known as GPT-3, a machine-learning model that has the ability to generate human-like text, was employed as an interviewee instead of a human subject. The scope of the interview was the impacts of OpenAI's GPT on higher education and academic publishing. Particularly, several questions about the impacts of OpenAI's ChatGPT and other AI-based machine learning models on the hospitality and tourism industry and education were asked. The originality of this paper derives from having the ChatGPT as an interviewee. ChatGPT stated that its use helps instructors delegate monotonous tasks such as grading and focus on more intellectual tasks, and students may utilize ChatGPT to brainstorm ideas. ChatGPT confesses the risk of diminishing critical thinking for students in the case of over-reliance on ChatGPT as well as educational inequalities. For academic work, ChatGPT addressed it cannot be a substitute for human creativity and intellectuality because originality and novelty lack in outputs generated by ChatGPT. The tourism and hospitality industry can benefit from ChatGPT for certain things such as personalized services, content creation, and many more.</t>
  </si>
  <si>
    <t>[Iskender, Ali] Univ South Carolina, Coll Hospitality, Sch Hospitality Restaurant &amp; Tourism Management, Columbia, SC 29208 USA</t>
  </si>
  <si>
    <t>University of South Carolina System; University of South Carolina Columbia</t>
  </si>
  <si>
    <t>Iskender, A (corresponding author), Univ South Carolina, Coll Hospitality, Sch Hospitality Restaurant &amp; Tourism Management, Columbia, SC 29208 USA.</t>
  </si>
  <si>
    <t>iskendea@email.sc.edu</t>
  </si>
  <si>
    <t>Iskender, Ali/0000-0002-4095-3960</t>
  </si>
  <si>
    <t>VARNA UNIV MANAGEMENT-VUM</t>
  </si>
  <si>
    <t>VARNA</t>
  </si>
  <si>
    <t>13 A OBORISHTE STR, VARNA, 9000, BULGARIA</t>
  </si>
  <si>
    <t>1994-7658</t>
  </si>
  <si>
    <t>1314-0817</t>
  </si>
  <si>
    <t>EUR J TOUR RES</t>
  </si>
  <si>
    <t>Eur. J. Tour. Res.</t>
  </si>
  <si>
    <t>10.54055/ejtr.v34i.3169</t>
  </si>
  <si>
    <t>A6LB8</t>
  </si>
  <si>
    <t>WOS:000956205800009</t>
  </si>
  <si>
    <t>Park, C; No, W; Choi, J; Kim, Y</t>
  </si>
  <si>
    <t>Park, Chulwoong; No, Wonjun; Choi, Junyong; Kim, Youngchul</t>
  </si>
  <si>
    <t>Development of an AI advisor for conceptual land use planning</t>
  </si>
  <si>
    <t>CITIES</t>
  </si>
  <si>
    <t>Urban planning; Artificial intelligence; Generative adversarial network; Geographical information system (GIS); Urban informatics; Computer-aided design</t>
  </si>
  <si>
    <t>To efficiently manage a time-consuming and expensive process in traditional urban planning, we aim to develop an artificial intelligence (AI) advisor that assists nonprofessionals participating in the urban planning process by using a generative adversarial network (GAN). This study presents the process of developing the AI model, which suggests appropriate land use plans for user-targeted sites and urban density scenarios. We first create an image dataset that embeds land use, floor area ratio (FAR), and building cover ratio (BCR) information in the RGB channel. Then, an algorithm is developed for establishing an optimized training set with 1000 images and methods for validating the obtained results from both quantitative and visual perspectives. We set up a pilot test to generate three urban density scenarios in Sewoon-Sangga district by constructing urban data-encoded image datasets of Seoul. The pilot test results reveal that our proposed model successfully suggests appropriate land use plans according to the three scenarios. Based on the pilot test, the AI advisor improves its output, training performance, and usability by reflecting block morphology with the Hamming distance and accepting user -designed road patterns. We expect that the novel approach developed in our study will contribute to research on AI-based urban planning.</t>
  </si>
  <si>
    <t>[Park, Chulwoong; No, Wonjun; Choi, Junyong; Kim, Youngchul] Korea Adv Inst Sci &amp; Technol, KAIST Smart City Res Ctr, Dept Civil &amp; Environm Engn, KAIST Urban Design Lab, Daejeon, South Korea; [Kim, Youngchul] Korea Adv Inst Sci &amp; Technol, KAIST Smart City Res Ctr, Dept Civil &amp; Environm Engn, KAIST Urban Design Lab, Daejeon 34141, South Korea</t>
  </si>
  <si>
    <t>Korea Advanced Institute of Science &amp; Technology (KAIST); Korea Advanced Institute of Science &amp; Technology (KAIST)</t>
  </si>
  <si>
    <t>Kim, Y (corresponding author), Korea Adv Inst Sci &amp; Technol, KAIST Smart City Res Ctr, Dept Civil &amp; Environm Engn, KAIST Urban Design Lab, Daejeon 34141, South Korea.</t>
  </si>
  <si>
    <t>ironbear12@kaist.ac.kr; jn0704@kaist.ac.kr; wnsdyd@kaist.ac.kr; youngchulkim@kaist.ac.kr</t>
  </si>
  <si>
    <t>; KIM, Youngchul/C-3814-2013</t>
  </si>
  <si>
    <t>No, Wonjun/0000-0001-6069-7274; KIM, Youngchul/0000-0001-7945-028X; , JUNYONG/0000-0002-7719-2317; Park, Chulwoong/0000-0002-5764-2464</t>
  </si>
  <si>
    <t>Basic Science Research Programthrough the National Research Foundation of Korea (NRF) - Ministry of Education [NRF-2021R1F1A1062463]; Korea Agency for Infrastructure Technology Advancement (KAIA) - Ministry of Land, Infrastructure and Transport of Korea (Innovative Talent Education Program for Smart City') [23UMRG-C158194-04]</t>
  </si>
  <si>
    <t>Basic Science Research Programthrough the National Research Foundation of Korea (NRF) - Ministry of Education(National Research Foundation of KoreaMinistry of Education (MOE), Republic of KoreaNational Research Council for Economics, Humanities &amp; Social Sciences, Republic of Korea); Korea Agency for Infrastructure Technology Advancement (KAIA) - Ministry of Land, Infrastructure and Transport of Korea (Innovative Talent Education Program for Smart City')</t>
  </si>
  <si>
    <t>This work is supported by Basic Science Research Programthrough the National Research Foundation of Korea (NRF) funded by the Ministry of Education (NRF-2021R1F1A1062463) and the Korea Agency for Infrastructure Technology Advancement (KAIA) grant funded by the Ministry of Land, Infrastructure and Transport of Korea (23UMRG-C158194-04 and Innovative Talent Education Program for Smart City') .</t>
  </si>
  <si>
    <t>0264-2751</t>
  </si>
  <si>
    <t>1873-6084</t>
  </si>
  <si>
    <t>Cities</t>
  </si>
  <si>
    <t>10.1016/j.cities.2023.104371</t>
  </si>
  <si>
    <t>I3BC6</t>
  </si>
  <si>
    <t>WOS:001001557600001</t>
  </si>
  <si>
    <t>Maican, CI; Sumedrea, S; Tecau, A; Nichifor, E; Chitu, IB; Lixandroiu, R; Bratucu, G</t>
  </si>
  <si>
    <t>Maican, Catalin Ioan; Sumedrea, Silvia; Tecau, Alina; Nichifor, Eliza; Chitu, Ioana Bianca; Lixandroiu, Radu; Bratucu, Gabriel</t>
  </si>
  <si>
    <t>Factors Influencing the Behavioural Intention to Use AI-Generated Images in Business: A UTAUT2 Perspective With Moderators</t>
  </si>
  <si>
    <t>JOURNAL OF ORGANIZATIONAL AND END USER COMPUTING</t>
  </si>
  <si>
    <t>AI-Generated Images; Behavioural Intention; Business; Creativity; Language Proficiency; UTAUT2</t>
  </si>
  <si>
    <t>ARTIFICIAL-INTELLIGENCE; INFORMATION-TECHNOLOGY; UNIFIED THEORY; ACCEPTANCE; MODEL</t>
  </si>
  <si>
    <t>Motivated by the need to better understand the ongoing role of artificial intelligence in businesses and to shift the focus from a purely technological and algorithmic perspective to one that encompasses human-computer interaction, this article aims to investigate people's intention to use AI for generating images in a business context. The present study employed structural equation modelling to analyse how factors from UTAUT2 such as perceived customer value, effort expectancy, social influence, and facilitating conditions affect behavioural intention. The research introduces new moderators (creativity and English language proficiency), in the context of generative AI. Language proficiency and gender impact AI usage, while the impact of effort expectancy is more pronounced in cases of low creativity.</t>
  </si>
  <si>
    <t>[Maican, Catalin Ioan; Sumedrea, Silvia; Tecau, Alina; Chitu, Ioana Bianca; Lixandroiu, Radu] Transilvania Univ Brasov, Brasov, Romania; [Nichifor, Eliza] Transilvania Univ Brasov, Fac Econ Sci &amp; Business Adm, Students Cybermkt Informat Technol &amp; Mkt, Brasov, Romania; [Bratucu, Gabriel] Transilvania Univ Brasov, Mkt, Brasov, Romania; [Bratucu, Gabriel] Transilvania Univ Brasov, Fac Econ Sci &amp; Business Adm, Brasov, Romania</t>
  </si>
  <si>
    <t>Transylvania University of Brasov; Transylvania University of Brasov; Transylvania University of Brasov; Transylvania University of Brasov</t>
  </si>
  <si>
    <t>Maican, CI (corresponding author), Transilvania Univ Brasov, Brasov, Romania.</t>
  </si>
  <si>
    <t>Chitu, Ioana Bianca/AAB-4353-2022</t>
  </si>
  <si>
    <t>Chitu, Ioana Bianca/0000-0002-0608-8045</t>
  </si>
  <si>
    <t>IGI GLOBAL</t>
  </si>
  <si>
    <t>HERSHEY</t>
  </si>
  <si>
    <t>701 E CHOCOLATE AVE, STE 200, HERSHEY, PA 17033-1240 USA</t>
  </si>
  <si>
    <t>1546-2234</t>
  </si>
  <si>
    <t>1546-5012</t>
  </si>
  <si>
    <t>J ORGAN END USER COM</t>
  </si>
  <si>
    <t>J. Organ. End User Comput.</t>
  </si>
  <si>
    <t>10.4018/JOEUC.330019</t>
  </si>
  <si>
    <t>Computer Science, Information Systems; Information Science &amp; Library Science; Management</t>
  </si>
  <si>
    <t>Computer Science; Information Science &amp; Library Science; Business &amp; Economics</t>
  </si>
  <si>
    <t>GR4C6</t>
  </si>
  <si>
    <t>WOS:001154375600001</t>
  </si>
  <si>
    <t>Carnevale, A; Delgado, CF; Bisconti, P</t>
  </si>
  <si>
    <t>Carnevale, Antonio; Delgado, Claudia Falchi; Bisconti, Piercosma</t>
  </si>
  <si>
    <t>Hybrid Ethics for Generative AI: Some Philosophical Inquiries on GANs</t>
  </si>
  <si>
    <t>HUMANA MENTE-JOURNAL OF PHILOSOPHICAL STUDIES</t>
  </si>
  <si>
    <t>Until now, the mass spread of fake news and its negative consequences have implied mainly textual content towards a loss of citizens' trust in institutions. Recently, a new type of machine learning framework has arisen, Generative Adversarial Networks (GANs) - a class of deep neural network models capable of creating multimedia content (photos, videos, audio) that simulate accurate content with extreme precision. While there are several areas of worthwhile application of GANs - e.g., in the field of audio-visual production, human -computer interactions, satire, and artistic creativity - their deceptive uses, at least as currently foreseeable, are just as numerous and worrying. The main concern is linked to the so-called deepfakes, fake images or videos that simulate real events with extreme precision. When trained on a human face, GANs can make the face assume hyper -realistic movements, expressions and (verbal and non-verbal) communication abilities. This technology poses an urgent threat to the governance of democratic processes concerning the production of public opinions and political discourses, with significant potential for reality -altering and disinformation. After a short introduction oftheir current technical state-of-the-art, in this paper, we want to enquire about the GANs` socio-technical system alongside different and intertwined philosophical accounts. Firstly, we will argue about the conditions that make perceived GANs-generated content trustworthy, arguing also about the general effects GANs might have on the perceived trustworthiness of individuals. Thereafter, we will discuss about the inadequacy to approach GANs only as perception -altering technology. Against this backdrop, we will propose a theoretical turn that considers the human -machine relationships of trustworthiness as elements of broader hybrid socio-technical systems. This turn comes up with political repercussions that we will discuss in the last part of the paper.</t>
  </si>
  <si>
    <t>[Carnevale, Antonio] Norwegian Univ Sci &amp; Technol, NTNU, DEXAI Etica artificiale, Trondheim, Norway; [Delgado, Claudia Falchi] Maastrich Univ, Dept Technol &amp; Soc Studies, DEXAI Etica artificiale, Maastricht, Netherlands; [Bisconti, Piercosma] St Anna Sch Adv Studies, DEXAI Etica artificiale, Pisa, Italy</t>
  </si>
  <si>
    <t>Norwegian University of Science &amp; Technology (NTNU); Maastricht University; Scuola Superiore Sant'Anna</t>
  </si>
  <si>
    <t>Carnevale, A (corresponding author), Norwegian Univ Sci &amp; Technol, NTNU, DEXAI Etica artificiale, Trondheim, Norway.</t>
  </si>
  <si>
    <t>antonio.carnevale@ntnu.no; claudia.falchidelgado@dexai.eu; piercosma.bisconti@dexai.eu</t>
  </si>
  <si>
    <t>EDIZIONI ETS</t>
  </si>
  <si>
    <t>PISA</t>
  </si>
  <si>
    <t>Lungarno Mediceo 16, 56127 PISA, ITALY</t>
  </si>
  <si>
    <t>1972-1293</t>
  </si>
  <si>
    <t>HUMANA MENTE</t>
  </si>
  <si>
    <t>Humana Mente</t>
  </si>
  <si>
    <t>Philosophy</t>
  </si>
  <si>
    <t>GV6U1</t>
  </si>
  <si>
    <t>WOS:001155495100004</t>
  </si>
  <si>
    <t>Tepelyan, R; Gopal, A</t>
  </si>
  <si>
    <t>Tepelyan, Ruslan; Gopal, Achintya</t>
  </si>
  <si>
    <t>Generative Machine Learning for Multivariate Equity Returns</t>
  </si>
  <si>
    <t>Stock Returns; Generative Modeling; Variational Autoencoders; Normalizing Flows; Risk Forecasting; Portfolio Optimization</t>
  </si>
  <si>
    <t>The use of machine learning to generate synthetic data has grown in popularity with the proliferation of text-to-image models and especially large language models. The core methodology these models use is to learn the distribution of the underlying data, similar to the classical methods common in finance of fitting statistical models to data. In this work, we explore the efficacy of using modern machine learning methods, specifically conditional importance weighted autoencoders (a variant of variational autoencoders) and conditional normalizing flows, for the task of modeling the returns of equities. The main problem we work to address is modeling the joint distribution of all the members of the S&amp;P 500, or, in other words, learning a 500-dimensional joint distribution. We show that this generative model has a broad range of applications in finance, including generating realistic synthetic data, volatility and correlation estimation, risk analysis (e.g., value at risk, or VaR, of portfolios), and portfolio optimization.</t>
  </si>
  <si>
    <t>[Tepelyan, Ruslan; Gopal, Achintya] Bloomberg, New York, NY 10022 USA</t>
  </si>
  <si>
    <t>Tepelyan, R (corresponding author), Bloomberg, New York, NY 10022 USA.</t>
  </si>
  <si>
    <t>rtepelyan@bloomberg.net; agopal6@bloomberg.net</t>
  </si>
  <si>
    <t>10.1145/3604237.3626884</t>
  </si>
  <si>
    <t>WOS:001124982700019</t>
  </si>
  <si>
    <t>Lopezosa, C; Codina, L; Pont-Sorribes, C; Vállez, M</t>
  </si>
  <si>
    <t>Lopezosa, Carlos; Codina, Lluis; Pont-Sorribes, Carles; Vallez, Mari</t>
  </si>
  <si>
    <t>Use of generative artificial intelligence in the training of journalists: challenges, uses and training proposal</t>
  </si>
  <si>
    <t>PROFESIONAL DE LA INFORMACION</t>
  </si>
  <si>
    <t>Artificial intelligence; Journalism; Journalists; Communication; Interviews; Innovation; AI; Training; Teaching plans; Curricula; University studies; Higher education; Competencies; Skills; Ethics; ChatGPT</t>
  </si>
  <si>
    <t>COMPUTATIONAL JOURNALISM</t>
  </si>
  <si>
    <t>Artificial intelligence (AI) is already integrated into news production strategies in some media outlets. Recently, generative AIs such as ChatGPT and others have demonstrated their ability to enhance productivity in content production tasks, raising the question of how journalism faculties can address this new technology. This paper presents an academic study on the application of AI in higher communication studies. The study involved 4 in-depth interviews and 28 semi-structured interviews with university lecturers and researchers. The findings confirm varying degrees of convergence and divergence on different aspects of the technology, including the integration of AI in communication faculties, student training in AI usage, the introduction of AI and journalism as a subject area, and the potential uses of AI in news production and consumption. Additionally, this paper proposes a comprehensive training program on AI and journalism, focusing on its foundations, technical competencies and ethical considerations.</t>
  </si>
  <si>
    <t>[Lopezosa, Carlos; Vallez, Mari] Univ Barcelona, Ctr Invest Informac Comunicac &amp; Cultura CRICC, Barcelona 08014, Spain; [Codina, Lluis] Univ Pompeu Fabra, Fac Comunicac, Campus Comunicac Poblenou,Roc Boronat 138, Barcelona 08018, Spain</t>
  </si>
  <si>
    <t>University of Barcelona; Pompeu Fabra University</t>
  </si>
  <si>
    <t>Lopezosa, C (corresponding author), Univ Barcelona, Ctr Invest Informac Comunicac &amp; Cultura CRICC, Barcelona 08014, Spain.</t>
  </si>
  <si>
    <t>lopezosa@ub.edu; lluis.codina@upf.edu; carles.pont@upf.edu; marivallez@ub.edu</t>
  </si>
  <si>
    <t>Vallez, Mari/M-9277-2014; Lopezosa, Carlos/AAC-4939-2020; Codina, Lluis/B-6369-2008</t>
  </si>
  <si>
    <t>Vallez, Mari/0000-0002-3284-2590; Lopezosa, Carlos/0000-0001-8619-2194; Pont-Sorribes, Carles/0000-0003-1135-4245; Codina, Lluis/0000-0001-7020-1631</t>
  </si>
  <si>
    <t>Spanish Ministry of Science and Innovation (Spain) [PID2021-123579OB-I00]</t>
  </si>
  <si>
    <t>Spanish Ministry of Science and Innovation (Spain)(Spanish Government)</t>
  </si>
  <si>
    <t>This work is part of the Project Parameters and strategies to increase the relevance of media and digital communication in society: curation, visualisation and visibility (Cuvicom). PID2021-123579OB-I00 (Micin). Spanish Ministry of Science and Innovation (Spain).</t>
  </si>
  <si>
    <t>EDICIONES PROFESIONALES INFORMACION SL-EPI</t>
  </si>
  <si>
    <t>MISTRAL, 36, BARCELONA, ALBOLOTE, SPAIN</t>
  </si>
  <si>
    <t>1386-6710</t>
  </si>
  <si>
    <t>1699-2407</t>
  </si>
  <si>
    <t>PROF INFORM</t>
  </si>
  <si>
    <t>Prof. Inf.</t>
  </si>
  <si>
    <t>e320408</t>
  </si>
  <si>
    <t>10.3145/epi.2023.jul.08</t>
  </si>
  <si>
    <t>X3NS5</t>
  </si>
  <si>
    <t>hybrid, Green Published, Green Accepted</t>
  </si>
  <si>
    <t>WOS:001097561400002</t>
  </si>
  <si>
    <t>Paola, ZL; Jesus, LS; Christian, AH; Sonia, RU</t>
  </si>
  <si>
    <t>Paola, Zarate L.; Jesus, Lopez S.; Christian, Arroyo H.; Sonia, Rincon U.</t>
  </si>
  <si>
    <t>Correction of Banding Errors in Satellite Images With Generative Adversarial Networks (GAN)</t>
  </si>
  <si>
    <t>Satellite broadcasting; Generative adversarial networks; Generators; Training; Radiometry; Remote sensing; Image coding; Artificial neural network; deep learning; generative adversarial network; satellite images; radiometric error; banding</t>
  </si>
  <si>
    <t>This research proposes an innovative method for correcting banding errors in satellite images based on Generative Adversarial Networks (GAN). Small satellites are frequently launched into space to obtain images that can be used in scientific or military research, commercial activities, and urban planning, among other applications. However, its small cameras are more susceptible to radiometric, geometric errors, and other distortions caused by atmospheric interference. The proposed method was compared to the conventional correction technique using experimental data, showing the similar performance (92.64% and 90.05% accuracy, respectively). These experimental results suggest that generative models utilizing Artificial Intelligence (AI) techniques, specifically Deep Learning, are getting closer to achieving automatic correction close to conventional methods. Advantages of the GAN models include automating the task of correcting banding in satellite images, reducing the required time, and facilitating the processing without requiring prior technical knowledge in handling Geographic Information Systems (GIS). Potentially, this technique could represent a valuable tool for satellite image processing, improving the accuracy of the results and making the process more efficient. The research is particularly relevant to the field of remote sensing and can have practical applications in various industries.</t>
  </si>
  <si>
    <t>[Paola, Zarate L.; Christian, Arroyo H.; Sonia, Rincon U.] Colombian AF, Res Ctr Aerosp Technol CITAE, Cali, CO, Colombia; [Jesus, Lopez S.] Univ Autonoma Occidente, Sch Engn, Cali CO760001, CO, Colombia</t>
  </si>
  <si>
    <t>Universidad Autonoma de Occidente</t>
  </si>
  <si>
    <t>Paola, ZL (corresponding author), Colombian AF, Res Ctr Aerosp Technol CITAE, Cali, CO, Colombia.</t>
  </si>
  <si>
    <t>paola.zarate@fac.mil.co</t>
  </si>
  <si>
    <t>ZARATE, PAOLA/0000-0001-8774-8369; Arroyo Herrera, Christian Danilo/0000-0003-3664-7896</t>
  </si>
  <si>
    <t>10.1109/ACCESS.2023.3279265</t>
  </si>
  <si>
    <t>I9BM9</t>
  </si>
  <si>
    <t>WOS:001005662100001</t>
  </si>
  <si>
    <t>Cunha, L; Soares, C; Restivo, A; Teixeira, LF</t>
  </si>
  <si>
    <t>Cremilleux, B; Hess, S; Nijssen, S</t>
  </si>
  <si>
    <t>Cunha, Luis; Soares, Carlos; Restivo, Andre; Teixeira, Luis F.</t>
  </si>
  <si>
    <t>GASTeN: Generative Adversarial Stress Test Networks</t>
  </si>
  <si>
    <t>ADVANCES IN INTELLIGENT DATA ANALYSIS XXI, IDA 2023</t>
  </si>
  <si>
    <t>21st International Symposium on Intelligent Data Analysis (IDA)</t>
  </si>
  <si>
    <t>Louvain la Neuve, BELGIUM</t>
  </si>
  <si>
    <t>FNRS,NormaSTIC,UCLouvain, ICTEAM Inst</t>
  </si>
  <si>
    <t>Global interpretability; Synthetic data; Generative adversarial networks; Responsible artificial intelligence</t>
  </si>
  <si>
    <t>Concerns with the interpretability of ML models are growing as the technology is used in increasingly sensitive domains (e.g., health and public administration). Synthetic data can be used to understand models better, for instance, if the examples are generated close to the frontier between classes. However, data augmentation techniques, such as Generative Adversarial Networks (GAN), have been mostly used to generate training data that leads to better models. We propose a variation of GANs that, given a model, generates realistic data that is classified with low confidence by a given classifier. The generated examples can be used in order to gain insights on the frontier between classes. We empirically evaluate our approach on two well-known image classification benchmark datasets, MNIST and Fashion MNIST. Results show that the approach is able to generate images that are closer to the frontier when compared to the original ones, but still realistic. Manual inspection confirms that some of those images are confusing even for humans.</t>
  </si>
  <si>
    <t>[Cunha, Luis; Soares, Carlos; Restivo, Andre; Teixeira, Luis F.] Univ Porto, Fac Engn, Porto, Portugal; [Cunha, Luis; Soares, Carlos; Restivo, Andre] Lab Artificial Intelligence &amp; Comp Sci LIACC, Porto, Portugal; [Soares, Carlos] Fraunhofer Portugal AICOS, Porto, Portugal; [Teixeira, Luis F.] INESC TEC, Porto, Portugal</t>
  </si>
  <si>
    <t>Universidade do Porto; INESC TEC</t>
  </si>
  <si>
    <t>Cunha, L (corresponding author), Univ Porto, Fac Engn, Porto, Portugal.;Cunha, L (corresponding author), Lab Artificial Intelligence &amp; Comp Sci LIACC, Porto, Portugal.</t>
  </si>
  <si>
    <t>up201706736@fe.up.pt; csoares@fe.up.pt; arestivo@fe.up.pt; luisft@fe.up.pt</t>
  </si>
  <si>
    <t>; Soares, Carlos/J-5764-2012; Teixeira, Luis/E-1319-2011</t>
  </si>
  <si>
    <t>Restivo, Andre/0000-0002-1328-3391; Soares, Carlos/0000-0003-4549-8917; Teixeira, Luis/0000-0002-4050-7880</t>
  </si>
  <si>
    <t>project AISym4Med - Horizon Europe Cluster 1: Health [101095387]; project ConnectedHealth - Competitiveness and Internationalisation Operational Programme (POCI) [46858]; Lisbon Regional Operational Programme (LISBOA 2020), under the PORTUGAL 2020 Partnership Agreement, through the European Regional Development Fund (ERDF); NextGenAI -Center for Responsible AI - IAPMEI [2022-C05i0102-02]; FCT [UIDB/00027/2020 UIDP/00027/2020]; Horizon Europe - Pillar II [101095387] Funding Source: Horizon Europe - Pillar II</t>
  </si>
  <si>
    <t>project AISym4Med - Horizon Europe Cluster 1: Health; project ConnectedHealth - Competitiveness and Internationalisation Operational Programme (POCI); Lisbon Regional Operational Programme (LISBOA 2020), under the PORTUGAL 2020 Partnership Agreement, through the European Regional Development Fund (ERDF); NextGenAI -Center for Responsible AI - IAPMEI; FCT(Fundacao para a Ciencia e a Tecnologia (FCT)); Horizon Europe - Pillar II(European Union (EU)Horizon Europe - Pillar II)</t>
  </si>
  <si>
    <t>This work was partially funded by projects AISym4Med (101095387) supported by Horizon Europe Cluster 1: Health, ConnectedHealth (n.o 46858), supported by Competitiveness and Internationalisation Operational Programme (POCI) and Lisbon Regional Operational Programme (LISBOA 2020), under the PORTUGAL 2020 Partnership Agreement, through the European Regional Development Fund (ERDF) and NextGenAI -Center for Responsible AI (2022-C05i0102-02), supported by IAPMEI, and also by FCT plurianual funding for 2020-2023 of LIACC (UIDB/00027/2020 UIDP/00027/2020).</t>
  </si>
  <si>
    <t>978-3-031-30046-2; 978-3-031-30047-9</t>
  </si>
  <si>
    <t>10.1007/978-3-031-30047-9_8</t>
  </si>
  <si>
    <t>BV1WL</t>
  </si>
  <si>
    <t>WOS:000999877600008</t>
  </si>
  <si>
    <t>Balogun, I; Attoh-Okine, N</t>
  </si>
  <si>
    <t>Balogun, Ibrahim; Attoh-Okine, Nii</t>
  </si>
  <si>
    <t>Covariate-Shift Generative Adversarial Network and Railway Track Image Analysis</t>
  </si>
  <si>
    <t>JOURNAL OF TRANSPORTATION ENGINEERING PART A-SYSTEMS</t>
  </si>
  <si>
    <t>Track defects; Generative adversarial networks (GAN); Computer vision; Data imbalance; Deep learning; Covariate shift</t>
  </si>
  <si>
    <t>The acceptance of railway systems as a frontier transportation infrastructure can be attributed to their reliability, safety, and support for green technology. With the recent advances in artificial intelligence and machine learning (AI/ML), the maintenance of railroad transportation systems has taken a different direction, especially in the analysis of railroad big data, leading to real-time processing and detection of railway problems. However, using limited track data may result in overfitting, hindering the accurate implementation of robust models. In this paper, the authors consider generative adversarial networks (GANs) with keen consideration for possible covariate shifts to improve track defect detection and decrease data imbalance. The results show that implementing covariate-shift GAN (COGAN) reduces image processing time and eliminates image biases.</t>
  </si>
  <si>
    <t>[Balogun, Ibrahim] Univ Delaware, Dept Civil &amp; Environm Engn, Newark, DE 19713 USA; [Attoh-Okine, Nii] Univ Maryland, Dept Civil &amp; Environm Engn, College Pk, MD 20742 USA</t>
  </si>
  <si>
    <t>University of Delaware; University System of Maryland; University of Maryland College Park</t>
  </si>
  <si>
    <t>Attoh-Okine, N (corresponding author), Univ Maryland, Dept Civil &amp; Environm Engn, College Pk, MD 20742 USA.</t>
  </si>
  <si>
    <t>iobalo@udel.edu; niiokine@umd.edu</t>
  </si>
  <si>
    <t>ASCE-AMER SOC CIVIL ENGINEERS</t>
  </si>
  <si>
    <t>RESTON</t>
  </si>
  <si>
    <t>1801 ALEXANDER BELL DR, RESTON, VA 20191-4400 USA</t>
  </si>
  <si>
    <t>2473-2907</t>
  </si>
  <si>
    <t>2473-2893</t>
  </si>
  <si>
    <t>J TRANSP ENG A-SYST</t>
  </si>
  <si>
    <t>J. Transp. Eng. Pt A-Syst.</t>
  </si>
  <si>
    <t>10.1061/JTEPBS.TEENG-7390</t>
  </si>
  <si>
    <t>Engineering, Civil; Transportation Science &amp; Technology</t>
  </si>
  <si>
    <t>Engineering; Transportation</t>
  </si>
  <si>
    <t>7W0IU</t>
  </si>
  <si>
    <t>WOS:000913198300003</t>
  </si>
  <si>
    <t>Giannakopoulos, K; Kavadella, A; Salim, AA; Stamatopoulos, V; Kaklamanos, EG</t>
  </si>
  <si>
    <t>Giannakopoulos, Kostis; Kavadella, Argyro; Salim, Anas Aaqel; Stamatopoulos, Vassilis; Kaklamanos, Eleftherios G.</t>
  </si>
  <si>
    <t>Evaluation of the Performance of Generative AI Large Language Models ChatGPT, Google Bard, and Microsoft Bing Chat in Supporting Evidence-Based Dentistry: Comparative Mixed Methods Study</t>
  </si>
  <si>
    <t>artificial intelligence; AI; large language models; generative pretrained transformers; evidence-based dentistry; ChatGPT; Google Bard; Microsoft Bing; clinical practice; dental professional; dental practice; clinical decision-making; clinical practice guidelines</t>
  </si>
  <si>
    <t>ARTIFICIAL-INTELLIGENCE; CHALLENGES</t>
  </si>
  <si>
    <t>Background: The increasing application of generative artificial intelligence large language models (LLMs) in various fields, including dentistry, raises questions about their accuracy. Objective: This study aims to comparatively evaluate the answers provided by 4 LLMs, namely Bard (Google LLC), ChatGPT-3.5 and ChatGPT-4 (OpenAI), and Bing Chat (Microsoft Corp), to clinically relevant questions from the field of dentistry. Methods: The LLMs were queried with 20 open-type, clinical dentistry-related questions from different disciplines, developed by the respective faculty of the School of Dentistry, European University Cyprus. The LLMs' answers were graded 0 (minimum) to 10 (maximum) points against strong, traditionally collected scientific evidence, such as guidelines and consensus statements, using a rubric, as if they were examination questions posed to students, by 2 experienced faculty members. The scores were statistically compared to identify the best-performing model using the Friedman and Wilcoxon tests. Moreover, the evaluators were asked to provide a qualitative evaluation of the comprehensiveness, scientific accuracy, clarity, and relevance of the LLMs' answers. Results: Overall, no statistically significant difference was detected between the scores given by the 2 evaluators; therefore, an average score was computed for every LLM. Although ChatGPT-4 statistically outperformed ChatGPT-3.5 (P=.008), Bing Chat (P=.049), and Bard (P=.045), all models occasionally exhibited inaccuracies, generality, outdated content, and a lack of source references. The evaluators noted instances where the LLMs delivered irrelevant information, vague answers, or information that was not fully accurate. Conclusions: This study demonstrates that although LLMs hold promising potential as an aid in the implementation of evidence-based dentistry, their current limitations can lead to potentially harmful health care decisions if not used judiciously. Therefore, these tools should not replace the dentist's critical thinking and in-depth understanding of the subject matter. Further research, clinical validation, and model improvements are necessary for these tools to be fully integrated into dental practice. Dental practitioners must be aware of the limitations of LLMs, as their imprudent use could potentially impact patient care. Regulatory measures should be established to oversee the use of these evolving technologies.</t>
  </si>
  <si>
    <t>[Giannakopoulos, Kostis; Kavadella, Argyro; Salim, Anas Aaqel; Kaklamanos, Eleftherios G.] European Univ Cyprus, Sch Dent, 6 Diogenis St, CY-2404 Engomi, Nicosia, Cyprus; [Stamatopoulos, Vassilis] ATHENA Res &amp; Innovat Ctr, Informat Management Syst Inst, Athens, Greece; [Kaklamanos, Eleftherios G.] Aristotle Univ Thessaloniki, Sch Dent, Thessaloniki, Greece; [Kaklamanos, Eleftherios G.] Mohammed Bin Rashid Univ Med &amp; Hlth Sci, Dubai, U Arab Emirates</t>
  </si>
  <si>
    <t>European University Cyprus; Aristotle University of Thessaloniki</t>
  </si>
  <si>
    <t>Giannakopoulos, K (corresponding author), European Univ Cyprus, Sch Dent, 6 Diogenis St, CY-2404 Engomi, Nicosia, Cyprus.</t>
  </si>
  <si>
    <t>k.giannakopoulos@euc.ac.cy</t>
  </si>
  <si>
    <t>KAVADELLA, ARGYRO/0009-0003-0560-8373; Kaklamanos, Eleftherios G./0000-0002-0513-5110; Stamatopoulos, Vasileios/0000-0002-9044-796X</t>
  </si>
  <si>
    <t>European University Cyprus</t>
  </si>
  <si>
    <t>This study was funded by the authors and the European University Cyprus and received no specific grant from any funding agency in the public, commercial, or not-for-profit sector. The authors declare that generative artificial intelligence was not used in the writing of any portion the manuscript.</t>
  </si>
  <si>
    <t>DEC 28</t>
  </si>
  <si>
    <t>e51580</t>
  </si>
  <si>
    <t>10.2196/51580</t>
  </si>
  <si>
    <t>FN4G3</t>
  </si>
  <si>
    <t>WOS:001146489700003</t>
  </si>
  <si>
    <t>Burger, B; Kanbach, DK; Kraus, S; Breier, M; Corvello, V</t>
  </si>
  <si>
    <t>Burger, Bastian; Kanbach, Dominik K.; Kraus, Sascha; Breier, Matthias; Corvello, Vincenzo</t>
  </si>
  <si>
    <t>On the use of AI-based tools like ChatGPT to support management research</t>
  </si>
  <si>
    <t>EUROPEAN JOURNAL OF INNOVATION MANAGEMENT</t>
  </si>
  <si>
    <t>AI-Aided research; Management research; Systematic literature review; I10 general; O33 innovation</t>
  </si>
  <si>
    <t>PurposeThe article discusses the current relevance of artificial intelligence (AI) in research and how AI improves various research methods. This article focuses on the practical case study of systematic literature reviews (SLRs) to provide a guideline for employing AI in the process.Design/methodology/approachResearchers no longer require technical skills to use AI in their research. The recent discussion about using Chat Generative Pre-trained Transformer (GPT), a chatbot by OpenAI, has reached the academic world and fueled heated debates about the future of academic research. Nevertheless, as the saying goes, AI will not replace our job; a human being using AI will. This editorial aims to provide an overview of the current state of using AI in research, highlighting recent trends and developments in the field.FindingsThe main result is guidelines for the use of AI in the scientific research process. The guidelines were developed for the literature review case but the authors believe the instructions provided can be adjusted to many fields of research, including but not limited to quantitative research, data qualification, research on unstructured data, qualitative data and even on many support functions and repetitive tasks.Originality/valueAI already has the potential to make researchers' work faster, more reliable and more convenient. The authors highlight the advantages and limitations of AI in the current time, which should be present in any research utilizing AI. Advantages include objectivity and repeatability in research processes that currently are subject to human error. The most substantial disadvantages lie in the architecture of current general-purpose models, which understanding is essential for using them in research. The authors will describe the most critical shortcomings without going into technical detail and suggest how to work with the shortcomings daily.</t>
  </si>
  <si>
    <t>[Burger, Bastian; Kanbach, Dominik K.] HHL Leipzig Grad Sch Management, Leipzig, Germany; [Kanbach, Dominik K.] Woxsen Sch Business, Hyderabad, India; [Kraus, Sascha] Free Univ Bozen Bolzano, Fac Econ &amp; Management, Bolzano, Italy; [Kraus, Sascha] Univ Johannesburg, Dept Business Management, Auckland Pk, South Africa; [Breier, Matthias] Witten/Herdecke Univ, Witten, Germany; [Corvello, Vincenzo] Univ Messina, Dept Engn, Messina, Italy</t>
  </si>
  <si>
    <t>HHL Leipzig Graduate School of Management; Free University of Bozen-Bolzano; University of Johannesburg; University of Messina</t>
  </si>
  <si>
    <t>Corvello, V (corresponding author), Univ Messina, Dept Engn, Messina, Italy.</t>
  </si>
  <si>
    <t>bastian.burger@hhl.de; dominik.kanbach@hhl.de; sascha.kraus@zfke.de; matthias.breier@gmx.at; vincenzo.corvello@unime.it</t>
  </si>
  <si>
    <t>Kanbach, Dominik K./AAW-8271-2021</t>
  </si>
  <si>
    <t>Kanbach, Dominik K./0000-0003-0956-8009; Kraus, Sascha/0000-0003-4886-7482</t>
  </si>
  <si>
    <t>1460-1060</t>
  </si>
  <si>
    <t>1758-7115</t>
  </si>
  <si>
    <t>EUR J INNOV MANAG</t>
  </si>
  <si>
    <t>Eur. J. Innov. Manag.</t>
  </si>
  <si>
    <t>APR 3</t>
  </si>
  <si>
    <t>10.1108/EJIM-02-2023-0156</t>
  </si>
  <si>
    <t>Business; Management</t>
  </si>
  <si>
    <t>C7RJ2</t>
  </si>
  <si>
    <t>WOS:000963843600001</t>
  </si>
  <si>
    <t>Skalski, P; Sutton, D; Burrell, S; Perez, I; Wong, J</t>
  </si>
  <si>
    <t>Skalski, Piotr; Sutton, David; Burrell, Stuart; Perez, Iker; Wong, Jason</t>
  </si>
  <si>
    <t>Towards a Foundation Purchasing Model: Pretrained Generative Autoregression on Transaction Sequences</t>
  </si>
  <si>
    <t>transaction embeddings; self-supervised learning; generative modelling; multivariate time series; fraud detection</t>
  </si>
  <si>
    <t>Machine learning models underpin many modern financial systems for use cases such as fraud detection and churn prediction. Most are based on supervised learning with hand-engineered features, which relies heavily on the availability of labelled data. Large self-supervised generative models have shown tremendous success in natural language processing and computer vision, yet so far they haven't been adapted to multivariate time series of financial transactions. In this paper, we present a generative pretraining method that can be used to obtain contextualised embeddings of financial transactions. Benchmarks on public datasets demonstrate that it outperforms state-of-the-art self-supervised methods on a range of downstream tasks. We additionally perform large-scale pretraining of an embedding model using a corpus of data from 180 issuing banks containing 5.1 billion transactions and apply it to the card fraud detection problem on hold-out datasets. The embedding model significantly improves value detection rate at high precision thresholds and transfers well to out-of-domain distributions.</t>
  </si>
  <si>
    <t>[Skalski, Piotr; Sutton, David; Burrell, Stuart; Perez, Iker; Wong, Jason] Featurespace, Innovat Lab, Cambridge, England</t>
  </si>
  <si>
    <t>Skalski, P (corresponding author), Featurespace, Innovat Lab, Cambridge, England.</t>
  </si>
  <si>
    <t>piotr.skalski@featurespace.co.uk; david.sutton@featurespace.co.uk; stuart.burrell@featurespace.co.uk; iker.perez@featurespace.co.uk; jason.wong@featurespace.co.uk</t>
  </si>
  <si>
    <t>10.1145/3604237.3626850</t>
  </si>
  <si>
    <t>WOS:001124982700017</t>
  </si>
  <si>
    <t>Bode, M</t>
  </si>
  <si>
    <t>Bode, Mathis</t>
  </si>
  <si>
    <t>AI super-resolution subfilter modeling for multi-physics flows</t>
  </si>
  <si>
    <t>PROCEEDINGS OF THE PLATFORM FOR ADVANCED SCIENTIFIC COMPUTING CONFERENCE, PASC 2023</t>
  </si>
  <si>
    <t>Platform for Advanced Scientific Computing Conference (PASC)</t>
  </si>
  <si>
    <t>JUN 26-28, 2023</t>
  </si>
  <si>
    <t>Davos, SWITZERLAND</t>
  </si>
  <si>
    <t>Assoc Comp Machinery,Assoc Comp Machinery, Special Interest Grp High Performance Comp,Swiss Natl Supercomputing Ctr</t>
  </si>
  <si>
    <t>AI Super-Resolution; Large-Eddy Simulation; Fluid Mechanics; Combustion; Multiphase; Turbulence</t>
  </si>
  <si>
    <t>FLAME KERNEL DEVELOPMENT; COMBUSTION SIMULATIONS; TURBULENT; NETWORKS; SCALE</t>
  </si>
  <si>
    <t>Many complex simulations are extremely expensive and hardly if at all doable, even on current supercomputers. A typical reason for this are coupled length and time scales in the application which need to be resolved simultaneously. As a result, many simulation approaches rely on scale-splitting, where only the larger scales are simulated, while the small scales are modeled with subfilter models. This work presents a novel subfilter modeling approach based on AI super-resolution. A physics-informed enhanced super-resolution generative adversarial network (PIESRGAN) is used to accurately close subfilter terms in the solved transport equations. It is demonstrated how a simulation design with the PIESRGAN-approach can be used to accelerate complex simulations on current supercomputers, on the example of three fluid dynamics simulation setups with complex features on the supercomputer environment JURECA-DC/JUWELS (Booster). Further advantages and shortcoming of the PIESRGAN-approach are discussed.</t>
  </si>
  <si>
    <t>[Bode, Mathis] Forschungszentrum Julich GmbH, Julich Supercomputing Ctr JSC, Julich, Germany</t>
  </si>
  <si>
    <t>Helmholtz Association; Research Center Julich</t>
  </si>
  <si>
    <t>Bode, M (corresponding author), Forschungszentrum Julich GmbH, Julich Supercomputing Ctr JSC, Julich, Germany.</t>
  </si>
  <si>
    <t>m.bode@fz-juelich.de</t>
  </si>
  <si>
    <t>JARA-HPC Vergabegremium [JHPC55]; Forschungszentrum Julich; Gauss Centre for Supercomputing e.V.; European Union [952181]</t>
  </si>
  <si>
    <t>JARA-HPC Vergabegremium; Forschungszentrum Julich(Helmholtz Association); Gauss Centre for Supercomputing e.V.; European Union(European Union (EU))</t>
  </si>
  <si>
    <t>The author acknowledges computing time grants for the projects JHPC55 and TurbulenceSL by the JARA-HPC Vergabegremium provided on the JARA-HPC Partition part of the supercomputer JURECA at Julich Supercomputing Centre, Forschungszentrum Julich, the Gauss Centre for Supercomputing e.V. (www.gauss-centre.eu) for funding this project by providing computing time on the GCS Supercomputer JUWELS at Julich Supercomputing Centre (JSC), and funding from the European Union's Horizon 2020 research and innovation program under the Center of Excellence in Combustion (CoEC) project, grant agreement no. 952181.</t>
  </si>
  <si>
    <t>979-8-4007-0190-0</t>
  </si>
  <si>
    <t>10.1145/3592979.3593414</t>
  </si>
  <si>
    <t>Computer Science, Artificial Intelligence; Computer Science, Information Systems; Mathematics, Applied</t>
  </si>
  <si>
    <t>Computer Science; Mathematics</t>
  </si>
  <si>
    <t>BV9VZ</t>
  </si>
  <si>
    <t>WOS:001092572500015</t>
  </si>
  <si>
    <t>Shimizu, I; Kasai, H; Shikino, K; Araki, N; Takahashi, Z; Onodera, M; Kimura, Y; Tsukamoto, T; Yamauchi, K; Asahina, M; Ito, S; Kawakami, E</t>
  </si>
  <si>
    <t>Shimizu, Ikuo; Kasai, Hajime; Shikino, Kiyoshi; Araki, Nobuyuki; Takahashi, Zaiya; Onodera, Misaki; Kimura, Yasuhiko; Tsukamoto, Tomoko; Yamauchi, Kazuyo; Asahina, Mayumi; Ito, Shoichi; Kawakami, Eiryo</t>
  </si>
  <si>
    <t>Developing Medical Education Curriculum Reform Strategies to Address the Impact of Generative AI: Qualitative Study</t>
  </si>
  <si>
    <t>artificial intelligence; curriculum reform; generative artificial intelligence; large language models; medical education; qualitative; analysis; strengths-weaknesses-opportunities-threats (SWOT) framework</t>
  </si>
  <si>
    <t>FACULTY-DEVELOPMENT; VIRTUAL PATIENTS; TOOL</t>
  </si>
  <si>
    <t>Background: Generative artificial intelligence (GAI), represented by large language models, have the potential to transform health care and medical education. In particular, GAI's impact on higher education has the potential to change students' learning experience as well as faculty's teaching. However, concerns have been raised about ethical consideration and decreased reliability of the existing examinations. Furthermore, in medical education, curriculum reform is required to adapt to the revolutionary changes brought about by the integration of GAI into medical practice and research. Objective: This study analyzes the impact of GAI on medical education curricula and explores strategies for adaptation. Methods: The study was conducted in the context of faculty development at a medical school in Japan. A workshop involving faculty and students was organized, and participants were divided into groups to address two research questions: (1) How does GAI affect undergraduate medical education curricula? and (2) How should medical school curricula be reformed to address the impact of GAI? The strength, weakness, opportunity, and threat (SWOT) framework was used, and cross-SWOT matrix analysis was used to devise strategies. Further, 4 researchers conducted content analysis on the data generated during the workshop discussions. Results: The data were collected from 8 groups comprising 55 participants. Further, 5 themes about the impact of GAI on medical education curricula emerged: improvement of teaching and learning, improved access to information, inhibition of existing learning processes, problems in GAI, and changes in physicians' professionality. Positive impacts included enhanced teaching and learning efficiency and improved access to information, whereas negative impacts included concerns about reduced independent thinking and the adaptability of existing assessment methods. Further, GAI was perceived to change the nature of physicians' expertise. Three themes emerged from the cross-SWOT analysis for curriculum reform: (1) learning about GAI, (2) learning with GAI, and (3) learning aside from GAI. Participants recommended incorporating GAI literacy, ethical considerations, and compliance into the curriculum. Learning with GAI involved improving learning efficiency, supporting information gathering and dissemination, and facilitating patient involvement. Learning aside from GAI emphasized maintaining GAI-free learning processes, fostering higher cognitive domains of learning, and introducing more communication exercises. Conclusions: This study highlights the profound impact of GAI on medical education curricula and provides insights into curriculum reform strategies. Participants recognized the need for GAI literacy, ethical education, and adaptive learning. Further, GAI was recognized as a tool that can enhance efficiency and involve patients in education. The study also suggests that medical education should focus on competencies that GAI hardly replaces, such as clinical experience and communication. Notably, involving both faculty and students in curriculum reform discussions fosters a sense of ownership and ensures broader perspectives are encompassed.</t>
  </si>
  <si>
    <t>[Shimizu, Ikuo; Kasai, Hajime; Araki, Nobuyuki; Takahashi, Zaiya; Onodera, Misaki; Tsukamoto, Tomoko; Ito, Shoichi] Chiba Univ, Grad Sch Med, Dept Med Educ, 1-8-1 Inohana, Chiba 2608672, Japan; [Shikino, Kiyoshi; Kimura, Yasuhiko; Yamauchi, Kazuyo; Asahina, Mayumi; Ito, Shoichi] Chiba Univ Hosp, Hlth Profess Dev Ctr, Chiba, Japan; [Shikino, Kiyoshi; Yamauchi, Kazuyo] Chiba Univ, Grad Sch Med, Dept Community Oriented Med Educ, Chiba, Japan; [Kawakami, Eiryo] Chiba Univ, Grad Sch Med, Dept Artificial Intelligence Med, Chiba, Japan</t>
  </si>
  <si>
    <t>Chiba University; Chiba University; Chiba University; Chiba University</t>
  </si>
  <si>
    <t>Shimizu, I (corresponding author), Chiba Univ, Grad Sch Med, Dept Med Educ, 1-8-1 Inohana, Chiba 2608672, Japan.</t>
  </si>
  <si>
    <t>qingshuiyufu@gmail.com</t>
  </si>
  <si>
    <t>Yamauchi, Kazuyo/0000-0001-6587-2393; Kasai, Hajime/0000-0002-6759-2026; Takahashi, Zaiya/0000-0002-8520-9502; Onodera, Misaki/0009-0002-0126-9143; Shimizu, Ikuo/0000-0002-6731-7104; Shikino, Kiyoshi/0000-0002-3721-3443</t>
  </si>
  <si>
    <t>e53466</t>
  </si>
  <si>
    <t>10.2196/53466</t>
  </si>
  <si>
    <t>Z9BQ6</t>
  </si>
  <si>
    <t>WOS:001114957800002</t>
  </si>
  <si>
    <t>Zhao, Y; Deng, P; Liu, JT; Jia, XF; Zhang, JW</t>
  </si>
  <si>
    <t>Zhao, Yu; Deng, Pan; Liu, Junting; Jia, Xiaofeng; Zhang, Jianwei</t>
  </si>
  <si>
    <t>Generative Causal Interpretation Model for Spatio-Temporal Representation Learning</t>
  </si>
  <si>
    <t>Spatio-Temporal Representation Learning; Generative Causal Model</t>
  </si>
  <si>
    <t>Learning, interpreting, and predicting from complex and high-dimensional spatio-temporal data is a natural ability of humans and other intelligent agents, and one of the most important and difficult challenges of AI. Although objects may present different observed phenomena under different situations, their causal mechanism and generation rules are stable and invariant. Different from most existing studies that focus on dynamic correlation, we explore the latent causal structure and mechanism of causal descriptors in the spatio-temporal dimension at the microscopic level, thus revealing the generation principle of observation. In this paper, we regard the causal mechanism as a spatio-temporal causal process modulated by non-stationary exogenous variables. To this end, we propose a theoretically-grounded Generative Causal Interpretation Model (GCIM), which infers explanatory-capable microscopic causal descriptors from observational data via spatio-temporal causal representations. The core of GCIM is to estimate the prior distribution of causal descriptors by using the spatio-temporal causal structure and transition process under the constraints of identifiable conditions, thus extending the Variational AutoEncoder (VAE). Furthermore, our method is able to automatically capture domain information from observations to model non-stationarity. We further analyze the model identifiability, showing that the proposed model learned from observations recovers the true one up to a certain degree. Experiments on synthetic and real-world datasets show that GCIM can successfully identify latent causal descriptors and structures, and accurately predict future data.</t>
  </si>
  <si>
    <t>[Zhao, Yu; Deng, Pan; Liu, Junting] Beihang Univ, Beijing, Peoples R China; [Jia, Xiaofeng] Beijing Big Data Ctr, Beijing, Peoples R China; [Zhang, Jianwei] Capinfo Co Ltd, Beijing, Peoples R China</t>
  </si>
  <si>
    <t>Beihang University</t>
  </si>
  <si>
    <t>Deng, P (corresponding author), Beihang Univ, Beijing, Peoples R China.</t>
  </si>
  <si>
    <t>iyzhao@buaa.edu.cn; pandeng@buaa.edu.cn; liujunting@buaa.edu.cn; jiaxf@jxj.beijing.gov.cn; zhangjw@capinfo.com.cn</t>
  </si>
  <si>
    <t>10.1145/3580305.3599363</t>
  </si>
  <si>
    <t>WOS:001118896303052</t>
  </si>
  <si>
    <t>Barnett, J</t>
  </si>
  <si>
    <t>Barnett, Julia</t>
  </si>
  <si>
    <t>The Ethical Implications of Generative Audio Models: A Systematic Literature Review</t>
  </si>
  <si>
    <t>generative models; audio; algorithmic ethics; broader impacts; literature review</t>
  </si>
  <si>
    <t>SINGING VOICE SYNTHESIS; SPEECH ENHANCEMENT; CHALLENGES; CONVERSION; CONTEXT; SOUND</t>
  </si>
  <si>
    <t>Generative audio models typically focus their applications in music and speech generation, with recent models having human-like quality in their audio output. This paper conducts a systematic literature review of 884 papers in the area of generative audio models in order to both quantify the degree to which researchers in the field are considering potential negative impacts and identify the types of ethical implications researchers in this area need to consider. Though 65% of generative audio research papers note positive potential impacts of their work, less than 10% discuss any negative impacts. This jarringly small percentage of papers considering negative impact is particularly worrying because the issues brought to light by the few papers doing so are raising serious ethical implications and concerns relevant to the broader field such as the potential for fraud, deep-fakes, and copyright infringement. By quantifying this lack of ethical consideration in generative audio research and identifying key areas of potential harm, this paper lays the groundwork for future work in the field at a critical point in time in order to guide more conscientious research as this field progresses.</t>
  </si>
  <si>
    <t>[Barnett, Julia] Northwestern Univ, Evanston, IL 60201 USA</t>
  </si>
  <si>
    <t>Barnett, J (corresponding author), Northwestern Univ, Evanston, IL 60201 USA.</t>
  </si>
  <si>
    <t>JuliaBarnett@u.northwestern.edu</t>
  </si>
  <si>
    <t>10.1145/3600211.3604686</t>
  </si>
  <si>
    <t>WOS:001117838100013</t>
  </si>
  <si>
    <t>Addo, SA</t>
  </si>
  <si>
    <t>Addo, Salomey Afua</t>
  </si>
  <si>
    <t>Are You Ready to Teach AI in Schools? Teachers' Perspectives of Teaching AI in K-12 Settings</t>
  </si>
  <si>
    <t>Artificial intelligence; K-12 computing education; motivation</t>
  </si>
  <si>
    <t>Artificial intelligence (AI) has continually made headlines, even more so with the mass interest in generative AI. The implications of AI on society raises the need for its inclusion in the K-12 computing curriculum. However, little research has been conducted to understand teachers' preparedness to teach AI concepts in K-12. This exploratory study seeks to understand teachers' motivation and preparedness to teach AI in schools through the lens of Self Efficacy Theory (SET) and Self Determination Theory (SDT).</t>
  </si>
  <si>
    <t>[Addo, Salomey Afua] Univ Cambridge, Cambridge, England</t>
  </si>
  <si>
    <t>Addo, SA (corresponding author), Univ Cambridge, Cambridge, England.</t>
  </si>
  <si>
    <t>saa92@cam.ac.uk</t>
  </si>
  <si>
    <t>10.1145/3610969.3610973</t>
  </si>
  <si>
    <t>WOS:001147623400002</t>
  </si>
  <si>
    <t>Zhang, YX; He, RS; Ai, B; Yang, M; Chen, RF; Wang, CL; Zhang, ZY; Zhong, ZD</t>
  </si>
  <si>
    <t>Zhang, Yuxin; He, Ruisi; Ai, Bo; Yang, Mi; Chen, Ruifeng; Wang, Chenlong; Zhang, Zhengyu; Zhong, Zhangdui</t>
  </si>
  <si>
    <t>Generative adversarial networks based digital twin channel modeling for intelligent communication networks</t>
  </si>
  <si>
    <t>CHINA COMMUNICATIONS</t>
  </si>
  <si>
    <t>digital twin; channel modeling; generative adversarial networks; intelligent communication networking</t>
  </si>
  <si>
    <t>5G</t>
  </si>
  <si>
    <t>Integration of digital twin (DT) and wireless channel provides new solution of channel modeling and simulation, and can assist to design, optimize and evaluate intelligent wireless communication system and networks. With DT channel modeling, the generated channel data can be closer to realistic channel measurements without requiring a prior channel model, and amount of channel data can be significantly increased. Artificial intelligence (AI) based modeling approach shows outstanding performance to solve such problems. In this work, a channel modeling method based on generative adversarial networks is proposed for DT channel, which can generate identical statistical distribution with measured channel. Model validation is conducted by comparing DT channel characteristics with measurements, and results show that DT channel leads to fairly good agreement with measured channel. Finally, a link-layer simulation is implemented based on DT channel. It is found that the proposed DT channel model can be well used to conduct link-layer simulation and its performance is comparable to using measurement data. The observations and results can facilitate the development of DT channel modeling and provide new thoughts for DT channel applications, as well as improving the performance and reliability of intelligent communication networking.</t>
  </si>
  <si>
    <t>[Zhang, Yuxin; He, Ruisi; Ai, Bo; Yang, Mi; Wang, Chenlong; Zhang, Zhengyu; Zhong, Zhangdui] Beijing Jiaotong Univ, State Key Lab Rail Traff Control &amp; Safety, Beijing 100044, Peoples R China; [Chen, Ruifeng] China Acad Railway Sci Co Ltd, Inst Comp Technol, Beijing 100081, Peoples R China</t>
  </si>
  <si>
    <t>Beijing Jiaotong University</t>
  </si>
  <si>
    <t>He, RS (corresponding author), Beijing Jiaotong Univ, State Key Lab Rail Traff Control &amp; Safety, Beijing 100044, Peoples R China.</t>
  </si>
  <si>
    <t>ruisi.he@bjtu.edu.cn</t>
  </si>
  <si>
    <t>National Key Ramp;D Program of China [2021YFB3901302, 2021YFB2900301]; National Natural Science Foundation of China [62271037, 62001519, 62221001, U21A20445]; State Key Laboratory of Advanced Rail Autonomous Operation [RCS2022ZZ004]; Fundamental Research Funds for the Central Universities [2022JBQY004]</t>
  </si>
  <si>
    <t>National Key Ramp;D Program of China; National Natural Science Foundation of China(National Natural Science Foundation of China (NSFC)); State Key Laboratory of Advanced Rail Autonomous Operation; Fundamental Research Funds for the Central Universities(Fundamental Research Funds for the Central Universities)</t>
  </si>
  <si>
    <t>This work is supported by National Key R &amp; D Program of China under Grant 2021YFB3901302 and 2021YFB2900301, the National Natural Science Foundation of China under Grant 62271037, 62001519, 62221001, and U21A20445, the State Key Laboratory of Advanced Rail Autonomous Operation under Grant RCS2022ZZ004, and the Fundamental Research Funds for the Central Universities under Grant 2022JBQY004.</t>
  </si>
  <si>
    <t>CHINA INST COMMUNICATIONS</t>
  </si>
  <si>
    <t>BEIJING</t>
  </si>
  <si>
    <t>NO 13 WEST CHANG AN AVENUE, BEIJING, 00000, PEOPLES R CHINA</t>
  </si>
  <si>
    <t>1673-5447</t>
  </si>
  <si>
    <t>CHINA COMMUN</t>
  </si>
  <si>
    <t>China Commun.</t>
  </si>
  <si>
    <t>10.23919/JCC.fa.2023-0206.202308</t>
  </si>
  <si>
    <t>Q9FX3</t>
  </si>
  <si>
    <t>WOS:001060514100004</t>
  </si>
  <si>
    <t>Su, PY; Lu, WS; Chen, JJ; Hong, SB</t>
  </si>
  <si>
    <t>Su, Peiyang; Lu, Weisheng; Chen, Junjie; Hong, Shibo</t>
  </si>
  <si>
    <t>Floor plan graph learning for generative design of residential buildings: a discrete denoising diffusion model</t>
  </si>
  <si>
    <t>BUILDING RESEARCH AND INFORMATION</t>
  </si>
  <si>
    <t>Generative design; graph learning; floorplan design; floorplan typology; discrete denoising diffusion model</t>
  </si>
  <si>
    <t>Floor planning, as one of the most important considerations in building design, often involves intensive trial-and-error processes with many constraints considered simultaneously. Artificial intelligence (AI) generative design solutions being developed are hampered by two shortcomings. Firstly, the vast topological knowledge embedded in existing floor plans has been largely unexplored and is thus wasted. Secondly, an efficient methodological instrument to learn the topological knowledge for generative design is lacking. This paper aims to develop a graph learning methodology to learn graph knowledge from floor plans and generate knowledge ready for building generative design. A discrete denoising diffusion model (D3M) that can learn topology graphs via its bi-directional structure of 'corruption and denoise' is developed and trained using more than 80,000 floor plans from a large-scale dataset. It is found that the D3M can learn the knowledge from floor plans and present it as various building floor topologies, which are evaluated in a preliminary case study as reliable and useful for generating real-life building floor plans. The research provides a design knowledge management framework that can be further implemented in academic works and design practices through some mainstreaming or commercializing efforts.</t>
  </si>
  <si>
    <t>[Su, Peiyang] Sichuan Univ, Coll Architecture &amp; Environm, Key Lab Deep Underground Sci &amp; Engn, Minist Educ, Chengdu, Peoples R China; [Lu, Weisheng; Chen, Junjie; Hong, Shibo] Univ Hong Kong, Dept Real Estate &amp; Construct, Pokfulam Rd, Hong Kong, Peoples R China</t>
  </si>
  <si>
    <t>Sichuan University; University of Hong Kong</t>
  </si>
  <si>
    <t>Lu, WS (corresponding author), Univ Hong Kong, Dept Real Estate &amp; Construct, Pokfulam Rd, Hong Kong, Peoples R China.</t>
  </si>
  <si>
    <t>wilsonlu@hku.hk</t>
  </si>
  <si>
    <t>Hong Kong Research Grants Council [C7080-22GF]</t>
  </si>
  <si>
    <t>Hong Kong Research Grants Council(Hong Kong Research Grants Council)</t>
  </si>
  <si>
    <t>This study is supported by the Collaborative Research Fund (CRF) (Project No.: C7080-22GF) from the Hong Kong Research Grants Council.</t>
  </si>
  <si>
    <t>0961-3218</t>
  </si>
  <si>
    <t>1466-4321</t>
  </si>
  <si>
    <t>BUILD RES INF</t>
  </si>
  <si>
    <t>Build. Res. Informat.</t>
  </si>
  <si>
    <t>2023 DEC 8</t>
  </si>
  <si>
    <t>10.1080/09613218.2023.2288097</t>
  </si>
  <si>
    <t>Construction &amp; Building Technology</t>
  </si>
  <si>
    <t>AZ9U1</t>
  </si>
  <si>
    <t>WOS:001122392500001</t>
  </si>
  <si>
    <t>Emmert-Streib, F</t>
  </si>
  <si>
    <t>Emmert-Streib, Frank</t>
  </si>
  <si>
    <t>What Is the Role of AI for Digital Twins?</t>
  </si>
  <si>
    <t>digital twin; artificial intelligence; data science; machine learning; sustainability; climate science</t>
  </si>
  <si>
    <t>MEDICINE</t>
  </si>
  <si>
    <t>The concept of a digital twin is intriguing as it presents an innovative approach to solving numerous real-world challenges. Initially emerging from the domains of manufacturing and engineering, digital twin research has transcended its origins and now finds applications across a wide range of disciplines. This multidisciplinary expansion has impressively demonstrated the potential of digital twin research. While the simulation aspect of a digital twin is often emphasized, the role of artificial intelligence (AI) and machine learning (ML) is severely understudied. For this reason, in this paper, we highlight the pivotal role of AI and ML for digital twin research. By recognizing that a digital twin is a component of a broader Digital Twin System (DTS), we can fully grasp the diverse applications of AI and ML. In this paper, we explore six AI techniques-(1) optimization (model creation), (2) optimization (model updating), (3) generative modeling, (4) data analytics, (5) predictive analytics and (6) decision making-and their potential to advance applications in health, climate science, and sustainability.</t>
  </si>
  <si>
    <t>[Emmert-Streib, Frank] Tampere Univ, Fac Informat Technol &amp; Commun Sci, Predict Soc &amp; Data Analyt Lab, Tampere 33100, Finland</t>
  </si>
  <si>
    <t>Tampere University</t>
  </si>
  <si>
    <t>Emmert-Streib, F (corresponding author), Tampere Univ, Fac Informat Technol &amp; Commun Sci, Predict Soc &amp; Data Analyt Lab, Tampere 33100, Finland.</t>
  </si>
  <si>
    <t>v@bio-complexity.com</t>
  </si>
  <si>
    <t>Emmert-Streib, Frank/G-8099-2011</t>
  </si>
  <si>
    <t>Emmert-Streib, Frank/0000-0003-0745-5641</t>
  </si>
  <si>
    <t>2673-2688</t>
  </si>
  <si>
    <t>AI-BASEL</t>
  </si>
  <si>
    <t>10.3390/ai4030038</t>
  </si>
  <si>
    <t>S6VQ0</t>
  </si>
  <si>
    <t>WOS:001072528400001</t>
  </si>
  <si>
    <t>Arashpour, M</t>
  </si>
  <si>
    <t>Arashpour, Mehrdad</t>
  </si>
  <si>
    <t>AI explainability framework for environmental management research</t>
  </si>
  <si>
    <t>JOURNAL OF ENVIRONMENTAL MANAGEMENT</t>
  </si>
  <si>
    <t>Environmental crisis; Environmental management research; Explainable AI (XAI); Management and valorization of solid waste; Multimodal and generative pre-trained trans-formers; Responsible and fair artificial intelligence; Vision-language deep learning models</t>
  </si>
  <si>
    <t>Deep learning networks powered by AI are essential predictive tools relying on image data availability and processing hardware advancements. However, little attention has been paid to explainable AI (XAI) in appli- cation fields, including environmental management. This study develops an explainability framework with a triadic structure to focus on input, AI model and output. The framework provides three main contributions. (1) A context-based augmentation of input data to maximize generalizability and minimize overfitting. (2) A direct monitoring of AI model layers and parameters to use leaner (lighter) networks suitable for edge device deployment, (3) An output explanation procedure focusing on interpretability and robustness of predictive de- cisions by AI networks. These contributions significantly advance state of the art in XAI for environmental management research, offering implications for improved understanding and utilization of AI networks in this field.</t>
  </si>
  <si>
    <t>[Arashpour, Mehrdad] Monash Univ, Dept Civil Engn, Melbourne, Vic 3800, Australia</t>
  </si>
  <si>
    <t>Arashpour, M (corresponding author), Monash Univ, Dept Civil Engn, Melbourne, Vic 3800, Australia.</t>
  </si>
  <si>
    <t>mehrdad.arashpour@monash.edu</t>
  </si>
  <si>
    <t>Arashpour, Mehrdad/GXW-0980-2022</t>
  </si>
  <si>
    <t>Arashpour, Mehrdad/0000-0003-4148-3160</t>
  </si>
  <si>
    <t>Australian Research Council (ARC) Industrial Trans-formation Research Hub (ITRH) Scheme [IH18.04.1]; [IH180100010]</t>
  </si>
  <si>
    <t>Australian Research Council (ARC) Industrial Trans-formation Research Hub (ITRH) Scheme(Australian Research Council);</t>
  </si>
  <si>
    <t>The contributions and comments of ASCII Lab (https:// www.monash.edu/ascii) members on this manuscript are greatly appreci-ated. This work is part of a research project (Project No IH18.04.1) funded by the Australian Research Council (ARC) Industrial Trans-formation Research Hub (ITRH) Scheme (Project ID: IH180100010) .</t>
  </si>
  <si>
    <t>0301-4797</t>
  </si>
  <si>
    <t>1095-8630</t>
  </si>
  <si>
    <t>J ENVIRON MANAGE</t>
  </si>
  <si>
    <t>J. Environ. Manage.</t>
  </si>
  <si>
    <t>SEP 15</t>
  </si>
  <si>
    <t>10.1016/j.jenvman.2023.118149</t>
  </si>
  <si>
    <t>Environmental Sciences</t>
  </si>
  <si>
    <t>Environmental Sciences &amp; Ecology</t>
  </si>
  <si>
    <t>I9VH6</t>
  </si>
  <si>
    <t>WOS:001006180900001</t>
  </si>
  <si>
    <t>Karakose, T; Demirkol, M; Yirci, R; Polat, H; Ozdemir, TY; Tülübas, T</t>
  </si>
  <si>
    <t>Karakose, Turgut; Demirkol, Murat; Yirci, Ramazan; Polat, Hakan; Ozdemir, Tuncay Yavuz; Tulubas, Tijen</t>
  </si>
  <si>
    <t>A Conversation with ChatGPT about Digital Leadership and Technology Integration: Comparative Analysis Based on Human-AI Collaboration</t>
  </si>
  <si>
    <t>ADMINISTRATIVE SCIENCES</t>
  </si>
  <si>
    <t>digital leadership; technology integration; school leadership; ChatGPT; artificial intelligence; generative AI; AI in education; chatbot</t>
  </si>
  <si>
    <t>ARTIFICIAL-INTELLIGENCE; TEACHER BELIEFS; AGE</t>
  </si>
  <si>
    <t>Artificial intelligence (AI) is one of the ground-breaking innovations of the 21st century that has accelerated the digitalization of societies. ChatGPT is a newer form of AI-based large language model that can generate complex texts that are almost indistinguishable from human-generated text. It has already garnered substantial interest from people due to its potential utility in a variety of contexts. The current study was conducted to evaluate the utility of ChatGPT in generating accurate, clear, concise, and unbiased information that could support a scientific research process. To achieve this purpose, we initiated queries on both versions of ChatGPT regarding digital school leadership and teachers' technology integration, two significant topics currently discussed in educational literature, under four categories: (1) the definition of digital leadership, (2) the digital leadership skills of school principals, (3) the factors affecting teachers' technology integration, and (4) the impact of digital leadership on teachers' technology integration. Next, we performed a comparative analysis of the responses generated by ChatGPT-3.5 and ChatGPT-4. The results showed that both versions were capable of providing satisfactory information compatible with the relevant literature. However, ChatGPT-4 provided more comprehensive and categorical information as compared to ChatGPT-3.5, which produced responses that were more superficial and short-cut. Although the results are promising in aiding the research process with AI-based technologies, we should also caution that, in their current form, these tools are still in their infancy, and there is a long way to go before they become fully capable of supporting scientific work. Meanwhile, it is significant that researchers continue to develop the relevant knowledge base to support the responsible, safe, and ethical integration of these technologies into the process of scientific knowledge creation, as Pandora's box has already been opened, releasing newer opportunities and risks to be tackled.</t>
  </si>
  <si>
    <t>[Karakose, Turgut; Tulubas, Tijen] Kutahya Dumlupinar Univ, Fac Educ, TR-43100 Kutahya, Turkiye; [Demirkol, Murat; Polat, Hakan; Ozdemir, Tuncay Yavuz] Firat Univ, Fac Educ, TR-23119 Elazig, Turkiye; [Yirci, Ramazan] Sutcuimam Univ, Fac Educ, TR-46050 Kahramanmaras, Turkiye</t>
  </si>
  <si>
    <t>Dumlupinar University; Firat University; Kahramanmaras Sutcu Imam University</t>
  </si>
  <si>
    <t>Yirci, R (corresponding author), Sutcuimam Univ, Fac Educ, TR-46050 Kahramanmaras, Turkiye.</t>
  </si>
  <si>
    <t>turgut.karakose@dpu.edu.tr; mdemirkol@firat.edu.tr; yirci@ksu.edu.tr; hakanpolat@firat.edu.tr; tyozdemir@firat.edu.tr; tijen.tulubas@dpu.edu.tr</t>
  </si>
  <si>
    <t>Karakose, Turgut/AAR-2642-2021; POLAT, HAKAN/ABG-2858-2021; Yirci, Ramazan/N-8738-2015; Ozdemir, Tuncay Yavuz/W-7212-2018</t>
  </si>
  <si>
    <t>Karakose, Turgut/0000-0003-0346-8154; POLAT, HAKAN/0000-0002-0271-3747; OZDEMIR, Tuncay Yavuz/0000-0002-5361-7261; Yirci, Ramazan/0000-0003-4696-7420; Ozdemir, Tuncay Yavuz/0000-0001-6474-5915; Tulubas, Tijen/0000-0001-9406-8361; DEMIRKOL, MURAT/0000-0003-3108-3219</t>
  </si>
  <si>
    <t>2076-3387</t>
  </si>
  <si>
    <t>ADM SCI</t>
  </si>
  <si>
    <t>Adm. Sci.</t>
  </si>
  <si>
    <t>10.3390/admsci13070157</t>
  </si>
  <si>
    <t>N1LX0</t>
  </si>
  <si>
    <t>WOS:001034722300001</t>
  </si>
  <si>
    <t>Khoury, CJ; Enver, N; Paderno, A; Ratti, E; Rameau, A</t>
  </si>
  <si>
    <t>Khoury, Carolyn Jane; Enver, Necati; Paderno, Alberto; Ratti, Emanuele; Rameau, Anais</t>
  </si>
  <si>
    <t>Using Generative Artificial Intelligence in the Production and Dissemination of Innovation in Otolaryngology-Ethical Considerations</t>
  </si>
  <si>
    <t>OTOLARYNGOLOGY-HEAD AND NECK SURGERY</t>
  </si>
  <si>
    <t>generative AI; otolaryngology</t>
  </si>
  <si>
    <t>[Khoury, Carolyn Jane] Weill Cornell Med, Sean Parker Inst Voice, New York, NY USA; [Enver, Necati] Marmara Univ, Fac Med, Dept Otorhinolaryngol Head &amp; Neck Surg, Istanbul, Turkiye; [Paderno, Alberto] IRCCS Human Res Hosp, Otorhinolaryngol Unit, Milan, Italy; [Ratti, Emanuele] Univ Bristol, Dept Philosophy, Bristol, England; [Rameau, Anais] Weill Cornell Med Coll, Dept Otolaryngol Head &amp; Neck Surg, Sean Parker Inst Voice, New York, NY 10065 USA</t>
  </si>
  <si>
    <t>Cornell University; Weill Cornell Medicine; Marmara University; University of Bristol; Cornell University; Weill Cornell Medicine</t>
  </si>
  <si>
    <t>Rameau, A (corresponding author), Weill Cornell Med Coll, Dept Otolaryngol Head &amp; Neck Surg, Sean Parker Inst Voice, New York, NY 10065 USA.</t>
  </si>
  <si>
    <t>anr2783@med.cornell.edu</t>
  </si>
  <si>
    <t>RATTI, EMANUELE/0000-0003-1409-8240; Paderno, Alberto/0000-0002-1621-2142</t>
  </si>
  <si>
    <t>Paul B. Beeson Emerging Leaders Career Development Award in Aging from the National Institute on Aging [K76 AG079040]; Bridge2AI award from the NIH Common Fund [OT2 OD032720]; Notre Dame-IBM Tech Ethics Lab [262812UB]; Innovate UK; Horizon Europe [10063119]</t>
  </si>
  <si>
    <t>Paul B. Beeson Emerging Leaders Career Development Award in Aging from the National Institute on Aging; Bridge2AI award from the NIH Common Fund(United States Department of Health &amp; Human ServicesNational Institutes of Health (NIH) - USA); Notre Dame-IBM Tech Ethics Lab; Innovate UK(UK Research &amp; Innovation (UKRI)Innovate UK); Horizon Europe</t>
  </si>
  <si>
    <t>Anais Rameau was supported by a Paul B. Beeson Emerging Leaders Career Development Award in Aging (K76 AG079040) from the National Institute on Aging and by the Bridge2AI award (OT2 OD032720) from the NIH Common Fund. Emanuele Ratti was supported in part by an award from the Notre Dame-IBM Tech Ethics Lab (number 262812UB) and Innovate UK and Horizon Europe (project id 10063119). Such supports do not constitute endorsement by the sponsor of the views expressed in this publication.</t>
  </si>
  <si>
    <t>0194-5998</t>
  </si>
  <si>
    <t>1097-6817</t>
  </si>
  <si>
    <t>OTOLARYNG HEAD NECK</t>
  </si>
  <si>
    <t>Otolaryngol. Head Neck Surg.</t>
  </si>
  <si>
    <t>2023 DEC 3</t>
  </si>
  <si>
    <t>10.1002/ohn.601</t>
  </si>
  <si>
    <t>Otorhinolaryngology; Surgery</t>
  </si>
  <si>
    <t>Z6FU2</t>
  </si>
  <si>
    <t>WOS:001113018400001</t>
  </si>
  <si>
    <t>Argyle, LP; Bail, CA; Busby, EC; Gubler, JR; Howe, T; Rytting, C; Sorensen, T; Wingate, D</t>
  </si>
  <si>
    <t>Argyle, Lisa P.; Bail, Christopher A.; Busby, Ethan C.; Gubler, Joshua R.; Howe, Thomas; Rytting, Christopher; Sorensen, Taylor; Wingate, David</t>
  </si>
  <si>
    <t>Leveraging AI for democratic discourse: Chat interventions can improve online political conversations at scale</t>
  </si>
  <si>
    <t>democratic deliberation; computational social science; generative AI; political science</t>
  </si>
  <si>
    <t>SOCIAL MEDIA; PARTISAN; CONFLICT; HEALTH</t>
  </si>
  <si>
    <t>Political discourse is the soul of democracy, but misunderstanding and conflict can fester in divisive conversations. The widespread shift to online discourse exacerbates many of these problems and corrodes the capacity of diverse societies to cooperate in solving social problems. Scholars and civil society groups promote interventions that make conversations less divisive or more productive, but scaling these efforts to online discourse is challenging. We conduct a large-scale experiment that demonstrates how online conversations about divisive topics can be improved with AI tools. Specifically, we employ a large language model to make real-time, evidence-based recommendations intended to improve participants' perception of feeling understood. These interventions improve reported conversation quality, promote democratic reciprocity, and improve the tone, without systematically changing the content of the conversation or moving people's policy attitudes.</t>
  </si>
  <si>
    <t>[Argyle, Lisa P.; Busby, Ethan C.; Gubler, Joshua R.] Brigham Young Univ, Dept Polit Sci, Provo, UT 84602 USA; [Bail, Christopher A.] Duke Univ, Dept Sociol Polit Sci &amp; Publ Policy, Durham, NC 27708 USA; [Howe, Thomas; Rytting, Christopher; Wingate, David] Brigham Young Univ, Dept Comp Sci, Provo, UT 84602 USA; [Sorensen, Taylor] Univ Washington, Dept Comp Sci, Seattle, WA 98195 USA</t>
  </si>
  <si>
    <t>Brigham Young University; Duke University; Brigham Young University; University of Washington; University of Washington Seattle</t>
  </si>
  <si>
    <t>Argyle, LP (corresponding author), Brigham Young Univ, Dept Polit Sci, Provo, UT 84602 USA.;Bail, CA (corresponding author), Duke Univ, Dept Sociol Polit Sci &amp; Publ Policy, Durham, NC 27708 USA.</t>
  </si>
  <si>
    <t>lpargyle@byu.edu; christopher.bail@duke.edu</t>
  </si>
  <si>
    <t>Busby, Ethan/M-3369-2015</t>
  </si>
  <si>
    <t>Busby, Ethan/0000-0002-8931-6348; Wingate, David/0000-0003-1850-6926; Sorensen, Taylor/0000-0002-3251-3527; Gubler, Joshua/0000-0003-1635-8210</t>
  </si>
  <si>
    <t>NSF [2141680]; Duke University; Brigham Young University</t>
  </si>
  <si>
    <t>NSF(National Science Foundation (NSF)); Duke University; Brigham Young University</t>
  </si>
  <si>
    <t>Funds for this research were provided by the NSF (award number 2141680) , Duke University, and Brigham Young University.</t>
  </si>
  <si>
    <t>OCT 10</t>
  </si>
  <si>
    <t>e2311627120</t>
  </si>
  <si>
    <t>10.1073/pnas.2311627120</t>
  </si>
  <si>
    <t>W0WV4</t>
  </si>
  <si>
    <t>WOS:001088928400004</t>
  </si>
  <si>
    <t>Generative Adversarial Networks Based Digital Twin Channel Modeling for Intelligent Communication Networks</t>
  </si>
  <si>
    <t>digital twin; channel modeling; generative adversarial networks; intelligent communication net-working</t>
  </si>
  <si>
    <t>National Key Ramp;D Program of China [2021YFB2900301, 62271037]; National Natural Sci-ence Foundation of China [62001519, 62221001, U21A20445, RCS2022ZZ004]; State Key Laboratory of Advanced Rail Autonomous Operation [2022JBQY004]; Fundamental Research Funds for the Central Universities; [2021YFB3901302]</t>
  </si>
  <si>
    <t>National Key Ramp;D Program of China; National Natural Sci-ence Foundation of China(National Natural Science Foundation of China (NSFC)); State Key Laboratory of Advanced Rail Autonomous Operation; Fundamental Research Funds for the Central Universities(Fundamental Research Funds for the Central Universities);</t>
  </si>
  <si>
    <t>This work is supported by National Key R&amp;D Program of China under Grant 2021YFB3901302 and 2021YFB2900301, the National Natural Sci-ence Foundation of China under Grant 62271037, 62001519, 62221001, and U21A20445, the State Key Laboratory of Advanced Rail Autonomous Operation under Grant RCS2022ZZ004, and the Fundamental Research Funds for the Central Universities under Grant 2022JBQY004.</t>
  </si>
  <si>
    <t>Q6DX8</t>
  </si>
  <si>
    <t>WOS:001058419600003</t>
  </si>
  <si>
    <t>Zhu, QH; Luo, JX</t>
  </si>
  <si>
    <t>Gero, JS</t>
  </si>
  <si>
    <t>Zhu, Qihao; Luo, Jianxi</t>
  </si>
  <si>
    <t>Generative Design Ideation: A Natural Language Generation Approach</t>
  </si>
  <si>
    <t>DESIGN COMPUTING AND COGNITION'22</t>
  </si>
  <si>
    <t>10th International Conference on Design Computing and Cognition (DCC)</t>
  </si>
  <si>
    <t>Univ Strathclyde, Glasgow, SCOTLAND</t>
  </si>
  <si>
    <t>Univ Strathclyde</t>
  </si>
  <si>
    <t>This paper aims to explore a generative approach for knowledge-based design ideation by applying the latest pre-trained language models in artificial intelligence (AI). Specifically, a method of fine-tuning the generative pre-trained transformer using the USPTO patent database is proposed. The AI-generated ideas are not only in concise and understandable language but also able to synthesize the target design with external knowledge sources with controllable knowledge distance. The method is tested in a case study of rolling toy design and the results show good performance in generating ideas of varied novelty with near-field and far-field source knowledge.</t>
  </si>
  <si>
    <t>[Zhu, Qihao; Luo, Jianxi] Singapore Univ Technol &amp; Design, Singapore 487372, Singapore</t>
  </si>
  <si>
    <t>Singapore University of Technology &amp; Design</t>
  </si>
  <si>
    <t>Zhu, QH (corresponding author), Singapore Univ Technol &amp; Design, Singapore 487372, Singapore.</t>
  </si>
  <si>
    <t>qihao_zhu@mymail.sutd.edu.sg; jianxi_luo@sutd.edu.sg</t>
  </si>
  <si>
    <t>Zhu, Qihao/JWO-8071-2024</t>
  </si>
  <si>
    <t>978-3-031-20420-3; 978-3-031-20418-0; 978-3-031-20417-3</t>
  </si>
  <si>
    <t>10.1007/978-3-031-20418-0_3</t>
  </si>
  <si>
    <t>Behavioral Sciences; Engineering, Multidisciplinary</t>
  </si>
  <si>
    <t>Behavioral Sciences; Engineering</t>
  </si>
  <si>
    <t>BU9UG</t>
  </si>
  <si>
    <t>WOS:000963430900003</t>
  </si>
  <si>
    <t>Laato, S; Morschheuser, B; Hamari, J; Björne, J</t>
  </si>
  <si>
    <t>Chang, M; Chen, NS; Kuo, R; Rudolph, G; Sampson, DG; Tlili, A</t>
  </si>
  <si>
    <t>Laato, Samuli; Morschheuser, Benedikt; Hamari, Juho; Bjorne, Jari</t>
  </si>
  <si>
    <t>AI-assisted Learning with ChatGPT and Large Language Models: Implications for Higher Education</t>
  </si>
  <si>
    <t>2023 IEEE INTERNATIONAL CONFERENCE ON ADVANCED LEARNING TECHNOLOGIES, ICALT</t>
  </si>
  <si>
    <t>IEEE International Conference on Advanced Learning Technologies</t>
  </si>
  <si>
    <t>23rd IEEE International Conference on Advanced Learning Technologies (ICALT)</t>
  </si>
  <si>
    <t>JUL 10-13, 2023</t>
  </si>
  <si>
    <t>Orem, UT</t>
  </si>
  <si>
    <t>IEEE,IEEE Comp Soc,IEEE Tech Community Learning Technol</t>
  </si>
  <si>
    <t>ChatGPT; Bard; GPT-4; generative language models; large language models; higher education; learning</t>
  </si>
  <si>
    <t>The recent progress in generative AI models, particularly large language models (LLMs), has brought about a transformation in the field of education. Conversational LLM services, such as Google's Bard and OpenAI's ChatGPT, offer students access to many abilities such as summarization and generation of text and code, and on-demand replies to questions on expert topics. In this paper, we observe ChatGPT to explore how LLM services impact learning and instruction in higher education. First, we mapped the capabilities of the system by reviewing the grey literature on ChatGPT and using the system ourselves for two months. Second, we selected a Bachelor level computer science curriculum from a Finnish university, and examined the impact of ChatGPT on the offered courses. As an outcome of this study, we highlight 13 implications for students' learning in higher education, and discuss the contemporary future of AI-assisted learning in universities and beyond.</t>
  </si>
  <si>
    <t>[Laato, Samuli; Hamari, Juho] Tampere Univ, Gamificat Grp, Tampere, Finland; [Morschheuser, Benedikt] FAU Erlangen Nurnberg, Inst Informat Syst, Nurnberg, Germany; [Bjorne, Jari] Univ Turku, Dept Comp, Turku, Finland</t>
  </si>
  <si>
    <t>Tampere University; University of Erlangen Nuremberg; University of Turku</t>
  </si>
  <si>
    <t>Laato, S (corresponding author), Tampere Univ, Gamificat Grp, Tampere, Finland.</t>
  </si>
  <si>
    <t>samuli.laato@tuni.fi; benedikt.morschheuser@fau.de; juho.hamari@tuni.fi; jari.bjorne@utu.fi</t>
  </si>
  <si>
    <t>Morschheuser, Benedikt/0000-0002-7665-8971; Laato, Samuli/0000-0003-4285-0073</t>
  </si>
  <si>
    <t>2161-3761</t>
  </si>
  <si>
    <t>979-8-3503-0054-3</t>
  </si>
  <si>
    <t>IEEE INT CONF ADV LE</t>
  </si>
  <si>
    <t>10.1109/ICALT58122.2023.00072</t>
  </si>
  <si>
    <t>BW0CX</t>
  </si>
  <si>
    <t>WOS:001094548800066</t>
  </si>
  <si>
    <t>Seo, S; Lim, J; Kim, WY</t>
  </si>
  <si>
    <t>Seo, Seonghwan; Lim, Jaechang; Kim, Woo Youn</t>
  </si>
  <si>
    <t>Molecular Generative Model via Retrosynthetically Prepared Chemical Building Block Assembly</t>
  </si>
  <si>
    <t>ADVANCED SCIENCE</t>
  </si>
  <si>
    <t>deep generative model; deep learning; molecular design; synthesizability</t>
  </si>
  <si>
    <t>DRUG DISCOVERY; DESIGN; OPTIMIZATION; PREDICTION</t>
  </si>
  <si>
    <t>Deep generative models are attracting attention as a smart molecular design strategy. However, previous models often render molecules with low synthesizability, hindering their real-world applications. Here, a novel graph-based conditional generative model which makes molecules by tailoring retrosynthetically prepared chemical building blocks until achieving target properties in an auto-regressive fashion is proposed. This strategy improves the synthesizability and property control of the resulting molecules and also helps learn how to select appropriate building blocks and bind them together to achieve target properties. By applying a negative sampling method to the selection process of building blocks, this model overcame a critical limitation of previous fragment-based models, which can only use molecules from the training set during generation. As a result, the model works equally well with unseen building blocks without sacrificing computational efficiency. It is demonstrated that the model can generate potential inhibitors with high docking scores against the 3CL protease of SARS-COV-2.</t>
  </si>
  <si>
    <t>[Seo, Seonghwan; Lim, Jaechang; Kim, Woo Youn] HITS Inc, 124 Teheran Ro, Seoul 06234, South Korea; [Seo, Seonghwan; Kim, Woo Youn] Korea Adv Inst Sci &amp; Technol, Dept Chem, 291 Daehak Ro, Daejeon 34141, South Korea; [Kim, Woo Youn] Korea Adv Inst Sci &amp; Technol, AI Inst, 291 Daehak Ro, Daejeon 34141, South Korea</t>
  </si>
  <si>
    <t>Lim, J; Kim, WY (corresponding author), HITS Inc, 124 Teheran Ro, Seoul 06234, South Korea.;Kim, WY (corresponding author), Korea Adv Inst Sci &amp; Technol, Dept Chem, 291 Daehak Ro, Daejeon 34141, South Korea.;Kim, WY (corresponding author), Korea Adv Inst Sci &amp; Technol, AI Inst, 291 Daehak Ro, Daejeon 34141, South Korea.</t>
  </si>
  <si>
    <t>jaechang@hits.ai; wooyoun@kaist.ac.kr</t>
  </si>
  <si>
    <t>Seo, Seonghwan/JFS-9811-2023; Kim, Woo Youn/C-1846-2011</t>
  </si>
  <si>
    <t>Seo, Seonghwan/0000-0002-4090-7825; Lim, Jaechang/0000-0001-7342-4283; Kim, Woo Youn/0000-0001-7152-2111</t>
  </si>
  <si>
    <t>Tech Incubator Program for Startup (TIPS) - Ministry of SMEs and Startups (MSS, Korea) [S3031674]</t>
  </si>
  <si>
    <t>Tech Incubator Program for Startup (TIPS) - Ministry of SMEs and Startups (MSS, Korea)(Ministry of SMEs &amp; Startups (MSS), Republic of Korea)</t>
  </si>
  <si>
    <t>This work was supported by the Tech Incubator Program for Startup (TIPS) funded by the Ministry of SMEs and Startups (MSS, Korea) (S3031674).</t>
  </si>
  <si>
    <t>2198-3844</t>
  </si>
  <si>
    <t>ADV SCI</t>
  </si>
  <si>
    <t>Adv. Sci.</t>
  </si>
  <si>
    <t>10.1002/advs.202206674</t>
  </si>
  <si>
    <t>JAN 2023</t>
  </si>
  <si>
    <t>Chemistry, Multidisciplinary; Nanoscience &amp; Nanotechnology; Materials Science, Multidisciplinary</t>
  </si>
  <si>
    <t>Chemistry; Science &amp; Technology - Other Topics; Materials Science</t>
  </si>
  <si>
    <t>D3CL5</t>
  </si>
  <si>
    <t>WOS:000906516300001</t>
  </si>
  <si>
    <t>Jaszcz, A; Prokop, K; Polap, D; Srivastava, G; Lin, JCW</t>
  </si>
  <si>
    <t>Rutkowski, L; Scherer, R; Korytkowski, M; Pedrycz, W; Tadeusiewicz, R; Zurada, JM</t>
  </si>
  <si>
    <t>Jaszcz, Antoni; Prokop, Katarzyna; Polap, Dawid; Srivastava, Gautam; Lin, Jerry Chun-Wei</t>
  </si>
  <si>
    <t>Human-AI Collaboration to Increase the Perception of VR</t>
  </si>
  <si>
    <t>ARTIFICIAL INTELLIGENCE AND SOFT COMPUTING, ICAISC 2022, PT I</t>
  </si>
  <si>
    <t>21st International Conference on Artificial Intelligence and Soft Computing (ICAISC)</t>
  </si>
  <si>
    <t>JUN 19-23, 2022</t>
  </si>
  <si>
    <t>Zakopane, POLAND</t>
  </si>
  <si>
    <t>Polish Neural Network Soc,Czestochowa Univ Technol, Dept Intelligent Comp Syst,Univ Social Sci,IEEE Computat Intelligence Soc, Poland Chapter,Polish Acad Sci, Comm Informat</t>
  </si>
  <si>
    <t>Neural networks; Convolutional; Soft sets; Virtual reality; Human-AI; Collaboration; Machine learning</t>
  </si>
  <si>
    <t>EDUCATION</t>
  </si>
  <si>
    <t>Virtual reality (VR) is gaining popularity very fast due to newer solutions that increase user perception. Glasses, sensors, and treadmills are the basic functionality for immersing yourself in a virtual environment. In this paper, we propose a human-AI collaboration for analyzing the newly generated images that can be used for creating worlds. The presented method is based on analyzing different scenes (from simulation and real environment) using generative adversarial networks (GAN) and the communication with the user for assessments of the created new environment. User's information contributes to the analysis of sample quality and possible rebuilding or retraining of the GAN model. The proposal increases the perception of VR by taking the user's feelings in creating new environments. For this purpose, we combine GAN with fuzzy soft sets inference to gain the possibility of retraining/remodeling the used neural network. It was examined in theoretical simulation and real-environment case study.</t>
  </si>
  <si>
    <t>[Jaszcz, Antoni; Prokop, Katarzyna; Polap, Dawid] Silesian Tech Univ, Fac Appl Math, Kaszubska 23, PL-44101 Gliwice, Poland; [Srivastava, Gautam] Brandon Univ, Dept Math &amp; Comp Sci, Brandon, MB R7A 6A9, Canada; [Lin, Jerry Chun-Wei] Western Norway Univ Appl Sci, Bergen, Norway</t>
  </si>
  <si>
    <t>Silesian University of Technology; Brandon University; Western Norway University of Applied Sciences</t>
  </si>
  <si>
    <t>Polap, D (corresponding author), Silesian Tech Univ, Fac Appl Math, Kaszubska 23, PL-44101 Gliwice, Poland.</t>
  </si>
  <si>
    <t>aj303181@student.polsl.pl; katapro653@student.polsl.pl; Dawid.Polap@polsl.pl; SrivastavaG@brandonu.ca</t>
  </si>
  <si>
    <t>Połap, Dawid/D-1547-2017; Srivastava, Gautam/N-5668-2019</t>
  </si>
  <si>
    <t>Połap, Dawid/0000-0003-1972-5979; Srivastava, Gautam/0000-0001-9851-4103; Jaszcz, Antoni/0000-0002-8997-0331; Prokop, Katarzyna/0000-0002-3830-6182</t>
  </si>
  <si>
    <t>Silesian University of Technology, Poland [09/010/RGJ22/0067]</t>
  </si>
  <si>
    <t>Silesian University of Technology, Poland</t>
  </si>
  <si>
    <t>This work is supported by the Rector proquality grant at the Silesian University of Technology, Poland No. 09/010/RGJ22/0067.</t>
  </si>
  <si>
    <t>978-3-031-23491-0; 978-3-031-23492-7</t>
  </si>
  <si>
    <t>10.1007/978-3-031-23492-7_5</t>
  </si>
  <si>
    <t>BV0KQ</t>
  </si>
  <si>
    <t>WOS:000972696000005</t>
  </si>
  <si>
    <t>Liu, V; Vermeulen, J; Fitzmaurice, G; Matejka, J</t>
  </si>
  <si>
    <t>Liu, Vivian; Vermeulen, Jo; Fitzmaurice, George; Matejka, Justin</t>
  </si>
  <si>
    <t>3DALL-E: Integrating Text-to-Image AI in 3D DesignWorkflows</t>
  </si>
  <si>
    <t>creativity support tools; 3D design; DALL-E; GPT-3; CLIP; 3D modeling; CAD; co-creativity; creative copilot; ideation; prompt engineering; multimodal; text-to-image; AI applications; text-to-3D; workfow; difusion</t>
  </si>
  <si>
    <t>Text-to-image AI are capable of generating novel images for inspiration, but their applications for 3D design workfows and how designers can build 3D models using AI-provided inspiration have not yet been explored. To investigate this, we integrated DALL-E, GPT-3, and CLIP within a CAD software in 3DALL-E, a plugin that generates 2D image inspiration for 3D design. 3DALL-E allows users to construct text and image prompts based on what they are modeling. In a study with 13 designers, we found that designers saw great potential in 3DALL-E within their workfows and could use text-to-image AI to produce reference images, prevent design fxation, and inspire design considerations. We elaborate on prompting patterns observed across 3D modeling tasks and provide measures of prompt complexity observed across participants. From our fndings, we discuss how 3DALL-E can merge with existing generative design workfows and propose prompt bibliographies as a form of human-AI design history.</t>
  </si>
  <si>
    <t>[Liu, Vivian; Vermeulen, Jo; Fitzmaurice, George; Matejka, Justin] Autodesk Res, Toronto, ON, Canada; [Liu, Vivian] Columbia Univ, New York, NY USA</t>
  </si>
  <si>
    <t>Autodesk, Inc.; Columbia University</t>
  </si>
  <si>
    <t>Liu, V (corresponding author), Autodesk Res, Toronto, ON, Canada.</t>
  </si>
  <si>
    <t>vivian@cs.columbia.edu; jo.vermeulen@autodesk.com; george.ftzmaurice@autodesk.com; justin.matejka@autodesk.com</t>
  </si>
  <si>
    <t>10.1145/3563657.3596098</t>
  </si>
  <si>
    <t>WOS:001090855700128</t>
  </si>
  <si>
    <t>Premananthan, G; Nagaraj, B; Jaya, J</t>
  </si>
  <si>
    <t>Premananthan, G.; Nagaraj, B.; Jaya, J.</t>
  </si>
  <si>
    <t>A new AI assisted medical molecular image diagnostic model</t>
  </si>
  <si>
    <t>JOURNAL OF INTELLIGENT &amp; FUZZY SYSTEMS</t>
  </si>
  <si>
    <t>Artificial Intelligence (AI); Deep learning (DL); electronic health records (EHR); Generative Adversarial networks (GAN); medical image analysis; Machine learning (ML)</t>
  </si>
  <si>
    <t>BIG DATA</t>
  </si>
  <si>
    <t>In recent times, ML algorithms that plays a significant role right from drug discovery to clinical decision making. The recent advances in DL technologies contribute towards improved performance for carrying out computer aided medical image analysis and disease diagnosis. The key benefit of AI in processing of medical big data offers spectacular insights into the hierarchal relationships that exist among data which can be algorithmically explored thus replacing the tedious manual processes to extract and localize specific areas of interests in medical images thus considerably changing the way medicine has been practiced so far. In bio medical related clinical applications, there is a constant demand pertaining the research and development with respect to deploying AI as a mainstream tool to perform several medical imaging activities like analysis, diagnosis, segmentation as well as classification. The increased usage of electronic health records and medical images being its integral component the need for appropriate and efficient AI assisted medical image analysis system that takes care of accurate and automated decision making could be of great help to radiologists and medical practitioners. Molecular image analysis is a dynamic field that makes use of ML and DL algorithms that utilizes labeled and structured information which also proves to be helpful to the patients as they serve as an initial interface before further diagnosis and treatments. Thus our research aims to offer a novel and efficient AI based medical analysis system that can assist clinical practitioners to focus on enhancing the disease diagnosis through DL based medical image analysis and decision making. In addition, we also address specific challenges related to disease diagnosis and propose novel GAN model for improved diagnosis and implementation. Our proposed technique can also be generalized to generate synthetic data for further issues related to molecular image analysis in the field of medicine and help towards building a better disease diagnosis model.</t>
  </si>
  <si>
    <t>[Premananthan, G.] Karpagam Coll Engn, Dept ECE, Coimbatore, Tamil Nadu, India; [Nagaraj, B.] Rathinam Tech Campus, Dept ECE, Coimbatore, Tamil Nadu, India; [Jaya, J.] Hindusthan Coll Engn &amp; Technol, Dept ECE, Coimbatore, Tamil Nadu, India</t>
  </si>
  <si>
    <t>Premananthan, G (corresponding author), Karpagam Coll Engn, Dept ECE, Coimbatore, Tamil Nadu, India.</t>
  </si>
  <si>
    <t>premananthan2021@gmail.com</t>
  </si>
  <si>
    <t>1064-1246</t>
  </si>
  <si>
    <t>1875-8967</t>
  </si>
  <si>
    <t>J INTELL FUZZY SYST</t>
  </si>
  <si>
    <t>J. Intell. Fuzzy Syst.</t>
  </si>
  <si>
    <t>10.3233/JIFS-223354</t>
  </si>
  <si>
    <t>I6WU1</t>
  </si>
  <si>
    <t>WOS:001004176300015</t>
  </si>
  <si>
    <t>Wen, HR; Du, Y; Chen, XY; Lim, EG; Wen, HQ; Yan, K</t>
  </si>
  <si>
    <t>Wen, Haoran; Du, Yang; Chen, Xiaoyang; Lim, Eng Gee; Wen, Huiqing; Yan, Ke</t>
  </si>
  <si>
    <t>A regional solar forecasting approach using generative adversarial networks with solar irradiance maps</t>
  </si>
  <si>
    <t>RENEWABLE ENERGY</t>
  </si>
  <si>
    <t>Regional solar forecasting; Solar irradiance map; Generative adversarial network; PV estimation</t>
  </si>
  <si>
    <t>POWER PREDICTION; MODEL; RADIATION; OUTPUT</t>
  </si>
  <si>
    <t>The intermittent and stochastic nature of solar resource hinders the integration of solar energy into modern power system. Solar forecasting has become an important tool for better photovoltaic (PV) power integration, effective market design, and reliable grid operation. Nevertheless, most existing solar forecasting methods are dedicated to improving forecasting accuracy at site-level (e.g. for individual PV power plants) regardless of the impacts caused by the accumulated penetration of distributed PV systems. To tackle with this issue, this article proposes a novel generative approach for regional solar forecasting considering an entire geographical region of a flexible spatial scale. Specifically, we create solar irradiance maps (SIMs) for solar forecasting for the first time by using spatial Kriging interpolation with satellite-derived solar irradiance data. The sequential SIMs provide a comprehensive view of how solar intensity varies over time and are further used as the inputs for a multi-scale generative adversarial network (GAN) to predict the next-step SIMs. The generated SIM frames can be further transformed into PV power output through a irradiance-to-power model. A case study is conducted in a 24 x 24 km area of Brisbane to validate the proposed method by predicting of both solar irradiance and the output of behind-the-meter (BTM) PV systems at unobserved locations. The approach demonstrates comparable accuracy in terms of solar irradiance forecasting and better predictions in PV power generation compared to the conventional forecasting models with a highest average forecasting skill of 10.93 &amp; PLUSMN; 2.35% for all BTM PV systems. Thus, it can be potentially used to assist solar energy assessment and power system control in a highly-penetrated region.</t>
  </si>
  <si>
    <t>[Wen, Haoran; Chen, Xiaoyang; Lim, Eng Gee; Wen, Huiqing] Xian Jiaotong Liverpool Univ, Sch Adv Technol, Suzhou, Peoples R China; [Du, Yang] James Cook Univ, Coll Sci &amp; Engn, Townsville, Australia; [Yan, Ke] Hunan Univ, Coll Mech &amp; Vehicle Engn, Changsha, Peoples R China</t>
  </si>
  <si>
    <t>Xi'an Jiaotong-Liverpool University; James Cook University; Hunan University</t>
  </si>
  <si>
    <t>Du, Y (corresponding author), James Cook Univ, Coll Sci &amp; Engn, Townsville, Australia.</t>
  </si>
  <si>
    <t>Yang.du@jcu.edu.au</t>
  </si>
  <si>
    <t>lim, eng GEE/JMC-6208-2023</t>
  </si>
  <si>
    <t>lim, eng GEE/0000-0003-0199-7386; Du, Yang/0000-0003-2254-778X; Chen, Xiaoyang/0000-0003-4417-5737</t>
  </si>
  <si>
    <t>AI University Research Centre (AI-URC), China through XJTLU Key Programme Special Fund [KSF-P-02]; XJTLU, China [RDF-17-01-28]</t>
  </si>
  <si>
    <t>AI University Research Centre (AI-URC), China through XJTLU Key Programme Special Fund; XJTLU, China</t>
  </si>
  <si>
    <t>AI University Research Centre (AI-URC), China through XJTLU Key Programme Special Fund (KSF-P-02) and research development fund of XJTLU), China (RDF-17-01-28).</t>
  </si>
  <si>
    <t>0960-1481</t>
  </si>
  <si>
    <t>1879-0682</t>
  </si>
  <si>
    <t>RENEW ENERG</t>
  </si>
  <si>
    <t>Renew. Energy</t>
  </si>
  <si>
    <t>10.1016/j.renene.2023.119043</t>
  </si>
  <si>
    <t>P7CL5</t>
  </si>
  <si>
    <t>hybrid, Green Accepted</t>
  </si>
  <si>
    <t>WOS:001052214700001</t>
  </si>
  <si>
    <t>Zhang, B; Tang, JP; Niessner, M; Wonka, P</t>
  </si>
  <si>
    <t>Zhang, Biao; Tang, Jiapeng; Niessner, Matthias; Wonka, Peter</t>
  </si>
  <si>
    <t>3DShape2VecSet: A 3D Shape Representation for Neural Fields and Generative Diffusion Models</t>
  </si>
  <si>
    <t>3D Shape Generation; 3D Shape Representation; Diffusion Models; Shape Reconstruction; Generative Models</t>
  </si>
  <si>
    <t>We introduce 3DShape2VecSet, a novel shape representation for neural fields designed for generative diffusion models. Our shape representation can encode 3D shapes given as surface models or point clouds, and represents them as neural fields. The concept of neural fields has previously been combined with a global latent vector, a regular grid of latent vectors, or an irregular grid of latent vectors. Our new representation encodes neural fields on top of a set of vectors. We draw from multiple concepts, such as the radial basis function representation, and the cross attention and self-attention function, to design a learnable representation that is especially suitable for processing with transformers. Our results show improved performance in 3D shape encodof generative applications: unconditioned generation, category-conditioned generation, text-conditioned generation, point-cloud completion, and image-conditioned generation. Code: https://1zb.github.io/3DShape2VecSet/.</t>
  </si>
  <si>
    <t>[Zhang, Biao; Wonka, Peter] KAUST, Thuwal, Saudi Arabia; [Tang, Jiapeng; Niessner, Matthias] Tech Univ Munich, Munich, Germany</t>
  </si>
  <si>
    <t>King Abdullah University of Science &amp; Technology; Technical University of Munich</t>
  </si>
  <si>
    <t>Zhang, B (corresponding author), KAUST, Thuwal, Saudi Arabia.</t>
  </si>
  <si>
    <t>biao.zhang@kaust.edu.sa; jiapeng.tang@tum.de; niessner@tum.de; peter.wonka@kaust.edu.sa</t>
  </si>
  <si>
    <t>Wonka, Peter/0000-0003-0627-9746; Tang, Jiapeng/0009-0000-2939-0055; Zhang, Biao/0000-0001-5685-6092</t>
  </si>
  <si>
    <t>SDAIA-KAUST Center of Excellence in Data Science and Artificial Intelligence (SDAIA-KAUST AI); ERC Starting Grant Scan2CAD [804724]</t>
  </si>
  <si>
    <t>SDAIA-KAUST Center of Excellence in Data Science and Artificial Intelligence (SDAIA-KAUST AI); ERC Starting Grant Scan2CAD(European Research Council (ERC))</t>
  </si>
  <si>
    <t>We would like to acknowledge Anna Fruhstuck for helping with figures and the video voiceover. This work was supported by the SDAIA-KAUST Center of Excellence in Data Science and Artificial Intelligence (SDAIA-KAUST AI) as well as the ERC Starting Grant Scan2CAD (804724).</t>
  </si>
  <si>
    <t>10.1145/3592442</t>
  </si>
  <si>
    <t>WOS:001044671300058</t>
  </si>
  <si>
    <t>Eapen, TT; Finkenstadt, DJ; Folk, J; Venkataswamy, L</t>
  </si>
  <si>
    <t>Eapen, Tojin T.; Finkenstadt, Daniel J.; Folk, Josh; Venkataswamy, Lokesh</t>
  </si>
  <si>
    <t>How Generative AI Can Augment Human Creativity</t>
  </si>
  <si>
    <t>HARVARD BUSINESS REVIEW</t>
  </si>
  <si>
    <t>[Eapen, Tojin T.] Univ Missouri, Robert J kali Trulaske Sr Coll Business, Columbia, MO 65211 USA; [Finkenstadt, Daniel J.] Naval Postgraduate Sch, Def Management, Monterey, CA USA; [Folk, Josh] IdeaScale, Cloud Based Innovat Software Platform, Berkeley, CA USA; [Venkataswamy, Lokesh] Innomantra, Innovat &amp; Intellectual Property Consulting Firm, Bengaluru, India</t>
  </si>
  <si>
    <t>University of Missouri System; University of Missouri Columbia; United States Department of Defense; United States Navy; Naval Postgraduate School</t>
  </si>
  <si>
    <t>Eapen, TT (corresponding author), Univ Missouri, Robert J kali Trulaske Sr Coll Business, Columbia, MO 65211 USA.</t>
  </si>
  <si>
    <t>HARVARD BUSINESS SCHOOL PUBLISHING CORPORATION</t>
  </si>
  <si>
    <t>WATERTOWN</t>
  </si>
  <si>
    <t>300 NORTH BEACON STREET, WATERTOWN, MA 02472 USA</t>
  </si>
  <si>
    <t>0017-8012</t>
  </si>
  <si>
    <t>HARVARD BUS REV</t>
  </si>
  <si>
    <t>Harv. Bus. Rev.</t>
  </si>
  <si>
    <t>7-8</t>
  </si>
  <si>
    <t>J3KW2</t>
  </si>
  <si>
    <t>WOS:001008643000015</t>
  </si>
  <si>
    <t>Martin-Rodriguez, F; Garcia-Mojon, R; Fernandez-Barciela, M</t>
  </si>
  <si>
    <t>Martin-Rodriguez, Fernando; Garcia-Mojon, Rocio; Fernandez-Barciela, Monica</t>
  </si>
  <si>
    <t>Detection of AI-Created Images Using Pixel-Wise Feature Extraction and Convolutional Neural Networks</t>
  </si>
  <si>
    <t>SENSORS</t>
  </si>
  <si>
    <t>artificial intelligence; AI images; photographs; PRNU; ELA; CCN; deep learning</t>
  </si>
  <si>
    <t>IDENTIFICATION; DEEPFAKE</t>
  </si>
  <si>
    <t>Generative AI has gained enormous interest nowadays due to new applications like ChatGPT, DALL E, Stable Diffusion, and Deepfake. In particular, DALL E, Stable Diffusion, and others (Adobe Firefly, ImagineArt, etc.) can create images from a text prompt and are even able to create photorealistic images. Due to this fact, intense research has been performed to create new image forensics applications able to distinguish between real captured images and videos and artificial ones. Detecting forgeries made with Deepfake is one of the most researched issues. This paper is about another kind of forgery detection. The purpose of this research is to detect photorealistic AI-created images versus real photos coming from a physical camera. Id est, making a binary decision over an image, asking whether it is artificially or naturally created. Artificial images do not need to try to represent any real object, person, or place. For this purpose, techniques that perform a pixel-level feature extraction are used. The first one is Photo Response Non-Uniformity (PRNU). PRNU is a special noise due to imperfections on the camera sensor that is used for source camera identification. The underlying idea is that AI images will have a different PRNU pattern. The second one is error level analysis (ELA). This is another type of feature extraction traditionally used for detecting image editing. ELA is being used nowadays by photographers for the manual detection of AI-created images. Both kinds of features are used to train convolutional neural networks to differentiate between AI images and real photographs. Good results are obtained, achieving accuracy rates of over 95%. Both extraction methods are carefully assessed by computing precision/recall and F1-score measurements.</t>
  </si>
  <si>
    <t>[Martin-Rodriguez, Fernando; Garcia-Mojon, Rocio; Fernandez-Barciela, Monica] Univ Vigo, AtlanTTic Res Ctr Telecommun Technol, Vigo 36310, Spain</t>
  </si>
  <si>
    <t>Universidade de Vigo</t>
  </si>
  <si>
    <t>Fernandez-Barciela, M (corresponding author), Univ Vigo, AtlanTTic Res Ctr Telecommun Technol, Vigo 36310, Spain.</t>
  </si>
  <si>
    <t>fmartin@uvigo.es; rocio.garcia@uvigo.es; monica.barciela@uvigo.es</t>
  </si>
  <si>
    <t>Fernandez Barciela, Monica/M-3050-2014; Martín-Rodríguez, Fernando/D-4208-2018</t>
  </si>
  <si>
    <t>Fernandez Barciela, Monica/0000-0002-3650-6068; Martín-Rodríguez, Fernando/0000-0002-5323-7744; Garcia-Mojon, Rocio/0009-0007-8084-7402</t>
  </si>
  <si>
    <t>1424-8220</t>
  </si>
  <si>
    <t>SENSORS-BASEL</t>
  </si>
  <si>
    <t>Sensors</t>
  </si>
  <si>
    <t>10.3390/s23229037</t>
  </si>
  <si>
    <t>Chemistry, Analytical; Engineering, Electrical &amp; Electronic; Instruments &amp; Instrumentation</t>
  </si>
  <si>
    <t>Chemistry; Engineering; Instruments &amp; Instrumentation</t>
  </si>
  <si>
    <t>Z7PQ7</t>
  </si>
  <si>
    <t>WOS:001113965500001</t>
  </si>
  <si>
    <t>Goel, T; Shaer, O; Gu, Q; Delcourt, C; Cooper, A</t>
  </si>
  <si>
    <t>Goel, Toshali; Shaer, Orit; Gu, Quan; Delcourt, Catherine; Cooper, Angel</t>
  </si>
  <si>
    <t>Preparing Future Designers for Human-AI Collaboration in Persona Creation</t>
  </si>
  <si>
    <t>PROCEEDINGS OF THE 2ND ANNUAL MEETING OF THE SYMPOSIUM ON HUMAN-COMPUTER INTERACTION FOR WORK, CHIWORK 2023</t>
  </si>
  <si>
    <t>2nd Symposium on Human-Computer Interaction for Work (CHIWORK)</t>
  </si>
  <si>
    <t>JUN 13-16, 2023</t>
  </si>
  <si>
    <t>Oldenburg, GERMANY</t>
  </si>
  <si>
    <t>natural-language generation; human-AI collaboration; large language models; personas; education; novice designers</t>
  </si>
  <si>
    <t>This paper presents findings from an exploratory study investigating the use of AI text-generation tools to support novice designers in persona creation. We conducted a workshop with 22 undergraduate students enrolled in an introductory human-computer interaction course, who were instructed to use GPT-3 in the creation of personas. These novice designers were able to use GPT-3 to iterate to produce satisfactory personas, particularly when providing detailed prompts. Our findings suggest that personas created with GPT-3 assistance were mostly comparable to those created manually but rated lower on some evaluation dimensions. The study also reveals merits and concerns of using GPT-3 for persona creation. Based on our findings, we propose recommendations for novice designers on how to use text-generative AIs to create personas effectively and responsibly.</t>
  </si>
  <si>
    <t>[Goel, Toshali; Gu, Quan; Cooper, Angel] Wellesley Coll, Wellesley, MA 02181 USA; [Shaer, Orit; Delcourt, Catherine] Wellesley Coll, Comp Sci Dept, Wellesley, MA 02181 USA</t>
  </si>
  <si>
    <t>Wellesley College; Wellesley College</t>
  </si>
  <si>
    <t>Goel, T (corresponding author), Wellesley Coll, Wellesley, MA 02181 USA.</t>
  </si>
  <si>
    <t>tg2@wellesley.edu; oshaer@wellesley.edu; qg100@wellesley.edu; cdelcour@wellesley.edu; acooper5@wellesley.edu</t>
  </si>
  <si>
    <t>Gu, Quan/0000-0002-1098-9065; Goel, Toshali/0000-0002-9438-9795</t>
  </si>
  <si>
    <t>979-8-4007-0807-7</t>
  </si>
  <si>
    <t>10.1145/3596671.3598574</t>
  </si>
  <si>
    <t>Computer Science, Cybernetics; Computer Science, Interdisciplinary Applications; Industrial Relations &amp; Labor</t>
  </si>
  <si>
    <t>Computer Science; Business &amp; Economics</t>
  </si>
  <si>
    <t>BW4GN</t>
  </si>
  <si>
    <t>WOS:001147740200004</t>
  </si>
  <si>
    <t>Chang, DH; Lin, MPC; Hajian, S; Wang, QQ</t>
  </si>
  <si>
    <t>Chang, Daniel H.; Lin, Michael Pin-Chuan; Hajian, Shiva; Wang, Quincy Q.</t>
  </si>
  <si>
    <t>Educational Design Principles of Using AI Chatbot That Supports Self-Regulated Learning in Education: Goal Setting, Feedback, and Personalization</t>
  </si>
  <si>
    <t>chatbot; self-regulated learning; AI pedagogy; judgement of learning</t>
  </si>
  <si>
    <t>JUDGMENTS; MOTIVATION; SYSTEM; IMPACT; MODEL</t>
  </si>
  <si>
    <t>The invention of ChatGPT and generative AI technologies presents educators with significant challenges, as concerns arise regarding students potentially exploiting these tools unethically, misrepresenting their work, or gaining academic merits without active participation in the learning process. To effectively navigate this shift, it is crucial to embrace AI as a contemporary educational trend and establish pedagogical principles for properly utilizing emerging technologies like ChatGPT to promote self-regulation. Rather than suppressing AI-driven tools, educators should foster collaborations among stakeholders, including educators, instructional designers, AI researchers, and developers. This paper proposes three key pedagogical principles for integrating AI chatbots in classrooms, informed by Zimmerman's Self-Regulated Learning (SRL) framework and Judgment of Learning (JOL). We argue that the current conceptualization of AI chatbots in education is inadequate, so we advocate for the incorporation of goal setting (prompting), self-assessment and feedback, and personalization as three essential educational principles. First, we propose that teaching prompting is important for developing students' SRL. Second, configuring reverse prompting in the AI chatbot's capability will help to guide students' SRL and monitoring for understanding. Third, developing a data-driven mechanism that enables an AI chatbot to provide learning analytics helps learners to reflect on learning and develop SRL strategies. By bringing in Zimmerman's SRL framework with JOL, we aim to provide educators with guidelines for implementing AI in teaching and learning contexts, with a focus on promoting students' self-regulation in higher education through AI-assisted pedagogy and instructional design.</t>
  </si>
  <si>
    <t>[Chang, Daniel H.; Wang, Quincy Q.] Simon Fraser Univ, Fac Educ, Burnaby, BC V5A 1S6, Canada; [Lin, Michael Pin-Chuan] Mt St Vincent Univ, Fac Educ, Halifax, NS B3M 2J6, Canada; [Hajian, Shiva] Kwantlen Polytech Univ, Fac Psychol, Surrey, BC V3W 2M8, Canada</t>
  </si>
  <si>
    <t>Simon Fraser University; Mount Saint Vincent University</t>
  </si>
  <si>
    <t>Chang, DH (corresponding author), Simon Fraser Univ, Fac Educ, Burnaby, BC V5A 1S6, Canada.</t>
  </si>
  <si>
    <t>dth7@sfu.ca; michael.lin@msvu.ca; shiva.hajian@kpu.ca; quincy_wang@sfu.ca</t>
  </si>
  <si>
    <t>Lin, Michael Pin-Chuan/JDM-4798-2023</t>
  </si>
  <si>
    <t>Lin, Michael Pin-Chuan/0000-0002-7646-7024; Chang, Daniel/0000-0003-4836-8309</t>
  </si>
  <si>
    <t>Social Sciences and Humanities Research Council of Canada (SSHRC) [430-2023-00368]; SFU's Central Open Access Fund</t>
  </si>
  <si>
    <t>Social Sciences and Humanities Research Council of Canada (SSHRC)(Social Sciences and Humanities Research Council of Canada (SSHRC)CGIAR); SFU's Central Open Access Fund</t>
  </si>
  <si>
    <t>This research was funded by Social Sciences and Humanities Research Council of Canada (SSHRC), grant number 430-2023-00368. The APC was funded by SFU's Central Open Access Fund.</t>
  </si>
  <si>
    <t>10.3390/su151712921</t>
  </si>
  <si>
    <t>R2FU9</t>
  </si>
  <si>
    <t>WOS:001062561600001</t>
  </si>
  <si>
    <t>Xie, GS; Zhang, XY; Xiang, TZ; Zhao, F; Zhang, Z; Shao, L; Li, XL</t>
  </si>
  <si>
    <t>Xie, Guo-Sen; Zhang, Xu-Yao; Xiang, Tian-Zhu; Zhao, Fang; Zhang, Zheng; Shao, Ling; Li, Xuelong</t>
  </si>
  <si>
    <t>Leveraging Balanced Semantic Embedding for Generative Zero-Shot Learning</t>
  </si>
  <si>
    <t>IEEE TRANSACTIONS ON NEURAL NETWORKS AND LEARNING SYSTEMS</t>
  </si>
  <si>
    <t>Feature generation; generative adversarial network (GAN); variational autoencoders; zero-shot learning (ZSL)</t>
  </si>
  <si>
    <t>NETWORK</t>
  </si>
  <si>
    <t>Generative (generalized) zero-shot learning [(G)ZSL] models aim to synthesize unseen class features by using only seen class feature and attribute pairs as training data. However, the generated fake unseen features tend to be dominated by the seen class features and thus classified as seen classes, which can lead to inferior performances under zero-shot learning (ZSL), and unbalanced results under generalized ZSL (GZSL). To address this challenge, we tailor a novel balanced semantic embedding generative network (BSeGN), which incorporates balanced semantic embedding learning into generative learning scenarios in the pursuit of unbiased GZSL. Specifically, we first design a feature-to-semantic embedding module (FEM) to distinguish real seen and fake unseen features collaboratively with the generator in an online manner. We introduce the bidirectional contrastive and balance losses for the FEM learning, which can guarantee a balanced prediction for the interdomain features. In turn, the updated FEM can boost the learning of the generator. Next, we propose a multilevel feature integration module (mFIM) from the cycle-consistency branch of BSeGN, which can mitigate the domain bias through feature enhancement. To the best of our knowledge, this is the first work to explore embedding and generative learning jointly within the field of ZSL. Extensive evaluations on four benchmarks demonstrate the superiority of BSeGN over its state-of-the-art counterparts.</t>
  </si>
  <si>
    <t>[Xie, Guo-Sen] Nanjing Univ Sci &amp; Technol, Sch Comp Sci &amp; Engn, Nanjing 210094, Peoples R China; [Zhang, Xu-Yao] Chinese Acad Sci, Inst Automat, Beijing 100190, Peoples R China; [Xiang, Tian-Zhu] Incept Inst Artificial Intelligence, Abu Dhabi, U Arab Emirates; [Zhao, Fang] Tencent AI Lab, Shenzhen 518063, Peoples R China; [Zhang, Zheng] Harbin Inst Technol, Biocomp Res Ctr, Shenzhen 518055, Peoples R China; [Shao, Ling] Terminus Grp, Beijing 100027, Peoples R China; [Li, Xuelong] Northwestern Polytech Univ, Sch Artificial Intelligence OPt &amp; Elect iOPEN, Xian 710072, Peoples R China; [Li, Xuelong] Northwestern Polytech Univ, Key Lab Intelligent Interact &amp; Applicat, Minist Ind &amp; Informat Technol, Xian 710072, Peoples R China</t>
  </si>
  <si>
    <t>Nanjing University of Science &amp; Technology; Chinese Academy of Sciences; Institute of Automation, CAS; Tencent; Harbin Institute of Technology; Northwestern Polytechnical University; Northwestern Polytechnical University</t>
  </si>
  <si>
    <t>Xie, GS (corresponding author), Nanjing Univ Sci &amp; Technol, Sch Comp Sci &amp; Engn, Nanjing 210094, Peoples R China.;Xiang, TZ (corresponding author), Incept Inst Artificial Intelligence, Abu Dhabi, U Arab Emirates.</t>
  </si>
  <si>
    <t>gsxiehm@gmail.com; xyz@nlpr.ia.ac.cn; tianzhu.xiang19@gmail.com; zhaofang0627@gmail.com; darrenzz219@gmail.com; ling.shao@ieee.org; li@nwpu.edu.cn</t>
  </si>
  <si>
    <t>Li, Xue-long/AFU-6301-2022; Zhang, Zhang/JAX-2097-2023; Zhang, Zheng/M-6325-2014</t>
  </si>
  <si>
    <t>Li, Xue-long/0000-0003-2037-2525; Zhang, Zheng/0000-0003-1470-6998; xie, guosen/0000-0002-5487-9845; Xiang, Tian-Zhu/0000-0002-3321-1993; Zhang, Xu-Yao/0000-0001-9260-188X</t>
  </si>
  <si>
    <t>National Natural Science Foundation of China [62276134, 61702163]</t>
  </si>
  <si>
    <t>This work was supported by the National Natural Science Foundation of China under Grant 62276134 and Grant 61702163.</t>
  </si>
  <si>
    <t>2162-237X</t>
  </si>
  <si>
    <t>2162-2388</t>
  </si>
  <si>
    <t>IEEE T NEUR NET LEAR</t>
  </si>
  <si>
    <t>IEEE Trans. Neural Netw. Learn. Syst.</t>
  </si>
  <si>
    <t>10.1109/TNNLS.2022.3208525</t>
  </si>
  <si>
    <t>Computer Science, Artificial Intelligence; Computer Science, Hardware &amp; Architecture; Computer Science, Theory &amp; Methods; Engineering, Electrical &amp; Electronic</t>
  </si>
  <si>
    <t>W9AI7</t>
  </si>
  <si>
    <t>WOS:001094478400116</t>
  </si>
  <si>
    <t>Chen, ML</t>
  </si>
  <si>
    <t>Chen, Melvin</t>
  </si>
  <si>
    <t>Take a Chance on Me: Aleatory Poetry, Generative AI, and the External Demarcation Problem</t>
  </si>
  <si>
    <t>JOURNAL OF AESTHETICS AND ART CRITICISM</t>
  </si>
  <si>
    <t>What is it in virtue of which any poetic output will be included or excluded from the category of art? I will first identify the external demarcation problem, which is concerned with whether or how the cut-off is made between art and non-art. I will then adopt a nonclassical approach to conceptual analysis by relying on a set of examples of poetry generated by aleatory processes to evaluate an intention-based response to the external demarcation problem. I will argue in favor of an intention-based response that is grounded in hypothetical intentionalism. According to this response, a contextually informed audience will form a hypothesis about poetic intentions on the basis of the evidence that a work makes publicly available. Semantic, categorial, and ostensive intention and intention traces may help this audience to determine whether a work counts as art and is worth effortful interpretation. My proposed version of an intention-based response to the external demarcation problem will be based on the p-valued hypothesis-testing approach in science and will be highly relevant to a context of production in which we find human poets, poetry-generating AI systems, and human-AI interfaces.</t>
  </si>
  <si>
    <t>[Chen, Melvin] Nanyang Technol Univ, Sch Humanities, 48 Nanyang Ave, Singapore 639818, Singapore; [Chen, Melvin] Campus Res Excellence &amp; Technol Enterprise CREATE, CREATE Way 12-02 CREATE Tower, Singapore 138602, Singapore</t>
  </si>
  <si>
    <t>Chen, ML (corresponding author), Nanyang Technol Univ, Sch Humanities, 48 Nanyang Ave, Singapore 639818, Singapore.;Chen, ML (corresponding author), Campus Res Excellence &amp; Technol Enterprise CREATE, CREATE Way 12-02 CREATE Tower, Singapore 138602, Singapore.</t>
  </si>
  <si>
    <t>melvinchen@ntu.edu.sg</t>
  </si>
  <si>
    <t>Chen, Melvin/0000-0003-1756-8666</t>
  </si>
  <si>
    <t>0021-8529</t>
  </si>
  <si>
    <t>1540-6245</t>
  </si>
  <si>
    <t>J AESTHET ART CRITIC</t>
  </si>
  <si>
    <t>J. Aesthet. Art Crit.</t>
  </si>
  <si>
    <t>DEC 31</t>
  </si>
  <si>
    <t>10.1093/jaac/kpad042</t>
  </si>
  <si>
    <t>Art; Humanities, Multidisciplinary; Philosophy</t>
  </si>
  <si>
    <t>Art; Arts &amp; Humanities - Other Topics; Philosophy</t>
  </si>
  <si>
    <t>IF0J7</t>
  </si>
  <si>
    <t>WOS:001098085600001</t>
  </si>
  <si>
    <t>Chung, S; Kim, J; Shin, D</t>
  </si>
  <si>
    <t>Chung, Sueim; Kim, Jeongchan; Shin, Donghee</t>
  </si>
  <si>
    <t>Interaction Between Students and Generative Artificial Intelligence in Critical Mineral Inquiry Using Chatbots</t>
  </si>
  <si>
    <t>JOURNAL OF THE KOREAN EARTH SCIENCE SOCIETY</t>
  </si>
  <si>
    <t>Korean</t>
  </si>
  <si>
    <t>generative artificial intelligence; Chatbot; Interaction; critical minerals; question types</t>
  </si>
  <si>
    <t>This study used a Chatbot, a generative artificial intelligence (AI), to analyze the interaction between the Chatbot and students when exploring critical minerals from an epistemological aspect. The results, issues to be kept in mind in the teaching and learning process using AI were discussed in terms of the role of the teacher, the goals of education, and the characteristics of knowledge. For this study, we conducted a three-session science education program using a Chatbot for 19 high school students and analyzed the reports written by the students. As a result, in terms of form, the students' questions included search-type questions and non-search-type questions, and in terms of content, in addition to various questions asking about the characteristics of the target, there were also questions requiring a judgment by combining various data. In general, students had a questioning strategy that distinguished what they should aim for and what they should avoid. The Chatbot's answer had a certain form and consisted of three parts: an introduction, a body, and a conclusion. In particular, the conclusion included commentary or opinions with opinions on the content, and in this, value judgments and the nature of science were revealed. The interaction between the Chatbot and the student was clearly evident in the process in which the student organized questions in response to the Chatbot's answers. Depending on whether they were based on the answer, independent or derived questions appeared, and depending on the direction of comprehensiveness and specificity, superordinate, subordinate, or parallel questions appeared. Students also responded to the chatbot's answers with questions that included critical thinking skills. Based on these results, we discovered that there are inherent limitations between Chatbots and students, unlike general classes where teachers and students interact. In other words, there is 'limited interaction' and the teacher's role to complement this was discussed, and the goals of learning using AI and the characteristics of the knowledge they provide were also discussed.</t>
  </si>
  <si>
    <t>[Chung, Sueim] Eunhaeng High Sch, Shihung 14916, South Korea; [Kim, Jeongchan] Korea Inst Geosci &amp; Mineral Resources, Daejeon 34132, South Korea; [Shin, Donghee] Ewha Womans Univ, Dept Sci Educ, Seoul 03760, South Korea</t>
  </si>
  <si>
    <t>Korea Institute of Geoscience &amp; Mineral Resources (KIGAM); Ewha Womans University</t>
  </si>
  <si>
    <t>Shin, D (corresponding author), Ewha Womans Univ, Dept Sci Educ, Seoul 03760, South Korea.</t>
  </si>
  <si>
    <t>donghee@ewha.ac.kr</t>
  </si>
  <si>
    <t>KOREAN EARTH SCIENCE SOC</t>
  </si>
  <si>
    <t>CHEONG-WON-GUN</t>
  </si>
  <si>
    <t>KOREAN EARTH SCIENCE SOC, CHEONG-WON-GUN, 00000, SOUTH KOREA</t>
  </si>
  <si>
    <t>1225-6692</t>
  </si>
  <si>
    <t>2287-4518</t>
  </si>
  <si>
    <t>J KOR EARTH SCI SOC</t>
  </si>
  <si>
    <t>J. Kor. Earth Sci. Soc.</t>
  </si>
  <si>
    <t>10.5467/JKESS.2023.44.6.675</t>
  </si>
  <si>
    <t>ID9D7</t>
  </si>
  <si>
    <t>WOS:001164496900010</t>
  </si>
  <si>
    <t>Zhao, ZZ; Ye, JC; Bresler, Y</t>
  </si>
  <si>
    <t>Zhao, Zhizhen; Ye, Jong Chul; Bresler, Yoram</t>
  </si>
  <si>
    <t>Generative Models for Inverse Imaging Problems: From mathematical foundations to physics-driven applications</t>
  </si>
  <si>
    <t>IEEE SIGNAL PROCESSING MAGAZINE</t>
  </si>
  <si>
    <t>Inverse problems; Computational modeling; Imaging; Generative adversarial networks; Mathematical models; Physics</t>
  </si>
  <si>
    <t>CRYO-EM; RECONSTRUCTION; CYCLEGAN</t>
  </si>
  <si>
    <t>Physics-informed generative modeling for inverse problems in computational imaging is a fast-growing field encompassing a variety of methods and applications. Here, we review a few generative modeling techniques, such as variational autoencoders (VAEs) and generative adversarial networks (GANs), as well as more recent developments in score-based generative models. Through different imaging applications, we review how the generative modeling techniques are effectively combined with the physics of the imaging problem, e.g., the measurement forward model and physical properties of the target objects, to solve the inverse problems.</t>
  </si>
  <si>
    <t>[Zhao, Zhizhen] Univ Illinois Urbana Champaign UIUC, William L Everitt Fac Fellow, Dept Elect &amp; Comp Engn, Urbana, IL 61801 USA; [Zhao, Zhizhen; Bresler, Yoram] Univ Illinois Urbana Champaign UIUC, Coordinated Sci Lab, Urbana, IL 61801 USA; [Ye, Jong Chul] Korea Adv Inst Sci &amp; Technol KAIST, Kim Jaechul Grad Sch AI, Daejon, South Korea; [Bresler, Yoram] Univ Illinois, Dept Elect &amp; Comp Engn, Urbana, IL 61801 USA</t>
  </si>
  <si>
    <t>University of Illinois System; University of Illinois Urbana-Champaign; University of Illinois System; University of Illinois Urbana-Champaign; Korea Advanced Institute of Science &amp; Technology (KAIST); University of Illinois System; University of Illinois Urbana-Champaign</t>
  </si>
  <si>
    <t>Zhao, ZZ (corresponding author), Univ Illinois Urbana Champaign UIUC, William L Everitt Fac Fellow, Dept Elect &amp; Comp Engn, Urbana, IL 61801 USA.;Zhao, ZZ (corresponding author), Univ Illinois Urbana Champaign UIUC, Coordinated Sci Lab, Urbana, IL 61801 USA.</t>
  </si>
  <si>
    <t>zhizhenz@illinois.edu; jong.ye@kaist.ac.kr; ybresler@illinois.edu</t>
  </si>
  <si>
    <t>Ye, Jong Chul/0000-0001-9763-9609; Bresler, Yoram/0000-0002-9738-1094</t>
  </si>
  <si>
    <t>NSF [OAC-1934757]; U.S. Army MURI Award [W911NF-15-1-0479]; Alfred P. Sloan Foundation</t>
  </si>
  <si>
    <t>NSF(National Science Foundation (NSF)); U.S. Army MURI Award; Alfred P. Sloan Foundation(Alfred P. Sloan Foundation)</t>
  </si>
  <si>
    <t>This work was partially supported by NSF Award OAC-1934757, U.S. Army MURI Award W911NF-15-1-0479, and the Alfred P. Sloan Foundation.</t>
  </si>
  <si>
    <t>1053-5888</t>
  </si>
  <si>
    <t>1558-0792</t>
  </si>
  <si>
    <t>IEEE SIGNAL PROC MAG</t>
  </si>
  <si>
    <t>IEEE Signal Process. Mag.</t>
  </si>
  <si>
    <t>10.1109/MSP.2022.3215282</t>
  </si>
  <si>
    <t>D2MB5</t>
  </si>
  <si>
    <t>WOS:000967103800001</t>
  </si>
  <si>
    <t>Carreon, A; Barwey, S; Raman, V</t>
  </si>
  <si>
    <t>Carreon, Anthony; Barwey, Shivam; Raman, Venkat</t>
  </si>
  <si>
    <t>A generative adversarial network (GAN) approach to creating synthetic flame images from experimental data</t>
  </si>
  <si>
    <t>Generative adversarial network; Combustion modeling; Data-driven modeling</t>
  </si>
  <si>
    <t>OH-PLIF; DYNAMICS; FIELDS</t>
  </si>
  <si>
    <t>Modern diagnostic tools in turbulent combustion allow for highly-resolved measurements of reacting flows; however, they tend to generate massive data-sets, rendering conventional analysis intractable and inefficient. To alleviate this problem, machine learning tools may be used to, for example, discover features from the data for downstream modeling and prediction tasks. To this end, this work applies generative adversarial networks (GANs) to generate realistic flame images based on a time-resolved data set of hydroxide concentration snapshots obtained from planar laser induced fluorescence measurements of a model combustor. The generative model is able to generate flames in attached, lifted, and intermediate configurations dictated by the user. Using k-means clustering and proper orthogonal decomposition, the synthetic image set produced by the GAN is shown to be visually similar to the real image set, with recirculation zones and burned/unburned regions clearly present, indicating good GAN performance in capturing the experimental data statistical structure. Combined with techniques for controlling the configuration of generated flames, this work opens new avenues towards tractable statistical analysis and modeling of flame behavior, as well as rapid and inexpensive flame data generation.</t>
  </si>
  <si>
    <t>[Carreon, Anthony; Barwey, Shivam; Raman, Venkat] Univ Michigan, Dept Aerosp Engn, Ann Arbor, MI 48109 USA; [Barwey, Shivam] Argonne Natl Lab, Argonne Leadership Comp Facil, Lemont, IL USA</t>
  </si>
  <si>
    <t>University of Michigan System; University of Michigan; United States Department of Energy (DOE); Argonne National Laboratory</t>
  </si>
  <si>
    <t>Carreon, A (corresponding author), Univ Michigan, Dept Aerosp Engn, Ann Arbor, MI 48109 USA.</t>
  </si>
  <si>
    <t>acarreon@umich.edu</t>
  </si>
  <si>
    <t>Raman, Venkatramanan/0000-0002-2750-0246</t>
  </si>
  <si>
    <t>ONR [N00014-21-1-2475]; U.S. Department of Energy Office of Science User Facility [DE-AC02-06CH11357]</t>
  </si>
  <si>
    <t>ONR(Office of Naval Research); U.S. Department of Energy Office of Science User Facility(United States Department of Energy (DOE))</t>
  </si>
  <si>
    <t>The authors thank Prof. Adam Steinberg (Georgia Institute of Tech-nology) for sharing the experimental data used in this work. The authors also acknowledge financial support through ONR Grant No. N00014-21-1-2475 with Dr. Eric Marineau as Program Manager. S.B. acknowledges support by the Argonne Leadership Computing Facility, which is a U.S. Department of Energy Office of Science User Facility under contract DE-AC02-06CH11357.</t>
  </si>
  <si>
    <t>10.1016/j.egyai.2023.100238</t>
  </si>
  <si>
    <t>FM4L7</t>
  </si>
  <si>
    <t>WOS:001146205900001</t>
  </si>
  <si>
    <t>Gu, ZM; Li, D; Wu, YL; Fan, YD; Yu, CT; Chen, HS; Li, EP</t>
  </si>
  <si>
    <t>Gu, Zheming; Li, Da; Wu, Yunlong; Fan, Yudi; Yu, Chengting; Chen, Hongsheng; Li, Er-Ping</t>
  </si>
  <si>
    <t>A Solution to the Dilemma for FSS Inverse Design Using Generative Models</t>
  </si>
  <si>
    <t>IEEE TRANSACTIONS ON ANTENNAS AND PROPAGATION</t>
  </si>
  <si>
    <t>Neural networks; Electromagnetics; Generative adversarial networks; Inverse problems; Data models; Monitoring; Training; Frequency-selective surface (FSS); generative adversarial network (GAN); generative models; inverse design; nonuniqueness</t>
  </si>
  <si>
    <t>ARTIFICIAL NEURAL-NETWORKS; MICROWAVE</t>
  </si>
  <si>
    <t>Recently, artificial neural networks (ANNs) show a great potential in frequency-selective surface (FSS) inverse design. However, it is inevitable to encounter the problem of nonunique mapping between inputs and outputs, which cannot be easily solved by the traditional ANNs framework. We analyze this existing dilemma from the perspective of information loss caused by data dimensionality reduction and propose deploying generative models as a solution for the first time. Specifically, two approaches with a novel model based on conditional generative adversarial network (cGAN) are presented to achieve inverse design from the given indexes to FSS physical dimensions. By applying the proposed method, we can immediately obtain the FSS design that meets the industrial demands without complex neural network processing or repeated iterations. Moreover, the proposed method is validated in closed-loop simulations and corresponding experiments, which also paves the way for designing complex FSS structures with the desired electromagnetic responses using deep neural networks.</t>
  </si>
  <si>
    <t>[Gu, Zheming; Li, Da; Wu, Yunlong; Fan, Yudi; Yu, Chengting; Chen, Hongsheng; Li, Er-Ping] Zhejiang Univ, Coll Informat Sci &amp; Elect Engn, Key Lab Adv Micro Nano Elect Devices &amp; Smart Syst, Hangzhou 310027, Peoples R China; [Gu, Zheming; Li, Da; Wu, Yunlong; Fan, Yudi; Yu, Chengting; Chen, Hongsheng; Li, Er-Ping] Zhejiang Univ, Zhejiang Univ Univ Illinois Urbana Champaign Inst, Haining 314400, Peoples R China; [Li, Da] Zhejiang Singapore Innovat &amp; AI Joint Res Lab, Hangzhou 310027, Peoples R China</t>
  </si>
  <si>
    <t>Li, D (corresponding author), Zhejiang Univ, Coll Informat Sci &amp; Elect Engn, Key Lab Adv Micro Nano Elect Devices &amp; Smart Syst, Hangzhou 310027, Peoples R China.;Li, D (corresponding author), Zhejiang Univ, Zhejiang Univ Univ Illinois Urbana Champaign Inst, Haining 314400, Peoples R China.;Li, D (corresponding author), Zhejiang Singapore Innovat &amp; AI Joint Res Lab, Hangzhou 310027, Peoples R China.</t>
  </si>
  <si>
    <t>guzheming@zju.edu.cn; li-da@zju.edu.cn; wuyunlong@zju.edu.cn; fanyudi@zju.edu.cn; chengting.21@intl.zju.edu.cn; hansomchen@zju.edu.cn; liep@zju.edu.cn</t>
  </si>
  <si>
    <t>Gu, Zheming/0000-0003-3385-8591; Fan, Yudi/0000-0003-2051-1601; Li, Erping/0000-0002-5006-7399; Wu, Yunlong/0009-0000-3731-620X; Li, Da/0000-0002-1107-6815</t>
  </si>
  <si>
    <t>National Natural Science Foundation of China [62201499, 62071424, 62027805]; Zhejiang Provincial Natural Science Foundation of China [LQ23F010019, LD21F010002]</t>
  </si>
  <si>
    <t>National Natural Science Foundation of China(National Natural Science Foundation of China (NSFC)); Zhejiang Provincial Natural Science Foundation of China(Natural Science Foundation of Zhejiang Province)</t>
  </si>
  <si>
    <t>This work was supported in part by the National Natural Science Foundation of China under Grant 62201499, Grant 62071424, and Grant 62027805; and in part by the Zhejiang Provincial Natural Science Foundation of China under Grant LQ23F010019 and Grant LD21F010002. (Zheming Gu and Yunlong Wu contributed equally to this work.)</t>
  </si>
  <si>
    <t>0018-926X</t>
  </si>
  <si>
    <t>1558-2221</t>
  </si>
  <si>
    <t>IEEE T ANTENN PROPAG</t>
  </si>
  <si>
    <t>IEEE Trans. Antennas Propag.</t>
  </si>
  <si>
    <t>10.1109/TAP.2023.3266053</t>
  </si>
  <si>
    <t>J2CW8</t>
  </si>
  <si>
    <t>WOS:001007752600042</t>
  </si>
  <si>
    <t>Wang, BH; Zhu, YH; Chen, LQ; Liu, JC; Sun, LY; Childs, P</t>
  </si>
  <si>
    <t>Wang, Boheng; Zhu, Yunhuai; Chen, Liuqing; Liu, Jingcheng; Sun, Lingyun; Childs, Peter</t>
  </si>
  <si>
    <t>A study of the evaluation metrics for generative images containing combinational creativity</t>
  </si>
  <si>
    <t>AI EDAM-ARTIFICIAL INTELLIGENCE FOR ENGINEERING DESIGN ANALYSIS AND MANUFACTURING</t>
  </si>
  <si>
    <t>Combinational creativity; creativity assessment; generative model; text-to-image; turing test</t>
  </si>
  <si>
    <t>In the field of content generation by machine, the state-of-the-art text-to-image model, DALL.E, has advanced and diverse capacities for the combinational image generation with specific textual prompts. The images generated by DALL.E seem to exhibit an appreciable level of combinational creativity close to that of humans in terms of visualizing a combinational idea. Although there are several common metrics which can be applied to assess the quality of the images generated by generative models, such as IS, FID, GIQA, and CLIP, it is unclear whether these metrics are equally applicable to assessing images containing combinational creativity. In this study, we collected the generated image data from machine (DALL.E) and human designers, respectively. The results of group ranking in the Consensual Assessment Technique (CAT) and the Turing Test (TT) were used as the benchmarks to assess the combinational creativity. Considering the metrics' mathematical principles and different starting points in evaluating image quality, we introduced coincident rate (CR) and average rank variation (ARV) which are two comparable spaces. An experiment to calculate the consistency of group ranking of each metric by comparing the benchmarks then was conducted. By comparing the consistency results of CR and ARV on group ranking, we summarized the applicability of the existing evaluation metrics in assessing generative images containing combinational creativity. In the four metrics, GIQA performed the closest consistency to the CAT and TT. It shows the potential as an automated assessment for images containing combinational creativity, which can be used to evaluate the images containing combinational creativity in the relevant task of design and engineering such as conceptual sketch, digital design image, and prototyping image.</t>
  </si>
  <si>
    <t>[Wang, Boheng; Childs, Peter] Imperial Coll London, Dyson Sch Design Engn, London, England; [Zhu, Yunhuai] Zhejiang Univ, Zhejiang Singapore Innovat &amp; AI Joint Res Lab, Hangzhou, Zhejiang, Peoples R China; [Chen, Liuqing; Sun, Lingyun] Zhejiang Univ, Int Design Inst, Hangzhou, Peoples R China; [Liu, Jingcheng] Zhejiang Univ, Int Campus, Hangzhou, Peoples R China</t>
  </si>
  <si>
    <t>Imperial College London; Zhejiang University; Zhejiang University; Zhejiang University</t>
  </si>
  <si>
    <t>Chen, LQ (corresponding author), Zhejiang Univ, Int Design Inst, Hangzhou, Peoples R China.</t>
  </si>
  <si>
    <t>chenlq@zju.edu.cn</t>
  </si>
  <si>
    <t>Sun, Lingyun/AFQ-4832-2022; Chen, Liuqing/HPE-0376-2023</t>
  </si>
  <si>
    <t>Sun, Lingyun/0000-0002-7191-6177; Chen, Liuqing/0000-0002-9049-0394; Childs, Peter/0000-0002-2465-8822</t>
  </si>
  <si>
    <t>National Natural Science Foundation of China [62207023]; Ng Teng Fong Charitable Foundation [ZJU-SUTD IDEA]</t>
  </si>
  <si>
    <t>National Natural Science Foundation of China(National Natural Science Foundation of China (NSFC)); Ng Teng Fong Charitable Foundation</t>
  </si>
  <si>
    <t>This paper is funded by the National Natural Science Foundation of China (No. 62207023) and The Ng Teng Fong Charitable Foundation in the form of ZJU-SUTD IDEA Grant.</t>
  </si>
  <si>
    <t>0890-0604</t>
  </si>
  <si>
    <t>1469-1760</t>
  </si>
  <si>
    <t>AI EDAM</t>
  </si>
  <si>
    <t>AI EDAM-Artif. Intell. Eng. Des. Anal. Manuf.</t>
  </si>
  <si>
    <t>MAR 23</t>
  </si>
  <si>
    <t>e11</t>
  </si>
  <si>
    <t>10.1017/S0890060423000069</t>
  </si>
  <si>
    <t>Computer Science, Artificial Intelligence; Computer Science, Interdisciplinary Applications; Engineering, Multidisciplinary; Engineering, Manufacturing</t>
  </si>
  <si>
    <t>A0IX4</t>
  </si>
  <si>
    <t>WOS:000952062300001</t>
  </si>
  <si>
    <t>Nguyen, AT; Kwak, JT</t>
  </si>
  <si>
    <t>Halpern, A; Barata, C; Tschandl, P; Combalia, M; Liu, Y; Zamzmi, G; Levy, J; Rangwala, H; Reinke, A; Wynn, D; Landman, B; Jeong, WK; Shen, Y; Deng, Z; Bakas, S; Li, X; Qin, C; Rieke, N; Roth, H; Xu, D; Celebi, ME; Salekin, MS; Kim, H; Albarqouni, S</t>
  </si>
  <si>
    <t>Nguyen, Anh Tien; Kwak, Jin Tae</t>
  </si>
  <si>
    <t>GPC: Generative and General Pathology Image Classifier</t>
  </si>
  <si>
    <t>MEDICAL IMAGE COMPUTING AND COMPUTER ASSISTED INTERVENTION, MICCAI 2023 WORKSHOPS</t>
  </si>
  <si>
    <t>26th International Conference on Medical Image Computing and Computer-Assisted Intervention (MICCAI) / 8th ISIC Workshop / 1st Care-AI Workshop / 1st MedAGI Workshop / 4th DeCaF Workshop</t>
  </si>
  <si>
    <t>Computational pathology; Image classification; Generative model; Image-to-Text</t>
  </si>
  <si>
    <t>Deep learning has been increasingly incorporated into various computational pathology applications to improve its efficiency, accuracy, and robustness. Although successful, most previous approaches for image classification have crucial drawbacks. There exist numerous tasks in pathology, but one needs to build a model per task, i.e., a task-specific model, thereby increasing the number of models, training resources, and cost. Moreover, transferring arbitrary task-specific model to another task is still a challenging problem. Herein, we propose a task-agnostic generative and general pathology image classifier, so called GPC, that aims at learning from diverse kinds of pathology images and conducting numerous classification tasks in a unified model. GPC, equipped with a convolutional neural network and a Transformer-based language model, maps pathology images into a high-dimensional feature space and generates pertinent class labels as texts via the image-to-text classification mechanism. We evaluate GPC on six datasets for four different pathology image classification tasks. Experimental results show that GPC holds considerable potential for developing an effective and efficient universal model for pathology image analysis.</t>
  </si>
  <si>
    <t>[Nguyen, Anh Tien; Kwak, Jin Tae] Korea Univ, Sch Elect Engn, Seoul 02841, South Korea</t>
  </si>
  <si>
    <t>Korea University</t>
  </si>
  <si>
    <t>Kwak, JT (corresponding author), Korea Univ, Sch Elect Engn, Seoul 02841, South Korea.</t>
  </si>
  <si>
    <t>ngtienanh@korea.ac.kr; jkwak@korea.ac.kr</t>
  </si>
  <si>
    <t>National Research Foundation of Korea (NRF) [2021R1A2C2014557]</t>
  </si>
  <si>
    <t>National Research Foundation of Korea (NRF)(National Research Foundation of Korea)</t>
  </si>
  <si>
    <t>This work was supported by the grant of the National Research Foundation of Korea (NRF) (No. 2021R1A2C2014557).</t>
  </si>
  <si>
    <t>978-3-031-47400-2; 978-3-031-47401-9</t>
  </si>
  <si>
    <t>10.1007/978-3-031-47401-9_20</t>
  </si>
  <si>
    <t>BW5HI</t>
  </si>
  <si>
    <t>WOS:001160722800020</t>
  </si>
  <si>
    <t>Villaggi, L; Stoddart, J; Gaier, A</t>
  </si>
  <si>
    <t>Gengnagel, C; Baverel, O; Betti, G; Popescu, M; Thomsen, MR; Wurm, J</t>
  </si>
  <si>
    <t>Villaggi, Lorenzo; Stoddart, James; Gaier, Adam</t>
  </si>
  <si>
    <t>Harnessing Game-Inspired Content Creation for Intuitive Generative Design and Optimization</t>
  </si>
  <si>
    <t>TOWARDS RADICAL REGENERATION</t>
  </si>
  <si>
    <t>8th Design Modelling Symposium on Towards Radical Regeneration</t>
  </si>
  <si>
    <t>SEP 26-28, 2022</t>
  </si>
  <si>
    <t>Univ Arts, Berlin, GERMANY</t>
  </si>
  <si>
    <t>Univ Arts</t>
  </si>
  <si>
    <t>Procedural modeling; Quality diversity; Generative design</t>
  </si>
  <si>
    <t>A generalizable and example-based model for multi-scale generative design is presented. The model adapts the Wave Function Collapse (WFC) algorithm, a procedural approach popularized in game development, to a quality diversity (QD) framework, a state-of-the-art multi-solution optimization approach. QD enables the search of high-performing solutions not only against objectives, but along a set of qualitative features -- explicitly ensuring diversity within the solutions. We demonstrate the challenges and opportunities in applying these novel methodologies to AEC-focused problems through a real-world residential complex case study.</t>
  </si>
  <si>
    <t>[Villaggi, Lorenzo; Stoddart, James] Autodesk Res AEC Ind Futures, New York, NY 10004 USA; [Gaier, Adam] Autodesk Res AI Lab, New York, NY USA</t>
  </si>
  <si>
    <t>Villaggi, L (corresponding author), Autodesk Res AEC Ind Futures, New York, NY 10004 USA.</t>
  </si>
  <si>
    <t>lorenzo.villaggi@autodesk.com</t>
  </si>
  <si>
    <t>Stoddart, James/0009-0007-7157-7869</t>
  </si>
  <si>
    <t>978-3-031-13249-0; 978-3-031-13248-3</t>
  </si>
  <si>
    <t>10.1007/978-3-031-13249-0_13</t>
  </si>
  <si>
    <t>Architecture; Construction &amp; Building Technology; Green &amp; Sustainable Science &amp; Technology</t>
  </si>
  <si>
    <t>Architecture; Construction &amp; Building Technology; Science &amp; Technology - Other Topics</t>
  </si>
  <si>
    <t>BU0KR</t>
  </si>
  <si>
    <t>WOS:000870223800013</t>
  </si>
  <si>
    <t>Ventura, CAI; Denton, EE</t>
  </si>
  <si>
    <t>Ventura, Christian Angelo, I; Denton, Edward E.</t>
  </si>
  <si>
    <t>Artificial Intelligence Chatbots and Emergency Medical Services: Perspectives on the Implications of Generative AI in Prehospital Care</t>
  </si>
  <si>
    <t>OPEN ACCESS EMERGENCY MEDICINE</t>
  </si>
  <si>
    <t>EMS; artificial intelligence; prehospital; machine learning; EMT; paramedic</t>
  </si>
  <si>
    <t>Emergency Medical Services (EMS) is likely to experience transformative changes due to the rapid advancements in artificial intelligence (AI), such as OpenAI's ChatGPT. In this short commentary, we aim to preliminarily explore some profound implications of AI advancements on EMS systems and practice.</t>
  </si>
  <si>
    <t>[Ventura, Christian Angelo, I] Johns Hopkins Bloomberg Sch Publ Hlth, Dept Hlth Behav &amp; Soc, Baltimore, MD 21205 USA; [Denton, Edward E.] Univ Arkansas Med Sci, Coll Med, Dept Emergency Med, Little Rock, AR USA; [Denton, Edward E.] Univ Arkansas Med Sci, Fay W Boozman Coll Publ Hlth, Dept Hlth Policy &amp; Management, Little Rock, AR USA</t>
  </si>
  <si>
    <t>Johns Hopkins University; Johns Hopkins Bloomberg School of Public Health; University of Arkansas System; University of Arkansas Medical Sciences; University of Arkansas System; University of Arkansas Medical Sciences</t>
  </si>
  <si>
    <t>Ventura, CAI (corresponding author), Johns Hopkins Bloomberg Sch Publ Hlth, Dept Hlth Behav &amp; Soc, Baltimore, MD 21205 USA.</t>
  </si>
  <si>
    <t>cventu12@jhmi.edu</t>
  </si>
  <si>
    <t>DOVE MEDICAL PRESS LTD</t>
  </si>
  <si>
    <t>ALBANY</t>
  </si>
  <si>
    <t>PO BOX 300-008, ALBANY, AUCKLAND 0752, NEW ZEALAND</t>
  </si>
  <si>
    <t>1179-1500</t>
  </si>
  <si>
    <t>OPEN ACCESS EMERG M</t>
  </si>
  <si>
    <t>Open Access Emerg. Med.</t>
  </si>
  <si>
    <t>10.2147/OAEM.S420764</t>
  </si>
  <si>
    <t>Emergency Medicine</t>
  </si>
  <si>
    <t>S0CR0</t>
  </si>
  <si>
    <t>WOS:001067941600001</t>
  </si>
  <si>
    <t>Miloski, B</t>
  </si>
  <si>
    <t>Miloski, Brian</t>
  </si>
  <si>
    <t>Opportunities for artificial intelligence in healthcare and in vitro fertilization</t>
  </si>
  <si>
    <t>FERTILITY AND STERILITY</t>
  </si>
  <si>
    <t>Artificial intelligence; machine learning; large language models; AI; NLP; generative AI</t>
  </si>
  <si>
    <t>Artificial intelligence (AI) is understandably garnering an increased share of voice in the general and specialized media. The recent release of several generative AI products has added touchablecontext to fears of the potential negative effects of AI-rampant job loss, out-of-controlAI, and deep fake videos, to name a few. A productive conversation about AI requires the conversation to recognize AI as a very broad and diverse field with narrowand generalapplications. Narrow AI applications are quite common and widely deployed today. A fearless conversation can be had regarding how narrow AI can be more widely adopted while allowing for increased transparency and comfort. General AI is more complex and generally leads to what level of government regulation may be necessary (if practically possible). This essay focuses on the application of narrow AI in healthcare and fertility. Pros, cons, challenges, and recommendations are presented for a general audience seeking to understand the application of narrow AI. Successful and unsuccessful examples are provided with frameworks for approaching the narrow AI opportunity. (Fertil Sterile 2023;120:3-7. &amp; COPY;2023 by American Society for Reproductive Medicine.)</t>
  </si>
  <si>
    <t>[Miloski, Brian] ALQIMI, 2101 Gaither Rd,Suite 510, Rockville, MD 20850 USA</t>
  </si>
  <si>
    <t>Miloski, B (corresponding author), ALQIMI, 2101 Gaither Rd,Suite 510, Rockville, MD 20850 USA.</t>
  </si>
  <si>
    <t>brian.miloski@alqimi.com</t>
  </si>
  <si>
    <t>0015-0282</t>
  </si>
  <si>
    <t>1556-5653</t>
  </si>
  <si>
    <t>FERTIL STERIL</t>
  </si>
  <si>
    <t>Fertil. Steril.</t>
  </si>
  <si>
    <t>10.1016/j.fertnstert.2023.05.006</t>
  </si>
  <si>
    <t>Obstetrics &amp; Gynecology; Reproductive Biology</t>
  </si>
  <si>
    <t>L8SG8</t>
  </si>
  <si>
    <t>WOS:001025902100001</t>
  </si>
  <si>
    <t>Pendergrast, T; Chalmers, Z</t>
  </si>
  <si>
    <t>Pendergrast, Tricia; Chalmers, Zachary</t>
  </si>
  <si>
    <t>Anki Tagger: A Generative AI Tool for Aligning Third-Party Resources to Preclinical Curriculum</t>
  </si>
  <si>
    <t>ChatGPT; undergraduate medical education; large language models; Anki; flashcards; artificial intelligence; AI</t>
  </si>
  <si>
    <t>Using large language models, we developed a method to efficiently query existing flashcard libraries and select those most relevant to an individual's medical school curricula.</t>
  </si>
  <si>
    <t>[Pendergrast, Tricia] Univ Michigan Med, Dept Anesthesiol, Ann Arbor, MI USA; [Chalmers, Zachary] Northwestern Univ, Feinberg Sch Med, Chicago, IL USA; [Chalmers, Zachary] Northwestern Univ, Feinberg Sch Med, 303 E Chicago Ave,Morton 1-670, Chicago, IL 60611 USA</t>
  </si>
  <si>
    <t>University of Michigan System; University of Michigan; Northwestern University; Feinberg School of Medicine; Northwestern University; Feinberg School of Medicine</t>
  </si>
  <si>
    <t>Chalmers, Z (corresponding author), Northwestern Univ, Feinberg Sch Med, 303 E Chicago Ave,Morton 1-670, Chicago, IL 60611 USA.</t>
  </si>
  <si>
    <t>zachary.chalmers@northwestern.edu</t>
  </si>
  <si>
    <t>Chalmers, Zachary/0000-0003-1012-8529</t>
  </si>
  <si>
    <t>e48780</t>
  </si>
  <si>
    <t>10.2196/48780</t>
  </si>
  <si>
    <t>U6BO0</t>
  </si>
  <si>
    <t>WOS:001085637200001</t>
  </si>
  <si>
    <t>Baglivo, F; De Angelis, L; Casigliani, V; Arzilli, G; Privitera, GP; Rizzo, C</t>
  </si>
  <si>
    <t>Baglivo, Francesco; De Angelis, Luigi; Casigliani, Virginia; Arzilli, Guglielmo; Privitera, Gaetano Pierpaolo; Rizzo, Caterina</t>
  </si>
  <si>
    <t>Exploring the Possible Use of AI Chatbots in Public Health Education: Feasibility Study</t>
  </si>
  <si>
    <t>artificial intelligence; chatbots; medical education; vaccination; public health; medical students; large language model; generative AI; ChatGPT; Google Bard; AI chatbot; health education; health care; medical training; educational support tool; chatbot model</t>
  </si>
  <si>
    <t>Background: Artificial intelligence (AI) is a rapidly developing field with the potential to transform various aspects of health care and public health, including medical training. During the Hygiene and Public Health course for fifth-year medical students, a practical training session was conducted on vaccination using AI chatbots as an educational supportive tool. Before receiving specific training on vaccination, the students were given a web-based test extracted from the Italian National Medical Residency Test. After completing the test, a critical correction of each question was performed assisted by AI chatbots.Objective: The main aim of this study was to identify whether AI chatbots can be considered educational support tools for training in public health. The secondary objective was to assess the performance of different AI chatbots on complex multiple-choice medical questions in the Italian language.Methods: A test composed of 15 multiple-choice questions on vaccination was extracted from the Italian National Medical Residency Test using targeted keywords and administered to medical students via Google Forms and to different AI chatbot models (Bing Chat, ChatGPT, Chatsonic, Google Bard, and YouChat). The correction of the test was conducted in the classroom, focusing on the critical evaluation of the explanations provided by the chatbot. A Mann-Whitney U test was conducted to compare the performances of medical students and AI chatbots. Student feedback was collected anonymously at the end of the training experience.Results: In total, 36 medical students and 5 AI chatbot models completed the test. The students achieved an average score of 8.22 (SD 2.65) out of 15, while the AI chatbots scored an average of 12.22 (SD 2.77). The results indicated a statistically significant difference in performance between the 2 groups (U=49.5, P&lt;.001), with a large effect size (r=0.69). When divided by question type (direct, scenario-based, and negative), significant differences were observed in direct (P&lt;.001) and scenario-based (P&lt;.001) questions, but not in negative questions (P=.48). The students reported a high level of satisfaction (7.9/10) with the educational experience, expressing a strong desire to repeat the experience (7.6/10).Conclusions: This study demonstrated the efficacy of AI chatbots in answering complex medical questions related to vaccination and providing valuable educational support. Their performance significantly surpassed that of medical students in direct and scenario-based questions. The responsible and critical use of AI chatbots can enhance medical education, making it an essential aspect to integrate into the educational system.</t>
  </si>
  <si>
    <t>[Baglivo, Francesco; De Angelis, Luigi; Casigliani, Virginia; Arzilli, Guglielmo; Privitera, Gaetano Pierpaolo; Rizzo, Caterina] Univ Pisa, Dept Translat Res &amp; New Technol Med &amp; Surg, Pisa, PI, Italy; [Privitera, Gaetano Pierpaolo] Natl Inst Hlth, Training Off, Rome, Italy; [Baglivo, Francesco] Univ Pisa, Dept Translat Res &amp; New Technol Med &amp; Surg, Via San Zeno 35, I-56123 Pisa, PI, Italy</t>
  </si>
  <si>
    <t>University of Pisa; Istituto Superiore di Sanita (ISS); University of Pisa</t>
  </si>
  <si>
    <t>Baglivo, F (corresponding author), Univ Pisa, Dept Translat Res &amp; New Technol Med &amp; Surg, Via San Zeno 35, I-56123 Pisa, PI, Italy.</t>
  </si>
  <si>
    <t>f.baglivo@studenti.unipi.it</t>
  </si>
  <si>
    <t>Rizzo, Caterina/H-4092-2012; Arzilli, Guglielmo/JDW-2714-2023</t>
  </si>
  <si>
    <t>Rizzo, Caterina/0000-0002-5583-7508; PRIVITERA, GAETANO PIERPAOLO/0000-0002-8638-2462; Arzilli, Guglielmo/0000-0003-1258-1650; Casigliani, Virginia/0000-0002-4184-2648; Baglivo, Francesco/0000-0001-9391-7966; De Angelis, Luigi/0009-0005-6136-6596</t>
  </si>
  <si>
    <t>e51421</t>
  </si>
  <si>
    <t>10.2196/51421</t>
  </si>
  <si>
    <t>Y8BN2</t>
  </si>
  <si>
    <t>WOS:001107458100002</t>
  </si>
  <si>
    <t>Lappalainen, Y; Narayanan, N</t>
  </si>
  <si>
    <t>Lappalainen, Yrjo; Narayanan, Nikesh</t>
  </si>
  <si>
    <t>Aisha: A Custom AI Library Chatbot Using the ChatGPT API</t>
  </si>
  <si>
    <t>JOURNAL OF WEB LIBRARIANSHIP</t>
  </si>
  <si>
    <t>chatbots; ChatGPT; OpenAI; GPT-3; 5; generative pre-trained transformer; academic libraries; artificial intelligence; AI</t>
  </si>
  <si>
    <t>This article focuses on the development of a custom chatbot for Zayed University Library (United Arab Emirates) using Python and the ChatGPT API. The chatbot, named Aisha, was designed to provide quick and efficient reference and support services to students and faculty outside the library's regular operating hours. The article also discusses the benefits of chatbots in academic libraries, and reviews the early literature on ChatGPT's applicability in this field. The article describes the development process, perceived capabilities and limitations of the bot, and plans for further development. This project represents the first fully reported attempt to explore the potential of a ChatGPT-based bot in academic libraries, and provides insights into the future of AI-based chatbot technology in this context.</t>
  </si>
  <si>
    <t>[Lappalainen, Yrjo; Narayanan, Nikesh] Zayed Univ, Lib &amp; Learning Commons, POB 19282, Dubai, U Arab Emirates</t>
  </si>
  <si>
    <t>Zayed University</t>
  </si>
  <si>
    <t>Lappalainen, Y (corresponding author), Zayed Univ, Lib &amp; Learning Commons, POB 19282, Dubai, U Arab Emirates.</t>
  </si>
  <si>
    <t>yrjo.lappalainen@zu.ac.ae</t>
  </si>
  <si>
    <t>; Narayanan, Nikesh/G-6396-2010</t>
  </si>
  <si>
    <t>Lappalainen, Yrjo/0000-0003-0942-6377; Narayanan, Nikesh/0000-0002-2005-1177</t>
  </si>
  <si>
    <t>1932-2909</t>
  </si>
  <si>
    <t>1932-2917</t>
  </si>
  <si>
    <t>J WEB LIBRARIANSH</t>
  </si>
  <si>
    <t>J. Web Llibrariansh.</t>
  </si>
  <si>
    <t>10.1080/19322909.2023.2221477</t>
  </si>
  <si>
    <t>R1CL2</t>
  </si>
  <si>
    <t>WOS:001008468200001</t>
  </si>
  <si>
    <t>Oppenlaender, J; Silvennoinen, J; Paananen, V; Visuri, A</t>
  </si>
  <si>
    <t>Oppenlaender, Jonas; Silvennoinen, Johanna; Paananen, Ville; Visuri, Aku</t>
  </si>
  <si>
    <t>Perceptions and Realities of Text-to-Image Generation</t>
  </si>
  <si>
    <t>generative AI; text-to-image generation</t>
  </si>
  <si>
    <t>Generative artificial intelligence (AI) is a widely popular technology that will have a profound impact on society and individuals. Less than a decade ago, it was thought that creative work would be among the last to be automated - yet today, we see AI encroaching on many creative domains. In this paper, we present the findings of a survey study on people's perceptions of text-to-image generation. We touch on participants' technical understanding of the emerging technology, their fears and concerns, and thoughts about risks and dangers of text-to-image generation to the individual and society. We find that while participants were aware of the risks and dangers associated with the technology, only few participants considered the technology to be a personal risk. The risks for others were more easy to recognize for participants. Artists were particularly seen at risk. Interestingly, participants who had tried the technology rated its future importance lower than those who had not tried it. This result shows that many people are still oblivious of the potential personal risks of generative artificial intelligence and the impending societal changes associated with this technology.</t>
  </si>
  <si>
    <t>[Oppenlaender, Jonas; Silvennoinen, Johanna] Univ Jyvaskyla, Jyvaskyla, Finland; [Paananen, Ville; Visuri, Aku] Univ Oulu, Oulu, Finland</t>
  </si>
  <si>
    <t>University of Jyvaskyla; University of Oulu</t>
  </si>
  <si>
    <t>Oppenlaender, J (corresponding author), Univ Jyvaskyla, Jyvaskyla, Finland.</t>
  </si>
  <si>
    <t>jonas.x1.oppenlander@jyu.fi; johanna.silvennoinen@jyu.fi; ville.paananen@oulu.fi; aku.visuri@oulu.fi</t>
  </si>
  <si>
    <t>Visuri, Aku/0000-0001-7127-4031</t>
  </si>
  <si>
    <t>10.1145/3616961.3616978</t>
  </si>
  <si>
    <t>WOS:001147480500024</t>
  </si>
  <si>
    <t>Zhu, TY; Li, KZ; Herrero, P; Georgiou, P</t>
  </si>
  <si>
    <t>Zhu, Taiyu; Li, Kezhi; Herrero, Pau; Georgiou, Pantelis</t>
  </si>
  <si>
    <t>GluGAN: Generating Personalized Glucose Time Series Using Generative Adversarial Networks</t>
  </si>
  <si>
    <t>IEEE JOURNAL OF BIOMEDICAL AND HEALTH INFORMATICS</t>
  </si>
  <si>
    <t>Artificial intelligence (AI); continuous glucose monitoring (CGM); diabetes; generative adversarial network (GAN); glucose time series</t>
  </si>
  <si>
    <t>Time series data generated by continuous glucose monitoring sensors offer unparalleled opportunities for developing data-driven approaches, especially deep learning-based models, in diabetes management. Although these approaches have achieved state-of-the-art performance in various fields such as glucose prediction in type 1 diabetes (T1D), challenges remain in the acquisition of large-scale individual data for personalized modeling due to the elevated cost of clinical trials and data privacy regulations. In this work, we introduce GluGAN, a framework specifically designed for generating personalized glucose time series based on generative adversarial networks (GANs). Employing recurrent neural network (RNN) modules, the proposed framework uses a combination of unsupervised and supervised training to learn temporal dynamics in latent spaces. Aiming to assess the quality of synthetic data, we apply clinical metrics, distance scores, and discriminative and predictive scores computed by post-hoc RNNs in evaluation. Across three clinical datasets with 47 T1D subjects (including one publicly available and two proprietary datasets), GluGAN achieved better performance for all the considered metrics when compared with four baseline GAN models. The performance of data augmentation is evaluated by three machine learning-based glucose predictors. Using the training sets augmented by GluGAN significantly reduced the root mean square error for the predictors over 30 and 60-minute horizons. The results suggest that GluGAN is an effective method in generating high-quality synthetic glucose time series and has the potential to be used for evaluating the effectiveness of automated insulin delivery algorithms and as a digital twin to substitute for pre-clinical trials.</t>
  </si>
  <si>
    <t>[Zhu, Taiyu; Herrero, Pau; Georgiou, Pantelis] Imperial Coll London, Ctr Bioinspired Technol, London SW7 2BX, England; [Li, Kezhi] UCL, Inst Hlth Informat, London WC1E 6BT, England</t>
  </si>
  <si>
    <t>Imperial College London; University of London; University College London</t>
  </si>
  <si>
    <t>Li, KZ (corresponding author), UCL, Inst Hlth Informat, London WC1E 6BT, England.</t>
  </si>
  <si>
    <t>taiyu.zhu17@imperial.ac.uk; ken.li@ucl.ac.uk; pherrero@imperial.ac.uk; pantelis@imperial.ac.uk</t>
  </si>
  <si>
    <t>Georgiou, Pantelis/0000-0003-2476-3857; Li, Kezhi/0000-0003-3073-3128; Herrero, Pau/0000-0002-7088-5807; Zhu, Taiyu/0000-0002-9782-3470</t>
  </si>
  <si>
    <t>Engineering and Physical Sciences Research Council (EPSRC) [EP/P00993X/1]; Imperial College London, (U.K.)</t>
  </si>
  <si>
    <t>Engineering and Physical Sciences Research Council (EPSRC)(UK Research &amp; Innovation (UKRI)Engineering &amp; Physical Sciences Research Council (EPSRC)); Imperial College London, (U.K.)</t>
  </si>
  <si>
    <t>This work was supported in part by Engineering and Physical Sciences Research Council (EPSRC) under Grant EP/P00993X/1 and in part by President's Ph.D. Scholarship at Imperial College London, (U.K.).</t>
  </si>
  <si>
    <t>2168-2194</t>
  </si>
  <si>
    <t>2168-2208</t>
  </si>
  <si>
    <t>IEEE J BIOMED HEALTH</t>
  </si>
  <si>
    <t>IEEE J. Biomed. Health Inform.</t>
  </si>
  <si>
    <t>10.1109/JBHI.2023.3271615</t>
  </si>
  <si>
    <t>Computer Science, Information Systems; Computer Science, Interdisciplinary Applications; Mathematical &amp; Computational Biology; Medical Informatics</t>
  </si>
  <si>
    <t>Computer Science; Mathematical &amp; Computational Biology; Medical Informatics</t>
  </si>
  <si>
    <t>U2JV7</t>
  </si>
  <si>
    <t>WOS:001083127700043</t>
  </si>
  <si>
    <t>van Gorp, H; van Gilst, MM; Fonseca, P; Overeem, S; van Sloun, RJG</t>
  </si>
  <si>
    <t>van Gorp, Hans; van Gilst, Merel M.; Fonseca, Pedro; Overeem, Sebastiaan; van Sloun, Ruud J. G.</t>
  </si>
  <si>
    <t>Modeling the Impact of Inter-Rater Disagreement on Sleep Statistics Using Deep Generative Learning</t>
  </si>
  <si>
    <t>Automatic sleep staging; deep learning; generative ai; inter-rater disagreement; uncertainty</t>
  </si>
  <si>
    <t>AMERICAN ACADEMY; RELIABILITY; POLYSOMNOGRAMS; ARCHITECTURE; AGREEMENT</t>
  </si>
  <si>
    <t>Sleep staging is the process by which an overnight polysomnographic measurement is segmented into epochs of 30 seconds, each of which is annotated as belonging to one of five discrete sleep stages. The resulting scoring is graphically depicted as a hypnogram, and several overnight sleep statistics are derived, such as total sleep time and sleep onset latency. Gold standard sleep staging as performed by human technicians is time-consuming, costly, and comes with imperfect interscorer agreement, which also results in inter-scorer disagreement about the overnight statistics. Deep learning algorithms have shown promise in automating sleep scoring, but struggle to model inter-scorer disagreement in sleep statistics. To that end, we introduce a novel technique using conditional generative models based on Normalizing Flows that permits the modeling of the inter-rater disagreement of overnight sleep statistics, termed U-Flow. We compare U-Flow to other automatic scoring methods on a hold-out test set of 70 subjects, each scored by six independent scorers. The proposed method achieves similar sleep staging performance in terms of accuracy and Cohen's kappa on the majority-voted hypnograms. At the same time, U-Flow outperforms the other methods in terms of modeling the inter-rater disagreement of overnight sleep statistics. The consequences of inter-rater disagreement about overnight sleep statistics may be great, and the disagreement potentially carries diagnostic and scientifically relevant information about sleep structure. U-Flow is able to model this disagreement efficiently and can support further investigations into the impact inter-rater disagreement has on sleep medicine and basic sleep research.</t>
  </si>
  <si>
    <t>[van Gorp, Hans; van Gilst, Merel M.; Fonseca, Pedro; Overeem, Sebastiaan; van Sloun, Ruud J. G.] Eindhoven Univ Technol, Dept Elect Engn, NL-5612 AZ Eindhoven, Netherlands; [van Gorp, Hans; Fonseca, Pedro; van Sloun, Ruud J. G.] Philips Res, NL-5656 AE Eindhoven, Netherlands; [van Gilst, Merel M.; Overeem, Sebastiaan] Sleep Med Ctr Kempenhaeghe, NL-5591 VE Heeze, Netherlands</t>
  </si>
  <si>
    <t>Eindhoven University of Technology; Philips; Philips Research</t>
  </si>
  <si>
    <t>van Gorp, H (corresponding author), Eindhoven Univ Technol, Dept Elect Engn, NL-5612 AZ Eindhoven, Netherlands.;van Gorp, H (corresponding author), Philips Res, NL-5656 AE Eindhoven, Netherlands.</t>
  </si>
  <si>
    <t>h.v.gorp@tue.nl; m.m.v.gilst@tue.nl; pedro.fonseca@philips.com; s.overeem@tue.nl; r.j.g.v.sloun@tue.nl</t>
  </si>
  <si>
    <t>Overeem, Sebastiaan/D-2139-2010; van Gilst, Merel/IVH-2725-2023</t>
  </si>
  <si>
    <t>van Gorp, Hans/0000-0003-4823-2874; Fonseca, Pedro/0000-0003-2932-6402; van Sloun, Ruud JG/0000-0003-2845-0495; Overeem, Sebastiaan/0000-0002-6445-9836; van Gilst, Merel/0000-0003-2138-5686</t>
  </si>
  <si>
    <t>e/MTIC; Eindhoven University of Technology; Philips Research; Sleep Medicine Center, Kempenhaeghe Foundation</t>
  </si>
  <si>
    <t>This work was supported by the IMPULSE framework of the Eindhoven MedTech Innovation Center (e/MTIC, incorporating Eindhoven University of Technology, Philips Research, and Sleep Medicine Center, Kempenhaeghe Foundation), including a PPS supplement from the Dutch Ministry of Economic Affairs and Climate Policy.</t>
  </si>
  <si>
    <t>10.1109/JBHI.2023.3304010</t>
  </si>
  <si>
    <t>DC9R2</t>
  </si>
  <si>
    <t>WOS:001129955100036</t>
  </si>
  <si>
    <t>Choi, W; Jang, S; Kim, H; Lee, Y; Lee, SG; Lee, H; Park, S</t>
  </si>
  <si>
    <t>Choi, Woojin; Jang, Seyoon; Kim, Ha Youn; Lee, Yuri; Lee, Sang-Goo; Lee, Hanbit; Park, Sungchan</t>
  </si>
  <si>
    <t>Developing an AI-based automated fashion design system: reflecting the work process of fashion designers</t>
  </si>
  <si>
    <t>FASHION AND TEXTILES</t>
  </si>
  <si>
    <t>Artificial intelligence; AI driven garment development tool; Automated garment design generation tool; GAN (Generative Adversarial Networks); Fashion domain knowledge</t>
  </si>
  <si>
    <t>With the recent expansion of the applicability of artificial intelligence into the creative realm, attempts are being made to use AI (artificial intelligence) in the garment development system in various ways, both in academia and the fashion business. Several IT companies have developed and possess AI-based garment design technologies that utilize StyleGAN2 for image transformation. However, they are not widely utilized in the fashion business. Since fashion brands need to create numerous designs to launch new garment products for at least two seasons per year, the adoption of AI-based garment design generation technology can be one way to increase work efficiency. Therefore, this research aims to collect and analyze existing cases of AI-based garment design tools in order to identify the similarities and differences between the garment development processes of human designers and the existing AI-based garment design tools. Based on this analysis, the research aims to develop an AI-based garment development system that takes into consideration the garment development process of human designers, incorporating fashion domain knowledge.</t>
  </si>
  <si>
    <t>[Choi, Woojin; Jang, Seyoon] Seoul Natl Univ, Dept Fash &amp; Text, 1 Gwanak Ro, Seoul 08826, South Korea; [Kim, Ha Youn] Kunsan Natl Univ, Dept Fash &amp; Text, 558 Daehak Ro, Kunsan 54150, South Korea; [Lee, Yuri] Seoul Natl Univ, Res Inst Human Ecol, Artificial Intelligence Inst, Dept Fash &amp; Text, 1 Gwanak Ro, Seoul 08826, South Korea; [Lee, Sang-Goo; Lee, Hanbit] Seoul Natl Univ, Artificial Intelligence Inst, Dept Comp Sci &amp; Engn, 1 Gwanak Ro, Seoul 08826, South Korea; [Park, Sungchan] IntelliSys Co Ltd, Gwanak Ro, Seoul 08826, South Korea</t>
  </si>
  <si>
    <t>Seoul National University (SNU); Kunsan National University; Seoul National University (SNU); Seoul National University (SNU)</t>
  </si>
  <si>
    <t>Jang, S (corresponding author), Seoul Natl Univ, Dept Fash &amp; Text, 1 Gwanak Ro, Seoul 08826, South Korea.</t>
  </si>
  <si>
    <t>onlyuna@snu.ac.kr</t>
  </si>
  <si>
    <t>2198-0802</t>
  </si>
  <si>
    <t>FASH TEXT</t>
  </si>
  <si>
    <t>Fash. Text.</t>
  </si>
  <si>
    <t>OCT 25</t>
  </si>
  <si>
    <t>10.1186/s40691-023-00360-w</t>
  </si>
  <si>
    <t>Materials Science, Textiles</t>
  </si>
  <si>
    <t>W0LQ8</t>
  </si>
  <si>
    <t>WOS:001088635800002</t>
  </si>
  <si>
    <t>Rahman, M; Rivolta, MW; Badilini, F; Sassi, R</t>
  </si>
  <si>
    <t>Rahman, Moklesur; Rivolta, Massimo Walter; Badilini, Fabio; Sassi, Roberto</t>
  </si>
  <si>
    <t>A Systematic Survey of Data Augmentation of ECG Signals for AI Applications</t>
  </si>
  <si>
    <t>ECG augmentation; artificial intelligence; electrocardiogram; AI in cardiology; data augmentation</t>
  </si>
  <si>
    <t>GENERATIVE ADVERSARIAL NETWORKS; CLASSIFICATION-SYSTEM; ARRHYTHMIA DETECTION; ATRIAL-FIBRILLATION; ANOMALY DETECTION; MODEL; ARCHITECTURE; ALGORITHMS; INTERVALS; DYNAMICS</t>
  </si>
  <si>
    <t>AI techniques have recently been put under the spotlight for analyzing electrocardiograms (ECGs). However, the performance of AI-based models relies on the accumulation of large-scale labeled datasets, which is challenging. To increase the performance of AI-based models, data augmentation (DA) strategies have been developed recently. The study presented a comprehensive systematic literature review of DA for ECG signals. We conducted a systematic search and categorized the selected documents by AI application, number of leads involved, DA method, classifier, performance improvements after DA, and datasets employed. With such information, this study provided a better understanding of the potential of ECG augmentation in enhancing the performance of AI-based ECG applications. This study adhered to the rigorous PRISMA guidelines for systematic reviews. To ensure comprehensive coverage, publications between 2013 and 2023 were searched across multiple databases, including IEEE Explore, PubMed, and Web of Science. The records were meticulously reviewed to determine their relevance to the study's objective, and those that met the inclusion criteria were selected for further analysis. Consequently, 119 papers were deemed relevant for further review. Overall, this study shed light on the potential of DA to advance the field of ECG diagnosis and monitoring.</t>
  </si>
  <si>
    <t>[Rahman, Moklesur; Rivolta, Massimo Walter; Sassi, Roberto] Univ Milan, Dipartimento Informat, I-20133 Milan, Italy; [Badilini, Fabio] Univ Calif San Francisco, Sch Nursing, San Francisco, CA 94143 USA; [Badilini, Fabio] AMPS LLC, New York, NY 10025 USA</t>
  </si>
  <si>
    <t>University of Milan; University of California System; University of California San Francisco</t>
  </si>
  <si>
    <t>Rivolta, MW (corresponding author), Univ Milan, Dipartimento Informat, I-20133 Milan, Italy.</t>
  </si>
  <si>
    <t>massimo.rivolta@unimi.it</t>
  </si>
  <si>
    <t>Sassi, Roberto/B-8136-2008</t>
  </si>
  <si>
    <t>Sassi, Roberto/0000-0001-9729-2641; Rivolta, Massimo/0000-0002-8553-2414; Rahman, Md Moklesur/0000-0002-7716-1318; BADILINI, FABIO/0000-0001-9195-4317</t>
  </si>
  <si>
    <t>Cardiocalm srl, Italy</t>
  </si>
  <si>
    <t>Md Moklesur Rahman acknowledges support from a PhD fellowship funded by Cardiocalm srl, https://www.cardiocalm.com/, Italy.</t>
  </si>
  <si>
    <t>10.3390/s23115237</t>
  </si>
  <si>
    <t>I9RD1</t>
  </si>
  <si>
    <t>WOS:001006071100001</t>
  </si>
  <si>
    <t>Dierickx, L; Lindén, CG; Opdahl, AL</t>
  </si>
  <si>
    <t>Dierickx, Laurence; Linden, Carl-Gustav; Opdahl, Andreas L.</t>
  </si>
  <si>
    <t>The Information Disorder Level (IDL) Index: A Human-Based Metric to Assess the Factuality of Machine-Generated Content</t>
  </si>
  <si>
    <t>Generative AI; natural language processing; social science</t>
  </si>
  <si>
    <t>JOURNALIST; NEWS</t>
  </si>
  <si>
    <t>Large language models have enabled the rapid production of misleading or fake narratives, presenting a challenge for direct detection methods. Considering that generative artificial intelligence tools are likely to be used either to inform or to disinform, evaluating the (non)human nature of machine-generated content is questioned, especially regarding the 'hallucination' phenomenon, which relates to generated content that does not correspond to real-world input. In this study, we argue that assessing machine-generated content is most reliable when done by humans because doing so involves critical consideration of the meaning of the information and its informative, misinformative or dis-informative value, which is related to the accuracy and reliability of the news. To explore human-based judgement methods, we developed the Information Disorder Level (IDL) index, a language-independent metric to evaluate the factuality of machine-generated content. It has been tested on a corpus of forty made-up and actual news stories generated with ChatGPT. For newsrooms using generative AI, results suggest that every piece of machine-generated content should be vetted and post-edited by humans before being published. From a digital media literacy perspective, the IDL index is a valuable tool to understand the limits of generative AI and trigger a reflection on what constitutes the factuality of a reported event.</t>
  </si>
  <si>
    <t>[Dierickx, Laurence; Linden, Carl-Gustav; Opdahl, Andreas L.] Univ Bergen, Bergen, Norway</t>
  </si>
  <si>
    <t>University of Bergen</t>
  </si>
  <si>
    <t>Opdahl, AL (corresponding author), Univ Bergen, Bergen, Norway.</t>
  </si>
  <si>
    <t>l.dierickx@uib.no; carl-gustav.linden@uib.no; andreas.opdahl@uib.no</t>
  </si>
  <si>
    <t>Dierickx, Laurence/0000-0001-5926-8720; Opdahl, Andreas L/0000-0002-3141-1385</t>
  </si>
  <si>
    <t>EU CEF Grant [2394203]</t>
  </si>
  <si>
    <t>EU CEF Grant</t>
  </si>
  <si>
    <t>This research was funded by EU CEF Grant No. 2394203.</t>
  </si>
  <si>
    <t>10.1007/978-3-031-47896-3_5</t>
  </si>
  <si>
    <t>WOS:001160755400005</t>
  </si>
  <si>
    <t>Lim, H; Park, S; Kim, M; Lee, J; Lim, S; Park, N</t>
  </si>
  <si>
    <t>Lim, Haksoo; Park, Sewon; Kim, Minjung; Lee, Jaehoon; Lim, Seonkyu; Park, Noseong</t>
  </si>
  <si>
    <t>MadSGM: Multivariate Anomaly Detection with Score-based Generative Models</t>
  </si>
  <si>
    <t>Time-series data; Anomaly detection; Score-based generative model</t>
  </si>
  <si>
    <t>SUPPORT</t>
  </si>
  <si>
    <t>The time-series anomaly detection is one of the most fundamental tasks for time-series. Unlike the time-series forecasting and classification, the time-series anomaly detection typically requires unsupervised (or self-supervised) training since collecting and labeling anomalous observations are difficult. In addition, most existing methods resort to limited forms of anomaly measurements and therefore, it is not clear whether they are optimal in all circumstances. To this end, we present a multivariate time-series anomaly detector based on score-based generative models, called MadSGM, which considers the broadest ever set of anomaly measurement factors: i) reconstruction-based, ii) density-based, and iii) gradient-based anomaly measurements. We also design a conditional score network and its denoising score matching loss for the time-series anomaly detection. Experiments on five real-world benchmark datasets illustrate that MadSGM achieves the most robust and accurate predictions.</t>
  </si>
  <si>
    <t>[Lim, Haksoo; Lee, Jaehoon; Lim, Seonkyu; Park, Noseong] Yonsei Univ, Seoul, South Korea; [Park, Sewon; Kim, Minjung] Samsung SDS, Seoul, South Korea; [Lee, Jaehoon] LG AI Res, Seoul, South Korea</t>
  </si>
  <si>
    <t>Yonsei University; Samsung</t>
  </si>
  <si>
    <t>Lim, H (corresponding author), Yonsei Univ, Seoul, South Korea.</t>
  </si>
  <si>
    <t>limhaksoo96@yonsei.ac.kr; sw0413.park@samsung.com; mj100.kim@samsung.com; jaehoon.lee@lgresearch.ai; seonkyu@yonsei.ac.kr; noseong@yonsei.ac.kr</t>
  </si>
  <si>
    <t>Institute of Information &amp; Communications Technology Planning &amp; Evaluation (IITP) - Korean government (MSIT) [2020-0-01361]</t>
  </si>
  <si>
    <t>Institute of Information &amp; Communications Technology Planning &amp; Evaluation (IITP) - Korean government (MSIT)(Institute for Information &amp; Communication Technology Planning &amp; Evaluation (IITP), Republic of KoreaMinistry of Science &amp; ICT (MSIT), Republic of Korea)</t>
  </si>
  <si>
    <t>Noseong Park is the corresponding author. This work was supported by the Institute of Information &amp; Communications Technology Planning &amp; Evaluation (IITP) grant funded by the Korean government (MSIT) (No.2020-0-01361, Artificial Intelligence Graduate School Program (Yonsei University)).</t>
  </si>
  <si>
    <t>10.1145/3583780.3614956</t>
  </si>
  <si>
    <t>WOS:001161549501049</t>
  </si>
  <si>
    <t>Puchkin, N; Samsonov, S; Belomestny, D; Moulines, E; Naumov, A</t>
  </si>
  <si>
    <t>Puchkin, Nikita; Samsonov, Sergey; Belomestny, Denis; Moulines, Eric; Naumov, Alexey</t>
  </si>
  <si>
    <t>Rates of convergence for density estimation with generative adversarial networks</t>
  </si>
  <si>
    <t>JOURNAL OF MACHINE LEARNING RESEARCH</t>
  </si>
  <si>
    <t>generative model; oracle inequality; Jensen-Shannon risk; minimax rates; nonparametric density estimation</t>
  </si>
  <si>
    <t>BOUNDARY-REGULARITY; AGGREGATION; MAPS</t>
  </si>
  <si>
    <t>In this work we undertake a thorough study of the non-asymptotic properties of the vanilla generative adversarial networks (GANs). We prove an oracle inequality for the JensenShannon (JS) divergence between the underlying density p* and the GAN estimate with a significantly better statistical error term compared to the previously known results. The advantage of our bound becomes clear in application to nonparametric density estimation. We show that the JS-divergence between the GAN estimate and p* decays as fast as (log n/n)2 beta /(2 beta+d), where n is the sample size and beta determines the smoothness of p*. This rate of convergence coincides (up to logarithmic factors) with minimax optimal for the considered class of densities.</t>
  </si>
  <si>
    <t>[Puchkin, Nikita; Samsonov, Sergey; Belomestny, Denis; Naumov, Alexey] HSE Univ, Moscow, Russia; [Puchkin, Nikita; Samsonov, Sergey] Inst Informat Transmiss Problems, Moscow, Russia; [Belomestny, Denis] Duisburg Essen Univ, Duisburg, Germany; [Moulines, Eric] Ecole Polytech, Palaiseau, France; [Moulines, Eric] Mohamed Bin Zayed Univ AI, Abu Dhabi, U Arab Emirates; [Naumov, Alexey] Russian Acad Sci, Steklov Math Inst, Moscow, Russia</t>
  </si>
  <si>
    <t>HSE University (National Research University Higher School of Economics); Kharkevich Institute for Information Transmission Problems of the RAS; University of Duisburg Essen; Institut Polytechnique de Paris; Russian Academy of Sciences; Steklov Mathematical Institute of the Russian Academy of Sciences</t>
  </si>
  <si>
    <t>Puchkin, N (corresponding author), HSE Univ, Moscow, Russia.;Puchkin, N (corresponding author), Inst Informat Transmiss Problems, Moscow, Russia.</t>
  </si>
  <si>
    <t>NPUCHKIN@HSE.RU; SVSAMSONOV@HSE.RU; DENIS.BELOMESTNY@UNI-DUE.DE; ERIC.MOULINES@POLYTECHNIQUE.EDU; ANAUMOV@HSE.RU</t>
  </si>
  <si>
    <t>Analytical Center for the Government of the Russian Federation (ACRF) [000000D730321P5Q0002]; HSE University; [70-2021-00139]</t>
  </si>
  <si>
    <t>Analytical Center for the Government of the Russian Federation (ACRF); HSE University;</t>
  </si>
  <si>
    <t>The publication was supported by the grant for research centers in the field of AI provided by the Analytical Center for the Government of the Russian Federation (ACRF) in accordance with the agreement on the provision of subsidies (identifier of the agreement 000000D730321P5Q0002) and the agreement with HSE University No 70-2021-00139.</t>
  </si>
  <si>
    <t>MICROTOME PUBL</t>
  </si>
  <si>
    <t>BROOKLINE</t>
  </si>
  <si>
    <t>31 GIBBS ST, BROOKLINE, MA 02446 USA</t>
  </si>
  <si>
    <t>1532-4435</t>
  </si>
  <si>
    <t>J MACH LEARN RES</t>
  </si>
  <si>
    <t>J. Mach. Learn. Res.</t>
  </si>
  <si>
    <t>Automation &amp; Control Systems; Computer Science, Artificial Intelligence</t>
  </si>
  <si>
    <t>IO6B9</t>
  </si>
  <si>
    <t>WOS:001167299500001</t>
  </si>
  <si>
    <t>Sohail, SS</t>
  </si>
  <si>
    <t>Sohail, Shahab Saquib</t>
  </si>
  <si>
    <t>A Promising Start and Not a Panacea: ChatGPT's Early Impact and Potential in Medical Science and Biomedical Engineering Research</t>
  </si>
  <si>
    <t>ANNALS OF BIOMEDICAL ENGINEERING</t>
  </si>
  <si>
    <t>Biomedical engineering; Chat GPT; LLM; Generative AI; Google Bard</t>
  </si>
  <si>
    <t>The advent of artificial intelligence (AI) has catalyzed a revolutionary transformation across various industries, including healthcare. Medical applications of ChatGPT, a powerful language model based on the generative pre-trained transformer (GPT) architecture, encompass the creation of conversational agents capable of accessing and generating medical information from multiple sources and formats. This study investigates the research trends of large language models such as ChatGPT, GPT 4, and Google Bard, comparing their publication trends with early COVID-19 research. The findings underscore the current prominence of AI research and its potential implications in biomedical engineering. A search of the Scopus database on July 23, 2023, yielded 1,096 articles related to ChatGPT, with approximately 26% being medical science-related. Keywords related to artificial intelligence, natural language processing (NLP), LLM, and generative AI dominate ChatGPT research, while a focused representation of medical science research emerges, with emphasis on biomedical research and engineering. This analysis serves as a call to action for researchers, healthcare professionals, and policymakers to recognize and harness AI's potential in healthcare, particularly in the realm of biomedical research.</t>
  </si>
  <si>
    <t>[Sohail, Shahab Saquib] Jamia Hamdard, Sch Engn Sci &amp; Technol, Dept Comp Sci &amp; Engn, New Delhi 110062, India</t>
  </si>
  <si>
    <t>Jamia Hamdard University</t>
  </si>
  <si>
    <t>Sohail, SS (corresponding author), Jamia Hamdard, Sch Engn Sci &amp; Technol, Dept Comp Sci &amp; Engn, New Delhi 110062, India.</t>
  </si>
  <si>
    <t>shahabssohail@jamiahamdard.ac.in</t>
  </si>
  <si>
    <t>sohail, shahab/O-3263-2019</t>
  </si>
  <si>
    <t>sohail, shahab/0000-0002-5944-7371</t>
  </si>
  <si>
    <t>0090-6964</t>
  </si>
  <si>
    <t>1573-9686</t>
  </si>
  <si>
    <t>ANN BIOMED ENG</t>
  </si>
  <si>
    <t>Ann. Biomed. Eng.</t>
  </si>
  <si>
    <t>2023 AUG 4</t>
  </si>
  <si>
    <t>10.1007/s10439-023-03335-6</t>
  </si>
  <si>
    <t>O3SE3</t>
  </si>
  <si>
    <t>WOS:001043040500001</t>
  </si>
  <si>
    <t>Helmsen, J; Baracat-Donovan, B; White, R; McCullough, T</t>
  </si>
  <si>
    <t>Bouma, H; Dijk, J; Prabhu, R; Stokes, RJ; Yitzhaky, Y</t>
  </si>
  <si>
    <t>Helmsen, John; Baracat-Donovan, Brian; White, Riley; McCullough, Thomas</t>
  </si>
  <si>
    <t>Swiss Army VAE: Comprehensive Sensor Data Analysis via Explainable AI</t>
  </si>
  <si>
    <t>ARTIFICIAL INTELLIGENCE FOR SECURITY AND DEFENCE APPLICATIONS</t>
  </si>
  <si>
    <t>Conference on Artificial Intelligence for Security and Defence Applications</t>
  </si>
  <si>
    <t>Variational Autoencoder; Active Learning; Anomaly Detection; Explainable AI; Counterfactual Explainability; Synthetic Data Generation; Semi-Supervised Classification</t>
  </si>
  <si>
    <t>An integrated system for processing sensor data has been developed based on novel variational autoencoder (VAE) algorithms with explainability that significantly eases analysis of sensor data. By continuously updating a generative model of the data, the system assists users with minimal artificial intelligence (AI) training or experience to perform data analysis. The system performs an extensive range of integrated machine learning (ML) tasks: anomaly detection, active learning, model-drift detection, synthetic data generation, semi-supervised classification, and counterfactual explanation generation. When the system is provided a data schema (map of Booleans, integers, reals, categories, time series, etc.) and data set, it automatically forms a preliminary generative model of the data. The construction of the system is modular, so new data types can be added as necessary. Counterfactually explainable anomaly detection is immediately performed via sparse gradient search. This informs the user how to interactively remove or repair bad records and/or begin labeling records of interest. The addition of labels to the data allows multi-class, semi-supervised, counterfactually explainable classification via the support vector machine embedded hyperplane algorithm (SVM-EH). Once some labels are added, active learning is used to assist further labeling by suggesting data elements that are highly likely to improve classification accuracy, significantly accelerating the labeling process by trading human effort for computational cycles. In production, the system detects when its training is becoming stale and requests retraining. Classification accuracy is demonstrated to be comparable to other deep learning systems on benchmark data sets.</t>
  </si>
  <si>
    <t>[Helmsen, John; Baracat-Donovan, Brian; White, Riley; McCullough, Thomas] Noblis Inc, 2022 Edmund Halley Dr, Reston, VA 20191 USA</t>
  </si>
  <si>
    <t>Helmsen, J (corresponding author), Noblis Inc, 2022 Edmund Halley Dr, Reston, VA 20191 USA.</t>
  </si>
  <si>
    <t>john.helmsen@noblis.org</t>
  </si>
  <si>
    <t>978-1-5106-6713-6; 978-1-5106-6714-3</t>
  </si>
  <si>
    <t>127420I</t>
  </si>
  <si>
    <t>10.1117/12.2680317</t>
  </si>
  <si>
    <t>BV9ZP</t>
  </si>
  <si>
    <t>WOS:001093760800015</t>
  </si>
  <si>
    <t>Mesko, B</t>
  </si>
  <si>
    <t>Mesko, Bertalan</t>
  </si>
  <si>
    <t>The ChatGPT (Generative Artificial Intelligence) Revolution Has Made Artificial Intelligence Approachable for Medical Professionals</t>
  </si>
  <si>
    <t>artificial intelligence; digital health; future; technology; ChatGPT; medical practice; large language model; language model; generative; conversational agent; conversation agents; chatbot; generated text; computer generated; medical education; continuing education; professional development; curriculum; curricula</t>
  </si>
  <si>
    <t>In November 2022, OpenAI publicly launched its large language model (LLM), ChatGPT, and reached the milestone of having over 100 million users in only 2 months. LLMs have been shown to be useful in a myriad of health care-related tasks and processes. In this paper, I argue that attention to, public access to, and debate about LLMs have initiated a wave of products and services using generative artificial intelligence (AI), which had previously found it hard to attract physicians. This paper describes what AI tools have become available since the beginning of the ChatGPT revolution and contemplates how it they might change physicians' perceptions about this breakthrough technology.</t>
  </si>
  <si>
    <t>[Mesko, Bertalan] Med Futurist Inst, Povl Bang Jensen 2-B1 4-1, H-1118 Budapest, Hungary; [Mesko, Bertalan] Semmelweis Univ, Dept Behav Sci, Budapest, Hungary</t>
  </si>
  <si>
    <t>Semmelweis University</t>
  </si>
  <si>
    <t>Mesko, B (corresponding author), Med Futurist Inst, Povl Bang Jensen 2-B1 4-1, H-1118 Budapest, Hungary.</t>
  </si>
  <si>
    <t>Mesko, Bertalan/0000-0002-7005-7083</t>
  </si>
  <si>
    <t>JUN 22</t>
  </si>
  <si>
    <t>e48392</t>
  </si>
  <si>
    <t>10.2196/48392</t>
  </si>
  <si>
    <t>L1OD7</t>
  </si>
  <si>
    <t>WOS:001021010800006</t>
  </si>
  <si>
    <t>Kumar, H; Banerjee, A; Saurav, S; Singh, S</t>
  </si>
  <si>
    <t>Kumar, Himanshu; Banerjee, Abeer; Saurav, Sumeet; Singh, Sanjay</t>
  </si>
  <si>
    <t>ParaColorizer-Realistic image colorization using parallel generative networks</t>
  </si>
  <si>
    <t>VISUAL COMPUTER</t>
  </si>
  <si>
    <t>Information restoration; Realistic colorization; Parallel GANs; ResUNet; Image fusion</t>
  </si>
  <si>
    <t>COLOR</t>
  </si>
  <si>
    <t>Image colorization is a fascinating application of AI for information restoration. The inherently ill-posed nature of the problem increases the challenge since the outputs could be multimodal. Existing learning-based methods produce acceptable results for straightforward cases but usually fail to restore the contextual information without clear figure-ground separation. Also, the images suffer from color bleeding and desaturated backgrounds since a single model trained on full-image features is insufficient for learning the diverse data modes. This work presents a parallel generative adversarial network (GAN)-based colorization framework to address these issues. The proposed framework uses parallel GANs tailored to colorize the foreground (using object-level features) and the background (using full-image features) independently and performs unbalanced GAN training. We develop a DenseFuse-based fusion network to obtain the final colorized image by feature-based fusion of the parallelly generated intermediate outputs. We conduct extensive performance evaluations and ablation studies of our framework with multiple perceptual metrics, including human evaluation. Our approach outperforms most existing learning-based methods and produces results comparable to the state of the art. The runtime analysis experiments revealed an average inference time of 24 milliseconds (ms) per image, and thus the proposed framework can colorize the grayscale images in real time.</t>
  </si>
  <si>
    <t>[Kumar, Himanshu; Banerjee, Abeer; Saurav, Sumeet; Singh, Sanjay] CSIR Cent Elect Engn Res Inst CSIR CEERI, Pilani 333031, India; [Kumar, Himanshu; Banerjee, Abeer; Saurav, Sumeet; Singh, Sanjay] Acad Sci &amp; Innovat Res AcSIR, Ghaziabad 201002, India</t>
  </si>
  <si>
    <t>Council of Scientific &amp; Industrial Research (CSIR) - India; CSIR - Central Electronics Engineering Research Institute (CEERI); Academy of Scientific &amp; Innovative Research (AcSIR)</t>
  </si>
  <si>
    <t>Banerjee, A (corresponding author), CSIR Cent Elect Engn Res Inst CSIR CEERI, Pilani 333031, India.;Banerjee, A (corresponding author), Acad Sci &amp; Innovat Res AcSIR, Ghaziabad 201002, India.</t>
  </si>
  <si>
    <t>himanshu.ceeri20a@acsir.res.in; abeer.ceeri20a@acsir.res.in; sumeet@ceeri.res.in; sanjay@ceeri.res.in</t>
  </si>
  <si>
    <t>Banerjee, Abeer/0000-0001-7040-7074; Kumar, Himanshu/0000-0001-7889-3564</t>
  </si>
  <si>
    <t>The authors extend their gratitude to the CSIR-CEERI Director for supporting AI-related research and to the volunteers for participating in the human evaluation test. All computations were performed using the GPU resources provided by the AI Computing Faci; AI Computing Facility, CSIR-CEERI</t>
  </si>
  <si>
    <t>The authors extend their gratitude to the CSIR-CEERI Director for supporting AI-related research and to the volunteers for participating in the human evaluation test. All computations were performed using the GPU resources provided by the AI Computing Facility, CSIR-CEERI.</t>
  </si>
  <si>
    <t>0178-2789</t>
  </si>
  <si>
    <t>1432-2315</t>
  </si>
  <si>
    <t>VISUAL COMPUT</t>
  </si>
  <si>
    <t>Visual Comput.</t>
  </si>
  <si>
    <t>2023 SEP 16</t>
  </si>
  <si>
    <t>10.1007/s00371-023-03067-7</t>
  </si>
  <si>
    <t>R7MC5</t>
  </si>
  <si>
    <t>WOS:001066148600001</t>
  </si>
  <si>
    <t>Wang, JKS; Wang, L; Han, JG; Mu, W; Wang, PC; Zhang, XZ; Zhan, GG; Zhang, LH; Gan, ZX; Kang, XY</t>
  </si>
  <si>
    <t>Wang, Junkongshuai; Wang, Lu; Han, Jiaguan; Mu, Wei; Wang, Pengchao; Zhang, Xueze; Zhan, Gege; Zhang, Lihua; Gan, Zhongxue; Kang, Xiaoyang</t>
  </si>
  <si>
    <t>Using Determinant Point Process in Generative Adversarial Networks for SSVEP Signals Synthesis</t>
  </si>
  <si>
    <t>BCI; SSVEP signals; generative adversarial network (GAN); determinantal point process (DPP); deep learning; data augmentation</t>
  </si>
  <si>
    <t>Steady-state visual evoked potential (SSVEP) is one of the main paradigms of brain-computer interface (BCI). However, the acquisition method of SSVEP can cause subject fatigue and discomfort, leading to the insufficiency of SSVEP databases. Inspired by generative determinantal point process (GDPP), we utilize the determinantal point process in generative adversarial network (GAN) to generate SSVEP signals. We investigate the ability of the method to synthesize signals from the Benchmark dataset. We further use some evaluation metrics to verify its validity. Results prove that the usage of this method significantly improved the authenticity of generated data and the accuracy (97.636%) of classification using deep learning in SSVEP data augmentation.</t>
  </si>
  <si>
    <t>[Wang, Junkongshuai; Wang, Lu; Han, Jiaguan; Mu, Wei; Wang, Pengchao; Zhang, Xueze; Zhan, Gege; Zhang, Lihua; Gan, Zhongxue; Kang, Xiaoyang] Fudan Univ, Acad Engn &amp; Technol,MOE Frontiers Ctr Brain Sci, Inst AI &amp; Robot,Shanghai Engn Res Ctr AI &amp; Robot, Engn Res Ctr AI &amp; Robot,Minist Educ,Lab Neural In, Shanghai 200433, Peoples R China; [Zhang, Lihua; Gan, Zhongxue; Kang, Xiaoyang] Ji Hua Lab, Foshan 528200, Guangdong, Peoples R China; [Kang, Xiaoyang] Fudan Univ, Yiwu Res Inst, Yiwu City 322000, Zhejiang, Peoples R China; [Kang, Xiaoyang] Zhejiang Lab, Res Ctr Intelligent Sensing, Hangzhou 311121, Peoples R China</t>
  </si>
  <si>
    <t>Fudan University; Ji Hua Laboratory; Fudan University; Zhejiang Laboratory</t>
  </si>
  <si>
    <t>Kang, XY (corresponding author), Fudan Univ, Acad Engn &amp; Technol,MOE Frontiers Ctr Brain Sci, Inst AI &amp; Robot,Shanghai Engn Res Ctr AI &amp; Robot, Engn Res Ctr AI &amp; Robot,Minist Educ,Lab Neural In, Shanghai 200433, Peoples R China.;Kang, XY (corresponding author), Ji Hua Lab, Foshan 528200, Guangdong, Peoples R China.;Kang, XY (corresponding author), Fudan Univ, Yiwu Res Inst, Yiwu City 322000, Zhejiang, Peoples R China.;Kang, XY (corresponding author), Zhejiang Lab, Res Ctr Intelligent Sensing, Hangzhou 311121, Peoples R China.</t>
  </si>
  <si>
    <t>21210860015@m.fudan.edu.cn; wanglu22@m.fudan.edu.cn; 22210860038@m.fudan.edu.cn; 20210860100@fudan.edu.cn; 20210860090@fudan.edu.cn; 19110860014@fudan.edu.cn; 20210860027@fudan.edu.cn; lihuazhang@fudan.edu.cn; zhongxuegan@126.com; xiaoyang_kang@fudan.edu.cn</t>
  </si>
  <si>
    <t>National Key R&amp;D Program of China [2021YFC0122700]; National Natural Science Foundation of China [61904038, U1913216]; Shanghai Sailing Program [19YF1403600]; Shanghai Municipal Science and Technology Commission [19441907600]; Opening Project of Zhejiang Lab [2021MC0AB01]; Fudan University-CIOMP Joint Fund [FC2019002]; Opening Project of Shanghai Robot R&amp;D and Transformation Functional Platform [KEH2310024]; Shanghai Municipal Science and Technology Major Project [2021SHZDZX0103, 2018SHZDZX01]; Ji Hua Laboratory [X190021TB190, X190021TB193]; ZJ Lab; Shanghai Center for Brain Science and BrainInspired Technology</t>
  </si>
  <si>
    <t>National Key R&amp;D Program of China; National Natural Science Foundation of China(National Natural Science Foundation of China (NSFC)); Shanghai Sailing Program; Shanghai Municipal Science and Technology Commission(Science &amp; Technology Commission of Shanghai Municipality (STCSM)); Opening Project of Zhejiang Lab; Fudan University-CIOMP Joint Fund; Opening Project of Shanghai Robot R&amp;D and Transformation Functional Platform; Shanghai Municipal Science and Technology Major Project; Ji Hua Laboratory; ZJ Lab; Shanghai Center for Brain Science and BrainInspired Technology</t>
  </si>
  <si>
    <t>Research supported by the National Key R&amp;D Program of China, grant no. 2021YFC0122700; National Natural Science Foundation of China, grant no. 61904038 and no. U1913216; Shanghai Sailing Program, grant no. 19YF1403600; Shanghai Municipal Science and Technology Commission, grant no. 19441907600; Opening Project of Zhejiang Lab, grant no. 2021MC0AB01; Fudan University-CIOMP Joint Fund, grant no.FC2019002; Opening Project of Shanghai Robot R&amp;D and Transformation Functional Platform, grant no. KEH2310024; Ji Hua Laboratory, grant no. X190021TB190 and no.X190021TB193; Shanghai Municipal Science and Technology Major Project, grant no. 2021SHZDZX0103 and no. 2018SHZDZX01; ZJ Lab, and Shanghai Center for Brain Science and BrainInspired Technology.</t>
  </si>
  <si>
    <t>10.1109/EMBC40787.2023.10340247</t>
  </si>
  <si>
    <t>WOS:001133788301071</t>
  </si>
  <si>
    <t>Taecharungroj, V; Stoica, IS</t>
  </si>
  <si>
    <t>Taecharungroj, Viriya; Stoica, Ioana S.</t>
  </si>
  <si>
    <t>Assessing place experiences in Luton and Darlington on Twitter with topic modelling and AI-generated lexicons</t>
  </si>
  <si>
    <t>JOURNAL OF PLACE MANAGEMENT AND DEVELOPMENT</t>
  </si>
  <si>
    <t>Place experience; Twitter; LDA; Generative AI; GPT-4; Place analytics</t>
  </si>
  <si>
    <t>BRAND EXPERIENCE; PERSPECTIVES; DOWNTOWN</t>
  </si>
  <si>
    <t>PurposeThe purpose of this paper is to examine and compare the in situ place experiences of people in Luton and Darlington. Design/methodology/approachThe study used 109,998 geotagged tweets from Luton and Darlington between 2020 and 2022 and conducted topic modelling using latent Dirichlet allocation. Lexicons were created using GPT-4 to evaluate the eight dimensions of place experience for each topic. FindingsThe study found that Darlington had higher counts in the sensorial, behavioural, designed and mundane dimensions of place experience than Luton. Conversely, Luton had a higher prevalence of the affective and intellectual dimensions, attributed to political and faith-related tweets. Originality/valueThe study introduces a novel approach that uses AI-generated lexicons for place experience. These lexicons cover four facets, two intentions and two intensities of place experience, enabling detection of words from any domain. This approach can be useful not only for town and destination brand managers but also for researchers in any field.</t>
  </si>
  <si>
    <t>[Taecharungroj, Viriya] Mahidol Univ Int Coll, Business Adm Div, Salaya, Thailand; [Stoica, Ioana S.] Univ Bedfordshire, Business Sch, Luton, England</t>
  </si>
  <si>
    <t>Mahidol University; University of Bedfordshire</t>
  </si>
  <si>
    <t>Taecharungroj, V (corresponding author), Mahidol Univ Int Coll, Business Adm Div, Salaya, Thailand.</t>
  </si>
  <si>
    <t>viriya.tae@mahidol.edu; ioana.stoica@beds.ac.uk</t>
  </si>
  <si>
    <t>Stoica, Ioana S./0000-0003-1286-5944</t>
  </si>
  <si>
    <t>1753-8335</t>
  </si>
  <si>
    <t>1753-8343</t>
  </si>
  <si>
    <t>J PLACE MANAG DEV</t>
  </si>
  <si>
    <t>J. Place Manag. Dev.</t>
  </si>
  <si>
    <t>JAN 15</t>
  </si>
  <si>
    <t>10.1108/JPMD-04-2023-0041</t>
  </si>
  <si>
    <t>GC6O0</t>
  </si>
  <si>
    <t>WOS:001033850000001</t>
  </si>
  <si>
    <t>Wang, JKS; Mu, W; Wang, AP; Wang, L; Han, JG; Wang, PC; Niu, L; Bin, JX; Zhang, LH; Kang, XY</t>
  </si>
  <si>
    <t>Wang, Junkongshuai; Mu, Wei; Wang, Aiping; Wang, Lu; Han, Jiaguan; Wang, Pengchao; Niu, Lan; Bin, Jianxiong; Zhang, Lihua; Kang, Xiaoyang</t>
  </si>
  <si>
    <t>Generative Adversarial Networks for Electroencephalogram Signal Analysis: A Mini Review</t>
  </si>
  <si>
    <t>2023 11TH INTERNATIONAL WINTER CONFERENCE ON BRAIN-COMPUTER INTERFACE, BCI</t>
  </si>
  <si>
    <t>International Winter Conference on Brain-Computer Interface BCI</t>
  </si>
  <si>
    <t>11th International Winter Conference on Brain-Computer Interface (BCI)</t>
  </si>
  <si>
    <t>FEB 20-22, 2023</t>
  </si>
  <si>
    <t>Tech Univ Berlin, Korea Univ Inst Artificial Intelligence, ELECTR NETWORK</t>
  </si>
  <si>
    <t>IEEE,Korea Univ Coll Informat, Korea Brain Educ Soc,IEEE Syst, Man &amp; Cybernet Soc,IEEE Brain</t>
  </si>
  <si>
    <t>Tech Univ Berlin, Korea Univ Inst Artificial Intelligence</t>
  </si>
  <si>
    <t>Generative adversarial network (GAN); braincomputer interface (BCI); electroencephalography (EEG); data augmentation</t>
  </si>
  <si>
    <t>Brain-computer interface (BCI) technology based on electroencephalography (EEG) signals is growing rapidly and attracting widespread attention. However, due to the EEG acquisition methods, the quality and quantity of EEG signals are not able to be guaranteed. To alleviate the problems caused by the lack of data, in this paper, we introduce the applications of EEG signals using generative adversarial networks (GANs) which have shown great performance in image data augmentation and other time series data and then discuss their performance.</t>
  </si>
  <si>
    <t>[Wang, Junkongshuai; Mu, Wei; Wang, Aiping; Wang, Lu; Han, Jiaguan; Wang, Pengchao; Zhang, Lihua; Kang, Xiaoyang] Fudan Univ, Inst Meta Med,Acad Engn &amp; Technol,Lab Neural Inte, Minist Educ,Inst AI &amp; Robot,State Key Lab Med Neu, MOE Frontiers Ctr Brain Sci,Engn Res Ctr AI &amp; Rob, Shanghai, Peoples R China; [Niu, Lan; Bin, Jianxiong; Zhang, Lihua; Kang, Xiaoyang] Ji Hua Lab, Foshan, Guangdong, Peoples R China; [Kang, Xiaoyang] Fudan Univ, Yiwu Res Inst, Chengbei Rd, Yiwu City 322000, Zhejiang, Peoples R China; [Kang, Xiaoyang] Zhejiang Lab, Res Ctr Intelligent Sensing, Hangzhou 311100, Peoples R China</t>
  </si>
  <si>
    <t>Kang, XY (corresponding author), Fudan Univ, Inst Meta Med,Acad Engn &amp; Technol,Lab Neural Inte, Minist Educ,Inst AI &amp; Robot,State Key Lab Med Neu, MOE Frontiers Ctr Brain Sci,Engn Res Ctr AI &amp; Rob, Shanghai, Peoples R China.;Kang, XY (corresponding author), Ji Hua Lab, Foshan, Guangdong, Peoples R China.;Kang, XY (corresponding author), Fudan Univ, Yiwu Res Inst, Chengbei Rd, Yiwu City 322000, Zhejiang, Peoples R China.;Kang, XY (corresponding author), Zhejiang Lab, Res Ctr Intelligent Sensing, Hangzhou 311100, Peoples R China.</t>
  </si>
  <si>
    <t>xiaoyang_kang@fudan.edu.cn</t>
  </si>
  <si>
    <t>National Natural Science Foundation of China [61904038, U1913216]; National Key R&amp;D Program of China [2021YFC0122702, 2018YFC1705800]; Shanghai Sailing Program [19YF1403600]; Shanghai Municipal Science and Technology Commission [19441907600, 19441908200, 19511132000]; Opening Project of Zhejiang Lab [2021MC0AB01]; Fudan University-CIOMP Joint Fund [FC2019-002]; Opening Project of Shanghai Robot R&amp;D and Transformation Functional Platform [KEH2310024]; Shanghai Municipal Science and Technology Major Project [2021SHZDZX0103, 2018SHZDZX01]; Ji Hua Laboratory [X190021TB190, X190021TB191, X190021TB193]</t>
  </si>
  <si>
    <t>National Natural Science Foundation of China(National Natural Science Foundation of China (NSFC)); National Key R&amp;D Program of China; Shanghai Sailing Program; Shanghai Municipal Science and Technology Commission(Science &amp; Technology Commission of Shanghai Municipality (STCSM)); Opening Project of Zhejiang Lab; Fudan University-CIOMP Joint Fund; Opening Project of Shanghai Robot R&amp;D and Transformation Functional Platform; Shanghai Municipal Science and Technology Major Project; Ji Hua Laboratory</t>
  </si>
  <si>
    <t>This work was supported in part by the National Natural Science Foundation of China, grant no. 61904038 and no. U1913216; National Key R&amp;D Program of China, grant no. 2021YFC0122702 and no. 2018YFC1705800; Shanghai Sailing Program, grant no. 19YF1403600; Shanghai Municipal Science and Technology Commission, grant no. 19441907600, no.19441908200, and no. 19511132000; Opening Project of Zhejiang Lab, grant no. 2021MC0AB01; Fudan University-CIOMP Joint Fund, grant no.FC2019-002; Opening Project of Shanghai Robot R&amp;D and Transformation Functional Platform, grant no. KEH2310024; Ji Hua Laboratory, grant no. X190021TB190, no. X190021TB191, and no. X190021TB193; Shanghai Municipal Science and Technology Major Project, grant no. 2021SHZDZX0103 and no. 2018SHZDZX01.</t>
  </si>
  <si>
    <t>2572-7672</t>
  </si>
  <si>
    <t>978-1-6654-6444-4</t>
  </si>
  <si>
    <t>I WINT C BRAIN-COMP</t>
  </si>
  <si>
    <t>10.1109/BCI57258.2023.10078666</t>
  </si>
  <si>
    <t>BV1AR</t>
  </si>
  <si>
    <t>WOS:000982525300043</t>
  </si>
  <si>
    <t>Knopp, MI; Warm, EJ; Weber, D; Kelleher, M; Kinnear, B; Schumacher, DJ; Santen, SA; Mendonça, E; Turner, L</t>
  </si>
  <si>
    <t>Knopp, Michelle, I; Warm, Eric J.; Weber, Danielle; Kelleher, Matthew; Kinnear, Benjamin; Schumacher, Daniel J.; Santen, Sally A.; Mendonca, Eneida; Turner, Laurah</t>
  </si>
  <si>
    <t>AI-Enabled Medical Education: Threads of Change, Promising Futures, and Risky Realities Across Four Potential Future Worlds</t>
  </si>
  <si>
    <t>artificial intelligence; medical education; scenario planning; future of healthcare; ethics and AI; future; scenario; ChatGPT; generative; GPT-4; ethic; ethics; ethical; strategic planning; Open-AI; OpenAI; privacy; autonomy; autonomous</t>
  </si>
  <si>
    <t>Background: The rapid trajectory of artificial intelligence (AI) development and advancement is quickly outpacing society's ability to determine its future role. As AI continues to transform various aspects of our lives, one critical question arises for medical education: what will be the nature of education, teaching, and learning in a future world where the acquisition, retention, and application of knowledge in the traditional sense are fundamentally altered by AI?Objective: The purpose of this perspective is to plan for the intersection of health care and medical education in the future. Methods: We used GPT-4 and scenario-based strategic planning techniques to craft 4 hypothetical future worlds influenced by AI's integration into health care and medical education. This method, used by organizations such as Shell and the Accreditation Council for Graduate Medical Education, assesses readiness for alternative futures and effectively manages uncertainty, risk, and opportunity. The detailed scenarios provide insights into potential environments the medical profession may face and lay the foundation for hypothesis generation and idea-building regarding responsible AI implementation.Results: The following 4 worlds were created using OpenAI's GPT model: AI Harmony, AI conflict, The world of Ecological Balance, and Existential Risk. Risks include disinformation and misinformation, loss of privacy, widening inequity, erosion of human autonomy, and ethical dilemmas. Benefits involve improved efficiency, personalized interventions, enhanced collaboration, early detection, and accelerated research.Conclusions: To ensure responsible AI use, the authors suggest focusing on 3 key areas: developing a robust ethical framework, fostering interdisciplinary collaboration, and investing in education and training. A strong ethical framework emphasizes patient safety, privacy, and autonomy while promoting equity and inclusivity. Interdisciplinary collaboration encourages cooperation among various experts in developing and implementing AI technologies, ensuring that they address the complex needs and challenges in health care and medical education. Investing in education and training prepares professionals and trainees with necessary skills and knowledge to effectively use and critically evaluate AI technologies. The integration of AI in health care and medical education presents a critical juncture between transformative advancements and significant risks. By working together to address both immediate and long-term risks and consequences, we can ensure that AI integration leads to a more equitable, sustainable, and prosperous future for both health care and medical education. As we engage with AI technologies, our collective actions will ultimately determine the state of the future of health care and medical education to harness AI's power while ensuring the safety and well-being of humanity.</t>
  </si>
  <si>
    <t>[Knopp, Michelle, I; Warm, Eric J.] Univ Cincinnati, Coll Med, Dept Internal Med, Cincinnati, OH USA; [Weber, Danielle; Kelleher, Matthew] Univ Cincinnati, Coll Med, Dept Internal Med &amp; Pediat, Cincinnati, OH USA; [Kinnear, Benjamin; Schumacher, Daniel J.; Mendonca, Eneida] Univ Cincinnati, Coll Med, Dept Pediat, Cincinnati, OH USA; [Santen, Sally A.; Turner, Laurah] Univ Cincinnati, Coll Med, Dept Med Educ, Cincinnati, OH 45221 USA</t>
  </si>
  <si>
    <t>University System of Ohio; University of Cincinnati; University System of Ohio; University of Cincinnati; University System of Ohio; University of Cincinnati; University System of Ohio; University of Cincinnati</t>
  </si>
  <si>
    <t>Turner, L (corresponding author), Univ Cincinnati, Coll Med, Dept Med Educ, Cincinnati, OH 45221 USA.</t>
  </si>
  <si>
    <t>turnela@ucmail.uc.edu</t>
  </si>
  <si>
    <t>Knopp, Michelle I./0000-0002-2584-1039; Weber, Danielle/0000-0002-4857-6936; Schumacher, Daniel/0000-0001-5507-8452; Kinnear, Benjamin/0000-0003-0052-4130</t>
  </si>
  <si>
    <t>e50373</t>
  </si>
  <si>
    <t>10.2196/50373</t>
  </si>
  <si>
    <t>FM2Y2</t>
  </si>
  <si>
    <t>WOS:001146163200001</t>
  </si>
  <si>
    <t>Jain, R; Verma, A; Singh, A; Gangwar, V; Saha, S</t>
  </si>
  <si>
    <t>Jain, Raghav; Verma, Apoorv; Singh, Apoorva; Gangwar, Vivek; Saha, Sriparna</t>
  </si>
  <si>
    <t>Aspect-Based Complaint and Cause Detection: A Multimodal Generative Framework with External Knowledge Infusion</t>
  </si>
  <si>
    <t>MACHINE LEARNING AND KNOWLEDGE DISCOVERY IN DATABASES: APPLIED DATA SCIENCE AND DEMO TRACK, ECML PKDD 2023, PT VI</t>
  </si>
  <si>
    <t>Complaint Detection; Cause Analysis; Explainable AI; Multi-task learning; Generative Modeling; Deep learning</t>
  </si>
  <si>
    <t>SENTIMENT; CLASSIFICATION; CONCEPTNET; EMOTION</t>
  </si>
  <si>
    <t>Customer reviews often contain valuable feedback about a product or service, but it can be challenging to extract specific complaints and their underlying causes from the text. Despite the use of various methods to detect and analyze complaints, no studies have concentrated on thoroughly examining complaints at the aspect-level and the underlying reasons for such aspect-level complaints. We add the rationale annotation for the aspect-based complaint classes in a publicly available benchmark multimodal complaint dataset (CESAMARD), which spans five domains (books, electronics, edibles, fashion, and miscellaneous). Current multimodal complaint detection methods treat these tasks as classification problems and do not utilize external knowledge. The present study aims to tackle these concerns. We propose a knowledge-infused unified Multimodal Generative framework for Aspect-based complaint and Cause detection (MuGACD) by reframing the multitasking problem as a multimodal text-to-text generation task. Our proposed methodology established a benchmark performance in the novel aspect-based complaint and cause detection task based on extensive evaluation. We also demonstrated that our model consistently outperformed all other baselines and state-of-the-art models in both full and few-shot settings (The dataset and code are available at https://github.com/Raghav10j/ECML23).</t>
  </si>
  <si>
    <t>[Jain, Raghav; Verma, Apoorv; Singh, Apoorva; Gangwar, Vivek; Saha, Sriparna] Indian Inst Technol Patna, Patna, Bihar, India</t>
  </si>
  <si>
    <t>Indian Institute of Technology System (IIT System); Indian Institute of Technology (IIT) - Patna</t>
  </si>
  <si>
    <t>Jain, R (corresponding author), Indian Inst Technol Patna, Patna, Bihar, India.</t>
  </si>
  <si>
    <t>raghavjain106@gmail.com</t>
  </si>
  <si>
    <t>Visvesvaraya Ph.D. Scheme for Electronics and IT, Ministry of Electronics and Information Technology (MeitY), Government of India</t>
  </si>
  <si>
    <t>Dr. Sriparna Saha gratefully acknowledges the Young Faculty Research Fellowship (YFRF) Award, supported by Visvesvaraya Ph.D. Scheme for Electronics and IT, Ministry of Electronics and Information Technology (MeitY), Government of India, being implemented by Digital India Corporation (formerly Media Lab Asia) for carrying out this research.</t>
  </si>
  <si>
    <t>978-3-031-43426-6; 978-3-031-43427-3</t>
  </si>
  <si>
    <t>10.1007/978-3-031-43427-3_6</t>
  </si>
  <si>
    <t>BW4WE</t>
  </si>
  <si>
    <t>WOS:001156143700006</t>
  </si>
  <si>
    <t>Di Zio, S; Calleo, Y; Bolzan, M</t>
  </si>
  <si>
    <t>Di Zio, Simone; Calleo, Yuri; Bolzan, Mario</t>
  </si>
  <si>
    <t>Delphi-based visual scenarios: An innovative use of generative adversarial networks</t>
  </si>
  <si>
    <t>FUTURES</t>
  </si>
  <si>
    <t>Delphi -based Visual Scenarios; Artificial Intelligence; Generative Adversarial Networks; Text -to -image models</t>
  </si>
  <si>
    <t>TEXT; TOOL</t>
  </si>
  <si>
    <t>In the Futures Studies context, the Delphi-based scenario (DBS) is a valuable method for setting future-oriented strategies and actions by gathering expert opinions in multiple iterative rounds, in order to make better decisions in the present. However, one of the main challenges is to find a suitable representation of the scenarios both for evaluation and decision-making. The develop-ment of future scenarios requires high creativity and simple textual descriptions could not be enough to grab the attention of the experts and decision-makers, due to a probable lack of communication and/or technical language. Since the textual descriptions concern the future, the human mind may have difficulty imagining events that have not already happened. With the spread of AI models, different implementations can support the DBS process, such as the use of Generative Adversarial Networks (GANs) to generate specific images starting from the narratives of the scenarios. In this paper, we propose a new method for the development of Delphi-based Visual Scenarios (DBVS) adopting GANs, with the aim to support the experts and decision -makers in planning and communication, in order to have immediate images of what the future could be like. We apply this method with regard to the future of Italian families.</t>
  </si>
  <si>
    <t>[Di Zio, Simone] Univ G dAnnunzio, Dept Legal &amp; Social Sci, Chieti Pescara, Italy; [Calleo, Yuri] Univ Coll Dublin, Sch Architecture Planning &amp; Environm Policy, Dublin, Ireland; [Bolzan, Mario] Univ Padua, Dept Stat, Padua, Italy</t>
  </si>
  <si>
    <t>G d'Annunzio University of Chieti-Pescara; University College Dublin; University of Padua</t>
  </si>
  <si>
    <t>Calleo, Y (corresponding author), Univ Coll Dublin, Sch Architecture Planning &amp; Environm Policy, Dublin, Ireland.</t>
  </si>
  <si>
    <t>yuri.calleo@ucdconnect.ie</t>
  </si>
  <si>
    <t>Di Zio, Simone/0000-0002-9139-1451; Calleo, Yuri/0000-0002-0190-6061</t>
  </si>
  <si>
    <t>European Union [101003534]</t>
  </si>
  <si>
    <t>European Union(European Union (EU))</t>
  </si>
  <si>
    <t>The work carried out in this paper was supported by the project SCORE which has received funding from the European Union's Horizon 2020 research and innovation programme under grant agreement No 101003534.</t>
  </si>
  <si>
    <t>0016-3287</t>
  </si>
  <si>
    <t>1873-6378</t>
  </si>
  <si>
    <t>Futures</t>
  </si>
  <si>
    <t>10.1016/j.futures.2023.103280</t>
  </si>
  <si>
    <t>Economics; Regional &amp; Urban Planning</t>
  </si>
  <si>
    <t>Z4YQ1</t>
  </si>
  <si>
    <t>WOS:001112152800001</t>
  </si>
  <si>
    <t>Perkins, M; Roe, J</t>
  </si>
  <si>
    <t>Perkins, Mike; Roe, Jasper</t>
  </si>
  <si>
    <t>Decoding Academic Integrity Policies: A Corpus Linguistics Investigation of AI and Other Technological Threats</t>
  </si>
  <si>
    <t>HIGHER EDUCATION POLICY</t>
  </si>
  <si>
    <t>Academic integrity policies; Higher education institutions (HEIs); Artificial intelligence (AI) tools; ChatGPT; Technological explicitness; Policy reform</t>
  </si>
  <si>
    <t>PLAGIARISM; COLLEGE</t>
  </si>
  <si>
    <t>This study presents a corpus analysis of academic integrity policies from Higher Education Institutions (HEIs) worldwide, exploring how they address the issues posed by technological threats, such as Automated Paraphrasing Tools and generative-artificial intelligence tools, such as ChatGPT. The analysis of 142 policies conducted in November and December 2022, and May 2023 reveals a gap regarding the mention of AI and associated technologies in the available academic integrity policies. Despite the growing prevalence of these tools in the 6-month period since the release of ChatGPT, no HEIs had produced revised academic integrity policies. Content analysis of 53 guidance documents produced by HEIs suggests an overall positive focus of Gen AI tools, yet advises caution. This study suggests a modification to Bretag et al.'s (Int J Educ Integr 7, 2011) exemplary academic integrity model, introducing Technological Explicitness - emphasizing the need to include explicit guidelines about new technologies in academic integrity policies. These results underscore the urgent need for HEIs to revise their academic integrity policies, considering the evolving landscape of AI and its implications for academic integrity. This paper argues for a multifaceted approach to deal with the issues of integrating technology, education, policy reform, and assessment restructuring to navigate these challenges while upholding academic integrity.</t>
  </si>
  <si>
    <t>[Perkins, Mike] British Univ Vietnam, Hung Yen, Vietnam; [Roe, Jasper] James Cook Univ Singapore, Singapore, Singapore</t>
  </si>
  <si>
    <t>Perkins, M (corresponding author), British Univ Vietnam, Hung Yen, Vietnam.</t>
  </si>
  <si>
    <t>Mike.p@buv.edu.vn</t>
  </si>
  <si>
    <t>Roe, Jasper/JOK-3723-2023</t>
  </si>
  <si>
    <t>Roe, Jasper/0000-0001-7489-2847</t>
  </si>
  <si>
    <t>PALGRAVE MACMILLAN LTD</t>
  </si>
  <si>
    <t>BASINGSTOKE</t>
  </si>
  <si>
    <t>BRUNEL RD BLDG, HOUNDMILLS, BASINGSTOKE RG21 6XS, HANTS, ENGLAND</t>
  </si>
  <si>
    <t>0952-8733</t>
  </si>
  <si>
    <t>1740-3863</t>
  </si>
  <si>
    <t>HIGH EDUC POLICY</t>
  </si>
  <si>
    <t>High Educ. Policy</t>
  </si>
  <si>
    <t>2023 JUL 17</t>
  </si>
  <si>
    <t>10.1057/s41307-023-00323-2</t>
  </si>
  <si>
    <t>M6QS4</t>
  </si>
  <si>
    <t>WOS:001031448800001</t>
  </si>
  <si>
    <t>Vance, B; Brewer, PE; Duin, AH</t>
  </si>
  <si>
    <t>Vance, Bremen; Brewer, Pam Estes; Duin, Ann Hill</t>
  </si>
  <si>
    <t>Workshop: Using AI-Generated Content to Support the Writing Process</t>
  </si>
  <si>
    <t>Artificial intelligence; ChatGPT; professional and technical communication; writing process; writing tools</t>
  </si>
  <si>
    <t>Artificial intelligence (AI) writing tools have exploded, both in sophistication and quantity. So, too, perspectives on AI have exploded. Professional communicators of all types should consider how AI can play a role in our work. In this workshop, three university professors discuss AI writing tools, focusing primarily on generative AI, as resources and demonstrate ways these tools can be productively integrated into writing workflows. They also invite discussion about ways AI writing tools can be used to support writers and show how practitioners and educators can responsibly use AI tools as part of the communication process.</t>
  </si>
  <si>
    <t>[Vance, Bremen; Brewer, Pam Estes] Mercer Univ, Macon, GA 31207 USA; [Duin, Ann Hill] Univ Minnesota, Minneapolis, MN USA</t>
  </si>
  <si>
    <t>Mercer University; University of Minnesota System; University of Minnesota Twin Cities</t>
  </si>
  <si>
    <t>Vance, B (corresponding author), Mercer Univ, Macon, GA 31207 USA.</t>
  </si>
  <si>
    <t>vance_br@mercer.edu; brewer_pe@mercer.edu; ahduin@umn.edu</t>
  </si>
  <si>
    <t>10.1109/ProComm57838.2023.00043</t>
  </si>
  <si>
    <t>WOS:001062047300037</t>
  </si>
  <si>
    <t>Lucchi, N</t>
  </si>
  <si>
    <t>Lucchi, Nicola</t>
  </si>
  <si>
    <t>ChatGPT: A Case Study on Copyright Challenges for Generative Artificial Intelligence Systems</t>
  </si>
  <si>
    <t>EUROPEAN JOURNAL OF RISK REGULATION</t>
  </si>
  <si>
    <t>Artificial intelligence; ChatGPT; copyright; data sharing; intellectual property; language models; training data</t>
  </si>
  <si>
    <t>PROTECTION</t>
  </si>
  <si>
    <t>This article focuses on copyright issues pertaining to generative artificial intelligence (AI) systems, with particular emphasis on the ChatGPT case study as a primary exemplar. In order to generate high-quality outcomes, generative AI systems require substantial quantities of training data, which may frequently comprise copyright-protected information. This prompts inquiries into the legal principles of fair use, the creation of derivative works and the lawfulness of data gathering and utilisation. The utilisation of input data for the purpose of training and enhancing AI models presents significant concerns regarding potential violations of copyright. This paper offers suggestions for safeguarding the interests of copyright holders and competitors, while simultaneously addressing legal challenges and expediting the advancement of AI technologies. This study analyses the ChatGPT platform as a case example to explore the necessary modifications that copyright regulations must undergo to adequately tackle the intricacies of authorship and ownership in the realm of AI-generated creative content.</t>
  </si>
  <si>
    <t>[Lucchi, Nicola] Univ Pompeu Fabra, Dept Law, Barcelona, Spain</t>
  </si>
  <si>
    <t>Pompeu Fabra University</t>
  </si>
  <si>
    <t>Lucchi, N (corresponding author), Univ Pompeu Fabra, Dept Law, Barcelona, Spain.</t>
  </si>
  <si>
    <t>Nicola.Lucchi@upf.edu</t>
  </si>
  <si>
    <t>Lucchi, Nicola/A-9678-2015</t>
  </si>
  <si>
    <t>Lucchi, Nicola/0000-0001-8611-0072</t>
  </si>
  <si>
    <t>1867-299X</t>
  </si>
  <si>
    <t>2190-8249</t>
  </si>
  <si>
    <t>EUR J RISK REGUL</t>
  </si>
  <si>
    <t>Eur. J. Risk Regul.</t>
  </si>
  <si>
    <t>2023 AUG 29</t>
  </si>
  <si>
    <t>10.1017/err.2023.59</t>
  </si>
  <si>
    <t>S0NC2</t>
  </si>
  <si>
    <t>WOS:001068213000001</t>
  </si>
  <si>
    <t>Gilburt, I</t>
  </si>
  <si>
    <t>Gilburt, Iona</t>
  </si>
  <si>
    <t>A machine in the loop: the peculiar intervention of artificial intelligence in writer's block</t>
  </si>
  <si>
    <t>NEW WRITING-THE INTERNATIONAL JOURNAL FOR THE PRACTICE AND THEORY OF CREATIVE WRITING</t>
  </si>
  <si>
    <t>Artificial intelligence; generative AI; writer's block; hypergraphia; Adaptation; Charlie Kaufman</t>
  </si>
  <si>
    <t>Generative artificial intelligence is changing how we can choose to resolve writing challenges. Large language models (LLMs) like ChatGPT are readily accessible to generate text effortlessly. This paper explores the human-AI relationship when generative AI is used to assist a writer suffering from writer's block. Research shows that talking to others is an effective strategy for blocked writers. This other no longer needs to be a human. I examine what happens when generative AI is brought into the writing loop: the nonlinear process of writing and rewriting a creative piece. The film Adaptation (2002. Directed by Spike Jonze, Performance by Nicolas Cage. Meryl Streep, and Chris Cooper. Columbia), written by Charlie Kaufman, is used as a case study of writer's block to illustrate several complexities of the disorder and to theorise potential openings and limitations for the use of AI. Through the film, writer's block is also explored as having a twin pathology of hypergraphia. Writing with AI is seen to mimic peculiarities of creative writing that include projecting one's inner voice and seeking a false self. In the example of Adaptation, one ultimately comes to appreciate too that suffering through a block unaided can propel a writer to make bold decisions and test the limits of human creativity.</t>
  </si>
  <si>
    <t>[Gilburt, Iona] Univ Western Cape, Ctr Humanities Res, Bellville, WC, South Africa</t>
  </si>
  <si>
    <t>University of the Western Cape</t>
  </si>
  <si>
    <t>Gilburt, I (corresponding author), Univ Western Cape, Ctr Humanities Res, Bellville, WC, South Africa.</t>
  </si>
  <si>
    <t>iigilburt@gmail.com</t>
  </si>
  <si>
    <t>Gilburt, Iona/0000-0002-6141-451X</t>
  </si>
  <si>
    <t>1479-0726</t>
  </si>
  <si>
    <t>1943-3107</t>
  </si>
  <si>
    <t>NEW WRIT</t>
  </si>
  <si>
    <t>New Writ.</t>
  </si>
  <si>
    <t>10.1080/14790726.2023.2223176</t>
  </si>
  <si>
    <t>Literature</t>
  </si>
  <si>
    <t>HZ3Q1</t>
  </si>
  <si>
    <t>WOS:001011934900001</t>
  </si>
  <si>
    <t>Asnani, V; Yin, X; Hassner, T; Liu, XM</t>
  </si>
  <si>
    <t>Asnani, Vishal; Yin, Xi; Hassner, Tal; Liu, Xiaoming</t>
  </si>
  <si>
    <t>Reverse Engineering of Generative Models: Inferring Model Hyperparameters From Generated Images</t>
  </si>
  <si>
    <t>Fingerprint recognition; Estimation; Deepfakes; Reverse engineering; Training; Task analysis; Predictive models; Reverse engineering; fingerprint estimation; generative models; deepfake detection; image attribution</t>
  </si>
  <si>
    <t>MOTOR IMAGERY; CAMERA IDENTIFICATION; EEG; NETWORKS; FILTERS; CLASSIFICATION; COMPONENTS; CNN</t>
  </si>
  <si>
    <t>State-of-the-art (SOTA) Generative Models (GMs) can synthesize photo-realistic images that are hard for humans to distinguish from genuine photos. Identifying and understanding manipulated media are crucial to mitigate the social concerns on the potential misuse of GMs. We propose to perform reverse engineering of GMs to infer model hyperparameters from the images generated by these models. We define a novel problem, model parsing, as estimating GM network architectures and training loss functions by examining their generated images - a task seemingly impossible for human beings. To tackle this problem, we propose a framework with two components: a Fingerprint Estimation Network (FEN), which estimates a GM fingerprint from a generated image by training with four constraints to encourage the fingerprint to have desired properties, and a Parsing Network (PN), which predicts network architecture and loss functions from the estimated fingerprints. To evaluate our approach, we collect a fake image dataset with 100 K images generated by 116 different GMs. Extensive experiments show encouraging results in parsing the hyperparameters of the unseen models. Finally, our fingerprint estimation can be leveraged for deepfake detection and image attribution, as we show by reporting SOTA results on both the deepfake detection (Celeb-DF) and image attribution benchmarks.</t>
  </si>
  <si>
    <t>[Asnani, Vishal; Liu, Xiaoming] Michigan State Univ, Dept Comp Sci &amp; Engn, E Lansing, MI 48824 USA; [Yin, Xi; Hassner, Tal] Meta AI, New York, NY 10003 USA</t>
  </si>
  <si>
    <t>Michigan State University</t>
  </si>
  <si>
    <t>Asnani, V (corresponding author), Michigan State Univ, Dept Comp Sci &amp; Engn, E Lansing, MI 48824 USA.</t>
  </si>
  <si>
    <t>asnanivi@msu.edu; yinxi.whu@gmail.com; talhassner@gmail.com; liuxm@cse.msu.edu</t>
  </si>
  <si>
    <t>Asnani, Vishal/0000-0001-8863-673X</t>
  </si>
  <si>
    <t>Defense Advanced Research Projects Agency (DARPA) [HR00112090131]; Facebook AI</t>
  </si>
  <si>
    <t>Defense Advanced Research Projects Agency (DARPA)(United States Department of DefenseDefense Advanced Research Projects Agency (DARPA)); Facebook AI(Facebook Inc)</t>
  </si>
  <si>
    <t>This work was supported in part by Facebook AI. This material, except Section 4.5 and related efforts, is based upon work was supported in part by the Defense Advanced Research Projects Agency (DARPA) under Grant HR00112090131 to Xiaoming Liu at Michigan State University.</t>
  </si>
  <si>
    <t>10.1109/TPAMI.2023.3301451</t>
  </si>
  <si>
    <t>Y4KS2</t>
  </si>
  <si>
    <t>WOS:001104973300088</t>
  </si>
  <si>
    <t>Hasenstab, KA; Huynh, J; Masoudi, S; Cunha, GM; Pazzani, M; Hsiao, AL</t>
  </si>
  <si>
    <t>Hasenstab, Kyle A.; Huynh, Justin; Masoudi, Samira; Cunha, Guilherme M.; Pazzani, Michael; Hsiao, Albert</t>
  </si>
  <si>
    <t>Feature Interpretation Using Generative Adversarial Networks (FIGAN): A Framework for Visualizing a CNN's Learned Features</t>
  </si>
  <si>
    <t>Generative adversarial networks; Convolutional neural networks; Feature extraction; Visualization; Training data; Artificial intelligence; explainable AI; feature interpretation; generative adversarial networks</t>
  </si>
  <si>
    <t>Convolutional neural networks (CNNs) are increasingly being explored and used for a variety of classification tasks in medical imaging, but current methods for post hoc explainability are limited. Most commonly used methods highlight portions of the input image that contribute to classification. While this provides a form of spatial localization relevant for focal disease processes, it may not be sufficient for co-localized or diffuse disease processes such as pulmonary edema or fibrosis. For the latter, new methods are required to isolate diffuse texture features employed by the CNN where localization alone is ambiguous. We therefore propose a novel strategy for eliciting explainability, called Feature Interpretation using Generative Adversarial Networks (FIGAN), which provides visualization of features used by a CNN for classification or regression. FIGAN uses a conditional generative adversarial network to synthesize images that span the range of a CNN's principal embedded features. We apply FIGAN to two previously developed CNNs and show that the resulting feature interpretations can clarify ambiguities within attention areas highlighted by existing explainability methods. In addition, we perform a series of experiments to study the effect of auxiliary segmentations, training sample size, and image resolution on FIGAN's ability to provide consistent and interpretable synthetic images.</t>
  </si>
  <si>
    <t>[Hasenstab, Kyle A.] San Diego State Univ, Dept Math &amp; Stat, San Diego, CA 92182 USA; [Hasenstab, Kyle A.; Huynh, Justin; Hsiao, Albert] Univ Calif San Diego, Dept Radiol, San Diego, CA 92093 USA; [Masoudi, Samira; Pazzani, Michael; Hsiao, Albert] Univ Calif San Diego, Halicioglu Data Sci Inst, San Diego, CA 92093 USA; [Cunha, Guilherme M.] Univ Washington, Dept Radiol, Seattle, WA 98195 USA</t>
  </si>
  <si>
    <t>California State University System; San Diego State University; University of California System; University of California San Diego; University of California System; University of California San Diego; University of Washington; University of Washington Seattle</t>
  </si>
  <si>
    <t>Hasenstab, KA (corresponding author), San Diego State Univ, Dept Math &amp; Stat, San Diego, CA 92182 USA.;Hasenstab, KA (corresponding author), Univ Calif San Diego, Dept Radiol, San Diego, CA 92093 USA.</t>
  </si>
  <si>
    <t>kahasenstab@sdsu.edu</t>
  </si>
  <si>
    <t>Pazzani, Michael/0000-0002-4240-7349; Hsiao, Albert/0000-0002-9412-1369; Huynh, Justin/0000-0002-4640-6124</t>
  </si>
  <si>
    <t>National Science Foundation [IIS 2026809]</t>
  </si>
  <si>
    <t>This work was supported in part by the National Science Foundation under Grant IIS 2026809.</t>
  </si>
  <si>
    <t>10.1109/ACCESS.2023.3236575</t>
  </si>
  <si>
    <t>8G6TG</t>
  </si>
  <si>
    <t>WOS:000920475200001</t>
  </si>
  <si>
    <t>Medeiros, T; Medeiros, M; Azevedo, M; Silva, M; Silva, I; Costa, DG</t>
  </si>
  <si>
    <t>Medeiros, Thais; Medeiros, Morsinaldo; Azevedo, Mariana; Silva, Marianne; Silva, Ivanovitch; Costa, Daniel G.</t>
  </si>
  <si>
    <t>Analysis of Language-Model-Powered Chatbots for Query Resolution in PDF-Based Automotive Manuals</t>
  </si>
  <si>
    <t>VEHICLES</t>
  </si>
  <si>
    <t>chatbot; vehicle manuals; PDFs; generative AI</t>
  </si>
  <si>
    <t>In the current scenario of fast technological advancement, increasingly characterized by widespread adoption of Artificial Intelligence (AI)-driven tools, the significance of autonomous systems like chatbots has been highlighted. Such systems, which are proficient in addressing queries based on PDF files, hold the potential to revolutionize customer support and post-sales services in the automotive sector, resulting in time and resource optimization. Within this scenario, this work explores the adoption of Large Language Models (LLMs) to create AI-assisted tools for the automotive sector, assuming three distinct methods for comparative analysis. For them, broad assessment criteria are considered in order to encompass response accuracy, cost, and user experience. The achieved results demonstrate that the choice of the most adequate method in this context hinges on the selected criteria, with different practical implications. Therefore, this work provides insights into the effectiveness and applicability of chatbots in the automotive industry, particularly when interfacing with automotive manuals, facilitating the implementation of productive generative AI strategies that meet the demands of the sector.</t>
  </si>
  <si>
    <t>[Medeiros, Thais; Medeiros, Morsinaldo; Azevedo, Mariana; Silva, Marianne; Silva, Ivanovitch] Univ Fed Rio Grande do Norte, Postgrad Program Elect &amp; Comp Engn, UFRN PPgEEC, BR-59078970 Natal, Brazil; [Costa, Daniel G.] Univ Porto, Fac Engn, INEGI, P-4200465 Porto, Portugal</t>
  </si>
  <si>
    <t>Universidade Federal do Rio Grande do Norte; Universidade do Porto</t>
  </si>
  <si>
    <t>Silva, M; Silva, I (corresponding author), Univ Fed Rio Grande do Norte, Postgrad Program Elect &amp; Comp Engn, UFRN PPgEEC, BR-59078970 Natal, Brazil.</t>
  </si>
  <si>
    <t>thais.araujo.707@ufrn.edu.br; morsinaldo.medeiros.075@ufrn.edu.br; mariana.brito110@ufrn.edu.br; marianne.silva@ufrn.br; ivanovitch.silva@ufrn.br; danielgcosta@fe.up.pt</t>
  </si>
  <si>
    <t>Costa, Daniel G./I-4928-2013; Silva, Ivanovitch/N-8075-2019; Medeiros, Morsinaldo/KFR-6834-2024</t>
  </si>
  <si>
    <t>Costa, Daniel G./0000-0003-3988-8476; Silva, Ivanovitch/0000-0002-0116-6489; Medeiros, Morsinaldo/0000-0001-7624-5301; de Araujo de Medeiros, Thais/0000-0002-6447-3806; Azevedo, Mariana/0000-0003-4609-8800; Silva, Marianne/0000-0002-8277-7571</t>
  </si>
  <si>
    <t>Brazilian fostering agency CNPq (National Council for Scientific and Technological Development); National Council for Scientific and Technological Development (CNPq)</t>
  </si>
  <si>
    <t>Brazilian fostering agency CNPq (National Council for Scientific and Technological Development)(Conselho Nacional de Desenvolvimento Cientifico e Tecnologico (CNPQ)); National Council for Scientific and Technological Development (CNPq)(Conselho Nacional de Desenvolvimento Cientifico e Tecnologico (CNPQ))</t>
  </si>
  <si>
    <t>We thank National Council for Scientific and Technological Development (CNPq).</t>
  </si>
  <si>
    <t>2624-8921</t>
  </si>
  <si>
    <t>VEHICLES-BASEL</t>
  </si>
  <si>
    <t>Vehicles</t>
  </si>
  <si>
    <t>10.3390/vehicles5040076</t>
  </si>
  <si>
    <t>Engineering, Mechanical; Transportation Science &amp; Technology</t>
  </si>
  <si>
    <t>DH3A7</t>
  </si>
  <si>
    <t>WOS:001131087100001</t>
  </si>
  <si>
    <t>Fei, B; Lyu, ZY; Pan, L; Zhang, JZ; Yang, WD; Luo, TY; Zhang, B; Dai, B</t>
  </si>
  <si>
    <t>Fei, Ben; Lyu, Zhaoyang; Pan, Liang; Zhang, Junzhe; Yang, Weidong; Luo, Tianyue; Zhang, Bo; Dai, Bo</t>
  </si>
  <si>
    <t>Generative Diffusion Prior for Unified Image Restoration and Enhancement</t>
  </si>
  <si>
    <t>2023 IEEE/CVF CONFERENCE ON COMPUTER VISION AND PATTERN RECOGNITION (CVPR)</t>
  </si>
  <si>
    <t>IEEE Conference on Computer Vision and Pattern Recognition</t>
  </si>
  <si>
    <t>IEEE/CVF Conference on Computer Vision and Pattern Recognition (CVPR)</t>
  </si>
  <si>
    <t>JUN 17-24, 2023</t>
  </si>
  <si>
    <t>IEEE,CVF,IEEE Comp Soc</t>
  </si>
  <si>
    <t>EXPOSURE-FUSION; NETWORK; RECONSTRUCTION; FIDELITY</t>
  </si>
  <si>
    <t>Existing image restoration methods mostly leverage the posterior distribution of natural images. However, they often assume known degradation and also require supervised training, which restricts their adaptation to complex real applications. In this work, we propose the Generative Diffusion Prior (GDP) to effectively model the posterior distributions in an unsupervised sampling manner. GDP utilizes a pre-train denoising diffusion generative model (DDPM) for solving linear inverse, non-linear, or blind problems. Specifically, GDP systematically explores a protocol of conditional guidance, which is verified more practical than the commonly used guidance way. Furthermore, GDP is strength at optimizing the parameters of degradation model during the denoising process, achieving blind image restoration. Besides, we devise hierarchical guidance and patch-based methods, enabling the GDP to generate images of arbitrary resolutions. Experimentally, we demonstrate GDP 's versatility on several image datasets for linear problems, such as super-resolution, deblurring, inpainting, and colorization, as well as non-linear and blind issues, such as low-light enhancement and HDR image recovery. GDP outperforms the current leading unsupervised methods on the diverse benchmarks in reconstruction quality and perceptual quality. Moreover, GDP also generalizes well for natural images or synthesized images with arbitrary sizes from various tasks out of the distribution of the ImageNet training set. The project page is available at https://generativediffusionprior.github.io/</t>
  </si>
  <si>
    <t>[Fei, Ben; Yang, Weidong; Luo, Tianyue] Fudan Univ, Shanghai, Peoples R China; [Fei, Ben; Lyu, Zhaoyang; Zhang, Bo; Dai, Bo] Shanghai AI Lab, Shanghai, Peoples R China; [Pan, Liang; Zhang, Junzhe] Nanyang Technol Univ, S Lab, Singapore, Singapore</t>
  </si>
  <si>
    <t>Fudan University; Shanghai Artificial Intelligence Laboratory; Nanyang Technological University</t>
  </si>
  <si>
    <t>Yang, WD (corresponding author), Fudan Univ, Shanghai, Peoples R China.;Dai, B (corresponding author), Shanghai AI Lab, Shanghai, Peoples R China.</t>
  </si>
  <si>
    <t>bfei21@m.fudan.edu.cn; lvzhaoyang@pjlab.org.cn; wdyang@fudan.edu.cn; daibo@pjlab.org.cn</t>
  </si>
  <si>
    <t>Zhang, Bo/ABF-8476-2021; YI, J/JJE-7713-2023; li, yifan/JHU-9272-2023; zheng, yan/JKJ-3632-2023; Li, Yao/JJC-2927-2023; Yu, Yue/JWP-9103-2024; Zhang, Yun/JCN-7026-2023; Guo, Li/KCK-9540-2024; Liu, Jie/JCP-1070-2023; sun, chen/JCP-0396-2023; li, Li/JPA-0218-2023; Zhao, Ying-Yong/I-9326-2014; liu, wenli/JRW-0517-2023; wang, xiaoxuan/JMP-6531-2023; liu, yang/JMB-9083-2023; Zhang, Yunyi/JHS-3626-2023; Weidong, Yang/AAK-6940-2020; Wang, yl/JNR-4963-2023; wang, zhe/JNE-3510-2023; Li, Wei/JLL-4365-2023; zhao, lin/JJF-0406-2023; Yang, Fan/JMA-9594-2023; Zhou, Yue/JHS-8791-2023; yuanyuan, Li/JEZ-6497-2023; Fei, Ben/GWU-5303-2022; Cheng, Lin/KFQ-3111-2024; Zhang, Wei/JKI-3565-2023; wang, xi/JNT-5162-2023; liu, xiao/JLL-2119-2023; yang, xiao/JLL-7721-2023; liu, xinyi/KFB-4466-2024; zhao, yan/JNT-6961-2023; liu, sha/JXL-6600-2024; zhang, xueying/JMB-7808-2023; wang, xiaoqiang/JMT-2783-2023; Wang, Guang/JFS-8374-2023; zhang, xinyu/JKI-8403-2023; yang, rui/JHI-3328-2023</t>
  </si>
  <si>
    <t>Zhang, Bo/0000-0001-8052-782X; Weidong, Yang/0000-0002-2422-9243; Fei, Ben/0000-0002-3219-9996; Yang, Weidong/0000-0002-6473-9272</t>
  </si>
  <si>
    <t>Shanghai AI Laboratory</t>
  </si>
  <si>
    <t>This project is funded in part by Shanghai AI Laboratory</t>
  </si>
  <si>
    <t>1063-6919</t>
  </si>
  <si>
    <t>979-8-3503-0129-8</t>
  </si>
  <si>
    <t>PROC CVPR IEEE</t>
  </si>
  <si>
    <t>10.1109/CVPR52729.2023.00958</t>
  </si>
  <si>
    <t>BV6TF</t>
  </si>
  <si>
    <t>WOS:001062522102024</t>
  </si>
  <si>
    <t>Guo, JY; Wang, CF; Wu, Y; Zhang, E; Wang, K; Xu, XQ; Song, SJ; Shi, H; Huang, G</t>
  </si>
  <si>
    <t>Guo, Jiayi; Wang, Chaofei; Wu, You; Zhang, Eric; Wang, Kai; Xu, Xingqian; Song, Shiji; Shi, Humphrey; Huang, Gao</t>
  </si>
  <si>
    <t>Zero-shot Generative Model Adaptation via Image-specific Prompt Learning</t>
  </si>
  <si>
    <t>Recently, CLIP-guided image synthesis has shown appealing performance on adapting a pre-trained source-domain generator to an unseen target domain. It does not require any target-domain samples but only the textual domain labels. The training is highly efficient, e.g., a few minutes. However, existing methods still have some limitations in the quality of generated images and may suffer from the mode collapse issue. A key reason is that a fixed adaptation direction is applied for all cross-domain image pairs, which leads to identical supervision signals. To address this issue, we propose an Image-specific Prompt Learning (IPL) method, which learns specific prompt vectors for each source-domain image. This produces a more precise adaptation direction for every cross-domain image pair, endowing the target-domain generator with greatly enhanced flexibility. Qualitative and quantitative evaluations on various domains demonstrate that IPL effectively improves the quality and diversity of synthesized images and alleviates the mode collapse. Moreover, IPL is independent of the structure of the generative model, such as generative adversarial networks or diffusion models. Code is available at https://github.com/Picsart-AI-Research/IPL-Zero-Shot-Generative-Model-Adaptation.</t>
  </si>
  <si>
    <t>[Guo, Jiayi; Wang, Chaofei; Huang, Gao] Tsinghua Univ, BNRist, Beijing, Peoples R China; [Wu, You] UCAS, Beijing, Peoples R China; [Zhang, Eric; Wang, Kai; Xu, Xingqian; Shi, Humphrey] SHI Labs Oregon, Santa Barbara, CA 93105 USA; [Zhang, Eric; Wang, Kai; Xu, Xingqian; Shi, Humphrey] UIUC, Champaign, IL 61820 USA; [Shi, Humphrey] Picsart AI Res PAIR, Miami, FL 33199 USA</t>
  </si>
  <si>
    <t>Tsinghua University; Chinese Academy of Sciences; University of Chinese Academy of Sciences, CAS; University of Illinois System; University of Illinois Urbana-Champaign</t>
  </si>
  <si>
    <t>Huang, G (corresponding author), Tsinghua Univ, BNRist, Beijing, Peoples R China.;Shi, H (corresponding author), SHI Labs Oregon, Santa Barbara, CA 93105 USA.;Shi, H (corresponding author), UIUC, Champaign, IL 61820 USA.;Shi, H (corresponding author), Picsart AI Res PAIR, Miami, FL 33199 USA.</t>
  </si>
  <si>
    <t>Shi, Humphrey/0000-0002-2922-5663</t>
  </si>
  <si>
    <t>National Key R&amp;D Program of China [2019YFC1408703]; National Natural Science Foundation of China [62022048, 62276150]; Guoqiang Institute of Tsinghua University; Beijing Academy of Artificial Intelligence</t>
  </si>
  <si>
    <t>National Key R&amp;D Program of China; National Natural Science Foundation of China(National Natural Science Foundation of China (NSFC)); Guoqiang Institute of Tsinghua University; Beijing Academy of Artificial Intelligence</t>
  </si>
  <si>
    <t>This work is supported in part by the National Key R&amp;D Program of China (2019YFC1408703), the National Natural Science Foundation of China (62022048, 62276150), Guoqiang Institute of Tsinghua University and Beijing Academy of Artificial Intelligence.</t>
  </si>
  <si>
    <t>10.1109/CVPR52729.2023.01106</t>
  </si>
  <si>
    <t>WOS:001062522103077</t>
  </si>
  <si>
    <t>Greiner, C; Peisl, TC; Höpfl, F; Beese, O</t>
  </si>
  <si>
    <t>Greiner, Christian; Peisl, Thomas C.; Hoepfl, Felix; Beese, Olivia</t>
  </si>
  <si>
    <t>Acceptance of AI in Semi-Structured Decision-Making Situations Applying the Four-Sides Model of Communication-An Empirical Analysis Focused on Higher Education</t>
  </si>
  <si>
    <t>AI as a sender; higher education; semi-structured decisions; four-sides model; technology acceptance model</t>
  </si>
  <si>
    <t>USER ACCEPTANCE</t>
  </si>
  <si>
    <t>This study investigates the impact of generative AI systems like ChatGPT on semi-structured decision-making, specifically in evaluating undergraduate dissertations. We propose using Davis' technology acceptance model (TAM) and Schulz von Thun's four-sides communication model to understand human-AI interaction and necessary adaptations for acceptance in dissertation grading. Utilizing an inductive research design, we conducted ten interviews with respondents having varying levels of AI and management expertise, employing four escalating-consequence scenarios mirroring higher education dissertation grading. In all scenarios, the AI functioned as a sender, based on the four-sides model. Findings reveal that technology acceptance for human-AI interaction is adaptive but requires modifications, particularly regarding AI's transparency. Testing the four-sides model showed support for three sides, with the appeal side receiving negative feedback for AI acceptance as a sender. Respondents struggled to accept the idea of AI, suggesting a grading decision through an appeal. Consequently, transparency about AI's role emerged as vital. When AI supports instructors transparently, acceptance levels are higher. These results encourage further research on AI as a receiver and the impartiality of AI decision-making without instructor influence. This study emphasizes communication modes in learning-ecosystems, especially in semi-structured decision-making situations with AI as a sender, while highlighting the potential to enhance AI-based decision-making acceptance.</t>
  </si>
  <si>
    <t>[Greiner, Christian; Peisl, Thomas C.; Hoepfl, Felix; Beese, Olivia] Munich Univ Appl Sci, Dept Business Adm, D-80335 Munich, Germany</t>
  </si>
  <si>
    <t>Greiner, C (corresponding author), Munich Univ Appl Sci, Dept Business Adm, D-80335 Munich, Germany.</t>
  </si>
  <si>
    <t>christian.greiner@hm.edu; tpeisl@hm.edu; felix.hoepfl@hm.edu</t>
  </si>
  <si>
    <t>Hopfl, Felix/0000-0002-1499-4945; Greiner, Christian/0000-0002-8184-7128; Peisl, Thomas/0000-0001-5571-2089</t>
  </si>
  <si>
    <t>10.3390/educsci13090865</t>
  </si>
  <si>
    <t>S7PM8</t>
  </si>
  <si>
    <t>WOS:001073053500001</t>
  </si>
  <si>
    <t>Eigenschink, P; Reutterer, T; Vamosi, S; Vamosi, R; Sun, C; Kalcher, K</t>
  </si>
  <si>
    <t>Eigenschink, Peter; Reutterer, Thomas; Vamosi, Stefan; Vamosi, Ralf; Sun, Chang; Kalcher, Klaudius</t>
  </si>
  <si>
    <t>Deep Generative Models for Synthetic Data: A Survey</t>
  </si>
  <si>
    <t>Data models; Synthetic data; Measurement; Biological system modeling; Analytical models; Training data; Medical services; Artificial intelligence; big data; deep learning; generative models; neural networks; synthetic data; privacy</t>
  </si>
  <si>
    <t>NATURAL-LANGUAGE GENERATION; PREDICTION</t>
  </si>
  <si>
    <t>A growing interest in synthetic data has stimulated the development and advancement of a large variety of deep generative models for a wide range of applications. However, as this research has progressed, its streams have become more specialized and disconnected from one another. This is why models for synthesizing text data for natural language processing cannot readily be compared to models for synthesizing health records anymore. To mitigate this isolation, we propose a data-driven evaluation framework for generative models for synthetic sequential data, an important and challenging sub-category of synthetic data, based on five high-level criteria: representativeness, novelty, realism, diversity and coherence of a synthetic data-set relative to the original data-set regardless of the models' internal structures. The criteria reflect requirements different domains impose on synthetic data and allow model users to assess the quality of synthetic data across models. In a critical review of generative models for sequential data, we examine and compare the importance of each performance criterion in numerous domains. We find that realism and coherence are more important for synthetic data natural language, speech and audio processing tasks. At the same time, novelty and representativeness are more important for healthcare and mobility data. We also find that measurement of representativeness is often accomplished using statistical metrics, realism by using human judgement, and novelty using privacy tests.</t>
  </si>
  <si>
    <t>[Eigenschink, Peter; Reutterer, Thomas; Vamosi, Stefan; Vamosi, Ralf] Vienna Univ Econ &amp; Business, Dept Mkt, A-1020 Vienna, Austria; [Vamosi, Ralf] Vienna Univ Technol, High Performance Comp, A-1040 Vienna, Austria; [Sun, Chang] Maastricht Univ, Inst Data Sci, NL-6200 MD Maastricht, Netherlands; [Kalcher, Klaudius] Mostly AI GmbH, A-1030 Vienna, Austria</t>
  </si>
  <si>
    <t>Vienna University of Economics &amp; Business; Technische Universitat Wien; Maastricht University</t>
  </si>
  <si>
    <t>Reutterer, T (corresponding author), Vienna Univ Econ &amp; Business, Dept Mkt, A-1020 Vienna, Austria.</t>
  </si>
  <si>
    <t>thomas.reutterer@wu.ac.at</t>
  </si>
  <si>
    <t>Sun, Chang/0000-0001-8325-8848</t>
  </si>
  <si>
    <t>Austrian Federal Ministry for Climate Action, Environment, Energy, Mobility, Innovation and Technology</t>
  </si>
  <si>
    <t>This work was supported by the Information and Communication Technology (ICT) of the Future'' Funding Programme of the Austrian Federal Ministry for Climate Action, Environment, Energy, Mobility, Innovation and Technology.</t>
  </si>
  <si>
    <t>10.1109/ACCESS.2023.3275134</t>
  </si>
  <si>
    <t>J5OW6</t>
  </si>
  <si>
    <t>WOS:001010120100001</t>
  </si>
  <si>
    <t>Stahl, BC; Eke, D</t>
  </si>
  <si>
    <t>Stahl, Bernd Carsten; Eke, Damian</t>
  </si>
  <si>
    <t>The ethics of ChatGPT - Exploring the ethical issues of an emerging technology</t>
  </si>
  <si>
    <t>ChatGPT; Ethics; Emerging technology; Generative AI systems</t>
  </si>
  <si>
    <t>This article explores ethical issues raised by generative conversational AI systems like ChatGPT. It applies established approaches for analysing ethics of emerging technologies to undertake a systematic review of possible benefits and concerns. The methodology combines ethical issues identified by Anticipatory Technology Ethics, Ethical Impact Assessment, and Ethical Issues of Emerging ICT Applications with AI-specific issues from the literature. These are applied to analyse ChatGPT's capabilities to produce humanlike text and interact seamlessly. The analysis finds ChatGPT could provide high-level societal and ethical benefits. However, it also raises significant ethical concerns across social justice, individual autonomy, cultural identity, and environmental issues. Key high-impact concerns include responsibility, inclusion, social cohesion, autonomy, safety, bias, accountability, and environmental impacts. While the current discourse focuses narrowly on specific issues such as authorship, this analysis systematically uncovers a broader, more balanced range of ethical issues worthy of attention. Findings are consistent with emerging research and industry priorities on ethics of generative AI. Implications include the need for diverse stakeholder engagement, considering benefits and risks holistically when developing applications, and multi-level policy interventions to promote positive outcomes. Overall, the analysis demonstrates that applying established ethics of technology methodologies can produce a rigorous, comprehensive foundation to guide discourse and action around impactful emerging technologies like ChatGPT. The paper advocates sustaining this broad, balanced ethics perspective as use cases unfold to realize benefits while addressing ethical downsides.</t>
  </si>
  <si>
    <t>[Stahl, Bernd Carsten] Univ Nottingham, Sch Comp Sci, Nottingham, England; [Stahl, Bernd Carsten; Eke, Damian] De Montfort Univ, Ctr Comp &amp; Social Responsibil, Leicester, Leics, England</t>
  </si>
  <si>
    <t>University of Nottingham; De Montfort University</t>
  </si>
  <si>
    <t>Stahl, BC (corresponding author), Univ Nottingham, Sch Comp Sci, Nottingham, England.</t>
  </si>
  <si>
    <t>Bernd.stahl@nottingham.ac.uk</t>
  </si>
  <si>
    <t>Eke, Damian/0000-0002-6210-1283</t>
  </si>
  <si>
    <t>European Union [945539]; Engineering and Physical Sciences Research Council [EP/T022493/1]</t>
  </si>
  <si>
    <t>European Union(European Union (EU)); Engineering and Physical Sciences Research Council(UK Research &amp; Innovation (UKRI)Engineering &amp; Physical Sciences Research Council (EPSRC))</t>
  </si>
  <si>
    <t>This research was funded by the European Union's Horizon 2020 Research and Innovation Programme Under Grant Agreement No. 945539 (Human Brain Project SGA3). This work was furthermore supported by the Engineering and Physical Sciences Research Council [Horizon Digital Economy Research 'Trusted Data Driven Products: EP/T022493/1].</t>
  </si>
  <si>
    <t>10.1016/j.ijinfomgt.2023.102700</t>
  </si>
  <si>
    <t>T8RD2</t>
  </si>
  <si>
    <t>WOS:001080592800001</t>
  </si>
  <si>
    <t>Wang, JTH</t>
  </si>
  <si>
    <t>Wang, Jack T. H.</t>
  </si>
  <si>
    <t>Is the laboratory report dead? AI and ChatGPT</t>
  </si>
  <si>
    <t>MICROBIOLOGY AUSTRALIA</t>
  </si>
  <si>
    <t>artificial intelligence; assessment; Bloom's taxonomy; ChatGPT; laboratory report</t>
  </si>
  <si>
    <t>The launch of ChatGPT and artificial intelligence (AI) platforms capable of generating written responses to a vast range of text-based queries has transformed the conceptualisation of assessment in education. Apart from its potential for misuse in test and examinations, the laboratory report in Science Education may be vulnerable to AI-disruption. This article outlines five text-based prompts that educators can use to assess the quality of AI-generated output in scientific writing. When used to query the freely accessible version of ChatGPT (GPT-3.5) in June 2023, these prompts revealed its ability to produce written work that showcases high-level organisation of concepts relevant to a scientific topic. However, these AI-generated responses remain generalised, lacking specificity and without effective integration of peer-reviewed scientific literature. As these generative AI platforms continue to improve, educators can use this series of prompts to evaluate the quality of AI output and adapt the assessment criteria for this new era in scientific writing.</t>
  </si>
  <si>
    <t>[Wang, Jack T. H.] Univ Queensland, Sch Chem &amp; Mol Biosci, Brisbane, Qld 4072, Australia</t>
  </si>
  <si>
    <t>Wang, JTH (corresponding author), Univ Queensland, Sch Chem &amp; Mol Biosci, Brisbane, Qld 4072, Australia.</t>
  </si>
  <si>
    <t>t.wang1@uq.edu.au</t>
  </si>
  <si>
    <t>wang, jack/JLL-8637-2023</t>
  </si>
  <si>
    <t>CSIRO PUBLISHING</t>
  </si>
  <si>
    <t>CLAYTON</t>
  </si>
  <si>
    <t>UNIPARK, BLDG 1, LEVEL 1, 195 WELLINGTON RD, LOCKED BAG 10, CLAYTON, VIC 3168, AUSTRALIA</t>
  </si>
  <si>
    <t>1324-4272</t>
  </si>
  <si>
    <t>2201-9189</t>
  </si>
  <si>
    <t>MICROBIOL AUST</t>
  </si>
  <si>
    <t>Microbiol. Aust.</t>
  </si>
  <si>
    <t>2023 JUL 4</t>
  </si>
  <si>
    <t>10.1071/MA23042</t>
  </si>
  <si>
    <t>Microbiology</t>
  </si>
  <si>
    <t>L4GS0</t>
  </si>
  <si>
    <t>WOS:001022864300001</t>
  </si>
  <si>
    <t>Wang, XT; Cao, WQ</t>
  </si>
  <si>
    <t>Wang, Xiaotian; Cao, Weiqun</t>
  </si>
  <si>
    <t>GACN: Generative Adversarial Classified Network for Balancing Plant Disease Dataset and Plant Disease Recognition</t>
  </si>
  <si>
    <t>deep learning; generative adversarial network; data augmentation; plant disease recognition</t>
  </si>
  <si>
    <t>IDENTIFICATION</t>
  </si>
  <si>
    <t>Plant diseases are a critical threat to the agricultural sector. Therefore, accurate plant disease classification is important. In recent years, some researchers have used synthetic images of GAN to enhance plant disease recognition accuracy. In this paper, we propose a generative adversarial classified network (GACN) to further improve plant disease recognition accuracy. The GACN comprises a generator, discriminator, and classifier. The proposed model can not only enhance convolutional neural network performance by generating synthetic images to balance plant disease datasets but the GACN classifier can also be directly applied to plant disease recognition tasks. Experimental results on the PlantVillage and AI Challenger 2018 datasets show that the contribution of the proposed method to improve the discriminability of the convolution neural network is greater than that of the label-conditional methods of CGAN, ACGAN, BAGAN, and MFC-GAN. The accuracy of the trained classifier for plant disease recognition is also better than that of the plant disease recognition models studied on public plant disease datasets. In addition, we conducted several experiments to observe the effects of different numbers and resolutions of synthetic images on the discriminability of convolutional neural network.</t>
  </si>
  <si>
    <t>[Wang, Xiaotian; Cao, Weiqun] Beijing Forestry Univ, Sch Informat Sci &amp; Technol, Beijing 100083, Peoples R China; [Wang, Xiaotian; Cao, Weiqun] Natl Forestry &amp; Grassland Adm, Engn Res Ctr Forestry Oriented Intelligent Informa, Beijing 100083, Peoples R China</t>
  </si>
  <si>
    <t>Beijing Forestry University</t>
  </si>
  <si>
    <t>Cao, WQ (corresponding author), Beijing Forestry Univ, Sch Informat Sci &amp; Technol, Beijing 100083, Peoples R China.;Cao, WQ (corresponding author), Natl Forestry &amp; Grassland Adm, Engn Res Ctr Forestry Oriented Intelligent Informa, Beijing 100083, Peoples R China.</t>
  </si>
  <si>
    <t>weiqun.cao@126.com</t>
  </si>
  <si>
    <t>Natural Science Foundation of China [61703046]</t>
  </si>
  <si>
    <t>Natural Science Foundation of China(National Natural Science Foundation of China (NSFC))</t>
  </si>
  <si>
    <t>The research was supported by the Natural Science Foundation of China under Grant No. 61703046.</t>
  </si>
  <si>
    <t>10.3390/s23156844</t>
  </si>
  <si>
    <t>O7RP7</t>
  </si>
  <si>
    <t>WOS:001045742400001</t>
  </si>
  <si>
    <t>Yu, Y; Huang, JH; He, H; Han, J; Ye, GY; Xu, TY; Sun, XQ; Chen, XM; Ren, XM; Li, CL; Li, HJ; Huang, W; Liu, YY; Wang, XJ; Gao, YZ; Cheng, NH; Guo, N; Chen, XB; Feng, JX; Hua, YX; Liu, C; Zhu, GY; Xie, Z; Yao, LL; Zhong, WE; Chen, XD; Liu, W; Li, HL</t>
  </si>
  <si>
    <t>Yu, Yang; Huang, Junhong; He, Hu; Han, Jing; Ye, Geyan; Xu, Tingyang; Sun, Xianqiang; Chen, Xiumei; Ren, Xiaoming; Li, Chunlai; Li, Huijuan; Huang, Wei; Liu, Yangyang; Wang, Xinjuan; Gao, Yongzhi; Cheng, Nianhe; Guo, Na; Chen, Xibo; Feng, Jianxia; Hua, Yuxia; Liu, Chong; Zhu, Guoyun; Xie, Zhi; Yao, Lili; Zhong, Wenge; Chen, Xinde; Liu, Wei; Li, Hailong</t>
  </si>
  <si>
    <t>Accelerated Discovery of Macrocyclic CDK2 Inhibitor QR-6401 by Generative Models and Structure-Based Drug Design</t>
  </si>
  <si>
    <t>ACS MEDICINAL CHEMISTRY LETTERS</t>
  </si>
  <si>
    <t>ovarian cancer; CDK2 inhibitor; macrocycle; generative models; SBDD</t>
  </si>
  <si>
    <t>FRAGMENT LINKING; OPTIMIZATION; ALGORITHM; CDK4/6</t>
  </si>
  <si>
    <t>Selective CDK2 inhibitors have the potential to provide effective therapeutics for CDK2-dependent cancers and for combating drug resistance due to high cyclin E1 (CCNE1) expression intrinsically or CCNE1 amplification induced by treatment of CDK4/6 inhibitors. Generative models that take advantage of deep learning are being increasingly integrated into early drug discovery for hit identification and lead optimization. Here we report the discovery of a highly potent and selective macrocyclic CDK2 inhibitor QR-6401 specialIntscript accelerated by the application of generative models and structure-based drug design (SBDD). QR-6401 specialIntscript demonstrated robust antitumor efficacy in an OVCAR3 ovarian cancer xenograft model via oral admin-istration.</t>
  </si>
  <si>
    <t>[Yu, Yang; Huang, Junhong; Ye, Geyan; Xu, Tingyang; Chen, Xinde; Liu, Wei] Tencent, Tencent AI Lab, Shenzhen 518057, Peoples R China; [He, Hu; Han, Jing; Sun, Xianqiang; Chen, Xiumei; Ren, Xiaoming; Li, Chunlai; Li, Huijuan; Huang, Wei; Liu, Yangyang; Wang, Xinjuan; Gao, Yongzhi; Cheng, Nianhe; Zhu, Guoyun; Xie, Zhi; Yao, Lili; Zhong, Wenge; Li, Hailong] Regor Therapeut Grp, Shanghai 201210, Peoples R China; [He, Hu] Synrx Therapeut Hangzhou Co Ltd, Hangzhou 311121, Zhejiang, Peoples R China; [Sun, Xianqiang] AutoDrug Biotech Co Ltd, Shanghai 201210, Peoples R China; [Huang, Wei] Struct Therapeut, Shanghai 201203, Peoples R China; [Guo, Na; Chen, Xibo] BioDuro Sundia, Shanghai 200131, Peoples R China; [Feng, Jianxia; Hua, Yuxia; Liu, Chong] BioDuro Sundia, Beijing 102200, Peoples R China</t>
  </si>
  <si>
    <t>Tencent</t>
  </si>
  <si>
    <t>Yu, Y (corresponding author), Tencent, Tencent AI Lab, Shenzhen 518057, Peoples R China.;Li, HL (corresponding author), Regor Therapeut Grp, Shanghai 201210, Peoples R China.</t>
  </si>
  <si>
    <t>kevin_yu1985@hotmail.com; hailong.li@qlregor.com</t>
  </si>
  <si>
    <t>zhang, yan/JGL-8022-2023; Jia, Li/JVN-3095-2024; LIU, YANG/HWQ-4615-2023; Xu, Tingyang/AHA-6587-2022; Li, Yuanxiang/KCX-8706-2024; li, yifan/JHU-9272-2023; Yan, Miaochen/JLL-5061-2023; zhao, lin/JJF-0406-2023; li, jing/JEF-8436-2023; zheng, yan/JKJ-3632-2023; song, yu/KCZ-2003-2024; li, jiaxin/JNT-5073-2023; yang, xiao/JLL-7721-2023; yuanyuan, Li/JEZ-6497-2023; wang, xiaoxuan/JMP-6531-2023; li, jixiang/JXN-7599-2024; Tan, Wei/KBB-7333-2024; Yu, Xiaohan/KCK-5462-2024; yang, peng/JEZ-8452-2023; WANG, JIAXUAN/JMP-8599-2023; Wang, Xuechun/JRX-6509-2023; Wang, lingyu/JLM-2013-2023; su, hang/KEH-2976-2024; zhang, jingxing/KCY-4726-2024; Liu, Wei/L-1951-2019; Zhang, Yunyi/JHS-3626-2023; Ren, Xiaoming/N-5222-2017; yu, yang/HIZ-9682-2022; zhang, xiao/JCN-8822-2023; zhao, yan/JNT-6961-2023</t>
  </si>
  <si>
    <t>YU, YANG/0000-0003-2125-3229</t>
  </si>
  <si>
    <t>1948-5875</t>
  </si>
  <si>
    <t>ACS MED CHEM LETT</t>
  </si>
  <si>
    <t>ACS Med. Chem. Lett.</t>
  </si>
  <si>
    <t>MAR 9</t>
  </si>
  <si>
    <t>10.1021/acsmedchemlett.2c00515</t>
  </si>
  <si>
    <t>Chemistry, Medicinal</t>
  </si>
  <si>
    <t>9X0AF</t>
  </si>
  <si>
    <t>WOS:000929409600001</t>
  </si>
  <si>
    <t>Indran, IR; Paramanathan, P; Gupta, N; Mustafa, N</t>
  </si>
  <si>
    <t>Indran, Inthrani Raja; Paramanathan, Priya; Gupta, Neelima; Mustafa, Nurulhuda</t>
  </si>
  <si>
    <t>Twelve tips to leverage AI for efficient and effective medical question generation: A guide for educators using Chat GPT</t>
  </si>
  <si>
    <t>MEDICAL TEACHER</t>
  </si>
  <si>
    <t>Chat GPT; AI; medical assessment; questions</t>
  </si>
  <si>
    <t>BackgroundCrafting quality assessment questions in medical education is a crucial yet time-consuming, expertise-driven undertaking that calls for innovative solutions. Large language models (LLMs), such as ChatGPT (Chat Generative Pre-Trained Transformer), present a promising yet underexplored avenue for such innovations.AimsThis study explores the utility of ChatGPT to generate diverse, high-quality medical questions, focusing on multiple-choice questions (MCQs) as an illustrative example, to increase educator's productivity and enable self-directed learning for students.DescriptionLeveraging 12 strategies, we demonstrate how ChatGPT can be effectively used to generate assessment questions aligned with Bloom's taxonomy and core knowledge domains while promoting best practices in assessment design.ConclusionIntegrating LLM tools like ChatGPT into generating medical assessment questions like MCQs augments but does not replace human expertise. With continual instruction refinement, AI can produce high-standard questions. Yet, the onus of ensuring ultimate quality and accuracy remains with subject matter experts, affirming the irreplaceable value of human involvement in the artificial intelligence-driven education paradigm.</t>
  </si>
  <si>
    <t>[Indran, Inthrani Raja; Paramanathan, Priya; Gupta, Neelima; Mustafa, Nurulhuda] Natl Univ Singapore, Yong Loo Lin Sch Med, Dept Pharmacol, Singapore, Singapore; [Indran, Inthrani Raja] Natl Univ Singapore, Yong Loo Lin Sch Med, Dept Pharmacol, MD3,16 Med Dr, Singapore 117600, Singapore</t>
  </si>
  <si>
    <t>National University of Singapore; National University of Singapore</t>
  </si>
  <si>
    <t>Indran, IR (corresponding author), Natl Univ Singapore, Yong Loo Lin Sch Med, Dept Pharmacol, MD3,16 Med Dr, Singapore 117600, Singapore.</t>
  </si>
  <si>
    <t>phciri@nus.edu.sg</t>
  </si>
  <si>
    <t>Mustafa, Nurulhuda/0000-0001-5169-6392</t>
  </si>
  <si>
    <t>Department of Pharmacology, NUS Yong Loo Lin School of Medicine, Singapore</t>
  </si>
  <si>
    <t>The subscriptions to ChatGPT was supported by the Department of Pharmacology, NUS Yong Loo Lin School of Medicine, Singapore</t>
  </si>
  <si>
    <t>0142-159X</t>
  </si>
  <si>
    <t>1466-187X</t>
  </si>
  <si>
    <t>MED TEACH</t>
  </si>
  <si>
    <t>Med. Teach.</t>
  </si>
  <si>
    <t>2023 DEC 30</t>
  </si>
  <si>
    <t>10.1080/0142159X.2023.2294703</t>
  </si>
  <si>
    <t>Education, Scientific Disciplines; Health Care Sciences &amp; Services</t>
  </si>
  <si>
    <t>Education &amp; Educational Research; Health Care Sciences &amp; Services</t>
  </si>
  <si>
    <t>DW4X3</t>
  </si>
  <si>
    <t>WOS:001135116400001</t>
  </si>
  <si>
    <t>JX5S8</t>
  </si>
  <si>
    <t>WOS:001176478700009</t>
  </si>
  <si>
    <t>Rizwan, A; Sadiq, T</t>
  </si>
  <si>
    <t>Rizwan, Ayesha; Sadiq, Tahira</t>
  </si>
  <si>
    <t>The Use of AI in Diagnosing Diseases and Providing Management Plans: A Consultation on Cardiovascular Disorders With ChatGPT</t>
  </si>
  <si>
    <t>ai consultation; cardiovascular disorders; diagnosis and management; artificial intelligence chatgpt-4; ai and robotics in healthcare</t>
  </si>
  <si>
    <t>RISK</t>
  </si>
  <si>
    <t>Background: Cardiovascular diseases (CVDs) have remained the leading causes of death worldwide and substantially contribute to loss of health and excess health system costs. According to WHO, cardiovascular diseases (CVDs) take an estimated 17.9 million lives each year. One of the reasons for an immensely high fatality in CVDs is lack of efficient diagnosis and prompt treatment. Timely recognition and management are crucial to minimize mortality. In the advancing world, AI (artificial intelligence) and machine learning technologies continue to progress, this advancement has opened new avenues for innovative approaches in the field of medicine. Despite the rapid development in the field of AI, there is a limited understanding of the potential benefits among clinicians and medical practitioners. Methods: In this study, we aimed to investigate the potential that the AI language model holds to assist health practitioners in the diagnosis and treatment of cardiovascular disorders. We asked Chat Generative Pre-trained Transformer (ChatGPT) 10 hypothetical questions simulating clinical consultation. The responses given by ChatGPT were accessed for its accuracy and accessibility by a team of medical specialists and cardiologists with extensive experience in managing cardiovascular disorders. Result: Out of the 10 clinical scenarios inserted in ChatGPT, eight were perfectly diagnosed, however, the other two answers given by ChatGPT were not entirely incorrect since those conditions were associated with the actual diagnosis. Furthermore, the management plans and the treatment protocols that were given by ChatGPT were in line with the literature and current medical knowledge. The exact drug names and regimens were not provided but a general guideline that was given by this AI tool is definitely beneficial for junior doctors in getting an idea on how to proceed or refresh their previous knowledge. Conclusion: ChatGPT is a valuable resource in the field of medicine. Its comprehensive and properly organized response in an understandable language has made it an effective and efficient tool to be used. However, it is crucial to note that its limitations, such as the need for all associated and typical signs, symptoms, and physical examination findings, and its inability to personalize treatments need to be acknowledged.</t>
  </si>
  <si>
    <t>[Rizwan, Ayesha] Islamic Int Med Coll, Med &amp; Surg, Islamabad, Pakistan; [Sadiq, Tahira] Islamic Int Med Coll, Community Med, Islamabad, Pakistan</t>
  </si>
  <si>
    <t>Rizwan, A (corresponding author), Islamic Int Med Coll, Med &amp; Surg, Islamabad, Pakistan.</t>
  </si>
  <si>
    <t>ayesharizwan967@gmail.com</t>
  </si>
  <si>
    <t>Sadiq, Tahira/0000-0001-5207-9134</t>
  </si>
  <si>
    <t>AUG 7</t>
  </si>
  <si>
    <t>e43106</t>
  </si>
  <si>
    <t>10.7759/cureus.43106</t>
  </si>
  <si>
    <t>P1AH4</t>
  </si>
  <si>
    <t>WOS:001048028800008</t>
  </si>
  <si>
    <t>Li, XA; Xie, C; Sha, ZH</t>
  </si>
  <si>
    <t>Li, Xingang; Xie, Charles; Sha, Zhenghui</t>
  </si>
  <si>
    <t>Design representation for performance evaluation of 3D shapes in structure-aware generative design</t>
  </si>
  <si>
    <t>DESIGN SCIENCE</t>
  </si>
  <si>
    <t>Data-driven generative design; Structure-aware generative design; Vectorized design representation; Surrogate modeling; Engineering performance prediction; Automated machine learning</t>
  </si>
  <si>
    <t>Data-driven generative design (DDGD) methods utilize deep neural networks to create novel designs based on existing data. The structure-aware DDGD method can handle complex geometries and automate the assembly of separate components into systems, showing promise in facilitating creative designs. However, determining the appropriate vectorized design representation (VDR) to evaluate 3D shapes generated from the structure-aware DDGD model remains largely unexplored. To that end, we conducted a comparative analysis of surrogate models' performance in predicting the engineering performance of 3D shapes using VDRs from two sources: the trained latent space of structure-aware DDGD models encoding structural and geometric information and an embedding method encoding only geometric information. We conducted two case studies: one involving 3D car models focusing on drag coefficients and the other involving 3D aircraft models considering both drag and lift coefficients. Our results demonstrate that using latent vectors as VDRs can significantly deteriorate surrogate models' predictions. Moreover, increasing the dimensionality of the VDRs in the embedding method may not necessarily improve the prediction, especially when the VDRs contain more information irrelevant to the engineering performance. Therefore, when selecting VDRs for surrogate modeling, the latent vectors obtained from training structure-aware DDGD models must be used with caution, although they are more accessible once training is complete. The underlying physics associated with the engineering performance should be paid attention. This paper provides empirical evidence for the effectiveness of different types of VDRs of structure-aware DDGD for surrogate modeling, thus facilitating the construction of better surrogate models for AI-generated designs.</t>
  </si>
  <si>
    <t>[Li, Xingang; Sha, Zhenghui] Univ Texas Austin, Walker Dept Mech Engn, Austin, TX 78712 USA; [Xie, Charles] Inst Future Intelligence, Natick, MA USA</t>
  </si>
  <si>
    <t>Sha, ZH (corresponding author), Univ Texas Austin, Walker Dept Mech Engn, Austin, TX 78712 USA.</t>
  </si>
  <si>
    <t>zsha@austin.utexas.edu</t>
  </si>
  <si>
    <t>NSF [DUE-2207408]</t>
  </si>
  <si>
    <t>The authors gratefully acknowledge the financial support from the NSF through the grant DUE-2207408.</t>
  </si>
  <si>
    <t>2053-4701</t>
  </si>
  <si>
    <t>DES SCI</t>
  </si>
  <si>
    <t>DES. SCI.</t>
  </si>
  <si>
    <t>e27</t>
  </si>
  <si>
    <t>10.1017/dsj.2023.25</t>
  </si>
  <si>
    <t>Engineering, Manufacturing</t>
  </si>
  <si>
    <t>R9UC0</t>
  </si>
  <si>
    <t>WOS:001067718500001</t>
  </si>
  <si>
    <t>Matthews, J; Volpe, CR</t>
  </si>
  <si>
    <t>Matthews, Joshua; Volpe, Catherine Rita</t>
  </si>
  <si>
    <t>Academics' perceptions of ChatGPT-generated written outputs: A practical application of Turing's Imitation Game</t>
  </si>
  <si>
    <t>generative artificial intelligence (AI); ChatGPT; Imitation Game; education; academics; initial teacher education; assessment; thematic analysis</t>
  </si>
  <si>
    <t>Artificial intelligence (AI) technology, such as Chat Generative Pre-trained Transformer (ChatGPT), is evolving quickly and having a significant impact on the higher education sector. Although the impact of ChatGPT on academic integrity processes is a key concern, little is known about whether academics can reliably recognise texts that have been generated by AI. This qualitative study applies Turing's Imitation Game to investigate 16 education academics' perceptions of two pairs of texts written by either ChatGPT or a human. Pairs of texts, written in response to the same task, were used as the stimulus for interviews that probed academics' perceptions of text authorship and the textual features that were important in their decision-making. Results indicated academics were only able to identify AI-generated texts half of the time, highlighting the sophistication of contemporary generative AI technology. Academics perceived the following categories as important for their decision-making: voice, word usage, structure, task achievement and flow. All five categories of decision-making were variously used to rationalise both accurate and inaccurate decisions about text authorship. The implications of these results are discussed with a particular focus on what strategies can be applied to support academics more effectively as they manage the ongoing challenge of AI in higher education.Implications for practice or policy:center dot Experienced academics may be unable to distinguish between texts written by contemporary generative AI technology and humans.center dot Academics are uncertain about the current capabilities of generative AI and need support in redesigning assessments that succeed in providing robust evidence of student achievement of learning outcomes.center dot Institutions must assess the adequacy of their assessment designs, AI use policies, and AI-related procedures to enhance students' capacity for effective and ethical use of generative AI technology.</t>
  </si>
  <si>
    <t>[Matthews, Joshua; Volpe, Catherine Rita] Univ New England, Armidale, NSW, Australia</t>
  </si>
  <si>
    <t>University of New England</t>
  </si>
  <si>
    <t>Matthews, J (corresponding author), Univ New England, Armidale, NSW, Australia.</t>
  </si>
  <si>
    <t>jmatth28@une.edu.au</t>
  </si>
  <si>
    <t>Volpe, Catherine/0000-0002-7500-9937</t>
  </si>
  <si>
    <t>10.14742/ajet.8896</t>
  </si>
  <si>
    <t>WOS:001132966400005</t>
  </si>
  <si>
    <t>Zhang, ZJ; Ishihata, H; Maruyama, R; Kasai, T; Kameda, H; Sugiyama, T</t>
  </si>
  <si>
    <t>Zhang, Zaijun; Ishihata, Hiroaki; Maruyama, Ryuto; Kasai, Tomonari; Kameda, Hiroyuki; Sugiyama, Tomoyasu</t>
  </si>
  <si>
    <t>Deep Learning of Phase-Contrast Images of Cancer Stem Cells Using a Selected Dataset of High Accuracy Value Using Conditional Generative Adversarial Networks</t>
  </si>
  <si>
    <t>INTERNATIONAL JOURNAL OF MOLECULAR SCIENCES</t>
  </si>
  <si>
    <t>artificial intelligence; cancer stem cell; cell morphology; segmentation; CNN; CGAN</t>
  </si>
  <si>
    <t>Artificial intelligence (AI) technology for image recognition has the potential to identify cancer stem cells (CSCs) in cultures and tissues. CSCs play an important role in the development and relapse of tumors. Although the characteristics of CSCs have been extensively studied, their morphological features remain elusive. The attempt to obtain an AI model identifying CSCs in culture showed the importance of images from spatially and temporally grown cultures of CSCs for deep learning to improve accuracy, but was insufficient. This study aimed to identify a process that is significantly efficient in increasing the accuracy values of the AI model output for predicting CSCs from phase-contrast images. An AI model of conditional generative adversarial network (CGAN) image translation for CSC identification predicted CSCs with various accuracy levels, and convolutional neural network classification of CSC phase-contrast images showed variation in the images. The accuracy of the AI model of CGAN image translation was increased by the AI model built by deep learning of selected CSC images with high accuracy previously calculated by another AI model. The workflow of building an AI model based on CGAN image translation could be useful for the AI prediction of CSCs.</t>
  </si>
  <si>
    <t>[Zhang, Zaijun; Maruyama, Ryuto; Sugiyama, Tomoyasu] Tokyo Univ Technol, Sch Biosci &amp; Biotechnol, 1401-1 Katakura Machi, Hachioji, Tokyo 1920982, Japan; [Ishihata, Hiroaki; Kameda, Hiroyuki] Tokyo Univ Technol, Sch Comp Sci, 1401-1 Katakura Machi, Hachioji, Tokyo 1920982, Japan; [Kasai, Tomonari] Okayama Univ, Neutron Therapy Res Ctr, 2-5-1 Shikada Cho, Kita Ku, Okayama 7008558, Japan</t>
  </si>
  <si>
    <t>Tokyo University of Technology; Tokyo University of Technology; Okayama University</t>
  </si>
  <si>
    <t>Sugiyama, T (corresponding author), Tokyo Univ Technol, Sch Biosci &amp; Biotechnol, 1401-1 Katakura Machi, Hachioji, Tokyo 1920982, Japan.</t>
  </si>
  <si>
    <t>tsugiyama@stf.teu.ac.jp</t>
  </si>
  <si>
    <t>Hiroyuki, 0000-0003-3667-4085/0000-0002-5994-2911; Sugiyama, Tomoyasu/0000-0002-2413-368X; /0000-0001-6607-5118; Zhang, Zaijun/0000-0001-7827-3808</t>
  </si>
  <si>
    <t>JSPS KAKENHI [21K04790]; Japan Society for the Promotion of Science (JSPS); Advanced AI Research Grant of Bionics AI Research and Computer Science AI Research from Tokyo University of Technology</t>
  </si>
  <si>
    <t>JSPS KAKENHI(Ministry of Education, Culture, Sports, Science and Technology, Japan (MEXT)Japan Society for the Promotion of ScienceGrants-in-Aid for Scientific Research (KAKENHI)); Japan Society for the Promotion of Science (JSPS)(Ministry of Education, Culture, Sports, Science and Technology, Japan (MEXT)Japan Society for the Promotion of Science); Advanced AI Research Grant of Bionics AI Research and Computer Science AI Research from Tokyo University of Technology</t>
  </si>
  <si>
    <t>This research was funded by JSPS KAKENHI, grant number 21K04790, to T.K. from the Japan Society for the Promotion of Science (JSPS) and by an Advanced AI Research Grant of Bionics AI Research and Computer Science AI Research from Tokyo University of Technology.</t>
  </si>
  <si>
    <t>1422-0067</t>
  </si>
  <si>
    <t>INT J MOL SCI</t>
  </si>
  <si>
    <t>Int. J. Mol. Sci.</t>
  </si>
  <si>
    <t>10.3390/ijms24065323</t>
  </si>
  <si>
    <t>Biochemistry &amp; Molecular Biology; Chemistry, Multidisciplinary</t>
  </si>
  <si>
    <t>Biochemistry &amp; Molecular Biology; Chemistry</t>
  </si>
  <si>
    <t>A6XU8</t>
  </si>
  <si>
    <t>WOS:000956539700001</t>
  </si>
  <si>
    <t>Yovel, Y; Rechavi, O</t>
  </si>
  <si>
    <t>Yovel, Yossi; Rechavi, Oded</t>
  </si>
  <si>
    <t>AI and the Doctor Dolittle challenge</t>
  </si>
  <si>
    <t>CURRENT BIOLOGY</t>
  </si>
  <si>
    <t>ALARM CALLS EVOKE; SEARCH IMAGE; IDENTIFICATION; PREDATOR</t>
  </si>
  <si>
    <t>Talking to animals is a fundamental human desire. The emergence of powerful AI algorithms, and specifically Large Language Models, has driven many to suggest that we are on the verge of fulfilling this wish. A few large scientific consortia have been formed around this topic and several commercial entities even offer such services. We frame the task of communicating with animals as 'The Doctor Dolittle challenge' and identify three main obstacles on the route to doing so. First, although generative AI models can create novel animal communication samples, it is very difficult to determine their context, and we will forever be biased by our human umwelt when doing so. Second, using AI to extract context in an unsupervised manner must be validated through controlled experiments aiming to measure the animals' response. This is difficult, and moreover, AI algorithms tend to cling on to any available information and are thus prone to finding spurious correlations. And third, animal communication focuses on a restricted set of contexts, such as alarm and courtship, highly limiting our ability to communicate regarding other contexts. Nevertheless, using the tremendous power of novel AI methods to decipher and mimic animal communication is both fascinating and important. We thus define the criteria for passing the Doctor Dolittle challenge and call upon scientists to take on the mission.</t>
  </si>
  <si>
    <t>[Yovel, Yossi] Tel Aviv Univ, Sch Zool, Wise Fac Life Sci, Tel Aviv, Israel; [Yovel, Yossi; Rechavi, Oded] Tel Aviv Univ, Sagol Sch Neurosci, Tel Aviv, Israel; [Rechavi, Oded] Tel Aviv Univ, Wise Fac Life Sci, Dept Neurobiol, Tel Aviv, Israel</t>
  </si>
  <si>
    <t>Tel Aviv University; Tel Aviv University; Tel Aviv University</t>
  </si>
  <si>
    <t>Yovel, Y (corresponding author), Tel Aviv Univ, Sch Zool, Wise Fac Life Sci, Tel Aviv, Israel.;Yovel, Y (corresponding author), Tel Aviv Univ, Sagol Sch Neurosci, Tel Aviv, Israel.</t>
  </si>
  <si>
    <t>yossiyovel@gmail.com; odedrechavi@gmail.com</t>
  </si>
  <si>
    <t>CELL PRESS</t>
  </si>
  <si>
    <t>50 HAMPSHIRE ST, FLOOR 5, CAMBRIDGE, MA 02139 USA</t>
  </si>
  <si>
    <t>0960-9822</t>
  </si>
  <si>
    <t>1879-0445</t>
  </si>
  <si>
    <t>CURR BIOL</t>
  </si>
  <si>
    <t>Curr. Biol.</t>
  </si>
  <si>
    <t>R783</t>
  </si>
  <si>
    <t>R787</t>
  </si>
  <si>
    <t>Biochemistry &amp; Molecular Biology; Biology; Cell Biology</t>
  </si>
  <si>
    <t>Biochemistry &amp; Molecular Biology; Life Sciences &amp; Biomedicine - Other Topics; Cell Biology</t>
  </si>
  <si>
    <t>EQ2F8</t>
  </si>
  <si>
    <t>WOS:001140317300001</t>
  </si>
  <si>
    <t>Zhou, ZL; Ding, JT; Liu, Y; Jin, DP; Li, Y</t>
  </si>
  <si>
    <t>Damiani, ML; Renz, M; Eldawy, A; Kroger, P; Nascimento, MA</t>
  </si>
  <si>
    <t>Zhou, Zhilun; Ding, Jingtao; Liu, Yu; Jin, Depeng; Li, Yong</t>
  </si>
  <si>
    <t>Towards Generative Modeling of Urban Flow through Knowledge-enhanced Denoising Diffusion</t>
  </si>
  <si>
    <t>31ST ACM SIGSPATIAL INTERNATIONAL CONFERENCE ON ADVANCES IN GEOGRAPHIC INFORMATION SYSTEMS, ACM SIGSPATIAL GIS 2023</t>
  </si>
  <si>
    <t>31st ACM SIGSPATIAL International Conference on Advances in Geographic Information Systems (ACM SIGSPATIAL GIS)</t>
  </si>
  <si>
    <t>NOV 13-16, 2023</t>
  </si>
  <si>
    <t>ACM SIGSPATIAL,Apple,Oracle,Esri</t>
  </si>
  <si>
    <t>Generative model; urban flow; knowledge graph; diffusion model</t>
  </si>
  <si>
    <t>Although generative AI has been successful in many areas, its ability to model geospatial data is still underexplored. Urban flow, a typical kind of geospatial data, is critical for a wide range of applications from public safety and traffic management to urban planning. Existing studies mostly focus on predictive modeling of urban flow that predicts the future flow based on historical flow data, which may be unavailable in data-sparse areas or newly planned regions. Some other studies aim to predict OD flow among regions but they fail to model dynamic changes of urban flow over time. In this work, we study a new problem of urban flow generation that generates dynamic urban flow for regions without historical flow data. To capture the effect of multiple factors on urban flow, such as region features and urban environment, we employ diffusion model to generate urban flow for regions under different conditions. We first construct an urban knowledge graph (UKG) to model the urban environment and relationships between regions, based on which we design a knowledge-enhanced spatio-temporal diffusion model (KSTDiff) to generate urban flow for each region. Specifically, to accurately generate urban flow for regions with different flow volumes, we design a novel diffusion process guided by a volume estimator, which is learnable and customized for each region. Moreover, we propose a knowledge-enhanced denoising network to capture the spatio-temporal dependencies of urban flow as well as the impact of urban environment in the denoising process. Extensive experiments on four real-world datasets validate the superiority of our model over state-of-the-art baselines in urban flow generation. Further in-depth studies demonstrate the utility of generated urban flow data and the ability of our model for long-term flow generation and urban flow prediction. Our code is released at: https://github.com/tsinghua-fib-lab/KSTDiff-Urban-flow-generation.</t>
  </si>
  <si>
    <t>[Zhou, Zhilun; Ding, Jingtao; Liu, Yu; Jin, Depeng; Li, Yong] Tsinghua Univ, Beijing, Peoples R China</t>
  </si>
  <si>
    <t>Tsinghua University</t>
  </si>
  <si>
    <t>Ding, JT (corresponding author), Tsinghua Univ, Beijing, Peoples R China.</t>
  </si>
  <si>
    <t>zzl22@mails.tsinghua.edu.cn; dingjt15@tsinghua.org.cn; liuyu2419@126.com; jindp@tsinghua.edu.cn; liyong07@tsinghua.edu.cn</t>
  </si>
  <si>
    <t>Ding, Jingtao/0000-0001-7985-6263</t>
  </si>
  <si>
    <t>National Key Research and Development Program of China [2022YFF0606904]; National Natural Science Foundation of China [U22B2057, U21B2036, U1936217]</t>
  </si>
  <si>
    <t>National Key Research and Development Program of China; National Natural Science Foundation of China(National Natural Science Foundation of China (NSFC))</t>
  </si>
  <si>
    <t>This research has been supported in part by the National Key Research and Development Program of China under Grant 2022YFF0606904; in part by the National Natural Science Foundation of China under Grant U22B2057, Grant U21B2036, and Grant U1936217.</t>
  </si>
  <si>
    <t>979-8-4007-0168-9</t>
  </si>
  <si>
    <t>10.1145/3589132.3625641</t>
  </si>
  <si>
    <t>Computer Science, Information Systems; Remote Sensing</t>
  </si>
  <si>
    <t>Computer Science; Remote Sensing</t>
  </si>
  <si>
    <t>BW4XN</t>
  </si>
  <si>
    <t>WOS:001156830400091</t>
  </si>
  <si>
    <t>Brown, A; Kumar, AT; Melamed, O; Ahmed, I; Wang, YH; Deza, A; Morcos, M; Zhu, L; Maslej, M; Minian, N; Sujaya, V; Wolff, J; Doggett, O; Iantorno, M; Ratto, M; Selby, P; Rose, J</t>
  </si>
  <si>
    <t>Brown, Andrew; Kumar, Ash Tanuj; Melamed, Osnat; Ahmed, Imtihan; Wang, Yu Hao; Deza, Arnaud; Morcos, Marc; Zhu, Leon; Maslej, Marta; Minian, Nadia; Sujaya, Vidya; Wolff, Jodi; Doggett, Olivia; Iantorno, Mathew; Ratto, Matt; Selby, Peter; Rose, Jonathan</t>
  </si>
  <si>
    <t>A Motivational Interviewing Chatbot With Generative Reflections for Increasing Readiness to Quit Smoking: Iterative Development Study</t>
  </si>
  <si>
    <t>conversational agents; chatbots; behavior change; smoking cessation; motivational interviewing; deep learning; natural language processing; transformers; generative artificial intelligence; artificial intelligence; AI</t>
  </si>
  <si>
    <t>CESSATION; SMOKERS; EFFICACY; THERAPY; EMPATHY; CARE</t>
  </si>
  <si>
    <t>Background: The motivational interviewing (MI) approach has been shown to help move ambivalent smokers toward the decision to quit smoking. There have been several attempts to broaden access to MI through text-based chatbots. These typically use scripted responses to client statements, but such nonspecific responses have been shown to reduce effectiveness. Recent advances in natural language processing provide a new way to create responses that are specific to a client's statements, using a generative language model. Objective: This study aimed to design, evolve, and measure the effectiveness of a chatbot system that can guide ambivalent people who smoke toward the decision to quit smoking with MI-style generative reflections.Methods: Over time, 4 different MI chatbot versions were evolved, and each version was tested with a separate group of ambivalent smokers. A total of 349 smokers were recruited through a web-based recruitment platform. The first chatbot version only asked questions without reflections on the answers. The second version asked the questions and provided reflections with an initial version of the reflection generator. The third version used an improved reflection generator, and the fourth version added extended interaction on some of the questions. Participants' readiness to quit was measured before the conversation and 1 week later using an 11-point scale that measured 3 attributes related to smoking cessation: readiness, confidence, and importance. The number of quit attempts made in the week before the conversation and the week after was surveyed; in addition, participants rated the perceived empathy of the chatbot. The main body of the conversation consists of 5 scripted questions, responses from participants, and (for 3 of the 4 versions) generated reflections. A pretrained transformer-based neural network was fine-tunedResults: The increase in average confidence using the nongenerative version was 1.0 (SD 2.0; P=.001), whereas for the 3 generative versions, the increases ranged from 1.2 to 1.3 (SD 2.0-2.3; P&lt;.001). The extended conversation with improved generative reflections was the only version associated with a significant increase in average importance (0.7, SD 2.0; P&lt;.001) and readiness (0.4, SD 1.7; P=.01). The enhanced reflection and extended conversations exhibited significantly better perceived empathy than the nongenerative conversation (P=.02 and P=.004, respectively). The number of quit attempts did not significantly change between the week before the conversation and the week after across all 4 conversations.Conclusions: The results suggest that generative reflections increase the impact of a conversation on readiness to quit smoking 1 week later, although a significant portion of the impact seen so far can be achieved by only asking questions without the reflections. These results support further evolution of the chatbot conversation and can serve as a basis for comparison against more advanced versions.</t>
  </si>
  <si>
    <t>[Brown, Andrew; Kumar, Ash Tanuj; Ahmed, Imtihan; Wang, Yu Hao; Deza, Arnaud; Morcos, Marc; Zhu, Leon; Sujaya, Vidya; Rose, Jonathan] Univ Toronto, Edward Rogers Sr Dept Elect &amp; Comp Engn S, 10 Kings College Rd, Toronto, ON M5S 3G4, Canada; [Melamed, Osnat; Minian, Nadia; Wolff, Jodi; Selby, Peter; Rose, Jonathan] Ctr Addict &amp; Mental Hlth, INTREPID Lab, Toronto, ON, Canada; [Melamed, Osnat; Minian, Nadia; Selby, Peter] Univ Toronto, Dept Family &amp; Community Med, Toronto, ON, Canada; [Maslej, Marta] Ctr Addict &amp; Mental Hlth, Krembil Ctr Neuroinformat, Toronto, ON, Canada; [Minian, Nadia] Ctr Addict &amp; Mental Hlth, Campbell Family Mental Hlth Res Inst, Toronto, ON, Canada; [Minian, Nadia] Univ Toronto, Dept Pharmacol &amp; Toxicol, Toronto, ON, Canada; [Minian, Nadia] Univ Toronto, Inst Med Sci, Toronto, ON, Canada; [Doggett, Olivia; Iantorno, Mathew; Ratto, Matt] Univ Toronto, Fac Informat, Toronto, ON, Canada; [Selby, Peter] Univ Toronto, Dalla Lana Sch Publ Hlth, Toronto, ON, Canada</t>
  </si>
  <si>
    <t>University of Toronto; University of Toronto; Centre for Addiction &amp; Mental Health - Canada; University of Toronto; University of Toronto; Centre for Addiction &amp; Mental Health - Canada; University of Toronto; Centre for Addiction &amp; Mental Health - Canada; University of Toronto; University of Toronto; University of Toronto; University of Toronto</t>
  </si>
  <si>
    <t>Rose, J (corresponding author), Univ Toronto, Edward Rogers Sr Dept Elect &amp; Comp Engn S, 10 Kings College Rd, Toronto, ON M5S 3G4, Canada.</t>
  </si>
  <si>
    <t>jonathan.rose@ece.utoronto.ca</t>
  </si>
  <si>
    <t>Minian, Nadia/0000-0001-8179-3628; Brown, Andrew/0000-0003-2918-634X; Morcos, Marc/0009-0005-3744-9930; Deza, Arnaud/0009-0008-2743-9298; Ratto, Matt/0000-0002-3554-4513; Kumar, Ash Tanuj/0009-0001-3312-6027; Wang, Yu Hao/0009-0001-8582-4556; Ahmed, Imtihan/0000-0003-1045-5458; Zhu, Leon/0009-0005-8326-8719; Melamed, Osnat/0000-0002-9663-2226; Maslej, Marta/0000-0002-6393-5095</t>
  </si>
  <si>
    <t>Natural Sciences and Engineering Research Council of Canada [RGPIN-2019-04395]; New Frontiers in Research Fund grant [NFRFE-2021-00449]; AMS Healthcare 2021 Compassion and Artificial Intelligence grant</t>
  </si>
  <si>
    <t>Natural Sciences and Engineering Research Council of Canada(Natural Sciences and Engineering Research Council of Canada (NSERC)CGIAR); New Frontiers in Research Fund grant; AMS Healthcare 2021 Compassion and Artificial Intelligence grant</t>
  </si>
  <si>
    <t>This research was funded by a Natural Sciences and Engineering Research Council of Canada Discovery grant (RGPIN-2019-04395) , a New Frontiers in Research Fund grant (NFRFE-2021-00449) , and an AMS Healthcare 2021 Compassion and Artificial Intelligence grant. OM acknowledges receiving salary support through the New Investigator Award at the department of family and community medicine at the University of Toronto.</t>
  </si>
  <si>
    <t>e49132</t>
  </si>
  <si>
    <t>10.2196/49132</t>
  </si>
  <si>
    <t>Y3TX3</t>
  </si>
  <si>
    <t>WOS:001104536100002</t>
  </si>
  <si>
    <t>Xu, IRL; Van Booven, DJ; Goberdhan, S; Breto, A; Porto, J; Alhusseini, M; Algohary, A; Stoyanova, R; Punnen, S; Mahne, A; Arora, H</t>
  </si>
  <si>
    <t>Xu, Isaac R. L.; Van Booven, Derek J.; Goberdhan, Sankalp; Breto, Adrian; Porto, Joao; Alhusseini, Mohammad; Algohary, Ahmad; Stoyanova, Radka; Punnen, Sanoj; Mahne, Anton; Arora, Himanshu</t>
  </si>
  <si>
    <t>Generative Adversarial Networks Can Create High Quality Artificial Prostate Cancer Magnetic Resonance Images</t>
  </si>
  <si>
    <t>JOURNAL OF PERSONALIZED MEDICINE</t>
  </si>
  <si>
    <t>generative adversarial networks; machine learning; MRI; image segmentation</t>
  </si>
  <si>
    <t>BENIGN</t>
  </si>
  <si>
    <t>The recent integration of open-source data with machine learning models, especially in the medical field, has opened new doors to studying disease progression and/or regression. However, the ability to use medical data for machine learning approaches is limited by the specificity of data for a particular medical condition. In this context, the most recent technologies, like generative adversarial networks (GANs), are being looked upon as a potential way to generate high-quality synthetic data that preserve the clinical variability of a condition. However, despite some success, GAN model usage remains largely minimal when depicting the heterogeneity of a disease such as prostate cancer. Previous studies from our group members have focused on automating the quantitative multi-parametric magnetic resonance imaging (mpMRI) using habitat risk scoring (HRS) maps on the prostate cancer patients in the BLaStM trial. In the current study, we aimed to use the images from the BLaStM trial and other sources to train the GAN models, generate synthetic images, and validate their quality. In this context, we used T2-weighted prostate MRI images as training data for Single Natural Image GANs (SinGANs) to make a generative model. A deep learning semantic segmentation pipeline trained the model to segment the prostate boundary on 2D MRI slices. Synthetic images with a high-level segmentation boundary of the prostate were filtered and used in the quality control assessment by participating scientists with varying degrees of experience (more than ten years, one year, or no experience) to work with MRI images. Results showed that the most experienced participating group correctly identified conventional vs. synthetic images with 67% accuracy, the group with one year of experience correctly identified the images with 58% accuracy, and the group with no prior experience reached 50% accuracy. Nearly half (47%) of the synthetic images were mistakenly evaluated as conventional. Interestingly, in a blinded quality assessment, a board-certified radiologist did not significantly differentiate between conventional and synthetic images in the context of the mean quality of synthetic and conventional images. Furthermore, to validate the usability of the generated synthetic images from prostate cancer MRIs, we subjected these to anomaly detection along with the original images. Importantly, the success rate of anomaly detection for quality control-approved synthetic data in phase one corresponded to that of the conventional images. In sum, this study shows promise that high-quality synthetic images from MRIs can be generated using GANs. Such an AI model may contribute significantly to various clinical applications which involve supervised machine-learning approaches.</t>
  </si>
  <si>
    <t>[Xu, Isaac R. L.; Van Booven, Derek J.; Arora, Himanshu] Univ Miami, Miller Sch Med, John P Hussman Inst Human Genom, Miami, FL 33136 USA; [Goberdhan, Sankalp; Mahne, Anton] Univ Cent Florida, Coll Med, Orlando, FL 32816 USA; [Breto, Adrian; Alhusseini, Mohammad; Algohary, Ahmad; Stoyanova, Radka] Univ Miami, Miller Sch Med, Dept Radiat Oncol, Miami, FL 33136 USA; [Porto, Joao; Punnen, Sanoj; Arora, Himanshu] Univ Miami, Miller Sch Med, Dept Urol, Miami, FL 33136 USA; [Arora, Himanshu] Univ Miami, Miller Sch Med, Interdisciplinary Stem Cell Inst, Miami, FL 33136 USA</t>
  </si>
  <si>
    <t>University of Miami; State University System of Florida; University of Central Florida; University of Miami; University of Miami; University of Miami</t>
  </si>
  <si>
    <t>Arora, H (corresponding author), Univ Miami, Miller Sch Med, John P Hussman Inst Human Genom, Miami, FL 33136 USA.;Arora, H (corresponding author), Univ Miami, Miller Sch Med, Dept Urol, Miami, FL 33136 USA.;Arora, H (corresponding author), Univ Miami, Miller Sch Med, Interdisciplinary Stem Cell Inst, Miami, FL 33136 USA.</t>
  </si>
  <si>
    <t>hxa287@med.miami.edu</t>
  </si>
  <si>
    <t>Porto, Joao G./JUV-2474-2023</t>
  </si>
  <si>
    <t>Porto, Joao G./0000-0002-6495-1054; Breto, Adrian/0000-0002-4958-2991; Van Booven, Derek/0000-0002-5136-7318</t>
  </si>
  <si>
    <t>2075-4426</t>
  </si>
  <si>
    <t>J PERS MED</t>
  </si>
  <si>
    <t>J. Pers. Med.</t>
  </si>
  <si>
    <t>10.3390/jpm13030547</t>
  </si>
  <si>
    <t>Health Care Sciences &amp; Services; Medicine, General &amp; Internal</t>
  </si>
  <si>
    <t>Health Care Sciences &amp; Services; General &amp; Internal Medicine</t>
  </si>
  <si>
    <t>A9SQ5</t>
  </si>
  <si>
    <t>WOS:000958447300001</t>
  </si>
  <si>
    <t>Nickerson, K; Tricco, T; Kolokolova, A; Shoeleh, F; Robertson, C; Hawkin, J; Hu, T</t>
  </si>
  <si>
    <t>Amini, MR; Canu, S; Fischer, A; Guns, T; Novak, PK; Tsoumakas, G</t>
  </si>
  <si>
    <t>Nickerson, Kyle; Tricco, Terrence; Kolokolova, Antonina; Shoeleh, Farzaneh; Robertson, Charles; Hawkin, John; Hu, Ting</t>
  </si>
  <si>
    <t>Banksformer: A Deep Generative Model for Synthetic Transaction Sequences</t>
  </si>
  <si>
    <t>MACHINE LEARNING AND KNOWLEDGE DISCOVERY IN DATABASES, ECML PKDD 2022, PT VI</t>
  </si>
  <si>
    <t>European Conference on Machine Learning and Principles and Practice of Knowledge Discovery in Databases (ECML-PKDD)</t>
  </si>
  <si>
    <t>SEP 19-23, 2022</t>
  </si>
  <si>
    <t>Grenoble, FRANCE</t>
  </si>
  <si>
    <t>Salesforce,ASML,Confianceai,Expedia Grp,Google,CEA,Naver Labs,Criteo AI Lab,KNIME,Biomerieux,PythIA,Univ Grenoble Alps,Inria,Persyval 2,Soc Savante Francophone Apprentissage Machine,Normastic,Grenoble Ensimag INP,Litis,Springer,Inst Natl Sci Appliquees Rouen Normandie</t>
  </si>
  <si>
    <t>Synthetic data; Deep generative models; Transaction sequences</t>
  </si>
  <si>
    <t>Synthetic data are generated data that closely model realworld measurements, and can be a valuable substitute for real data in domains where it is costly to obtain real data or privacy concerns exist. Synthetic data has traditionally been generated using computational simulations, but deep generative models (DGMs) are increasingly used to create high-quality synthetic data. In this work, we tackle the problem of generating synthetic, multivariate sequences of banking transactions. A key challenge in modeling transactional sequences with DGMs is that transactions occur at irregular intervals and may depend on timestamp-based features, such as the time of day or day of the week. Relationships between date-based features are often poorly represented in data generated using state-of-the-art sequence DGMs, such as DoppelGANger [17] and TimeGAN [31]. To remedy this, we propose a novel DGM, called Banksformer (Code available at github.com/BigTuna08/Banksformer ecml 2022), which is able to emulate date-based patterns found in transactional data significantly better than other DGMs. We demonstrate Banksformers' ability to generate high-quality synthetic sequences of banking transactions by conducting a multi-faceted evaluation that compares synthetic data generated by Banksformer to data from other comparable DGMs, across two datasets of banking transactions.</t>
  </si>
  <si>
    <t>[Nickerson, Kyle; Tricco, Terrence; Kolokolova, Antonina] Mem Univ Newfoundland, St John, NF, Canada; [Shoeleh, Farzaneh; Robertson, Charles; Hawkin, John] Verafin Inc, St John, NF, Canada; [Hu, Ting] Queens Univ, Kingston, ON, Canada</t>
  </si>
  <si>
    <t>Memorial University Newfoundland; Queens University - Canada</t>
  </si>
  <si>
    <t>Nickerson, K (corresponding author), Mem Univ Newfoundland, St John, NF, Canada.</t>
  </si>
  <si>
    <t>kln870@mun.ca</t>
  </si>
  <si>
    <t>Tricco, Terrence/0000-0002-6238-9096</t>
  </si>
  <si>
    <t>Mitacs</t>
  </si>
  <si>
    <t>We wish to acknowledge the support of Mitacs through Accelerate funding for applied research.</t>
  </si>
  <si>
    <t>978-3-031-26421-4; 978-3-031-26422-1</t>
  </si>
  <si>
    <t>10.1007/978-3-031-26422-1_8</t>
  </si>
  <si>
    <t>BV1UM</t>
  </si>
  <si>
    <t>WOS:000999152800008</t>
  </si>
  <si>
    <t>Alghamdi, T; Alanazi, Y; Battaglieri, M; Bibrzycki, L; Golda, A; Blin, ANH; Isupov, EL; Li, Y; Marsicano, L; Melnitchouk, W; Mokeev, VI; Montaña, G; Pilloni, A; Sato, N; Szczepaniak, AP; Vittorini, T</t>
  </si>
  <si>
    <t>Alghamdi, T.; Alanazi, Y.; Battaglieri, M.; Bibrzycki, L. .; Golda, A., V; Blin, A. N. Hiller; Isupov, E. L.; Li, Y.; Marsicano, L.; Melnitchouk, W.; Mokeev, V. I.; Montana, G.; Pilloni, A.; Sato, N.; Szczepaniak, A. P.; Vittorini, T.</t>
  </si>
  <si>
    <t>Toward a generative modeling analysis of CLAS exclusive 2π photoproduction</t>
  </si>
  <si>
    <t>PHYSICAL REVIEW D</t>
  </si>
  <si>
    <t>PHYSICS</t>
  </si>
  <si>
    <t>AI-supported algorithms, particularly generative models, have been successfully used in a variety of different contexts. This work employs a generative modeling approach to unfold detector effects specifically tailored for exclusive reactions that involve multiparticle final states. Our study demonstrates the preservation of correlations between kinematic variables in a multidimensional phase space. We perform a full closure test on two-pion photoproduction pseudodata generated with a realistic model in the kinematics of the Jefferson Lab CLAS g11 experiment. The overlap of different reaction mechanisms leading to the same final state associated with the CLAS detector's nontrivial effects represents an ideal test case for AI-supported analysis. Uncertainty quantification performed via bootstrap provides an estimate of the systematic uncertainty associated with the procedure. The test demonstrates that GANs can reproduce highly correlated multidifferential cross sections even in the presence of detector-induced distortions in the training datasets, and provides a solid basis for applying the framework to real experimental data.</t>
  </si>
  <si>
    <t>[Alghamdi, T.; Li, Y.] Old Dominion Univ, Dept Comp Sci, Norfolk, VA 23529 USA; [Alghamdi, T.] Al Baha Univ, Coll Comp Sci &amp; Informat Technol, Dept Comp Sci, Al Baha 65779, Alaqiq, Saudi Arabia; [Alanazi, Y.; Melnitchouk, W.; Mokeev, V. I.; Montana, G.; Sato, N.; Szczepaniak, A. P.] Thomas Jefferson Natl Accelerator Facil, Newport News, VA 23606 USA; [Battaglieri, M.; Marsicano, L.; Vittorini, T.] INFN Sez Genova, I-16146 Genoa, Italy; [Bibrzycki, L. .] AGH Univ Krakow, Fac Phys &amp; Appl Comp Sci, PL-30059 Krakow, Poland; [Golda, A., V] Lomonosov Moscow State Univ, Fac Phys, Moscow 119991, Russia; [Blin, A. N. Hiller] Tubingen Univ, Inst Theoret Phys, D-72076 Tubingen, Germany; [Isupov, E. L.] Lomonosov Moscow State Univ, Skobeltsyn Inst Nucl Phys, Moscow 119234, Russia; [Melnitchouk, W.] Univ Adelaide, Dept Phys, CSSM, Adelaide 5005, Australia; [Melnitchouk, W.] Univ Adelaide, Dept Phys, CDMPP, Adelaide 5005, Australia; [Pilloni, A.] Univ Messina, Dipartimento Sci Matemat &amp; Informat Sci Fis &amp; Sci, I-98166 Messina, Italy; [Pilloni, A.] INFN Sez Catania, I-95123 Catania, Italy; [Szczepaniak, A. P.] Indiana Univ, Dept Phys, Bloomington, IN 47405 USA; [Szczepaniak, A. P.] Indiana Univ, Ctr Explorat Energy &amp; Matter, Bloomington, IN 47403 USA; [Vittorini, T.] Univ Genoa, I-16146 Genoa, Italy</t>
  </si>
  <si>
    <t>Old Dominion University; Al Baha University; United States Department of Energy (DOE); Jefferson National Accelerator; Istituto Nazionale di Fisica Nucleare (INFN); AGH University of Krakow; Lomonosov Moscow State University; Eberhard Karls University of Tubingen; Lomonosov Moscow State University; University of Adelaide; University of Adelaide; University of Messina; Istituto Nazionale di Fisica Nucleare (INFN); Indiana University System; Indiana University Bloomington; Indiana University System; Indiana University Bloomington; University of Genoa</t>
  </si>
  <si>
    <t>Alghamdi, T (corresponding author), Old Dominion Univ, Dept Comp Sci, Norfolk, VA 23529 USA.;Alghamdi, T (corresponding author), Al Baha Univ, Coll Comp Sci &amp; Informat Technol, Dept Comp Sci, Al Baha 65779, Alaqiq, Saudi Arabia.</t>
  </si>
  <si>
    <t>talgh001@odu.edu</t>
  </si>
  <si>
    <t>Pilloni, Alessandro/M-3626-2014</t>
  </si>
  <si>
    <t>Pilloni, Alessandro/0000-0003-4257-0928; Alghamdi, Tareq/0000-0002-5640-3824; Bibrzycki, Lukasz/0000-0002-6117-4894; Melnitchouk, Wally/0000-0002-9521-5973; Sato, Nobuo/0000-0002-1535-6208</t>
  </si>
  <si>
    <t>Jefferson Lab LDRD Project [LDRD19-13, LDRD20-18]; U.S. Department of Energy [DE-AC05-06OR23177]; DFG through the Research Unit FOR 2926 [DE-SC0023598]; Al-Baha University, Saudi Arabia; DOE, Office of Science, Office of Nuclear Physics in the Early Career Program; U.S. Department of Energy ExoHad Topical Collaboration; [409651613]</t>
  </si>
  <si>
    <t>Jefferson Lab LDRD Project; U.S. Department of Energy(United States Department of Energy (DOE)); DFG through the Research Unit FOR 2926; Al-Baha University, Saudi Arabia; DOE, Office of Science, Office of Nuclear Physics in the Early Career Program(United States Department of Energy (DOE)); U.S. Department of Energy ExoHad Topical Collaboration;</t>
  </si>
  <si>
    <t>We thank J. Qiu for helpful discussions. We thank the CLAS Collaboration for providing the two-pion dataset this work is based on. This work was supported by the Jefferson Lab LDRD Project No. LDRD19-13 and No. LDRD20-18, and in part by the U.S. Department of Energy Contract No. DE-AC05-06OR23177, under which Jefferson Science Associates, LLC, manages and operates Jefferson Lab. A. N. H. B. is supported by the DFG through the Research Unit FOR 2926 (Project No. 409651613) . T. A. was supported by a Ph.D. scholarship from Al-Baha University, Saudi Arabia. The work of N. S. was supported by the DOE, Office of Science, Office of Nuclear Physics in the Early Career Program. This work contributes to the aims of the U.S. Department of Energy ExoHad Topical Collaboration, Contract No. DE-SC0023598.</t>
  </si>
  <si>
    <t>AMER PHYSICAL SOC</t>
  </si>
  <si>
    <t>COLLEGE PK</t>
  </si>
  <si>
    <t>ONE PHYSICS ELLIPSE, COLLEGE PK, MD 20740-3844 USA</t>
  </si>
  <si>
    <t>2470-0010</t>
  </si>
  <si>
    <t>2470-0029</t>
  </si>
  <si>
    <t>PHYS REV D</t>
  </si>
  <si>
    <t>Phys. Rev. D</t>
  </si>
  <si>
    <t>NOV 21</t>
  </si>
  <si>
    <t>10.1103/PhysRevD.108.094030</t>
  </si>
  <si>
    <t>Astronomy &amp; Astrophysics; Physics, Particles &amp; Fields</t>
  </si>
  <si>
    <t>Astronomy &amp; Astrophysics; Physics</t>
  </si>
  <si>
    <t>DL5U9</t>
  </si>
  <si>
    <t>WOS:001132219900021</t>
  </si>
  <si>
    <t>Ekolle, ZE; Kohno, R</t>
  </si>
  <si>
    <t>Ekolle, Zie Eya; Kohno, Ryuji</t>
  </si>
  <si>
    <t>GenCo: A Generative Learning Model for Heterogeneous Text Classification Based on Collaborative Partial Classifications</t>
  </si>
  <si>
    <t>natural language processing; text classification; probabilistic models; machine learning; generative learning; collaborative learning; explainable AI</t>
  </si>
  <si>
    <t>The use of generative learning models in natural language processing (NLP) has significantly contributed to the advancement of natural language applications, such as sentimental analysis, topic modeling, text classification, chatbots, and spam filtering. With a large amount of text generated each day from different sources, such as web-pages, blogs, emails, social media, and articles, one of the most common tasks in NLP is the classification of a text corpus. This is important in many institutions for planning, decision-making, and creating archives of their projects. Many algorithms exist to automate text classification tasks but the most intriguing of them is that which also learns these tasks automatically. In this study, we present a new model to infer and learn from data using probabilistic logic and apply it to text classification. This model, called GenCo, is a multi-input single-output (MISO) learning model that uses a collaboration of partial classifications to generate the desired output. It provides a heterogeneity measure to explain its classification results and enables a reduction in the curse of dimensionality in text classification. Experiments with the model were carried out on the Twitter US Airline dataset, the Conference Paper dataset, and the SMS Spam dataset, outperforming baseline models with 98.40%, 89.90%, and 99.26% accuracy, respectively.</t>
  </si>
  <si>
    <t>[Ekolle, Zie Eya; Kohno, Ryuji] Yokohama Natl Univ, Dept Elect &amp; Comp Engn, Yokohama 2408501, Japan</t>
  </si>
  <si>
    <t>Yokohama National University</t>
  </si>
  <si>
    <t>Ekolle, ZE (corresponding author), Yokohama Natl Univ, Dept Elect &amp; Comp Engn, Yokohama 2408501, Japan.</t>
  </si>
  <si>
    <t>zie-ekolle-cj@ynu.jp</t>
  </si>
  <si>
    <t>Ekolle, Zie Eya/0009-0005-5502-9091</t>
  </si>
  <si>
    <t>10.3390/app13148211</t>
  </si>
  <si>
    <t>N1UI9</t>
  </si>
  <si>
    <t>WOS:001034942600001</t>
  </si>
  <si>
    <t>Monachino, G; Zanchi, B; Fiorillo, L; Conte, G; Auricchio, A; Tzovara, A; Faraci, FD</t>
  </si>
  <si>
    <t>Monachino, Giuliana; Zanchi, Beatrice; Fiorillo, Luigi; Conte, Giulio; Auricchio, Angelo; Tzovara, Athina; Faraci, Francesca Dalia</t>
  </si>
  <si>
    <t>Deep Generative Models: The winning key for large and easily accessible ECG datasets?</t>
  </si>
  <si>
    <t>ECG synthesis; Deep generative models; GAN; Variational autoencoders; Diffusion models; Data scarcity; Data sharing; Anonymization; Data augmentation; Open science</t>
  </si>
  <si>
    <t>ADVERSARIAL NETWORKS; SIGNALS; CLASSIFICATION; DYNAMICS; GAN</t>
  </si>
  <si>
    <t>Large high-quality datasets are essential for building powerful artificial intelligence (AI) algorithms capable of supporting advancement in cardiac clinical research. However, researchers working with electrocardiogram (ECG) signals struggle to get access and/or to build one. The aim of the present work is to shed light on a potential solution to address the lack of large and easily accessible ECG datasets. Firstly, the main causes of such a lack are identified and examined. Afterward, the potentials and limitations of cardiac data generation via deep generative models (DGMs) are deeply analyzed. These very promising algorithms have been found capable not only of generating large quantities of ECG signals but also of supporting data anonymization processes, to simplify data sharing while respecting patients' privacy. Their application could help research progress and cooperation in the name of open science. However several aspects, such as a standardized synthetic data quality evaluation and algorithm stability, need to be further explored.</t>
  </si>
  <si>
    <t>[Monachino, Giuliana; Zanchi, Beatrice; Fiorillo, Luigi; Faraci, Francesca Dalia] Univ Appl Sci &amp; Arts Southern Switzerland, Inst Digital Technol Personalized Healthcare MeDiT, Dept Innovat Technol, Via Santa 1, CH-6900 Lugano, Switzerland; [Monachino, Giuliana; Tzovara, Athina] Univ Bern, Inst Informat, Neubruckstr 10, CH-3012 Bern, Switzerland; [Zanchi, Beatrice] Univ Zurich, Dept Quant Biomed, Schmelzbergstr 26, CH-8057 Zurich, Switzerland; [Conte, Giulio; Auricchio, Angelo] Fdn Cardioctr Ticino, Div Cardiol, Via Tesserete 48, CH-6900 Lugano, Switzerland; [Conte, Giulio; Auricchio, Angelo] Univ Svizzera Italiana, Fac Informat, Ctr Computat Med Cardiol, Via Santa 1, CH-6900 Lugano, Switzerland; [Tzovara, Athina] Univ Bern, Univ Hosp Bern, Dept Neurol, Sleep Wake Epilepsy Ctr NeuroTec,Inselspital, Freiburgstr 16, CH-3010 Bern, Switzerland</t>
  </si>
  <si>
    <t>University of Bern; University of Zurich; Universita della Svizzera Italiana; University of Bern; University Hospital of Bern</t>
  </si>
  <si>
    <t>Monachino, G (corresponding author), Univ Appl Sci &amp; Arts Southern Switzerland, Inst Digital Technol Personalized Healthcare MeDiT, Dept Innovat Technol, Via Santa 1, CH-6900 Lugano, Switzerland.</t>
  </si>
  <si>
    <t>giuliana.monachino@supsi.ch</t>
  </si>
  <si>
    <t>Faraci, Francesca D. D./B-9709-2008; Monachino, Giuliana/JVY-9738-2024</t>
  </si>
  <si>
    <t>Faraci, Francesca D. D./0000-0002-8720-1256; Monachino, Giuliana/0000-0003-4434-6399; Tzovara, Athina/0000-0002-7588-1418; Fiorillo, Luigi/0000-0001-7709-2933</t>
  </si>
  <si>
    <t>European Union; Swiss SERI through the Eurostars funding program CMIPA [E115814]; Swiss National Science Foundation (SNSF) [PZ00P3_180055]</t>
  </si>
  <si>
    <t>European Union(European Union (EU)); Swiss SERI through the Eurostars funding program CMIPA; Swiss National Science Foundation (SNSF)(Swiss National Science Foundation (SNSF))</t>
  </si>
  <si>
    <t>G.M., B.Z., L.F., G.C., A.A. and F.D.F. were supported by the European Union and the Swiss SERI through the Eurostars funding program CMIPA [grant number E115814] . G.C. was also supported by the Swiss National Science Foundation (SNSF) [grant number PZ00P3_180055] . All authors approved the final paper.</t>
  </si>
  <si>
    <t>10.1016/j.compbiomed.2023.107655</t>
  </si>
  <si>
    <t>Z7AX1</t>
  </si>
  <si>
    <t>WOS:001113573700001</t>
  </si>
  <si>
    <t>Hinton, P</t>
  </si>
  <si>
    <t>Hinton, Patrick</t>
  </si>
  <si>
    <t>Generative AI and Wargaming: What is it Good For?</t>
  </si>
  <si>
    <t>[Hinton, Patrick] RUSI, London, England</t>
  </si>
  <si>
    <t>Hinton, P (corresponding author), RUSI, London, England.</t>
  </si>
  <si>
    <t>2023 NOV 22</t>
  </si>
  <si>
    <t>10.1080/03071847.2023.2282863</t>
  </si>
  <si>
    <t>Z6MG3</t>
  </si>
  <si>
    <t>WOS:001113192000001</t>
  </si>
  <si>
    <t>Lin, ZC</t>
  </si>
  <si>
    <t>Lin, Zhicheng</t>
  </si>
  <si>
    <t>Why and how to embrace AI such as ChatGPT in your academic life</t>
  </si>
  <si>
    <t>ROYAL SOCIETY OPEN SCIENCE</t>
  </si>
  <si>
    <t>artificial intelligence; large language models; ChatGPT; bard; ethics; productivity; open science</t>
  </si>
  <si>
    <t>Generative artificial intelligence (AI), including large language models (LLMs), is poised to transform scientific research, enabling researchers to elevate their research productivity. This article presents a how-to guide for employing LLMs in academic settings, focusing on their unique strengths, constraints and implications through the lens of philosophy of science and epistemology. Using ChatGPT as a case study, I identify and elaborate on three attributes contributing to its effectiveness-intelligence, versatility and collaboration-accompanied by tips on crafting effective prompts, practical use cases and a living resource online (https://osf.io/8vpwu/). Next, I evaluate the limitations of generative AI and its implications for ethical use, equality and education. Regarding ethical and responsible use, I argue from technical and epistemic standpoints that there is no need to restrict the scope or nature of AI assistance, provided that its use is transparently disclosed. A pressing challenge, however, lies in detecting fake research, which can be mitigated by embracing open science practices, such as transparent peer review and sharing data, code and materials. Addressing equality, I contend that while generative AI may promote equality for some, it may simultaneously exacerbate disparities for others-an issue with potentially significant yet unclear ramifications as it unfolds. Lastly, I consider the implications for education, advocating for active engagement with LLMs and cultivating students' critical thinking and analytical skills. The how-to guide seeks to empower researchers with the knowledge and resources necessary to effectively harness generative AI while navigating the complex ethical dilemmas intrinsic to its application.</t>
  </si>
  <si>
    <t>[Lin, Zhicheng] Chinese Univ Hong Kong, Sch Humanities &amp; Social Sci, Programme Appl Psychol, Shenzhen 518172, Guangdong, Peoples R China</t>
  </si>
  <si>
    <t>The Chinese University of Hong Kong, Shenzhen</t>
  </si>
  <si>
    <t>Lin, ZC (corresponding author), Chinese Univ Hong Kong, Sch Humanities &amp; Social Sci, Programme Appl Psychol, Shenzhen 518172, Guangdong, Peoples R China.</t>
  </si>
  <si>
    <t>zhichenglin@gmail.com</t>
  </si>
  <si>
    <t>Lin, Zhicheng/B-9756-2008</t>
  </si>
  <si>
    <t>Lin, Zhicheng/0000-0002-6864-6559</t>
  </si>
  <si>
    <t>ROYAL SOC</t>
  </si>
  <si>
    <t>6-9 CARLTON HOUSE TERRACE, LONDON SW1Y 5AG, ENGLAND</t>
  </si>
  <si>
    <t>2054-5703</t>
  </si>
  <si>
    <t>ROY SOC OPEN SCI</t>
  </si>
  <si>
    <t>R. Soc. Open Sci.</t>
  </si>
  <si>
    <t>AUG 23</t>
  </si>
  <si>
    <t>10.1098/rsos.230658</t>
  </si>
  <si>
    <t>P7ZV9</t>
  </si>
  <si>
    <t>WOS:001052826700003</t>
  </si>
  <si>
    <t>Eager, B; Brunton, R</t>
  </si>
  <si>
    <t>Eager, Bronwyn; Brunton, Ryan</t>
  </si>
  <si>
    <t>Prompting Higher Education Towards AI-Augmented Teaching and Learning Practice</t>
  </si>
  <si>
    <t>ChatGPT; artificial intelligence; large language model; assessment design; prompt engineering</t>
  </si>
  <si>
    <t>Large Language Models (LLMs) and conversational-style generative artificial intelligence (AI) are causing major disruption to higher education pedagogy. The emergence of tools like ChatGPT has raised concerns about plagiarism detection but also presents opportunities for educators to leverage AI to build supportive learning environments. In this commentary, we explore the potential of AI-augmented teaching and learning practice in higher education, discussing both the productive affordances and challenges associated with these technologies. We offer instructional advice for writing instructional text to guide the generation of quality outputs from AI models, as well as a case study to illustrate using AI for assessment design. Ultimately, we suggest that AI should be seen as one tool among many that can be used to enhance teaching and learning outcomes in higher education.</t>
  </si>
  <si>
    <t>[Eager, Bronwyn; Brunton, Ryan] Univ Tasmania, Hobart, Tasmania, Australia</t>
  </si>
  <si>
    <t>University of Tasmania</t>
  </si>
  <si>
    <t>Eager, B (corresponding author), Univ Tasmania, Hobart, Tasmania, Australia.</t>
  </si>
  <si>
    <t>bronwyn.eager@utas.edu.au; ryan.brunton@utas.edu.au</t>
  </si>
  <si>
    <t>Eager, Bronwyn/0000-0003-4512-1263</t>
  </si>
  <si>
    <t>Q8VP7</t>
  </si>
  <si>
    <t>WOS:001060245600002</t>
  </si>
  <si>
    <t>Yan, K; Chen, XK; Zhou, XK; Yan, Z; Ma, JH</t>
  </si>
  <si>
    <t>Yan, Ke; Chen, Xinke; Zhou, Xiaokang; Yan, Zheng; Ma, Jianhua</t>
  </si>
  <si>
    <t>Physical Model Informed Fault Detection and Diagnosis of Air Handling Units Based on Transformer Generative Adversarial Network</t>
  </si>
  <si>
    <t>IEEE TRANSACTIONS ON INDUSTRIAL INFORMATICS</t>
  </si>
  <si>
    <t>Fault detection and diagnosis (FDD); generative adversarial network; physical model; transfer learning; transformer</t>
  </si>
  <si>
    <t>NEURAL-NETWORK</t>
  </si>
  <si>
    <t>Physics theory integrated machine learning models enhance the interpretability and performance of artificial intelligence (AI) techniques to real-world industrial applications, such as the fault detection and diagnosis (FDD) of air handling units (AHU). Traditional machine learning-based automated FDD model demonstrates a high classification accuracy with sufficient training data samples, however, suffers from physical interpretation of the machine learning models. In this article, a physical model integrated Wasserstain generative adversarial network (WGAN) model is presented for AHU FDD with a scenario of insufficient training data samples. The proposed solution tackles the real-world problem of AHU FDD and enhances the model interpretability significantly. A transformer-WGAN model is designed to further improve the proposed FDD framework. Experimental results show that the proposed method outperforms existing AHU FDD methods with imbalanced real-world training data samples.</t>
  </si>
  <si>
    <t>[Yan, Ke; Chen, Xinke] China Jiliang Univ, Coll Informat Engn, Key Lab Electromagnet Wave Informat Technol &amp; Metr, Hangzhou 310018, Peoples R China; [Zhou, Xiaokang] Shiga Univ, Fac Data Sci, Hikone 5228522, Japan; [Zhou, Xiaokang] RIKEN, Ctr Adv Intelligence Project, Tokyo 1030027, Japan; [Yan, Zheng] Xidian Univ, State Key Lab Integrated Serv Networks, Xian 710071, Peoples R China; [Yan, Zheng] Xidian Univ, Sch Cyber Engn, Xian 710071, Peoples R China; [Yan, Zheng] Aalto Univ, Dept Commun &amp; Networking, Espoo 02150, Finland; [Ma, Jianhua] Hosei Univ, Fac Comp &amp; Informat Sci, Chiyoda Ku, Tokyo 1028160, Japan</t>
  </si>
  <si>
    <t>China Jiliang University; Shiga University; RIKEN; Xidian University; Xidian University; Aalto University; Hosei University</t>
  </si>
  <si>
    <t>Zhou, XK (corresponding author), Shiga Univ, Fac Data Sci, Hikone 5228522, Japan.;Zhou, XK (corresponding author), RIKEN, Ctr Adv Intelligence Project, Tokyo 1030027, Japan.</t>
  </si>
  <si>
    <t>yanke@nus.edu.sg; kru_cxk@163.com; zhou@biwako.shiga-u.ac.jp; zyan@xidian.edu.cn; jianhua@hosei.ac.jp</t>
  </si>
  <si>
    <t>zheng, yan/GQY-6668-2022; Ke, Yan/HTS-4679-2023; Yan, Keyu/IXX-0343-2023; Yan, Zheng/AEV-7247-2022</t>
  </si>
  <si>
    <t>Yan, Zheng/0000-0002-9697-2108</t>
  </si>
  <si>
    <t>Singapore MOE Tier 1 [A-0008299-00-00, A-0008552-01-00]</t>
  </si>
  <si>
    <t>Singapore MOE Tier 1(Ministry of Education, Singapore)</t>
  </si>
  <si>
    <t>This work was supported by Singapore MOE Tier 1 Fundings under Grant A-0008299-00-00 and Grant A-0008552-01-00.</t>
  </si>
  <si>
    <t>1551-3203</t>
  </si>
  <si>
    <t>1941-0050</t>
  </si>
  <si>
    <t>IEEE T IND INFORM</t>
  </si>
  <si>
    <t>IEEE Trans. Ind. Inform.</t>
  </si>
  <si>
    <t>10.1109/TII.2022.3193733</t>
  </si>
  <si>
    <t>Automation &amp; Control Systems; Computer Science, Interdisciplinary Applications; Engineering, Industrial</t>
  </si>
  <si>
    <t>8Q1HM</t>
  </si>
  <si>
    <t>WOS:000926964700104</t>
  </si>
  <si>
    <t>Tara, A; Turesson, HK; Natea, N; Kim, HM</t>
  </si>
  <si>
    <t>Tara, Andrei; Turesson, Hjalmar K.; Natea, Nicolae; Kim, Henry M.</t>
  </si>
  <si>
    <t>An Evaluation of Storage Alternatives for Service Interfaces Supporting a Decentralized AI Marketplace</t>
  </si>
  <si>
    <t>Artificial intelligence; Ontologies; Peer-to-peer computing; Blockchains; Distributed ledger; Resource description framework; Fabrics; Decentralized applications; Storage management; Blockchain; decentralized AI decentralized storage; distributed ontology; semantic models</t>
  </si>
  <si>
    <t>Given the exploding interest in generative AI and the concern that a few companies like Microsoft will monopolize access to such models, we address this centralization risk in the context of a DApp that matches buyers and sellers of various AI services. A key question for a decentralized marketplace is where and how to store the metadata that specifies the services' properties in human and machine-readable formats. Having one or a few actors controlling access to that data constitutes undesirable centralization. We explore data storage alternatives to ensure decentralization, equitable match-making, and efficiency. Classifying decentralized storage alternatives as simple peer-to-peer replication, replication governed by a permissionless consensus, and replication governed by a private consensus, we select an exemplar for each category: IPFS, Tendermint Cosmos and Hyperledger Fabric. We conduct experiments on performance and find that read and write speeds are fastest for IPFS, about two times slower for Tendermint and slowest for Hyperledger. Writing using IPFS and Tendermint takes significantly longer than reading, and finally, specifically with IPFS, write speeds strongly depend on configuration. Given these results and the properties of the storage technologies, we conclude that simple peer-to-peer storage is the best option for the proposed AI marketplace.</t>
  </si>
  <si>
    <t>[Tara, Andrei] Lucian Blaga Univ Sibiu, Sibiu 550024, Romania; [Turesson, Hjalmar K.; Kim, Henry M.] York Univ, Toronto, ON M3J 1P3, Canada; [Natea, Nicolae] Openfabr Network SRL, Sibiu 555324, Romania</t>
  </si>
  <si>
    <t>Lucian Blaga University of Sibiu; York University - Canada</t>
  </si>
  <si>
    <t>Tara, A (corresponding author), Lucian Blaga Univ Sibiu, Sibiu 550024, Romania.</t>
  </si>
  <si>
    <t>research@andreitara.com</t>
  </si>
  <si>
    <t>Tara, Andrei/0000-0002-1230-842X; , Henry/0000-0002-7010-6455</t>
  </si>
  <si>
    <t>10.1109/ACCESS.2023.3326418</t>
  </si>
  <si>
    <t>X2QT8</t>
  </si>
  <si>
    <t>WOS:001096960600001</t>
  </si>
  <si>
    <t>Zhan, FN; Yu, YC; Wu, RL; Zhang, JH; Lu, SJ; Liu, LJ; Kortylewski, A; Theobalt, C; Xing, E</t>
  </si>
  <si>
    <t>Zhan, Fangneng; Yu, Yingchen; Wu, Rongliang; Zhang, Jiahui; Lu, Shijian; Liu, Lingjie; Kortylewski, Adam; Theobalt, Christian; Xing, Eric</t>
  </si>
  <si>
    <t>Multimodal Image Synthesis and Editing: The Generative AI Era</t>
  </si>
  <si>
    <t>Visualization; Image synthesis; Training; Surveys; Task analysis; Computational modeling; Transformers; Multimodality; image synthesis and editing; GANs; diffusion models; autoregressive models; NeRF</t>
  </si>
  <si>
    <t>MANIPULATION; TEXT</t>
  </si>
  <si>
    <t>As information exists in various modalities in real world, effective interaction and fusion among multimodal information plays a key role for the creation and perception of multimodal data in computer vision and deep learning research. With superb power in modeling the interaction among multimodal information, multimodal image synthesis and editing has become a hot research topic in recent years. Instead of providing explicit guidance for network training, multimodal guidance offers intuitive and flexible means for image synthesis and editing. On the other hand, this field is also facing several challenges in alignment of multimodal features, synthesis of high-resolution images, faithful evaluation metrics, etc. In this survey, we comprehensively contextualize the advance of the recent multimodal image synthesis and editing and formulate taxonomies according to data modalities and model types. We start with an introduction to different guidance modalities in image synthesis and editing, and then describe multimodal image synthesis and editing approaches extensively according to their model types. After that, we describe benchmark datasets and evaluation metrics as well as corresponding experimental results. Finally, we provide insights about the current research challenges and possible directions for future research.</t>
  </si>
  <si>
    <t>[Zhan, Fangneng; Liu, Lingjie; Kortylewski, Adam; Theobalt, Christian] Max Planck Inst Informat, D-66123 Saarbrucken, Germany; [Zhan, Fangneng] Nanyang Technol Univ, S Lab, Singapore 639798, Singapore; [Yu, Yingchen; Wu, Rongliang; Zhang, Jiahui; Lu, Shijian] Nanyang Technol Univ, Singapore 639798, Singapore; [Xing, Eric] Carnegie Mellon Univ, Pittsburgh, PA 15213 USA; [Xing, Eric] Mohamed bin Zayed Univ Artificial Intelligence, Abu Dhabi, U Arab Emirates</t>
  </si>
  <si>
    <t>Max Planck Society; Nanyang Technological University; Nanyang Technological University; Carnegie Mellon University; Mohamed Bin Zayed University of Artificial Intelligence</t>
  </si>
  <si>
    <t>Lu, SJ (corresponding author), Nanyang Technol Univ, Singapore 639798, Singapore.</t>
  </si>
  <si>
    <t>fnzhan0507@gmail.com; yingchen001@e.ntu.edu.sg; ronglian001@e.ntu.edu.sg; jiahui003@e.ntu.edu.sg; Shijian.Lu@ntu.edu.sg; lingjie6@seas.upenn.edu; akortyle@mpi-inf.mpg.de; theobalt@mpi-inf.mpg.de; epxing@cs.cmu.edu</t>
  </si>
  <si>
    <t>Yu, Yingchen/0000-0002-7893-0764; Zhang, Jiahui/0000-0002-9059-7546; WU, Rongliang/0000-0002-5586-0628; Zhan, Fangneng/0000-0003-1502-6847</t>
  </si>
  <si>
    <t>ERC Consolidator grant 4DRepLy [770784]; RIE2020 Industry Alignment Fund -Industry Collaboration Projects (IAF-ICP) Funding Initiative; Emmy Noether Research Group - German Science Foundation (DFG) [468670075]</t>
  </si>
  <si>
    <t>ERC Consolidator grant 4DRepLy(European Research Council (ERC)); RIE2020 Industry Alignment Fund -Industry Collaboration Projects (IAF-ICP) Funding Initiative; Emmy Noether Research Group - German Science Foundation (DFG)(German Research Foundation (DFG))</t>
  </si>
  <si>
    <t>The work of Fangneng Zhan, Lingjie Liu, and Christian Theobalt was supported by the ERC Consolidator grant 4DRepLy under Grant 770784. The work of Yingchen Yu, Rongliang Wu, Jiahui Zhang, and Shijian Lu was supported in part by the ERC Consolidator grant 4DRepLy under Grant 770784 and in part by the RIE2020 Industry Alignment Fund -Industry Collaboration Projects (IAF-ICP) Funding Initiative. The work of Adam Kortylewski was supported by Emmy Noether Research Group funded by the German Science Foundation (DFG) under Grant 468670075.</t>
  </si>
  <si>
    <t>10.1109/TPAMI.2023.3305243</t>
  </si>
  <si>
    <t>WOS:001104973300065</t>
  </si>
  <si>
    <t>Li, ZX; Shi, L; Wang, JD; Cristea, AI; Zhou, YZ</t>
  </si>
  <si>
    <t>Li, Zhaoxing; Shi, Lei; Wang, Jindi; Cristea, Alexandra I.; Zhou, Yunzhan</t>
  </si>
  <si>
    <t>Sim-GAIL: A generative adversarial imitation learning approach of student modelling for intelligent tutoring systems</t>
  </si>
  <si>
    <t>Student modelling; Generative adversarial imitation learning; Intelligent tutoring systems</t>
  </si>
  <si>
    <t>The continuous application of artificial intelligence (AI) technologies in online education has led to significant progress, especially in the field of Intelligent Tutoring Systems (ITS), online courses and learning management systems (LMS). An important research direction of the field is to provide students with customised learning trajectories via student modelling. Previous studies have shown that customisation of learning trajectories could effectively improve students' learning experiences and outcomes. However, training an ITS that can customise students' learning trajectories suffers from cold-start, time-consumption, human labour-intensity, and cost problems. One feasible approach is to simulate real students' behaviour trajectories through algorithms, to generate data that could be used to train the ITS. Nonetheless, implementing high-accuracy student modelling methods that effectively address these issues remains an ongoing challenge. Traditional simulation methods, in particular, encounter difficulties in ensuring the quality and diversity of the generated data, thereby limiting their capacity to provide intelligent tutoring systems (ITS) with high-fidelity and diverse training data. We thus propose Sim-GAIL, a novel student modelling method based on generative adversarial imitation learning (GAIL). To the best of our knowledge, it is the first method using GAIL to address the challenge of lacking training data, resulting from the issues mentioned above. We analyse and compare the performance of Sim-GAIL with two traditional Reinforcement Learning-based and Imitation Learning-based methods using action distribution evaluation, cumulative reward evaluation, and offline-policy evaluation. The experiments demonstrate that our method outperforms traditional ones on most metrics. Moreover, we apply our method to a domain plagued by the cold-start problem, knowledge tracing (KT), and the results show that our novel method could effectively improve the KT model's prediction accuracy in a cold-start scenario.</t>
  </si>
  <si>
    <t>[Li, Zhaoxing; Shi, Lei; Wang, Jindi; Cristea, Alexandra I.; Zhou, Yunzhan] Univ Durham, Dept Comp Sci, Durham, England; [Shi, Lei] Newcastle Univ, Sch Comp, Open Lab, Newcastle Upon Tyne, Tyne &amp; Wear, England</t>
  </si>
  <si>
    <t>Durham University; Newcastle University - UK</t>
  </si>
  <si>
    <t>Shi, L (corresponding author), Univ Durham, Dept Comp Sci, Durham, England.;Shi, L (corresponding author), Newcastle Univ, Sch Comp, Open Lab, Newcastle Upon Tyne, Tyne &amp; Wear, England.</t>
  </si>
  <si>
    <t>zhaoxing.li2@durham.ac.uk; lei.shi@newcastle.ac.uk; jindi.wang@durham.ac.uk; alexandra.i.cristea@durham.ac.uk; yunzhan.zhou@durham.ac.uk</t>
  </si>
  <si>
    <t>li, fang/KDO-8841-2024; Shi, Lei/T-7301-2019; Li, Zhaoxing/HOF-0648-2023</t>
  </si>
  <si>
    <t>Shi, Lei/0000-0001-7119-3207; Li, Zhaoxing/0000-0003-3560-3461</t>
  </si>
  <si>
    <t>10.1007/s00521-023-08989-w</t>
  </si>
  <si>
    <t>CJ3F3</t>
  </si>
  <si>
    <t>WOS:001077141300010</t>
  </si>
  <si>
    <t>Harrer, S</t>
  </si>
  <si>
    <t>Harrer, Stefan</t>
  </si>
  <si>
    <t>Attention is not all you need: the complicated case of ethically using large language models in healthcare and medicine</t>
  </si>
  <si>
    <t>EBIOMEDICINE</t>
  </si>
  <si>
    <t>Generative arti fi cial intelligence; Large language models; Foundation models; AI ethics; Augmented; human intelligence; Information management; AI trustworthiness</t>
  </si>
  <si>
    <t>Large Language Models (LLMs) are a key component of generative artificial intelligence (AI) applications for creating new content including text, imagery, audio, code, and videos in response to textual instructions. Without human oversight, guidance and responsible design and operation, such generative AI applications will remain a party trick with substantial potential for creating and spreading misinformation or harmful and inaccurate content at unprecedented scale. However, if positioned and developed responsibly as companions to humans augmenting but not replacing their role in decision making, knowledge retrieval and other cognitive processes, they could evolve into highly efficient, trustworthy, assistive tools for information management. This perspective describes how such tools could transform data management workflows in healthcare and medicine, explains how the underlying technology works, provides an assessment of risks and limitations, and proposes an ethical, technical, and cultural framework for responsible design, development, and deployment. It seeks to incentivise users, developers, providers, and regulators of generative AI that utilises LLMs to collectively prepare for the transformational role this technology could play in evidence-based sectors.</t>
  </si>
  <si>
    <t>[Harrer, Stefan] Digital Hlth Cooperat Res Ctr, Melbourne, Vic, Australia</t>
  </si>
  <si>
    <t>Digital Health Cooperative Research Centre (DHCRC)</t>
  </si>
  <si>
    <t>Harrer, S (corresponding author), Digital Hlth Cooperat Res Ctr, Melbourne, Vic, Australia.</t>
  </si>
  <si>
    <t>stefan.harrer@dhcrc.com</t>
  </si>
  <si>
    <t>Harrer, Stefan/0000-0001-7947-330X</t>
  </si>
  <si>
    <t>2352-3964</t>
  </si>
  <si>
    <t>EBioMedicine</t>
  </si>
  <si>
    <t>10.1016/j.ebiom.2023.104512</t>
  </si>
  <si>
    <t>Medicine, General &amp; Internal; Medicine, Research &amp; Experimental</t>
  </si>
  <si>
    <t>General &amp; Internal Medicine; Research &amp; Experimental Medicine</t>
  </si>
  <si>
    <t>0A3FC</t>
  </si>
  <si>
    <t>WOS:000951710800001</t>
  </si>
  <si>
    <t>Maiorino, A; Padgett, Z; Wang, C; Yakubovskiy, M; Jiang, P</t>
  </si>
  <si>
    <t>Maiorino, Antonio; Padgett, Zoe; Wang, Chun; Yakubovskiy, Misha; Jiang, Peng</t>
  </si>
  <si>
    <t>Application and Evaluation of Large Language Models for the Generation of Survey Questions</t>
  </si>
  <si>
    <t>Generative AI; Survey Research; Text Evaluation</t>
  </si>
  <si>
    <t>Generative Language Models have shown promising results in various domains, and some of the most successful applications are related to concept expansion, which is the task of generating extensive text based on concise instructions provided through a seed prompt. In this presentation we will discuss the recent work conducted by the Data Science team at SurveyMonkey, where we have recently introduced a new feature that harnesses Generative AI models to streamline the survey design process. With this feature users can effortlessly initiate this process by specifying their desired objectives through a prompt, allowing them to automate the creation of surveys that include the critical aspects they wish to investigate. We will share our findings regarding some of the challenges encountered during the development of this feature. These include techniques for conditioning the model outputs, integrating generated text with industry-standard questions, fine-tuning Language Models using semi-synthetic Data Generation techniques, and more. Moreover, we will showcase the Evaluation Methodology that we have developed to measure the quality of the generated surveys across several dimensions. This evaluation process is crucial in ensuring that the generated surveys align well with user expectations and serve their intended purpose effectively. Our goal is to demonstrate the promising potential of Generative Language Models in the context of Survey Research, and we believe that sharing our learnings on these challenges and how we addressed them will be useful for practitioners working with Language Models on similar problems.</t>
  </si>
  <si>
    <t>[Maiorino, Antonio] SurveyMonkey, Milan, Italy; [Padgett, Zoe] SurveyMonkey, Gaithersburg, MD USA; [Wang, Chun] SurveyMonkey, Ottawa, ON, Canada; [Yakubovskiy, Misha] SurveyMonkey, Bellevue, WA USA; [Jiang, Peng] SurveyMonkey, San Mateo, CA USA</t>
  </si>
  <si>
    <t>Maiorino, A (corresponding author), SurveyMonkey, Milan, Italy.</t>
  </si>
  <si>
    <t>amaiorino@surveymonkey.com; zpadgett@surveymonkey.com; chunw@surveymonkey.com; myakubovskiy@surveymonkey.com; pjiang@surveymonkey.com</t>
  </si>
  <si>
    <t>10.1145/3583780.3615506</t>
  </si>
  <si>
    <t>WOS:001161549505056</t>
  </si>
  <si>
    <t>Lee, HY; Li, YH; Lee, TH; Aslam, MS</t>
  </si>
  <si>
    <t>Lee, Hong-Yu; Li, Yung-Hui; Lee, Ting-Hsuan; Aslam, Muhammad Saqlain</t>
  </si>
  <si>
    <t>Progressively Unsupervised Generative Attentional Networks with Adaptive Layer-Instance Normalization for Image-to-Image Translation</t>
  </si>
  <si>
    <t>anime; cartoon styles; generative adversarial networks; image-to-image translation; style transfer</t>
  </si>
  <si>
    <t>Unsupervised image-to-image translation has received considerable attention due to the recent remarkable advancements in generative adversarial networks (GANs). In image-to-image translation, state-of-the-art methods use unpaired image data to learn mappings between the source and target domains. However, despite their promising results, existing approaches often fail in challenging conditions, particularly when images have various target instances and a translation task involves significant transitions in shape and visual artifacts when translating low-level information rather than high-level semantics. To tackle the problem, we propose a novel framework called Progressive Unsupervised Generative Attentional Networks with Adaptive Layer-Instance Normalization (PRO-U-GAT-IT) for the unsupervised image-to-image translation task. In contrast to existing attention-based models that fail to handle geometric transitions between the source and target domains, our model can translate images requiring extensive and holistic changes in shape. Experimental results show the superiority of the proposed approach compared to the existing state-of-the-art models on different datasets.</t>
  </si>
  <si>
    <t>[Lee, Hong-Yu; Lee, Ting-Hsuan] Natl Cent Univ, Dept Comp Sci &amp; Informat Engn, Taoyuan 32001, Taiwan; [Li, Yung-Hui; Aslam, Muhammad Saqlain] Hon Hai Res Inst, AI Res Ctr, Taipei 114699, Taiwan</t>
  </si>
  <si>
    <t>National Central University</t>
  </si>
  <si>
    <t>Aslam, MS (corresponding author), Hon Hai Res Inst, AI Res Ctr, Taipei 114699, Taiwan.</t>
  </si>
  <si>
    <t>sam3u7858@gmail.com; yunghui.li@foxconn.com; s109522056@g.ncu.edu.tw; saqlain.msa@foxconn.com</t>
  </si>
  <si>
    <t>Li, Hong-Yu/0000-0002-9076-2273; Li, Yung-Hui/0000-0002-0475-3689</t>
  </si>
  <si>
    <t>10.3390/s23156858</t>
  </si>
  <si>
    <t>O7VH3</t>
  </si>
  <si>
    <t>WOS:001045839300001</t>
  </si>
  <si>
    <t>Asperti, A; Colasuonno, G; Guerra, A</t>
  </si>
  <si>
    <t>Asperti, Andrea; Colasuonno, Gabriele; Guerra, Antonio</t>
  </si>
  <si>
    <t>Portrait Reification with Generative Diffusion Models</t>
  </si>
  <si>
    <t>diffusion models; image generation; embedding; reification; denoising</t>
  </si>
  <si>
    <t>An application of Generative Diffusion Techniques for the reification of human portraits in artistic paintings is presented. By reification we intend the transformation of the painter's figurative abstraction into a real human face. The application exploits a recent embedding technique for Denoising Diffusion Implicit Models (DDIM), inverting the generative process and mapping the visible image into its latent representation. In this way, we can first embed the portrait into the latent space, and then use the reverse diffusion model, trained to generate real human faces, to produce the most likely real approximation of the portrait. The actual deployment of the application involves several additional techniques, mostly aimed to automatically identify, align, and crop the relevant portion of the face, and to postprocess the generated reification in order to enhance its quality and to allow a smooth reinsertion in the original painting.</t>
  </si>
  <si>
    <t>[Asperti, Andrea; Colasuonno, Gabriele; Guerra, Antonio] Univ Bologna, Dept Informat Sci &amp; Engn DISI, I-40126 Bologna, Italy</t>
  </si>
  <si>
    <t>University of Bologna</t>
  </si>
  <si>
    <t>Asperti, A (corresponding author), Univ Bologna, Dept Informat Sci &amp; Engn DISI, I-40126 Bologna, Italy.</t>
  </si>
  <si>
    <t>andrea.asperti@unibo.it; gabriele.colasuonno@studio.unibo.it; antonio.guerra7@studio.unibo.it</t>
  </si>
  <si>
    <t>asperti, andrea/0000-0002-9677-6350</t>
  </si>
  <si>
    <t>Future AI Research (FAIR) project of the National Recovery and Resilience Plan (NRRP); European Union-NextGenerationEU</t>
  </si>
  <si>
    <t>This research was partially funded by the Future AI Research (FAIR) project of the National Recovery and Resilience Plan (NRRP), Mission 4 Component 2 Investment 1.3 funded from the European Union-NextGenerationEU.</t>
  </si>
  <si>
    <t>10.3390/app13116487</t>
  </si>
  <si>
    <t>J0NJ3</t>
  </si>
  <si>
    <t>WOS:001006656300001</t>
  </si>
  <si>
    <t>Hirosawa, T; Shimizu, T</t>
  </si>
  <si>
    <t>Hirosawa, Takanobu; Shimizu, Taro</t>
  </si>
  <si>
    <t>Enhancing clinical reasoning with Chat Generative Pre-trained Transformer: a practical guide</t>
  </si>
  <si>
    <t>DIAGNOSIS</t>
  </si>
  <si>
    <t>natural language processing; large language model; diagnostic excellence; diagnosis; self-learning</t>
  </si>
  <si>
    <t>Objectives: This study aimed to elucidate effective methodologies for utilizing the generative artificial intelligence (AI) system, namely the Chat Generative Pre-trained Transformer (ChatGPT), in improving clinical reasoning abilities among clinicians.Methods: We conducted a comprehensive exploration of the capabilities of ChatGPT, emphasizing two main areas: (1) efficient utilization of ChatGPT, with a focus on application and language selection, input methodology, and output verification; and (2) specific strategies to bolster clinical reasoning using ChatGPT, including self-learning via simulated clinical case creation and engagement with published case reports.Results: Effective AI-based clinical reasoning development requires a clear delineation of both system roles and user needs. All outputs from the system necessitate rigorous verification against credible medical resources. When used in self-learning scenarios, capabilities of ChatGPT in clinical case creation notably enhanced disease comprehension.Conclusions: The efficient use of generative AIs, as exemplified by ChatGPT, can impressively enhance clinical reasoning among medical professionals. Adopting these cutting-edge tools promises a bright future for continuous advancements in clinicians' diagnostic skills, heralding a transformative era in digital healthcare.</t>
  </si>
  <si>
    <t>[Hirosawa, Takanobu; Shimizu, Taro] Dokkyo Med Univ, Dept Diagnost &amp; Generalist Med, 880 Kitakobayashi, Mibu Cho, Mibu, Tochigi 3210293, Japan</t>
  </si>
  <si>
    <t>Dokkyo Medical University</t>
  </si>
  <si>
    <t>Hirosawa, T (corresponding author), Dokkyo Med Univ, Dept Diagnost &amp; Generalist Med, 880 Kitakobayashi, Mibu Cho, Mibu, Tochigi 3210293, Japan.</t>
  </si>
  <si>
    <t>hirosawa@dokkyomed.ac.jp</t>
  </si>
  <si>
    <t>Hirosawa, Takanobu/AFS-0531-2022</t>
  </si>
  <si>
    <t>Hirosawa, Takanobu/0000-0002-3573-8203</t>
  </si>
  <si>
    <t>This study was made possible using the resources from the Department of Diagnostic and Generalist Medicine, Dokkyo Medical University.</t>
  </si>
  <si>
    <t>2194-8011</t>
  </si>
  <si>
    <t>2194-802X</t>
  </si>
  <si>
    <t>Diagnosis</t>
  </si>
  <si>
    <t>FEB 19</t>
  </si>
  <si>
    <t>10.1515/dx-2023-0116</t>
  </si>
  <si>
    <t>HZ6R6</t>
  </si>
  <si>
    <t>WOS:001077103200001</t>
  </si>
  <si>
    <t>Alviano, M</t>
  </si>
  <si>
    <t>Gaggl, S; Martinez, MV; Ortiz, M</t>
  </si>
  <si>
    <t>Alviano, Mario</t>
  </si>
  <si>
    <t>Generative Datalog and Answer Set Programming - Extended Abstract</t>
  </si>
  <si>
    <t>LOGICS IN ARTIFICIAL INTELLIGENCE, JELIA 2023</t>
  </si>
  <si>
    <t>18th European Conference on Logics in Artificial Intelligence (JELIA)</t>
  </si>
  <si>
    <t>SEP 20-22, 2023</t>
  </si>
  <si>
    <t>TU Dresden, Dresden, GERMANY</t>
  </si>
  <si>
    <t>Sch Embedded Composite Artificial Intelligence,Ctr Perspicuous Comp,Ctr Scalable Data Analyt &amp; Artificial Intelligence,Compl3te,Springer,Potassco Solut</t>
  </si>
  <si>
    <t>TU Dresden</t>
  </si>
  <si>
    <t>Answer Set Programming; Datalog; probabilistic reasoning; non-measurable sets; stable model semantics</t>
  </si>
  <si>
    <t>LOGIC; INFERENCE; LANGUAGE</t>
  </si>
  <si>
    <t>Generative Datalog is an extension of Datalog that incorporates constructs for referencing parameterized probability distributions. This augmentation transforms the evaluation of a Generative Datalog program into a stochastic process, resulting in a declarative formalism suitable for modeling and analyzing other stochastic processes. This work provides an introduction to Generative Datalog through the lens of Answer Set Programming (ASP), demonstrating how Generative Datalog can explain the output of ASP systems that include @-terms referencing probability distributions. From a theoretical point of view, extending the semantics of Generative Datalog to stable negation proved to be challenging due to the richness of ASP relative to Datalog in terms of linguistic constructs. On a more pragmatic side, the connection between the two formalisms lays the foundation for implementing Generative Datalog atop efficient ASP systems, making it a practical solution for real-world applications.</t>
  </si>
  <si>
    <t>[Alviano, Mario] Univ Calabria, DEMACS, Via Bucci 30-B, I-87036 Arcavacata Di Rende, CS, Italy</t>
  </si>
  <si>
    <t>University of Calabria</t>
  </si>
  <si>
    <t>Alviano, M (corresponding author), Univ Calabria, DEMACS, Via Bucci 30-B, I-87036 Arcavacata Di Rende, CS, Italy.</t>
  </si>
  <si>
    <t>mario.alviano@unical.it</t>
  </si>
  <si>
    <t>Italian Ministry of Research (MUR) under PNRR project FAIR Future AI Research [CUP H23C22000860006, CUP H23C22000370006, CUP H73C22000880001]; LAIA lab; GNCS-INdAM</t>
  </si>
  <si>
    <t>Italian Ministry of Research (MUR) under PNRR project FAIR Future AI Research(Ministry of Education, Universities and Research (MIUR)); LAIA lab; GNCS-INdAM(Istituto Nazionale di Alta Matematica (INDAM))</t>
  </si>
  <si>
    <t>This work is about some ongoing research with Matthias Lanzinger, Michael Morak, and Andreas Pieris [2]. This work was partially supported by Italian Ministry of Research (MUR) under PNRR project FAIR Future AI Research, CUP H23C22000860006, under PNRR project Tech4You Technologies for climate change adaptation and quality of life improvement, CUP H23C22000370006, and under PNRR project SERICS SEcurity and RIghts in the CyberSpace, CUP H73C22000880001; by the LAIA lab (part of the SILA labs) and by GNCS-INdAM.</t>
  </si>
  <si>
    <t>978-3-031-43618-5; 978-3-031-43619-2</t>
  </si>
  <si>
    <t>10.1007/978-3-031-43619-2_1</t>
  </si>
  <si>
    <t>Computer Science, Artificial Intelligence; Computer Science, Theory &amp; Methods; Logic</t>
  </si>
  <si>
    <t>BW4ZE</t>
  </si>
  <si>
    <t>WOS:001157340700001</t>
  </si>
  <si>
    <t>Kim, D</t>
  </si>
  <si>
    <t>Kim, Dongyun</t>
  </si>
  <si>
    <t>Latent morphologies: Encoding architectural features and decoding their structure through artificial intelligence</t>
  </si>
  <si>
    <t>machine learning; StyleGAN; multimodal; text-to-image; generative AI</t>
  </si>
  <si>
    <t>This article explores the impact of Artificial Intelligence (AI) on the architectural discipline, focusing on generative models and their controllability. While generative models have revolutionized the design process by freeing designers from specific tasks and allowing them to focus on desired results, the reliance on randomness frequently hinders controllability and meaningful experimentation. To address this challenge, the article proposes the construction of an encyclopedic architectural dataset, encompassing various architectural projects and combining images with text for multimodal applications and two methodologies, multi-class StyleGAN and multimodal StyleGAN+CLIP to enhance controllability. Utilizing specific conditions, multi-class StyleGAN enables designers to navigate latent space and identify hidden patterns, while StyleGAN+CLIP integrates text to achieve specific controllability and generate diverse architectural features. Through experimentation, the research showcases the potential of generative models to create structured designs that incorporate existing architectural styles.</t>
  </si>
  <si>
    <t>[Kim, Dongyun] TWO Platforms Inc, Campbell, CA 95008 USA</t>
  </si>
  <si>
    <t>Kim, D (corresponding author), TWO Platforms Inc, Campbell, CA 95008 USA.</t>
  </si>
  <si>
    <t>archclojure@gmail.com</t>
  </si>
  <si>
    <t>Kim, Dongyun/0000-0003-1193-3845</t>
  </si>
  <si>
    <t>This article is an extended version of my Master's thesis under supervision of Andrew Witt at Harvard University Graduate School of Design. I would like to express my heartfelt gratitude to Andrew Witt for his invaluable guidance throughout the development</t>
  </si>
  <si>
    <t>This article is an extended version of my Master's thesis under supervision of Andrew Witt at Harvard University Graduate School of Design. I would like to express my heartfelt gratitude to Andrew Witt for his invaluable guidance throughout the development of this article. His insightful feedback, unwavering support, and dedication to the project were instrumental in shaping the research and enhancing the quality of this article. His expertise and encouragement have left an indelible mark on my academic journey, and I am profoundly thankful for his contributions. I would like to extend my sincere appreciation to Lloyd Sukgyo Lee. Our insightful conversation regarding the application of artificial intelligence in the field of architecture, combined with his deep knowledge of architecture, significantly enriched this work.</t>
  </si>
  <si>
    <t>2023 OCT 30</t>
  </si>
  <si>
    <t>10.1177/14780771231209458</t>
  </si>
  <si>
    <t>W2VN3</t>
  </si>
  <si>
    <t>WOS:001090258700001</t>
  </si>
  <si>
    <t>Zeilinger, M</t>
  </si>
  <si>
    <t>Zeilinger, Martin</t>
  </si>
  <si>
    <t>The Politics of Visual Indeterminacy in Abstract AI Art</t>
  </si>
  <si>
    <t>LEONARDO</t>
  </si>
  <si>
    <t>In Perception Engines and Synthetic Abstractions, two generative AI art projects begun in 2018, Tom White experiments with visual abstraction to explore the indeterminacy of perception, interpretation, and agency. White's AI systems produce images that will be interpreted as abstract artworks by human viewers, but which also confront human audiences with the realization that what is here deliberately rendered indeterminable for them will remain near-perfectly legible for AI-powered image recognition systems. This difference in perceptual and interpretive agency foregrounds an underlying politics of visual indeterminacy. White's projects thus increase awareness of how machine vision-for example in automated online filtering systems-can diminish the horizon of what human audiences can or cannot see in an AI-driven digital cultural landscape, and how, in the process, underlying biases are normalized and human viewers become habituated to the dramatic shrinking of perceivable/viewable online image content mediated by AI.</t>
  </si>
  <si>
    <t>[Zeilinger, Martin] Abertay Univ, Sch Design &amp; Informat, Bell St, Dundee DD1 1HG, Scotland</t>
  </si>
  <si>
    <t>University of Abertay Dundee</t>
  </si>
  <si>
    <t>Zeilinger, M (corresponding author), Abertay Univ, Sch Design &amp; Informat, Bell St, Dundee DD1 1HG, Scotland.</t>
  </si>
  <si>
    <t>m.zeilinger@abertay.ac.uk</t>
  </si>
  <si>
    <t>Zeilinger, Martin/JNS-5055-2023</t>
  </si>
  <si>
    <t>Zeilinger, Martin/0000-0001-6576-4253</t>
  </si>
  <si>
    <t>Alberta University of the Arts; Abertay University's [R-LINCS2]</t>
  </si>
  <si>
    <t>Alberta University of the Arts; Abertay University's</t>
  </si>
  <si>
    <t>I'm grateful to Ashley Scarlett (Alberta University of the Arts, Calgary), for inviting me to present elements of this work at Contingent Systems: Art and/as Algorithmic Critique (Illingworth Kerr Gallery, 2021), and to Tom White, for his generosity in discussing his artistic practice with me. I also acknowledge the financial support in making this article Open Access received from Abertay University's R-LINCS2 scheme.</t>
  </si>
  <si>
    <t>MIT PRESS</t>
  </si>
  <si>
    <t>ONE ROGERS ST, CAMBRIDGE, MA 02142-1209 USA</t>
  </si>
  <si>
    <t>0024-094X</t>
  </si>
  <si>
    <t>1530-9282</t>
  </si>
  <si>
    <t>Leonardo</t>
  </si>
  <si>
    <t>+</t>
  </si>
  <si>
    <t>10.1162/leon_a_02291</t>
  </si>
  <si>
    <t>I0HQ1</t>
  </si>
  <si>
    <t>WOS:000999675200014</t>
  </si>
  <si>
    <t>Escalante, J; Pack, A; Barrett, A</t>
  </si>
  <si>
    <t>Escalante, Juan; Pack, Austin; Barrett, Alex</t>
  </si>
  <si>
    <t>AI-generated feedback on writing: insights into efficacy and ENL student preference</t>
  </si>
  <si>
    <t>Automated writing evaluation; ChatGPT; Artificial intelligence; Language education</t>
  </si>
  <si>
    <t>The question of how generative AI tools, such as large language models and chatbots, can be leveraged ethically and effectively in education is ongoing. Given the critical role that writing plays in learning and assessment within educational institutions, it is of growing importance for educators to make thoughtful and informed decisions as to how and in what capacity generative AI tools should be leveraged to assist in the development of students' writing skills. This paper reports on two longitudinal studies. Study 1 examined learning outcomes of 48 university English as a new language (ENL) learners in a six-week long repeated measures quasi experimental design where the experimental group received writing feedback generated from ChatGPT (GPT-4) and the control group received feedback from their human tutor. Study 2 analyzed the perceptions of a different group of 43 ENLs who received feedback from both ChatGPT and their tutor. Results of study 1 showed no difference in learning outcomes between the two groups. Study 2 results revealed a near even split in preference for AI-generated or human-generated feedback, with clear advantages to both forms of feedback apparent from the data. The main implication of these studies is that the use of AI-generated feedback can likely be incorporated into ENL essay evaluation without affecting learning outcomes, although we recommend a blended approach that utilizes the strengths of both forms of feedback. The main contribution of this paper is in addressing generative AI as an automatic essay evaluator while incorporating learner perspectives.</t>
  </si>
  <si>
    <t>[Escalante, Juan; Pack, Austin] Brigham Young Univ Hawaii, Fac Educ &amp; Social Work, 55-220 Kulanui St, Laie, HI 96762 USA; [Barrett, Alex] Florida State Univ, Coll Educ, Stone Bldg, 114 West Call St, Tallahassee, FL 32306 USA</t>
  </si>
  <si>
    <t>Brigham Young University; Brigham Young University - Hawaii; State University System of Florida; Florida State University</t>
  </si>
  <si>
    <t>Escalante, J (corresponding author), Brigham Young Univ Hawaii, Fac Educ &amp; Social Work, 55-220 Kulanui St, Laie, HI 96762 USA.</t>
  </si>
  <si>
    <t>Juan.escalante@byuh.edu</t>
  </si>
  <si>
    <t>Escalante, Juan/0009-0009-8534-2504</t>
  </si>
  <si>
    <t>We would like to extend our sincere gratitude to our Research Assistant.</t>
  </si>
  <si>
    <t>OCT 27</t>
  </si>
  <si>
    <t>10.1186/s41239-023-00425-2</t>
  </si>
  <si>
    <t>U9JC9</t>
  </si>
  <si>
    <t>WOS:001087884500001</t>
  </si>
  <si>
    <t>Kim, S; Lim, H; Baek, J; Lee, EC</t>
  </si>
  <si>
    <t>Kim, Seunghyun; Lim, Hyeji; Baek, Junho; Lee, Eui Chul</t>
  </si>
  <si>
    <t>RGB Camera-Based Blood Pressure Measurement Using U-Net Basic Generative Model</t>
  </si>
  <si>
    <t>ELECTRONICS</t>
  </si>
  <si>
    <t>blood pressure prediction; generative model; remote photoplethysmography; contact photoplethysmography; non-invasive monitoring</t>
  </si>
  <si>
    <t>Blood pressure is a fundamental health metric widely employed to predict cardiac diseases and monitor overall well-being. However, conventional blood pressure measurement methods, such as the cuff method, necessitate additional equipment and can be inconvenient for regular use. This study aimed to develop a novel approach to blood pressure measurement using only an RGB camera, which promises enhanced convenience and accuracy. We employed the U-Net Basic generative model to achieve our objectives. Through rigorous experimentation and data analysis, our approach demonstrated promising results, attaining BHS (British Hypertension Society) baseline performance with grade A accuracy for diastolic blood pressure (DBP) and grade C accuracy for systolic blood pressure (SBP). The mean absolute error (MAE) achieved for DBP was 4.43 mmHg, and for SBP, it was 6.9 mmHg. Our findings indicate that blood pressure measurement using an RGB camera shows significant potential and may be utilized as an alternative or supplementary method for blood pressure monitoring. The convenience of using a commonly available RGB camera without additional specialized equipment can empower individuals to track their blood pressure regularly and proactively predict potential heart-related issues.</t>
  </si>
  <si>
    <t>[Kim, Seunghyun; Lim, Hyeji; Baek, Junho] Sangmyung Univ, Grad Sch, Dept AI &amp; Informat, Seoul 03016, South Korea; [Lee, Eui Chul] Sangmyung Univ, Dept Human Ctr Artificial Intelligence, Seoul 03016, South Korea</t>
  </si>
  <si>
    <t>Sangmyung University; Sangmyung University</t>
  </si>
  <si>
    <t>Lee, EC (corresponding author), Sangmyung Univ, Dept Human Ctr Artificial Intelligence, Seoul 03016, South Korea.</t>
  </si>
  <si>
    <t>202134015@sangmyung.kr; 202232034@sangmyung.kr; 202232029@sangmyung.kr; eclee@smu.ac.kr</t>
  </si>
  <si>
    <t>Korea Institute of Police Technology (KIPoT; Police Lab 2.0 program) grant - Korea government (MSIT) [RS-2023-00281194]</t>
  </si>
  <si>
    <t>Korea Institute of Police Technology (KIPoT; Police Lab 2.0 program) grant - Korea government (MSIT)</t>
  </si>
  <si>
    <t>This work was supported by Korea Institute of Police Technology (KIPoT; Police Lab 2.0 program) grant funded by the Korea government (MSIT) (RS-2023-00281194; Development for a remotely-operated testimony system for the children based on AI and Cloud technology).</t>
  </si>
  <si>
    <t>2079-9292</t>
  </si>
  <si>
    <t>ELECTRONICS-SWITZ</t>
  </si>
  <si>
    <t>Electronics</t>
  </si>
  <si>
    <t>10.3390/electronics12183771</t>
  </si>
  <si>
    <t>Computer Science, Information Systems; Engineering, Electrical &amp; Electronic; Physics, Applied</t>
  </si>
  <si>
    <t>Computer Science; Engineering; Physics</t>
  </si>
  <si>
    <t>S9CT7</t>
  </si>
  <si>
    <t>WOS:001074080800001</t>
  </si>
  <si>
    <t>Cao, XJ; Sun, G; Yu, HF; Guizani, M</t>
  </si>
  <si>
    <t>Cao, Xingjian; Sun, Gang; Yu, Hongfang; Guizani, Mohsen</t>
  </si>
  <si>
    <t>PerFED-GAN: Personalized Federated Learning via Generative Adversarial Networks</t>
  </si>
  <si>
    <t>Data models; Collaborative work; Training; Computer architecture; Task analysis; Machine learning; Computational modeling; Co-training; federated learning; generative adversarial networks (GANs); nonindependent and identically distributed (non-IID) data; personalized model</t>
  </si>
  <si>
    <t>Federated learning is gaining popularity as a distributed machine learning method that can be used to deploy AI-dependent Internet of Things applications while protecting client data privacy and security. Due to the differences of clients, a single global model may not perform well on all clients, so the personalized federated learning method, which trains a personalized model for each client that better suits its individual needs, becomes a research hotspot. Most personalized federated learning research, however, focuses on data heterogeneity while ignoring the need for model architecture heterogeneity. Most existing federated learning methods uniformly set the model architecture of all clients participating in federated learning, which is inconvenient for each client's individual model and local data distribution requirements, and also increases the risk of client model leakage. This article proposes a federated learning method based on co-training and generative adversarial networks (GANs) that allows each client to design its own model to participate in federated learning training independently without sharing any model architecture or parameter information with other clients or a center. In our experiments, the proposed method outperforms the existing methods in mean test accuracy by 42% when the client's model architecture and data distribution vary significantly.</t>
  </si>
  <si>
    <t>[Cao, Xingjian; Sun, Gang; Yu, Hongfang] Univ Elect Sci &amp; Technol China, Key Lab Opt Fiber Sensing &amp; Commun, Minist Educ, Chengdu 6111731, Peoples R China; [Sun, Gang] Univ Elect Sci &amp; Technol China, Agile &amp; Intelligent Comp Key Lab Sichuan Prov, Chengdu 6111731, Peoples R China; [Yu, Hongfang] Pengcheng Lab, Shenzhen 518000, Peoples R China; [Guizani, Mohsen] Mohamed Bin Zayed Univ Artificial Intelligence, Machine Learning Dept, Abu Dhabi, U Arab Emirates</t>
  </si>
  <si>
    <t>University of Electronic Science &amp; Technology of China; University of Electronic Science &amp; Technology of China; Mohamed Bin Zayed University of Artificial Intelligence</t>
  </si>
  <si>
    <t>Sun, G (corresponding author), Univ Elect Sci &amp; Technol China, Key Lab Opt Fiber Sensing &amp; Commun, Minist Educ, Chengdu 6111731, Peoples R China.;Sun, G (corresponding author), Univ Elect Sci &amp; Technol China, Agile &amp; Intelligent Comp Key Lab Sichuan Prov, Chengdu 6111731, Peoples R China.</t>
  </si>
  <si>
    <t>x.cao.flc@gmail.com; gangsun@uestc.edu.cn; yuhf@uestc.edu.cn; mguizani@ieee.org</t>
  </si>
  <si>
    <t>Guizani, Mohsen/AAX-4534-2021; Nasarian, Elham/ISB-6863-2023</t>
  </si>
  <si>
    <t>Guizani, Mohsen/0000-0002-8972-8094; Yu, Hongfang/0000-0002-5219-1780</t>
  </si>
  <si>
    <t>National Key Research and Development Program of China [2019YFB1802800]; PCL Future Greater-Bay Area Network Facilities for Large-scale Experiments and Applications [PCL2018KP001]</t>
  </si>
  <si>
    <t>National Key Research and Development Program of China; PCL Future Greater-Bay Area Network Facilities for Large-scale Experiments and Applications</t>
  </si>
  <si>
    <t>This work was supported in part by the National Key Research and Development Program of China under Grant 2019YFB1802800,and in part by the PCL Future Greater-Bay Area Network Facilities for Large-scale Experiments and Applications under Grant PCL2018KP001.(Corresponding author: Gang Sun.)</t>
  </si>
  <si>
    <t>10.1109/JIOT.2022.3172114</t>
  </si>
  <si>
    <t>C9US9</t>
  </si>
  <si>
    <t>WOS:000965291400001</t>
  </si>
  <si>
    <t>Tseng, AYH; Wang, WF; Chen, BY</t>
  </si>
  <si>
    <t>Tseng, Andy Yu-Hsiang; Wang, Wen-Fan; Chen, Bing-Yu</t>
  </si>
  <si>
    <t>SegAnimeChara: Segmenting Anime Characters Generated by AI</t>
  </si>
  <si>
    <t>PROCEEDINGS OF SIGGRAPH 2023 POSTERS, SIGGRAPH 2023</t>
  </si>
  <si>
    <t>Game; Design; Anime; Manga; Otaku; Character Segmentation; Semantic Segmentation; Pose Segmentation; Body Segmentation</t>
  </si>
  <si>
    <t>This work introduces SegAnimeChara, a novel system of transforming AI-generated anime images into game characters while retaining unique features. Using volume-based body pose segmentation, SegAnimeChara can efficiently, zero-shot, segment body parts from generative images based on OpenPose human skeleton. Furthermore, this system integrates a semantic segmentation pipeline based on the text prompts of the existing Text2Image workflow. The system conserves the game character's unique outfit and reduces the redundant duplicate text prompts for semantic segmentation.</t>
  </si>
  <si>
    <t>[Tseng, Andy Yu-Hsiang; Wang, Wen-Fan; Chen, Bing-Yu] Natl Taiwan Univ, Taipei, Taiwan</t>
  </si>
  <si>
    <t>Tseng, AYH (corresponding author), Natl Taiwan Univ, Taipei, Taiwan.</t>
  </si>
  <si>
    <t>txs@cmlab.csie.ntu.edu.tw; b02606001@ntu.edu.tw; robin@ntu.edu.tw</t>
  </si>
  <si>
    <t>Ministry of Science and Technology of Taiwan; National Taiwan University for research; Rayark Inc</t>
  </si>
  <si>
    <t>Ministry of Science and Technology of Taiwan(Ministry of Science and Technology, Taiwan); National Taiwan University for research; Rayark Inc</t>
  </si>
  <si>
    <t>This research was partially supported by the Ministry of Science and Technology of Taiwan, National Taiwan University for research, and Rayark Inc for game creation pipeline and character images.</t>
  </si>
  <si>
    <t>979-8-4007-0152-8</t>
  </si>
  <si>
    <t>10.1145/3588028.3603685</t>
  </si>
  <si>
    <t>BW2JZ</t>
  </si>
  <si>
    <t>WOS:001117713300035</t>
  </si>
  <si>
    <t>Vechtomova, O; Sahu, G</t>
  </si>
  <si>
    <t>Vechtomova, Olga; Sahu, Gaurav</t>
  </si>
  <si>
    <t>LyricJam Sonic: A Generative System for Real-Time Composition and Musical Improvisation</t>
  </si>
  <si>
    <t>Generative Music; Lyrics Generation; Neural Network; Variational Autoencoder; Generative Adversarial Network</t>
  </si>
  <si>
    <t>Electronic music artists and sound designers have unique workflow practices that necessitate specialized approaches for developing music information retrieval and creativity support tools. Furthermore, electronic music instruments, such as modular synthesizers, have near-infinite possibilities for sound creation and can be combined to create unique and complex audio paths. The process of discovering interesting sounds is often serendipitous and impossible to replicate. For this reason, many musicians in electronic genres record audio output at all times while they work in the studio. Subsequently, it is difficult for artists to rediscover audio segments that might be suitable for use in their compositions from thousands of hours of recordings. In this paper, we describe LyricJam Sonic, a creative tool for musicians to rediscover their previous recordings, re-contextualize them with other recordings, and create original live music compositions in real-time. A bi-modal AI-driven approach uses generated lyric lines to find compatible audio clips from the artist's past studio recordings, and uses them to generate new lyric lines, which in turn are used to find other clips, thus creating a continuous and evolving stream of music and lyrics. The intent is to keep the artists in a state of creative flow conducive to music creation rather than taking them into an analytical/critical state of deliberately searching for past audio segments. The system can run in either a fully autonomous mode without user input, or in a live performance mode, where the artist plays live music, while the system listens and creates a continuous stream of music and lyrics in response (LyricJam Sonic: https://lyricjam.ai Demo videos: https://sites.google.com/view/supplementarymaterial-for-evo/home).</t>
  </si>
  <si>
    <t>[Vechtomova, Olga; Sahu, Gaurav] Univ Waterloo, Waterloo, ON, Canada</t>
  </si>
  <si>
    <t>University of Waterloo</t>
  </si>
  <si>
    <t>Vechtomova, O (corresponding author), Univ Waterloo, Waterloo, ON, Canada.</t>
  </si>
  <si>
    <t>ovechtom@uwaterloo.ca; gsahu@uwaterloo.ca</t>
  </si>
  <si>
    <t>10.1007/978-3-031-29956-8_19</t>
  </si>
  <si>
    <t>WOS:000999872400019</t>
  </si>
  <si>
    <t>Corchado, JM; López, FS; Núñez, VJM; Garcia, SR; Chamoso, P</t>
  </si>
  <si>
    <t>Corchado, Juan M.; Lopez, F. Sebastian; Nunez, V. Juan M.; Garcia, S. Raul; Chamoso, Pablo</t>
  </si>
  <si>
    <t>Generative Artificial Intelligence: Fundamentals</t>
  </si>
  <si>
    <t>ADCAIJ-ADVANCES IN DISTRIBUTED COMPUTING AND ARTIFICIAL INTELLIGENCE JOURNAL</t>
  </si>
  <si>
    <t>large language models; artificial intelligence; transformers; GPT</t>
  </si>
  <si>
    <t>Generative language models have witnessed substantial traction, notably with the introduction of refined models aimed at more coherent user-AI interactions-principally conversational models. The epitome of this public attention has arguably been the refinement of the GPT-3 model into ChatGPT and its subsequent integration with auxiliary capabilities such as search features in Microsoft Bing. Despite voluminous prior research devoted to its developmental trajectory, the model's performance, and applicability to a myriad of quotidian tasks remained nebulous and task specific. In terms of technological implementation, the advent of models such as LLMv2 and ChatGPT-4 has elevated the discourse beyond mere textual coherence to nuanced contextual understanding and real-world task completion. Concurrently, emerging architectures that focus on interpreting latent spaces have offered more granular control over text generation, thereby amplifying the model's applicability across various verticals. Within the purview of cyber defense, especially in the Swiss operational ecosystem, these models pose both unprecedented opportunities and challenges. Their capabilities in data analytics, intrusion detection, and even misinformation combatting is laudable; yet the ethical and security implications concerning data privacy, surveillance, and potential misuse warrant judicious scrutiny.</t>
  </si>
  <si>
    <t>[Corchado, Juan M.; Lopez, F. Sebastian; Nunez, V. Juan M.; Garcia, S. Raul; Chamoso, Pablo] Univ Salamanca, BISITE Res Grp, Edificio Multiusos IDI, Salamanca 37007, Spain</t>
  </si>
  <si>
    <t>Corchado, JM (corresponding author), Univ Salamanca, BISITE Res Grp, Edificio Multiusos IDI, Salamanca 37007, Spain.</t>
  </si>
  <si>
    <t>corchado@usal.es; sebastianlopezflorez@usal.es; jmnunez@usal.es; raulrufy@usal.es; chamoso@usal.es</t>
  </si>
  <si>
    <t>Corchado, Juan M./D-3229-2013</t>
  </si>
  <si>
    <t>Corchado, Juan M./0000-0002-2829-1829</t>
  </si>
  <si>
    <t>EDICIONES UNIV SALAMANCA</t>
  </si>
  <si>
    <t>SALAMANCA</t>
  </si>
  <si>
    <t>APARTADO DE CORREOS 325, SALAMANCA, 00000, SPAIN</t>
  </si>
  <si>
    <t>2255-2863</t>
  </si>
  <si>
    <t>ADCAIJ-ADV DISTRIB C</t>
  </si>
  <si>
    <t>ADCAIJ-Adv. Distrib. Computing Artif. Intell. J.</t>
  </si>
  <si>
    <t>e31704</t>
  </si>
  <si>
    <t>10.14201/adcaij.31704</t>
  </si>
  <si>
    <t>CZ5P5</t>
  </si>
  <si>
    <t>WOS:001129068700001</t>
  </si>
  <si>
    <t>Elam, M</t>
  </si>
  <si>
    <t>Elam, Michele</t>
  </si>
  <si>
    <t>Poetry Will Not Optimize; or, What Is Literature to AI?</t>
  </si>
  <si>
    <t>AMERICAN LITERATURE</t>
  </si>
  <si>
    <t>artificial intelligence; literature; art; race; GPT-3</t>
  </si>
  <si>
    <t>Literature, poetry, and other forms of noncommercial creative expression challenge the techno-instrumentalist approaches to language, the predictive language generation, informing NLP (large natural language processing models) such as GPT-3 or-4 as well as, more generally, generative AI (text to image, video, audio). Claims that AI systems automate and expedite creativ-ity reflect industry and research priorities of speed, scale, optimization, and frictionlessness driv-ing much artificial intelligence design and application. But poetry will not optimize; the creative process cannot be reduced to a prompt. Some have noted that literary creations generated or aug-mented by artificial intelligence at best can offer form without meaning; using a GPT creation prompted by Maya Angelou's poem Still I Rise as a case study, this essay argues that NLP's predictive language generation and what I call algorithmic ahistoricity can also, more disturbingly, render meaning senseless. In doing so, GPT-3's literary experiments are not failed because they do not meet some moving target of a literary standard, nor because of technological insufficiency, but because it can make it harder for people to name and navigate their realities. The coda explores an example of AI as literary interlocutor and creative engagement beyond optimization.</t>
  </si>
  <si>
    <t>[Elam, Michele] Stanford Univ, Humanities English Dept, Stanford, CA 94305 USA; [Elam, Michele] Stanford Univ, Inst Human Ctr AI, Stanford, CA 94305 USA; [Elam, Michele] African &amp; African Amer Studies, Cambridge, MA USA; [Elam, Michele] Modern Thought &amp; Literature, Grad Program, Stanford, CA USA</t>
  </si>
  <si>
    <t>Stanford University; Stanford University</t>
  </si>
  <si>
    <t>Elam, M (corresponding author), Stanford Univ, Humanities English Dept, Stanford, CA 94305 USA.;Elam, M (corresponding author), Stanford Univ, Inst Human Ctr AI, Stanford, CA 94305 USA.</t>
  </si>
  <si>
    <t>DUKE UNIV PRESS</t>
  </si>
  <si>
    <t>DURHAM</t>
  </si>
  <si>
    <t>905 W MAIN ST, STE 18-B, DURHAM, NC 27701 USA</t>
  </si>
  <si>
    <t>0002-9831</t>
  </si>
  <si>
    <t>1527-2117</t>
  </si>
  <si>
    <t>AM LIT</t>
  </si>
  <si>
    <t>Am. Lit.</t>
  </si>
  <si>
    <t>JUN 1</t>
  </si>
  <si>
    <t>10.1215/00029831-10575077</t>
  </si>
  <si>
    <t>Literature, American</t>
  </si>
  <si>
    <t>Q0HB4</t>
  </si>
  <si>
    <t>WOS:001054394400005</t>
  </si>
  <si>
    <t>Kim, JH; Kim, J; Kim, S; Hailu, TB</t>
  </si>
  <si>
    <t>Kim, Jeong Hyun; Kim, Jungkeun; Kim, Seongseop (Sam); Hailu, Tadesse Bekele</t>
  </si>
  <si>
    <t>Effects of AI ChatGPT on travelers' travel decision-making</t>
  </si>
  <si>
    <t>TOURISM REVIEW</t>
  </si>
  <si>
    <t>ChatGPT; Travel decision; Usage experience; ChatGPT mistake; Generative AI</t>
  </si>
  <si>
    <t>INFORMATION-TECHNOLOGY; PERCEIVED USEFULNESS; ACCEPTANCE; ROBOTS; CHOICE; USAGE; EASE</t>
  </si>
  <si>
    <t>Purpose - This paper aims to investigate travelers' intentions to use ChatGPT and the influential factors affecting their decision-making. Design/methodology/approach - Four studies were conducted to test three hypotheses. Four groups of respondents totaling 593 (Study 1), 337 (Study 2), 374 (Study 3) and 385 (Study 4) survey participants were used for data analyses. Findings - Overall, the findings confirmed the impacts of technology usage experience and ChatGPT's mistakes and provided additional information on travelers' intentions to use ChatGPT. The four hypotheses were supported. Originality/value - The findings can help researchers and industry to understand travelers' intentions to use ChatGPT and their responses to its functions.</t>
  </si>
  <si>
    <t>[Kim, Jeong Hyun] Kyung Hee Univ, Smart Tourism Res Ctr, Seoul, South Korea; [Kim, Jungkeun] Auckland Univ Technol, Fac Business &amp; Law, Dept Mkt, Auckland, New Zealand; [Kim, Seongseop (Sam); Hailu, Tadesse Bekele] Hong Kong Polytech Univ, SHTM, Hung Hom, Hong Kong, Peoples R China</t>
  </si>
  <si>
    <t>Kyung Hee University; Auckland University of Technology; Hong Kong Polytechnic University</t>
  </si>
  <si>
    <t>Kim, JH (corresponding author), Kyung Hee Univ, Smart Tourism Res Ctr, Seoul, South Korea.</t>
  </si>
  <si>
    <t>jeonghyun.kim@khu.ac.kr</t>
  </si>
  <si>
    <t>Kim, Jungkeun/0000-0003-2104-833X;</t>
  </si>
  <si>
    <t>1660-5373</t>
  </si>
  <si>
    <t>1759-8451</t>
  </si>
  <si>
    <t>TOUR REV</t>
  </si>
  <si>
    <t>Tour. Rev.</t>
  </si>
  <si>
    <t>10.1108/TR-07-2023-0489</t>
  </si>
  <si>
    <t>X1GZ8</t>
  </si>
  <si>
    <t>WOS:001096013900001</t>
  </si>
  <si>
    <t>Jeong, S; Li, MW; Berger, M; Liu, SS</t>
  </si>
  <si>
    <t>Jeong, Sangwon; Li, Mingwei; Berger, Matthew; Liu, Shusen</t>
  </si>
  <si>
    <t>Concept Lens: Visually Analyzing the Consistency of Semantic Manipulation in GANs</t>
  </si>
  <si>
    <t>2023 IEEE VISUALIZATION AND VISUAL ANALYTICS, VIS</t>
  </si>
  <si>
    <t>IEEE Visualization Conference</t>
  </si>
  <si>
    <t>IEEE Conference on Visualization and Visual Analytics (IEEE VIS)</t>
  </si>
  <si>
    <t>IEEE,IEEE Comp Soc,IEEE VGTC</t>
  </si>
  <si>
    <t>Generative model; Explainable AI; Latent space; Clustering; Bivariate color</t>
  </si>
  <si>
    <t>As applications of generative AI become mainstream, it is important to understand what generative models are capable of producing, and the extent to which one can predictably control their outputs. In this paper, we propose a visualization design, named Concept Lens, for jointly navigating the data distribution of a generative model, and concept manipulations supported by the model. Our work is focused on modern vision-based generative adversarial networks (GAN), and their learned latent spaces, wherein concept discovery has gained significant interest as a means of image manipulation. Concept Lens is designed to support users in understanding the diversity of a provided set of concepts, the relationship between concepts, and the suitability of concepts to give semantic controls for image generation. Key to our approach is the hierarchical grouping of concepts, generated images, and the associated joint exploration. We show how Concept Lens can reveal consistent semantic manipulations for editing images, while also serving as a diagnostic tool for studying the limitations and trade-offs of concept discovery methods.</t>
  </si>
  <si>
    <t>[Jeong, Sangwon; Liu, Shusen] Lawrence Livermore Natl Lab, Livermore, CA 94550 USA; [Li, Mingwei; Berger, Matthew] Vanderbilt Univ, Nashville, TN USA</t>
  </si>
  <si>
    <t>United States Department of Energy (DOE); Lawrence Livermore National Laboratory; Vanderbilt University</t>
  </si>
  <si>
    <t>Jeong, S (corresponding author), Lawrence Livermore Natl Lab, Livermore, CA 94550 USA.</t>
  </si>
  <si>
    <t>jeong5@llnl.gov</t>
  </si>
  <si>
    <t>U.S. Department of Energy by Lawrence Livermore National Laboratory [DE-AC52-07NA27344]; Laboratory Directed Research and Development (LDRD) program [23-ERD-029, LLNL-CONF-848581]</t>
  </si>
  <si>
    <t>U.S. Department of Energy by Lawrence Livermore National Laboratory(United States Department of Energy (DOE)); Laboratory Directed Research and Development (LDRD) program</t>
  </si>
  <si>
    <t>This work was performed under the auspices of the U.S. Department of Energy by Lawrence Livermore National Laboratory under Contract DE-AC52-07NA27344. This work was supported by the Laboratory Directed Research and Development (LDRD) program under project tracking code 23-ERD-029 and reviewed and released under LLNL-CONF-848581.</t>
  </si>
  <si>
    <t>2771-9537</t>
  </si>
  <si>
    <t>2771-9553</t>
  </si>
  <si>
    <t>979-8-3503-2557-7</t>
  </si>
  <si>
    <t>IEEE VIS CONF</t>
  </si>
  <si>
    <t>10.1109/VIS54172.2023.00053</t>
  </si>
  <si>
    <t>BW3FG</t>
  </si>
  <si>
    <t>WOS:001137142800045</t>
  </si>
  <si>
    <t>Miao, L; Yang, FX</t>
  </si>
  <si>
    <t>Miao, Li; Yang, Fiona X.</t>
  </si>
  <si>
    <t>Text-to-image AI tools and tourism experiences</t>
  </si>
  <si>
    <t>ANNALS OF TOURISM RESEARCH</t>
  </si>
  <si>
    <t>Arti ficial intelligence; Generative AI; Tourism experience; Text-to-image</t>
  </si>
  <si>
    <t>[Miao, Li; Yang, Fiona X.] Univ Macau, Fac Business Adm, Ave Univ, Taipa, Macao, Peoples R China</t>
  </si>
  <si>
    <t>University of Macau</t>
  </si>
  <si>
    <t>Yang, FX (corresponding author), Univ Macau, Fac Business Adm, Ave Univ, Taipa, Macao, Peoples R China.</t>
  </si>
  <si>
    <t>limiao@um.edu.mo; fionayang@um.edu.mo</t>
  </si>
  <si>
    <t>University of Macau [MYRG-CRG2022-00013-IOTSC, MYRG2022-00210-FBA]</t>
  </si>
  <si>
    <t>The authors declare that they have no known competing financial interests or personal relationships that could have appeared to in fluence the work reported in this paper. This work was supported by University of Macau [grant number MYRG-CRG2022-00013-IOTSC; MYRG2022-00210-FBA]</t>
  </si>
  <si>
    <t>0160-7383</t>
  </si>
  <si>
    <t>1873-7722</t>
  </si>
  <si>
    <t>ANN TOURISM RES</t>
  </si>
  <si>
    <t>Ann. Touris. Res.</t>
  </si>
  <si>
    <t>10.1016/j.annals.2023.103642</t>
  </si>
  <si>
    <t>Hospitality, Leisure, Sport &amp; Tourism; Sociology</t>
  </si>
  <si>
    <t>Social Sciences - Other Topics; Sociology</t>
  </si>
  <si>
    <t>R5RW3</t>
  </si>
  <si>
    <t>WOS:001064933500001</t>
  </si>
  <si>
    <t>Chen, JL; Fan, CJ; Zhang, ZM; Li, GZ; Zhao, Z; Deng, ZG; Ding, Y</t>
  </si>
  <si>
    <t>Chen, Jiali; Fan, Changjie; Zhang, Zhimeng; Li, Gongzheng; Zhao, Zeng; Deng, Zhigang; Ding, Yu</t>
  </si>
  <si>
    <t>A Music-Driven Deep Generative Adversarial Model for Guzheng Playing Animation</t>
  </si>
  <si>
    <t>IEEE TRANSACTIONS ON VISUALIZATION AND COMPUTER GRAPHICS</t>
  </si>
  <si>
    <t>Deep learning; generative adversarial networks; motion capture; guzheng animation; music-driven; data augmentation</t>
  </si>
  <si>
    <t>BODY MOVEMENTS; EXPRESSIVENESS; MOTION</t>
  </si>
  <si>
    <t>To date relatively few efforts have been made on the automatic generation of musical instrument playing animations. This problem is challenging due to the intrinsically complex, temporal relationship between music and human motion as well as the lacking of high quality music-playing motion datasets. In this article, we propose a fully automatic, deep learning based framework to synthesize realistic upper body animations based on novel guzheng music input. Specifically, based on a recorded audiovisual motion capture dataset, we delicately design a generative adversarial network (GAN) based approach to capture the temporal relationship between the music and the human motion data. In this process, data augmentation is employed to improve the generalization of our approach to handle a variety of guzheng music inputs. Through extensive objective and subjective experiments, we show that our method can generate visually plausible guzheng-playing animations that are well synchronized with the input guzheng music, and it can significantly outperform the state-of-the-art methods. In addition, through an ablation study, we validate the contributions of the carefully-designed modules in our framework.</t>
  </si>
  <si>
    <t>[Chen, Jiali; Fan, Changjie; Zhang, Zhimeng; Li, Gongzheng; Zhao, Zeng; Ding, Yu] Netease, Netease Fuxi AI Lab, Hangzhou, Zhejiang, Peoples R China; [Deng, Zhigang] Univ Houston, Dept Comp Sci, Houston, TX 77204 USA</t>
  </si>
  <si>
    <t>University of Houston System; University of Houston</t>
  </si>
  <si>
    <t>Ding, Y (corresponding author), Netease, Netease Fuxi AI Lab, Hangzhou, Zhejiang, Peoples R China.</t>
  </si>
  <si>
    <t>chenjiali02@corp.netease.com; fanchangjie@corp.netease.com; zhangzhimeng@corp.netease.com; ligongzheng@corp.netease.com; hzzhaozeng@corp.netease.com; zdeng4@central.uh.edu; dingyu01@corp.netease.com</t>
  </si>
  <si>
    <t>Deng, Zhigang/0000-0002-0452-8676; Zhao, Zeng/0000-0002-7292-876X; Deng, Zhigang/0000-0003-2571-5865</t>
  </si>
  <si>
    <t>1077-2626</t>
  </si>
  <si>
    <t>1941-0506</t>
  </si>
  <si>
    <t>IEEE T VIS COMPUT GR</t>
  </si>
  <si>
    <t>IEEE Trans. Vis. Comput. Graph.</t>
  </si>
  <si>
    <t>10.1109/TVCG.2021.3115902</t>
  </si>
  <si>
    <t>7M2HO</t>
  </si>
  <si>
    <t>WOS:000906475100009</t>
  </si>
  <si>
    <t>Watts, FM; Dood, AJ; Shultz, GV; Rodriguez, JMG</t>
  </si>
  <si>
    <t>Watts, Field M.; Dood, Amber J.; Shultz, Ginger V.; Rodriguez, Jon-Marc G.</t>
  </si>
  <si>
    <t>Comparing Student and Generative Artificial Intelligence Chatbot Responses to Organic Chemistry Writing-to-Learn Assignments</t>
  </si>
  <si>
    <t>Second-Year Undergraduate; Organic Chemistry; Writing; Problem Solving; Assessment; Mechanisms of Reactions; Internet/Web-Based Learning; Chemical Education Research</t>
  </si>
  <si>
    <t>MECHANISMS; FRAMEWORK; THINKING</t>
  </si>
  <si>
    <t>Chemistry education research demonstrates the value of open-ended writing tasks, such as writing-to-learn (WTL) assignments, for supporting students' learning with topics including reasoning about reaction mechanisms. The emergence of generative artificial intelligence (AI) technology, such as chatbots ChatGPT and Bard, raises concerns regarding the value of open-ended writing tasks in the classroom; one concern involves academic integrity and whether students will use these chatbots to produce sufficient responses to open-ended writing tasks. The present study investigates the degree to which generative AI chatbots exhibit mechanistic reasoning in response to organic chemistry WTL assignments. We produced responses from three generative AI chatbots (ChatGPT-3.5, ChatGPT-4, and Bard) to two WTL assignments developed to elicit students' mechanistic reasoning. Using previously reported machine learning models for analyzing student writing in response to the WTL assignments, we analyzed the chatbot responses for the inclusion of features pertinent to mechanistic reasoning. Herein, we report quantitative analyses of (1) the differences between chatbot responses on the two assignments and (2) the differences between chatbot and authentic student responses. Findings indicate that chatbots respond differently to different WTL assignments. Additionally, the chatbots rarely incorporated the discussion of electron movement, a key feature of mechanistic reasoning. Furthermore, the chatbots, in general, do not engage in mechanistic reasoning at the same level as students. We contextualize the results by considering academic integrity with the assumption that students' intentions are to engage in academically honest behavior, and we focus on understanding the ethical uses of generative AI for classroom assignments.</t>
  </si>
  <si>
    <t>[Dood, Amber J.; Shultz, Ginger V.] Univ Michigan, Dept Chem, Ann Arbor, MI 48109 USA; [Watts, Field M.; Rodriguez, Jon-Marc G.] Univ Wisconsin, Dept Chem &amp; Biochem, Milwaukee, WI 53211 USA</t>
  </si>
  <si>
    <t>University of Michigan System; University of Michigan; University of Wisconsin System; University of Wisconsin Milwaukee</t>
  </si>
  <si>
    <t>Watts, FM (corresponding author), Univ Wisconsin, Dept Chem &amp; Biochem, Milwaukee, WI 53211 USA.</t>
  </si>
  <si>
    <t>wattsf@uwm.edu</t>
  </si>
  <si>
    <t>Watts, Field/ABA-1960-2021</t>
  </si>
  <si>
    <t>Rodriguez, Jon-Marc G./0000-0001-6949-6823; Watts, Field/0000-0002-1800-1816; Dood, Amber/0000-0003-4572-1402</t>
  </si>
  <si>
    <t>University of Michigan Provost's Third Century Initiative</t>
  </si>
  <si>
    <t>The authors would like to thank the University of Michigan Provost's Third Century Initiative for funding. We would like to thank the participating students, as well as Solaire Finkenstaedt-Quinn, Ina Zaimi, and Michael Petterson for their assistance in developing the two WTL assignments. The authors would additionally like to thank Solaire FinkenstaedtQuinn for discussions related to the preparation of this manuscript.</t>
  </si>
  <si>
    <t>10.1021/acs.jchemed.3c00664</t>
  </si>
  <si>
    <t>T5DC4</t>
  </si>
  <si>
    <t>WOS:001070107700001</t>
  </si>
  <si>
    <t>Pack, A; Maloney, J</t>
  </si>
  <si>
    <t>Pack, Austin; Maloney, Jeffrey</t>
  </si>
  <si>
    <t>Using Generative Artificial Intelligence for Language Education Research: Insights from Using OpenAI's ChatGPT</t>
  </si>
  <si>
    <t>TESOL QUARTERLY</t>
  </si>
  <si>
    <t>Progress made in Natural Language Processing (NLP) and Artificial Intelligence (AI) in recent years has resulted in these tools becoming more accessible for individuals who lack professional training. Of particular note are large language models, such as OpenAI's GPT-3.5. Discussions of utilizing AI for language education usually focus on the impact the technology will have on students and teachers. Less frequently the center of attention is how generative AI tools can empower researchers. The purpose of this paper is to raise awareness by demonstrating and discussing examples of how OpenAI's chatbot, ChatGPT, can be leveraged as a tool for language education researchers. After briefly introducing the use of AI generative tools in the field, this paper demonstrates how a researcher, without any understanding of NLP or AI, may use ChatGPT to assist with research through multiple means, including approaches to its use for compiling and summarizing information, and as a research assistant throughout multiple steps of research. This is followed by a discussion of potential ethical concerns of using AI for research in the field. We conclude by issuing a call for further work examining how researchers can harness the potential of this technology in ethical ways.</t>
  </si>
  <si>
    <t>[Pack, Austin; Maloney, Jeffrey] Brigham Young Univ Hawaii, Laie, HI 96762 USA</t>
  </si>
  <si>
    <t>Brigham Young University; Brigham Young University - Hawaii</t>
  </si>
  <si>
    <t>Pack, A (corresponding author), Brigham Young Univ Hawaii, Laie, HI 96762 USA.</t>
  </si>
  <si>
    <t>austin.pack@byuh.edu</t>
  </si>
  <si>
    <t>Maloney, Jeffrey/0000-0003-3769-7502; Pack, Austin/0000-0002-3861-5620</t>
  </si>
  <si>
    <t>0039-8322</t>
  </si>
  <si>
    <t>1545-7249</t>
  </si>
  <si>
    <t>TESOL QUART</t>
  </si>
  <si>
    <t>Tesol Q.</t>
  </si>
  <si>
    <t>10.1002/tesq.3253</t>
  </si>
  <si>
    <t>X6VH3</t>
  </si>
  <si>
    <t>WOS:001041684200001</t>
  </si>
  <si>
    <t>Phillips, J; Robie, C</t>
  </si>
  <si>
    <t>Phillips, Jane; Robie, Chet</t>
  </si>
  <si>
    <t>Can a computer outfake a human?</t>
  </si>
  <si>
    <t>PERSONALITY AND INDIVIDUAL DIFFERENCES</t>
  </si>
  <si>
    <t>Personality; Single stimulus; Forced choice; Generative AI; Large language models</t>
  </si>
  <si>
    <t>Faking on personality tests continues to be a challenge in hiring practices, and with the increased accessibility to free, generative AI large language models (LLM), the difference between human and algorithmic responses is difficult to distinguish. Four LLMs-GPT-3.5, Jasper, Google Bard, and GPT-4 were prompted to provide ideal responses to personality measures, specific to a provided job description. Responses collected from the LLM's were compared to a previously collected student population sample who were also directed to respond in a ideal fashion to the same job description. Overall, score comparisons indicate the superior performance of GPT-4 on both the single stimulus and forced-choice personality assessments and reinforce the need to consider more advanced options in preventing faking on personality assessments. Additionally, results from this study indicate the need for future research, especially as generative AI improves and becomes more accessible to a range of candidates.</t>
  </si>
  <si>
    <t>[Phillips, Jane; Robie, Chet] Wilfrid Laurier Univ, Lazaridis Sch Business &amp; Econ, 75 Univ Ave West, Waterloo, ON N2L 3C7, Canada</t>
  </si>
  <si>
    <t>Wilfrid Laurier University</t>
  </si>
  <si>
    <t>Phillips, J (corresponding author), Wilfrid Laurier Univ, Lazaridis Sch Business &amp; Econ, 75 Univ Ave West, Waterloo, ON N2L 3C7, Canada.</t>
  </si>
  <si>
    <t>phil2420@mylaurier.ca; crobie@wlu.ca</t>
  </si>
  <si>
    <t>0191-8869</t>
  </si>
  <si>
    <t>1873-3549</t>
  </si>
  <si>
    <t>PERS INDIV DIFFER</t>
  </si>
  <si>
    <t>Pers. Individ. Differ.</t>
  </si>
  <si>
    <t>10.1016/j.paid.2023.112434</t>
  </si>
  <si>
    <t>Psychology, Social</t>
  </si>
  <si>
    <t>W3YF9</t>
  </si>
  <si>
    <t>WOS:001091009800001</t>
  </si>
  <si>
    <t>Çelik, T</t>
  </si>
  <si>
    <t>Celik, Tugce</t>
  </si>
  <si>
    <t>Generative design experiments with artificial intelligence: reinterpretation of shape grammar</t>
  </si>
  <si>
    <t>OPEN HOUSE INTERNATIONAL</t>
  </si>
  <si>
    <t>Architectural design; Artificial intelligence; Generative design; Shape grammar; Palladio</t>
  </si>
  <si>
    <t>PurposeCan artificial intelligence produce architectural plan schemes? discussion is the starting point of this study. The aim of this paper is to question whether this will be a new method in architectural design by producing plans with artificial intelligence interfaces working with human-computer interaction and to create a discussion environment.Design/methodology/approachThe main research topic is the evaluation of architectural design decisions with the text-to-image generation AI algorithms method based on shape grammar rules. First, a sample space consisting of Palladio plans or plan diagrams was created. Plan diagram production experiments were made with different interfaces (Midjourney, Dall-e2, Stable Diffusion, Craiyon, Nightcafe), and alternative plan diagrams were recorded as outputs. The discussion of the outputs has been made over architectural design and space.FindingsIn the conceptual design phase of the architectural discipline and in the production of architectural plan scheme, AI algorithms are trending. This interaction imposes a new responsibility on architects. AI can create paradigm shifts in architectural processes with its tools with high data processing potential. On the other hand, in this study, it is emphasized that architecture is not just an act of producing visuals, but a functional act of producing visuals.Originality/valueThe technology is effective in producing architectural plans and directing them to artificial intelligence algorithms. With this study, multi-alternative architectural plan productions were tried with text-to-image bots with fast results. In this direction, a new method proposal has been developed for the conceptual design phase in architecture.</t>
  </si>
  <si>
    <t>[Celik, Tugce] OSTIM Tech Univ, Ankara, Turkiye</t>
  </si>
  <si>
    <t>Ostim Technical University</t>
  </si>
  <si>
    <t>Çelik, T (corresponding author), OSTIM Tech Univ, Ankara, Turkiye.</t>
  </si>
  <si>
    <t>tugce.celik@ostimteknik.edu.tr</t>
  </si>
  <si>
    <t>Çelik, Tuğçe/GYE-2520-2022</t>
  </si>
  <si>
    <t>Çelik, Tuğçe/0000-0002-2953-6373</t>
  </si>
  <si>
    <t>0168-2601</t>
  </si>
  <si>
    <t>2633-9838</t>
  </si>
  <si>
    <t>OPEN HOUSE INT</t>
  </si>
  <si>
    <t>Open House Int.</t>
  </si>
  <si>
    <t>2023 AUG 3</t>
  </si>
  <si>
    <t>10.1108/OHI-04-2023-0079</t>
  </si>
  <si>
    <t>Architecture; Environmental Studies; Urban Studies</t>
  </si>
  <si>
    <t>Architecture; Environmental Sciences &amp; Ecology; Urban Studies</t>
  </si>
  <si>
    <t>O0ED5</t>
  </si>
  <si>
    <t>WOS:001040629200001</t>
  </si>
  <si>
    <t>Pouliou, P; Horvath, AS; Palamas, G</t>
  </si>
  <si>
    <t>Pouliou, Panagiota; Horvath, Anca-Simona; Palamas, George</t>
  </si>
  <si>
    <t>Speculative hybrids: Investigating the generation of conceptual architectural forms through the use of 3D generative adversarial networks</t>
  </si>
  <si>
    <t>computational design; architecture; machine learning; design process; GNN; point cloud; generative design; artificial intelligence</t>
  </si>
  <si>
    <t>DESIGN; MACHINE; FUTURE; MODELS</t>
  </si>
  <si>
    <t>The process of architectural design aims at solving complex problems that have loosely defined formulations, no explicit basis for terminating the problem-solving activity, and where no ideal solution can be achieved. This means that design problems, as wicked problems, sit in a space between incompleteness and precision. Applying digital tools in general and artificial intelligence in particular to design problems will then mediate solution spaces between incompleteness and precision. In this paper, we present a study where we employed machine learning algorithms to generate conceptual architectural forms for site-specific regulations. We created an annotated dataset of single-family homes and used it to train a 3D Generative Adversarial Network that generated annotated point clouds complying with site constraints. Then, we presented the framework to 23 practitioners of architecture in an attempt to understand whether this framework could be a useful tool for early-stage design. We make a three-fold contribution: First, we share an annotated dataset of architecturally relevant 3D point clouds of single-family homes. Next, we present and share the code for a framework and the results from training the 3D generative neural network. Finally, we discuss machine learning and creative work, including how practitioners feel about the emergence of these tools as mediators between incompleteness and precision in architectural design.</t>
  </si>
  <si>
    <t>[Pouliou, Panagiota] KADK, Ctr Informat Technol &amp; Architecture, Philip De Langes Alle 10, DK-1435 Copenhagen, Denmark; [Horvath, Anca-Simona] Aalborg Univ, Dept Commun &amp; Psychol, Aalborg, Denmark; [Palamas, George] Aalborg Univ, Dept Architecture Design &amp; Media Technol, Aalborg, Denmark</t>
  </si>
  <si>
    <t>Aalborg University; Aalborg University</t>
  </si>
  <si>
    <t>Pouliou, P (corresponding author), KADK, Ctr Informat Technol &amp; Architecture, Philip De Langes Alle 10, DK-1435 Copenhagen, Denmark.</t>
  </si>
  <si>
    <t>yotapouliou@gmail.com</t>
  </si>
  <si>
    <t>Horvath, Anca-Simona/IYT-1243-2023; Pouliou, Panayota/JBJ-1509-2023</t>
  </si>
  <si>
    <t>Horvath, Anca-Simona/0000-0001-5371-5657; Pouliou, Panayota/0000-0002-8069-3382</t>
  </si>
  <si>
    <t>Human Centered AI cluster, Department of Communication and Psychology, Faculty of Humanities and Social Sciences, at Aalborg University</t>
  </si>
  <si>
    <t>The author(s) received financial support for the research from the Human Centered AI cluster, Department of Communication and Psychology, Faculty of Humanities and Social Sciences, at Aalborg University.</t>
  </si>
  <si>
    <t>10.1177/14780771231168229</t>
  </si>
  <si>
    <t>WOS:000977899300001</t>
  </si>
  <si>
    <t>Dedeoglu, M; Lin, S; Zhang, ZF; Zhang, JS</t>
  </si>
  <si>
    <t>Dedeoglu, Mehmet; Lin, Sen; Zhang, Zhaofeng; Zhang, Junshan</t>
  </si>
  <si>
    <t>Continual Learning of Generative Models With Limited Data: From Wasserstein-1 Barycenter to Adaptive Coalescence</t>
  </si>
  <si>
    <t>Adaptation models; Data models; Computational modeling; Optimization; Solid modeling; Task analysis; Servers; Continual learning; generative adversarial networks (GANs); optimal transport theory; Wasserstein barycenters</t>
  </si>
  <si>
    <t>OPTIMAL-TRANSPORT</t>
  </si>
  <si>
    <t>Learning generative models is challenging for a network edge node with limited data and computing power. Since tasks in similar environments share a model similarity, it is plausible to leverage pretrained generative models from other edge nodes. Appealing to optimal transport theory tailored toward Wasserstein-1 generative adversarial networks (WGANs), this study aims to develop a framework that systematically optimizes continual learning of generative models using local data at the edge node while exploiting adaptive coalescence of pretrained generative models. Specifically, by treating the knowledge transfer from other nodes as Wasserstein balls centered around their pretrained models, continual learning of generative models is cast as a constrained optimization problem, which is further reduced to a Wasserstein-1 barycenter problem. A two-stage approach is devised accordingly: 1) the barycenters among the pretrained models are computed offline, where displacement interpolation is used as the theoretic foundation for finding adaptive barycenters via a recursive WGAN configuration and 2) the barycenter computed offline is used as metamodel initialization for continual learning, and then, fast adaptation is carried out to find the generative model using the local samples at the target edge node. Finally, a weight ternarization method, based on joint optimization of weights and threshold for quantization, is developed to compress the generative model further. Extensive experimental studies corroborate the effectiveness of the proposed framework.</t>
  </si>
  <si>
    <t>[Dedeoglu, Mehmet; Zhang, Zhaofeng] Arizona State Univ, Sch Elect Comp &amp; Energy Engn, Tempe, AZ 85281 USA; [Lin, Sen] Ohio State Univ, AI EDGE Inst, Columbus, OH 43210 USA; [Zhang, Junshan] Univ Calif Davis, Dept Elect &amp; Comp Engn, Davis, CA 95616 USA</t>
  </si>
  <si>
    <t>Arizona State University; Arizona State University-Tempe; University System of Ohio; Ohio State University; University of California System; University of California Davis</t>
  </si>
  <si>
    <t>Dedeoglu, M (corresponding author), Arizona State Univ, Sch Elect Comp &amp; Energy Engn, Tempe, AZ 85281 USA.</t>
  </si>
  <si>
    <t>mdedeogl@asu.edu</t>
  </si>
  <si>
    <t>Lin, Sen/JKI-3345-2023</t>
  </si>
  <si>
    <t>Lin, Sen/0000-0002-3797-3215</t>
  </si>
  <si>
    <t>NSF [CNS-2203239, CNS-2203412, CCSS-2121222]</t>
  </si>
  <si>
    <t>This work was supported in part by NSF Grant CNS-2203239, Grant CNS-2203412, and Grant CCSS-2121222.</t>
  </si>
  <si>
    <t>2023 MAR 15</t>
  </si>
  <si>
    <t>10.1109/TNNLS.2023.3251096</t>
  </si>
  <si>
    <t>A3CQ7</t>
  </si>
  <si>
    <t>WOS:000953949000001</t>
  </si>
  <si>
    <t>Gallent-Torres, C; Zapata-González, A; Ortego-Hernando, JL</t>
  </si>
  <si>
    <t>Gallent-Torres, Cinta; Zapata-Gonzalez, Alfredo; Ortego-Hernando, Jose Luis</t>
  </si>
  <si>
    <t>The impact of Generative Artificial Intelligence in higher education: a focus on ethics and academic integrity</t>
  </si>
  <si>
    <t>RELIEVE-REVISTA ELECTRONICA DE INVESTIGACION Y EVALUACION EDUCATIVA</t>
  </si>
  <si>
    <t>ethics; academic integrity; Generative Artificial Intelligence (GAI); higher education</t>
  </si>
  <si>
    <t>Generative Artificial Intelligence (GAI) has revolutionized the field of higher education, and sparked debates on the potential of tools such as ChatGPT, Humata.ai or Sudowrite in teaching, learning and assessment processes. While their integration in this context offers numerous opportunities ( e.g., instant feedback, generation of resources and teaching materials, adaptive learning, interactivity, etc.), it also poses significant challenges that raise ethical and academic integrity concerns, such as the reliability of information, transparency regarding the sources used, or data privacy and security. The aim of this article is to examine the ethical implications of GAI in higher education from a three-fold perspective (students, faculty, and institutions). Additionally, it aims to analyze its impact on aspects related to security, accessibility, sustainability and even new forms of plagiarism and academic fraud that involve impersonation of authorship. Based on the literature review conducted, and in accordance with the ideas proposed by some authors, possibilities for integrating GAI into university classrooms will be explored. This will be achieved through pedagogical practices that guide students in the proper use of GAI and enable faculty to seek new educational approaches. This transformation process will require the establishment of clear guidelines that align with ethical codes and integrity policies of higher education institutions. Ultimately, the reflection on how to combine education, innovation, and academic integrity will provide these three groups with a new opportunity to drive improvements in university education.</t>
  </si>
  <si>
    <t>[Gallent-Torres, Cinta] Univ Valencia, Av Blasco Ibanez 32, Valencia, Spain; [Gallent-Torres, Cinta; Ortego-Hernando, Jose Luis] Univ Balearic Isl, Palma De Mallorca, Spain; [Zapata-Gonzalez, Alfredo] Autonomous Univ Yucatan, Comp Sci, Merida, Mexico</t>
  </si>
  <si>
    <t>University of Valencia; Universitat de les Illes Balears; Universidad Autonoma de Yucatan</t>
  </si>
  <si>
    <t>Gallent-Torres, C (corresponding author), Univ Valencia, Av Blasco Ibanez 32, Valencia, Spain.</t>
  </si>
  <si>
    <t>cinta.gallent@uv.es; zgonza@correo.uady.mx; jluis.ortego@uib.cat</t>
  </si>
  <si>
    <t>MCIN/AEI [PID2022-141031NB-I00]; FEDER Una manera de hacer Europa</t>
  </si>
  <si>
    <t>MCIN/AEI; FEDER Una manera de hacer Europa</t>
  </si>
  <si>
    <t>This publication is part of the R+D+i project with reference number PID2022-141031NB-I00, funded by MCIN/AEI/10.13039/501100011033/and FEDER Una manera de hacer Europa. It is also part of the actions of the Ibero-American Research Network on Academic Integrity (Red-IAI).</t>
  </si>
  <si>
    <t>ASOC INTERUNIVERSITARIA INVESTIGACION PEDAGOGICA</t>
  </si>
  <si>
    <t>VALENCIA</t>
  </si>
  <si>
    <t>AVE BLASCO IBANEZ NO 30, VALENCIA, 46010, SPAIN</t>
  </si>
  <si>
    <t>1134-4032</t>
  </si>
  <si>
    <t>RELIEVE</t>
  </si>
  <si>
    <t>10.30827/relieve.v29i2.29134</t>
  </si>
  <si>
    <t>JF8X8</t>
  </si>
  <si>
    <t>WOS:001171855700008</t>
  </si>
  <si>
    <t>Noy, S; Zhang, W</t>
  </si>
  <si>
    <t>Noy, Shakked; Zhang, Whitney</t>
  </si>
  <si>
    <t>Experimental evidence on the productivity effects of generative artificial intelligence</t>
  </si>
  <si>
    <t>LABOR-MARKET; GROWTH; JOBS</t>
  </si>
  <si>
    <t>We examined the productivity effects of a generative artificial intelligence (AI) technology, the assistive chatbot ChatGPT, in the context of midlevel professional writing tasks. In a preregistered online experiment, we assigned occupation-specific, incentivized writing tasks to 453 college-educated professionals and randomly exposed half of them to ChatGPT. Our results show that ChatGPT substantially raised productivity: The average time taken decreased by 40% and output quality rose by 18%. Inequality between workers decreased, and concern and excitement about AI temporarily rose. Workers exposed to ChatGPT during the experiment were 2 times as likely to report using it in their real job 2 weeks after the experiment and 1.6 times as likely 2 months after the experiment.</t>
  </si>
  <si>
    <t>[Noy, Shakked; Zhang, Whitney] MIT, Dept Econ, Cambridge, MA 02139 USA</t>
  </si>
  <si>
    <t>Noy, S (corresponding author), MIT, Dept Econ, Cambridge, MA 02139 USA.</t>
  </si>
  <si>
    <t>snoy@mit.edu</t>
  </si>
  <si>
    <t>Zhang, Whitney/0000-0001-7399-0066</t>
  </si>
  <si>
    <t>Emergent Ventures grant; Mercatus Center, George Mason University; MIT Economics Department; National Science Foundation Graduate Research Fellowship Grant [745302]; George and Obie Shultz Fund grant</t>
  </si>
  <si>
    <t>Emergent Ventures grant; Mercatus Center, George Mason University; MIT Economics Department; National Science Foundation Graduate Research Fellowship Grant; George and Obie Shultz Fund grant</t>
  </si>
  <si>
    <t>This work was supported by an Emergent Ventures grant, the Mercatus Center, George Mason University (S.N.), a George and Obie Shultz Fund grant, the MIT Economics Department (S.N.), and National Science Foundation Graduate Research Fellowship Grant 745302 (W.Z.).</t>
  </si>
  <si>
    <t>AMER ASSOC ADVANCEMENT SCIENCE</t>
  </si>
  <si>
    <t>1200 NEW YORK AVE, NW, WASHINGTON, DC 20005 USA</t>
  </si>
  <si>
    <t>0036-8075</t>
  </si>
  <si>
    <t>1095-9203</t>
  </si>
  <si>
    <t>Science</t>
  </si>
  <si>
    <t>JUL 14</t>
  </si>
  <si>
    <t>10.1126/science.adh2586</t>
  </si>
  <si>
    <t>Q6MW6</t>
  </si>
  <si>
    <t>WOS:001058656200004</t>
  </si>
  <si>
    <t>Lacey, MM; Smith, DP</t>
  </si>
  <si>
    <t>Lacey, Melissa M.; Smith, David P.</t>
  </si>
  <si>
    <t>Teaching and assessment of the future today: higher education and AI</t>
  </si>
  <si>
    <t>Artificial intelligence (AI), once a subject of science fiction, is now a tangible, disruptive force in teaching and learning. In an educational setting, generative large language models (LLM), such as OpenAI's ChatGPT, perform and supplement tasks that usually require human thought, such as data analysis, understanding complex ideas, problem-solving, coding and producing written outputs. AI advances are moving quickly. From the emergence of ChatGPT 3.5 in November 2022, we have witnessed the arrival of other progressive language models, like OpenAI's GPT-4, Google's Bard AI and Microsoft's Bing AI. Most recently, AIs gained the ability to access real-time information, analyse images and are becoming directly embedded in many applications.</t>
  </si>
  <si>
    <t>[Lacey, Melissa M.; Smith, David P.] Sheffield Hallam Univ, Howard St, Sheffield S1 1WB, England</t>
  </si>
  <si>
    <t>Sheffield Hallam University</t>
  </si>
  <si>
    <t>Lacey, MM (corresponding author), Sheffield Hallam Univ, Howard St, Sheffield S1 1WB, England.</t>
  </si>
  <si>
    <t>m.lacey@shu.ac.uk</t>
  </si>
  <si>
    <t>Lacey, Melissa/0000-0003-0997-0217; Smith, David/0000-0001-5177-8574</t>
  </si>
  <si>
    <t>2023 JUL 14</t>
  </si>
  <si>
    <t>10.1071/MA23036</t>
  </si>
  <si>
    <t>M1MY2</t>
  </si>
  <si>
    <t>Green Accepted, gold</t>
  </si>
  <si>
    <t>WOS:001027882700001</t>
  </si>
  <si>
    <t>WOS:001176478700004</t>
  </si>
  <si>
    <t>Dalal, D; Bilal, M; Shah, HT; Sifat, AI; Pal, A; Augustin, P</t>
  </si>
  <si>
    <t>Dalal, Dhaval; Bilal, Muhammad; Shah, Hritik; Sifat, Anwarul Islam; Pal, Anamitra; Augustin, Philip</t>
  </si>
  <si>
    <t>Cross-Correlated Scenario Generation for Renewable-Rich Power Systems Using Implicit Generative Models</t>
  </si>
  <si>
    <t>ENERGIES</t>
  </si>
  <si>
    <t>dynamic time warping; generative adversarial network; power system planning; renewable energy; scenario generation</t>
  </si>
  <si>
    <t>Generation of realistic scenarios is an important prerequisite for analyzing the reliability of renewable-rich power systems. This paper satisfies this need by presenting an end-to-end model-free approach for creating representative power system scenarios on a seasonal basis. A conditional recurrent generative adversarial network serves as the main engine for scenario generation. Compared to prior scenario generation models that treated the variables independently or focused on short-term forecasting, the proposed implicit generative model effectively captures the cross-correlations that exist between the variables considering long-term planning. The validity of the scenarios generated using the proposed approach is demonstrated through extensive statistical evaluation and investigation of end-application results. It is shown that analysis of abnormal scenarios, which is more critical for power system resource planning, benefits the most from cross-correlated scenario generation.</t>
  </si>
  <si>
    <t>[Dalal, Dhaval; Bilal, Muhammad; Shah, Hritik; Sifat, Anwarul Islam; Pal, Anamitra] Arizona State Univ, Sch Elect Comp &amp; Energy Engn, Tempe, AZ 85281 USA; [Augustin, Philip] Salt River Project SRP, 6504 East Thomas Rd, Scottsdale, AZ 85251 USA</t>
  </si>
  <si>
    <t>Pal, A (corresponding author), Arizona State Univ, Sch Elect Comp &amp; Energy Engn, Tempe, AZ 85281 USA.</t>
  </si>
  <si>
    <t>anamitra.pal@asu.edu</t>
  </si>
  <si>
    <t>Sifat, Anwarul Islam/0000-0003-4587-8848; Pal, Anamitra/0000-0001-8377-8480</t>
  </si>
  <si>
    <t>Salt River Project (SRP) [96-180C 2021-2022 EE-04]; National Science Foundation (NSF) [OAC 1934766, ECCS 2145063]</t>
  </si>
  <si>
    <t>Salt River Project (SRP); National Science Foundation (NSF)(National Science Foundation (NSF))</t>
  </si>
  <si>
    <t>This work was supported in part by the Salt River Project (SRP) under grant 96-180C 2021-2022 EE-04, and the National Science Foundation (NSF) under grants OAC 1934766 and ECCS 2145063.</t>
  </si>
  <si>
    <t>1996-1073</t>
  </si>
  <si>
    <t>Energies</t>
  </si>
  <si>
    <t>10.3390/en16041636</t>
  </si>
  <si>
    <t>Energy &amp; Fuels</t>
  </si>
  <si>
    <t>9H5SF</t>
  </si>
  <si>
    <t>WOS:000938891900001</t>
  </si>
  <si>
    <t>Masclef, NL; Chuttarsing, A</t>
  </si>
  <si>
    <t>Masclef, Ninon Lize; Chuttarsing, Adrien</t>
  </si>
  <si>
    <t>Latent Organism: Embodied Co-Creation with AI</t>
  </si>
  <si>
    <t>co-creation; artificial intelligence; embodiment; 3D graphics; tangible; AI art; latent space</t>
  </si>
  <si>
    <t>By leveraging recent generative models, Latent Organism suggests a new method for creating 3D objects through tangible interaction. Our artifact enables anyone to create complex and organic 3D shapes using an understandable and sensitive tactile interface. This process of cooperative creation between humans and machines empowers individuals to develop a craftsmanship of artificial imagination modeling. The machine was fed thousands of images of living beings so as to learn a representation of the concept of organic flesh. Then, one can go around in this endless realm of possibility. By employing the machine's imagination as clay, the subject becomes an active explorer of the latent space.</t>
  </si>
  <si>
    <t>[Masclef, Ninon Lize] Dassault Syst, Velizy Villacoublay, France; [Chuttarsing, Adrien] Paris Saclay Univ, Gif Sur Yvette, France</t>
  </si>
  <si>
    <t>Dassault Systemes; Universite Paris Saclay</t>
  </si>
  <si>
    <t>Masclef, NL (corresponding author), Dassault Syst, Velizy Villacoublay, France.</t>
  </si>
  <si>
    <t>lizeninon@gmail.com; adrien.chuttarsing@gmail.com</t>
  </si>
  <si>
    <t>French Ministry of Culture; X10DD Senses Laboratory research group at the University for the Creative Arts; School of Design at the University of Greenwich, London</t>
  </si>
  <si>
    <t>The first prototype of the installation was developed in 2021 in collaboration with Marianne Canu and Sophie Chen during the creARTathon workshop organized by Inria, the University of Paris-Saclay, and the association Societies. Latent Organism was awarded the second prize of the creARTathon, and showcased at ENS Paris-Saclay and Gallery Joseph, Paris. This event was supported by the French Ministry of Culture. The second iteration of the artwork was created for the Extended Senses &amp; Embodying Technology Symposium 2022, supported by the X10DD Senses Laboratory research group at the University for the Creative Arts and the School of Design at the University of Greenwich, London. It was exhibited at Stephen Lawrence Gallery, London.</t>
  </si>
  <si>
    <t>10.1145/3591196.3593508</t>
  </si>
  <si>
    <t>WOS:001119074200029</t>
  </si>
  <si>
    <t>Kim, J; Park, H</t>
  </si>
  <si>
    <t>Kim, Jiha; Park, Hyunhee</t>
  </si>
  <si>
    <t>Limited Discriminator GAN using explainable AI model for overfitting problem</t>
  </si>
  <si>
    <t>ICT EXPRESS</t>
  </si>
  <si>
    <t>GAN; Discriminator; Generator; Overfitting; Explainable AI</t>
  </si>
  <si>
    <t>Data-driven learning is the most representative deep learning method. Generative adversarial networks (GANs) are designed to generate sufficient data to support such learning. The learning process of GAN models typically trains a generator and discriminator in turn. However, overfitting problems occur when the discriminator depends excessively on the training data. When this problem persists, the image created by the generator shows a similar appearance to the learning image. Images similar to learning images eventually lose the meaning of data augmentation. In this paper, we propose a limited discriminator GAN (LDGAN) model that explains the results of GAN, which is a model that cannot be analyzed externally, such as a black box. The part explained in LDGAN becomes the discriminator model of GAN, and it is possible to check which area of the image is used as the basis for determining fake/real by the discriminator. In the end, a method for limiting the learning of discriminator is proposed based on the described results. Through this, it is possible to avoid the overfitting problem of the discriminator and to generate various images different from the learning image. The LDGAN method allows users to perform meaningful data augmentation with only specific objects except for complex images or backgrounds that require analysis. Compare the LDGAN method with the existing DCGAN and present the extensive simulation results. The extensive simulation result shows that the image generated by the proposed LDGAN including the estimation area is about 10% more. (c) 2022 The Author(s). Published by Elsevier B.V. on behalf of The Korean Institute of Communications and Information Sciences. This is an open access article under the CC BY license (http://creativecommons.org/licenses/by/4.0/).</t>
  </si>
  <si>
    <t>[Kim, Jiha; Park, Hyunhee] Myongji Univ, Dept Informat &amp; Commun Engn, Yongin, South Korea</t>
  </si>
  <si>
    <t>Myongji University</t>
  </si>
  <si>
    <t>Park, H (corresponding author), Myongji Univ, Dept Informat &amp; Commun Engn, Yongin, South Korea.</t>
  </si>
  <si>
    <t>yaki5896@mju.ac.kr; hhpark@mju.ac.kr</t>
  </si>
  <si>
    <t>Park, Hyunhee/0000-0003-3810-7367; Kim, Jiha/0000-0002-6711-6812</t>
  </si>
  <si>
    <t>2020 Research Fund of Myongji University; Institute for Information &amp; Communications Technology Planning &amp; Evaluation (IITP) grant - Korean government (MSIT) [2021-0-00990]</t>
  </si>
  <si>
    <t>2020 Research Fund of Myongji University; Institute for Information &amp; Communications Technology Planning &amp; Evaluation (IITP) grant - Korean government (MSIT)(Institute for Information &amp; Communication Technology Planning &amp; Evaluation (IITP), Republic of KoreaMinistry of Science &amp; ICT (MSIT), Republic of Korea)</t>
  </si>
  <si>
    <t>This work was supported by 2020 Research Fund of Myongji University and the Institute for Information &amp; Communications Technology Planning &amp; Evaluation (IITP) grant funded by the Korean government (MSIT) (No. 2021-0-00990, Research on Advanced Core Technologies for WLAN based on eXplainable AI) .</t>
  </si>
  <si>
    <t>2405-9595</t>
  </si>
  <si>
    <t>ICT Express</t>
  </si>
  <si>
    <t>10.1016/j.icte.2021.12.014</t>
  </si>
  <si>
    <t>Computer Science, Information Systems; Telecommunications</t>
  </si>
  <si>
    <t>G5LZ3</t>
  </si>
  <si>
    <t>WOS:000989582200001</t>
  </si>
  <si>
    <t>Baeza-Yates, R</t>
  </si>
  <si>
    <t>Baeza-Yates, Ricardo</t>
  </si>
  <si>
    <t>LECTURE HELD AT THE ACADEMIA EUROPAEA BUILDING BRIDGES CONFERENCE 2022 An Introduction to Responsible AI</t>
  </si>
  <si>
    <t>EUROPEAN REVIEW</t>
  </si>
  <si>
    <t>Artificial intelligence (AI) has finally reached most people on our planet thanks to generative AI tools for text and other media. This has started a controversy about the possible benefits and risks, where responsible AI is key. Hence, we introduce the concept of responsible AI, its relation to AI ethics, and why the terms ethical or trustworthy AI should not be used. We then cover the three main relevant aspects of this new field: principles governance and regulation.</t>
  </si>
  <si>
    <t>[Baeza-Yates, Ricardo] Northeastern Univ, Inst Experiential Artificial Intelligence EAI, Boston, MA 02136 USA</t>
  </si>
  <si>
    <t>Northeastern University</t>
  </si>
  <si>
    <t>Baeza-Yates, R (corresponding author), Northeastern Univ, Inst Experiential Artificial Intelligence EAI, Boston, MA 02136 USA.</t>
  </si>
  <si>
    <t>rbaeza@acm.org</t>
  </si>
  <si>
    <t>Baeza-Yates, Ricardo/0000-0003-3208-9778</t>
  </si>
  <si>
    <t>1062-7987</t>
  </si>
  <si>
    <t>1474-0575</t>
  </si>
  <si>
    <t>EUR REV</t>
  </si>
  <si>
    <t>Eur. Rev.</t>
  </si>
  <si>
    <t>PII S1062798723000145</t>
  </si>
  <si>
    <t>10.1017/S1062798723000145</t>
  </si>
  <si>
    <t>S6QN0</t>
  </si>
  <si>
    <t>WOS:001040037100001</t>
  </si>
  <si>
    <t>Huang, JAT; Neill, L; Wittbrodt, M; Melnick, D; Klug, M; Thompson, M; Bailitz, J; Loftus, T; Malik, S; Phull, A; Weston, V; Heller, JA; Etemadi, M</t>
  </si>
  <si>
    <t>Huang, Jonathan; Neill, Luke; Wittbrodt, Matthew; Melnick, David; Klug, Matthew; Thompson, Michael; Bailitz, John; Loftus, Timothy; Malik, Sanjeev; Phull, Amit; Weston, Victoria; Heller, J. Alex; Etemadi, Mozziyar</t>
  </si>
  <si>
    <t>Generative Artificial Intelligence for Chest Radiograph Interpretation in the Emergency Department</t>
  </si>
  <si>
    <t>JAMA NETWORK OPEN</t>
  </si>
  <si>
    <t>ACCURACY</t>
  </si>
  <si>
    <t>Importance Multimodal generative artificial intelligence (AI) methodologies have the potential to optimize emergency department care by producing draft radiology reports from input images.Objective To evaluate the accuracy and quality of AI-generated chest radiograph interpretations in the emergency department setting.Design, Setting, and Participants This was a retrospective diagnostic study of 500 randomly sampled emergency department encounters at a tertiary care institution including chest radiographs interpreted by both a teleradiology service and on-site attending radiologist from January 2022 to January 2023. An AI interpretation was generated for each radiograph. The 3 radiograph interpretations were each rated in duplicate by 6 emergency department physicians using a 5-point Likert scale.Main Outcomes and Measures The primary outcome was any difference in Likert scores between radiologist, AI, and teleradiology reports, using a cumulative link mixed model. Secondary analyses compared the probability of each report type containing no clinically significant discrepancy with further stratification by finding presence, using a logistic mixed-effects model. Physician comments on discrepancies were recorded.Results A total of 500 ED studies were included from 500 unique patients with a mean (SD) age of 53.3 (21.6) years; 282 patients (56.4%) were female. There was a significant association of report type with ratings, with post hoc tests revealing significantly greater scores for AI (mean [SE] score, 3.22 [0.34]; P &lt; .001) and radiologist (mean [SE] score, 3.34 [0.34]; P &lt; .001) reports compared with teleradiology (mean [SE] score, 2.74 [0.34]) reports. AI and radiologist reports were not significantly different. On secondary analysis, there was no difference in the probability of no clinically significant discrepancy between the 3 report types. Further stratification of reports by presence of cardiomegaly, pulmonary edema, pleural effusion, infiltrate, pneumothorax, and support devices also yielded no difference in the probability of containing no clinically significant discrepancy between the report types.Conclusions and Relevance In a representative sample of emergency department chest radiographs, results suggest that the generative AI model produced reports of similar clinical accuracy and textual quality to radiologist reports while providing higher textual quality than teleradiologist reports. Implementation of the model in the clinical workflow could enable timely alerts to life-threatening pathology while aiding imaging interpretation and documentation.</t>
  </si>
  <si>
    <t>[Huang, Jonathan; Neill, Luke; Bailitz, John; Loftus, Timothy; Malik, Sanjeev; Phull, Amit; Weston, Victoria] Northwestern Univ, Feinberg Sch Med, Dept Emergency Med, Chicago, IL USA; [Wittbrodt, Matthew; Melnick, David; Klug, Matthew; Thompson, Michael; Heller, J. Alex; Etemadi, Mozziyar] Northwestern Med Informat Serv, Res &amp; Dev, Chicago, IL USA; [Huang, Jonathan; Etemadi, Mozziyar] Northwestern Univ, Feinberg Sch Med, Dept Anesthesiol, Chicago, IL USA; [Huang, Jonathan; Etemadi, Mozziyar] Northwestern Univ, McCormick Sch Engn, Dept Biomed Engn, Evanston, IL USA; [Etemadi, Mozziyar] Northwestern Med, Adv Technol, Chicago, IL 60611 USA</t>
  </si>
  <si>
    <t>Northwestern University; Feinberg School of Medicine; Northwestern University; Feinberg School of Medicine; Northwestern University; Northwestern University; Feinberg School of Medicine</t>
  </si>
  <si>
    <t>Etemadi, M (corresponding author), Northwestern Med, Adv Technol, Chicago, IL 60611 USA.</t>
  </si>
  <si>
    <t>mozziyar.etemadi@nm.org</t>
  </si>
  <si>
    <t>Neill, Luke/0000-0002-6367-3486</t>
  </si>
  <si>
    <t>AMER MEDICAL ASSOC</t>
  </si>
  <si>
    <t>330 N WABASH AVE, STE 39300, CHICAGO, IL 60611-5885 USA</t>
  </si>
  <si>
    <t>2574-3805</t>
  </si>
  <si>
    <t>JAMA NETW OPEN</t>
  </si>
  <si>
    <t>JAMA Netw. Open</t>
  </si>
  <si>
    <t>OCT 5</t>
  </si>
  <si>
    <t>e2336100</t>
  </si>
  <si>
    <t>10.1001/jamanetworkopen.2023.36100</t>
  </si>
  <si>
    <t>T5BF4</t>
  </si>
  <si>
    <t>WOS:001078130500009</t>
  </si>
  <si>
    <t>Tao, YH; Ma, X; Zhang, YZ; Huang, K; Ji, ZX; Fan, W; Yuan, ST; Chen, Q</t>
  </si>
  <si>
    <t>Tao, Yuhui; Ma, Xiao; Zhang, Yizhe; Huang, Kun; Ji, Zexuan; Fan, Wen; Yuan, Songtao; Chen, Qiang</t>
  </si>
  <si>
    <t>LAGAN: Lesion-Aware Generative Adversarial Networks for Edema Area Segmentation in SD-OCT Images</t>
  </si>
  <si>
    <t>Edema area segmentation; generative adversarial network; lesion aware; SD-OCT; weakly-supervised learning</t>
  </si>
  <si>
    <t>FLUID; QUANTIFICATION</t>
  </si>
  <si>
    <t>Large volume of labeled data is a cornerstone for deep learning (DL) based segmentation methods. Medical images require domain experts to annotate, and full segmentation annotations of large volumes of medical data are difficult, if not impossible, to acquire in practice. Compared with full annotations, image-level labels are multiple orders of magnitude faster and easier to obtain. Image-level labels contain rich information that correlates with the underlying segmentation tasks and should be utilized in modeling segmentation problems. In this article, we aim to build a robust DL-based lesion segmentation model using only image-level labels (normal v.s. abnormal). Our method consists of three main steps: (1) training an image classifier with image-level labels; (2) utilizing a model visualization tool to generate an object heat map for each training sample according to the trained classifier; (3) based on the generated heat maps (as pseudo-annotations) and an adversarial learning framework, we construct and train an image generator for Edema Area Segmentation (EAS). We name the proposed method Lesion-Aware Generative Adversarial Networks (LAGAN) as it combines the merits of supervised learning (being lesion-aware) and adversarial training (for image generation). Additional technical treatments, such as the design of a multi-scale patch-based discriminator, further enhance the effectiveness of our proposed method. We validate the superior performance of LAGAN via comprehensive experiments on two publicly available datasets (i.e., AI Challenger and RETOUCH).</t>
  </si>
  <si>
    <t>[Tao, Yuhui; Ma, Xiao; Zhang, Yizhe; Huang, Kun; Ji, Zexuan; Chen, Qiang] Nanjing Univ Sci &amp; Technol, Sch Comp Sci &amp; Engn, Nanjing 210094, Peoples R China; [Fan, Wen; Yuan, Songtao] Nanjing Med Univ, Dept Ophthalmol, Nanjing 210029, Peoples R China</t>
  </si>
  <si>
    <t>Nanjing University of Science &amp; Technology; Nanjing Medical University</t>
  </si>
  <si>
    <t>Chen, Q (corresponding author), Nanjing Univ Sci &amp; Technol, Sch Comp Sci &amp; Engn, Nanjing 210094, Peoples R China.;Yuan, ST (corresponding author), Nanjing Med Univ, Dept Ophthalmol, Nanjing 210029, Peoples R China.</t>
  </si>
  <si>
    <t>t1172196757@qq.com; maxiao@njust.edu.cn; zhangyizhe@njust.edu.cn; huangkun@njust.edu.cn; jizexuan@njust.edu.cn; fanwen@njmu.edu.cn; yuansongtao@vip.sina.com; chen2qiang@njust.edu.cn</t>
  </si>
  <si>
    <t>Tao, Yuhui/0000-0002-6119-2769; Yuan, Songtao/0000-0001-9212-0664; Chen, Qiang/0000-0002-6685-2447</t>
  </si>
  <si>
    <t>National Natural Science Foundation of China [62172223, 61671242, 62201263]; Fundamental Research Funds for the Central Universities [30921013105]</t>
  </si>
  <si>
    <t>National Natural Science Foundation of China(National Natural Science Foundation of China (NSFC)); Fundamental Research Funds for the Central Universities(Fundamental Research Funds for the Central Universities)</t>
  </si>
  <si>
    <t>This work was supported in part by the National Natural Science Foundation of China under Grants 62172223, 61671242, and 62201263 and in part by the Fundamental Research Funds for the Central Universities under Grant 30921013105.</t>
  </si>
  <si>
    <t>10.1109/JBHI.2023.3252665</t>
  </si>
  <si>
    <t>F5OO8</t>
  </si>
  <si>
    <t>WOS:000982840900029</t>
  </si>
  <si>
    <t>Generative Transformers for Design Concept Generation</t>
  </si>
  <si>
    <t>JOURNAL OF COMPUTING AND INFORMATION SCIENCE IN ENGINEERING</t>
  </si>
  <si>
    <t>artificial intelligence; computational synthesis; computer aided design; humancomputer interfaces/interactions; knowledge engineering</t>
  </si>
  <si>
    <t>OF-THE-ART; IDEA GENERATION; CREATIVITY</t>
  </si>
  <si>
    <t>Generating novel and useful concepts is essential during the early design stage to explore a large variety of design opportunities, which usually requires advanced design thinking ability and a wide range of knowledge from designers. Growing works on computer-aided tools have explored the retrieval of knowledge and heuristics from design data. However, they only provide stimuli to inspire designers from limited aspects. This study explores the recent advance of the natural language generation (NLG) technique in the artificial intelligence (AI) field to automate the early stage design concept generation. Specifically, a novel approach utilizing the generative pretrained transformer (GPT) is proposed to leverage the knowledge and reasoning from textual data and transform them into new concepts in understandable language. Three concept generation tasks are defined to leverage different knowledge and reasoning: domain knowledge synthesis, problem-driven synthesis, and analogy-driven synthesis. The experiments with both human and data-driven evaluation show good performance in generating novel and useful concepts.</t>
  </si>
  <si>
    <t>[Zhu, Qihao] Singapore Univ Technol &amp; Design, Engn Prod Dev Pillar, 8 Somapah Rd, Singapore 487372, Singapore; [Luo, Jianxi] Singapore Univ Technol &amp; Design, Data Driven Innovat Lab, 8 Somapah Rd, Singapore 487372, Singapore</t>
  </si>
  <si>
    <t>Singapore University of Technology &amp; Design; Singapore University of Technology &amp; Design</t>
  </si>
  <si>
    <t>qihao_zhu@mymail.sutd.edu.sg; luo@sutd.edu.sg</t>
  </si>
  <si>
    <t>1530-9827</t>
  </si>
  <si>
    <t>1944-7078</t>
  </si>
  <si>
    <t>J COMPUT INF SCI ENG</t>
  </si>
  <si>
    <t>J. Comput. Inf. Sci. Eng.</t>
  </si>
  <si>
    <t>10.1115/1.4056220</t>
  </si>
  <si>
    <t>Computer Science, Interdisciplinary Applications; Engineering, Manufacturing</t>
  </si>
  <si>
    <t>L2TJ5</t>
  </si>
  <si>
    <t>WOS:001021831800006</t>
  </si>
  <si>
    <t>Chatterjee, J; Vega, MT</t>
  </si>
  <si>
    <t>Chatterjee, Jit; Vega, Maria Torres</t>
  </si>
  <si>
    <t>Human-Centered and AI-driven Generation of 6-DoF Extended Reality</t>
  </si>
  <si>
    <t>PROCEEDINGS OF THE 2023 ACM INTERNATIONAL CONFERENCE ON INTERACTIVE MEDIA EXPERIENCES, IMX 2023</t>
  </si>
  <si>
    <t>ACM International Conference on Interactive Media Experiences (IMX)</t>
  </si>
  <si>
    <t>Nantes Univ, Nantes, FRANCE</t>
  </si>
  <si>
    <t>Assoc Comp Machinery,ACM SIGCHI,ACM SIGMM,ACM SIGWEB,Meta,You Tube,Tobii,Interdigital,Jellysmack,HEMI + FAME Clusters</t>
  </si>
  <si>
    <t>Nantes Univ</t>
  </si>
  <si>
    <t>Extended Reality; Deep Generative Networks; Presence; Computer Vision</t>
  </si>
  <si>
    <t>In order to unlock the full potential of Extended Reality (XR) and its application to societal sectors such as health (e.g., training) or Industry 5.0 (e.g., remote control of infrastructure) there is a need for very realistic environments to enhance the presence of the user. However, current photo-realistic content generation methods (such as Light Fields) require a massive amount of data transmission (i.e., ultra-high bandwidths) and extreme computational power for displaying. Thus, they are not suited for interactive immersive and realistic applications. In this research, we hypothesize that is possible to generate realistic dynamic 3D environments by means of Deep Generative Networks. The work will consist of two parts: (1) a computer vision system that generates the 3D environment based on 2D images, and (2) a Human-Computer Interaction system (HCI) that predicts Region of Interest (RoI) for efficient 3D rendering, subjective and objective assessment of user perception (by means of presence) to enhance the 3D scene quality. This work aims to gain insights into how well deep generative methods can create realistic and immersive environments. This will significantly help future developments in realistic and immersive XR content creation.</t>
  </si>
  <si>
    <t>[Chatterjee, Jit; Vega, Maria Torres] Katholieke Univ Leuven, Dept Elect Engn ESAT, E Media Res Lab, Leuven, Vlaams Brabant, Belgium</t>
  </si>
  <si>
    <t>KU Leuven</t>
  </si>
  <si>
    <t>Chatterjee, J (corresponding author), Katholieke Univ Leuven, Dept Elect Engn ESAT, E Media Res Lab, Leuven, Vlaams Brabant, Belgium.</t>
  </si>
  <si>
    <t>jit.chatterjee@kuleuven.be; maria.torresvega@kuleuven.be</t>
  </si>
  <si>
    <t>Chatterjee, Jit/JQV-5471-2023</t>
  </si>
  <si>
    <t>Chatterjee, Jit/0000-0002-1760-6573</t>
  </si>
  <si>
    <t>979-8-4007-0028-6</t>
  </si>
  <si>
    <t>10.1145/3573381.3597232</t>
  </si>
  <si>
    <t>BW2IV</t>
  </si>
  <si>
    <t>WOS:001117075100058</t>
  </si>
  <si>
    <t>Skinnider, MA</t>
  </si>
  <si>
    <t>Skinnider, Michael A.</t>
  </si>
  <si>
    <t>Hallucinating hallucinogens Fighting the designer drug epidemic with generative AI</t>
  </si>
  <si>
    <t>AMB-FUBINACA</t>
  </si>
  <si>
    <t>[Skinnider, Michael A.] Princeton Univ, Lewis Sigler Inst Integrat Genom, Princeton, NJ 08540 USA; [Skinnider, Michael A.] Princeton Univ, Ludwig Inst Canc Res, Princeton, NJ 08544 USA</t>
  </si>
  <si>
    <t>Princeton University; Princeton University; Ludwig Institute for Cancer Research</t>
  </si>
  <si>
    <t>Skinnider, MA (corresponding author), Princeton Univ, Lewis Sigler Inst Integrat Genom, Princeton, NJ 08540 USA.;Skinnider, MA (corresponding author), Princeton Univ, Ludwig Inst Canc Res, Princeton, NJ 08544 USA.</t>
  </si>
  <si>
    <t>skinnider@princeton.edu</t>
  </si>
  <si>
    <t>NOV 10</t>
  </si>
  <si>
    <t>10.1126/science.adk8626</t>
  </si>
  <si>
    <t>LC0L5</t>
  </si>
  <si>
    <t>WOS:001184461700002</t>
  </si>
  <si>
    <t>Becker, C; Laycock, R</t>
  </si>
  <si>
    <t>Becker, Casey; Laycock, Robin</t>
  </si>
  <si>
    <t>Embracing deepfakes and AI-generated images in neuroscience research</t>
  </si>
  <si>
    <t>EUROPEAN JOURNAL OF NEUROSCIENCE</t>
  </si>
  <si>
    <t>artificial neural networks; dynamic stimuli; perception; research methods; vision</t>
  </si>
  <si>
    <t>The rise of deepfakes and AI-generated images has raised concerns regarding their potential misuse. However, this commentary highlights the valuable opportunities these technologies offer for neuroscience research. Deepfakes deliver accessible, realistic and customisable dynamic face stimuli, while generative adversarial networks (GANs) can generate and modify diverse and high-quality static content. These advancements can enhance the variability and ecological validity of research methods and enable the creation of previously unattainable stimuli. When AI-generated images are informed by brain responses, they provide unique insights into the structure and function of visual systems. The authors argue that experimental psychologists and cognitive neuroscientists stay informed about these emerging tools and embrace their potential to advance the field of visual neuroscience.</t>
  </si>
  <si>
    <t>[Becker, Casey; Laycock, Robin] RMIT Univ, Melbourne, Australia</t>
  </si>
  <si>
    <t>Becker, C (corresponding author), RMIT Univ, Melbourne, Australia.</t>
  </si>
  <si>
    <t>casey.becker@rmit.edu.au</t>
  </si>
  <si>
    <t>Laycock, Robin/0000-0002-9169-2297; Becker, Casey/0000-0002-4435-8683</t>
  </si>
  <si>
    <t>0953-816X</t>
  </si>
  <si>
    <t>1460-9568</t>
  </si>
  <si>
    <t>EUR J NEUROSCI</t>
  </si>
  <si>
    <t>Eur. J. Neurosci.</t>
  </si>
  <si>
    <t>10.1111/ejn.16052</t>
  </si>
  <si>
    <t>Neurosciences</t>
  </si>
  <si>
    <t>Neurosciences &amp; Neurology</t>
  </si>
  <si>
    <t>N8NI6</t>
  </si>
  <si>
    <t>WOS:001002569500001</t>
  </si>
  <si>
    <t>Moritz, S; Romeike, B; Stosch, C; Tolks, D</t>
  </si>
  <si>
    <t>Moritz, Soeren; Romeike, Bernd; Stosch, Christoph; Tolks, Daniel</t>
  </si>
  <si>
    <t>Generative AI (gAI) in medical education: Chat-GPT and co</t>
  </si>
  <si>
    <t>GMS JOURNAL FOR MEDICAL EDUCATION</t>
  </si>
  <si>
    <t>[Moritz, Soeren; Stosch, Christoph] Univ Cologne, Med Fac, Cologne, Germany; [Romeike, Bernd] Univ Med Ctr Rostock, Div Med Educ, Acad Deans Off, Rostock, Germany; [Tolks, Daniel] Leuphana Univ Luneburg, Ctr Appl Hlth Promot, Luneburg, Germany; [Tolks, Daniel] Leuphana Univ Luneburg, Zentrum Angew Gesundheitswissensch, Wilschenbrucher Weg 84A, D-21335 Luneburg, Germany</t>
  </si>
  <si>
    <t>University of Cologne; University of Rostock; Leuphana University Luneburg; Leuphana University Luneburg</t>
  </si>
  <si>
    <t>Tolks, D (corresponding author), Leuphana Univ Luneburg, Zentrum Angew Gesundheitswissensch, Wilschenbrucher Weg 84A, D-21335 Luneburg, Germany.</t>
  </si>
  <si>
    <t>Daniel.tolks@leuphana.de</t>
  </si>
  <si>
    <t>Tolks, Daniel/0000-0001-8597-5189</t>
  </si>
  <si>
    <t>GERMAN MEDICAL SCIENCE-GMS</t>
  </si>
  <si>
    <t>DUESSELDORF</t>
  </si>
  <si>
    <t>UBIERSTRASSE 20, DUESSELDORF, 40223, GERMANY</t>
  </si>
  <si>
    <t>2366-5017</t>
  </si>
  <si>
    <t>GMS J MED EDU</t>
  </si>
  <si>
    <t>GMS J. Med. Educ.</t>
  </si>
  <si>
    <t>10.3205/zma001636</t>
  </si>
  <si>
    <t>K8VO9</t>
  </si>
  <si>
    <t>WOS:001019162200013</t>
  </si>
  <si>
    <t>Heng, JJY; Teo, DB; Tan, LF</t>
  </si>
  <si>
    <t>Heng, Jonathan J. Y.; Teo, Desmond B.; Tan, L. F.</t>
  </si>
  <si>
    <t>The impact of Chat Generative Pre-trained Transformer (ChatGPT) on medical education</t>
  </si>
  <si>
    <t>POSTGRADUATE MEDICAL JOURNAL</t>
  </si>
  <si>
    <t>artificial intelligence; ChatGPT; medical education</t>
  </si>
  <si>
    <t>Artificial intelligence (AI) in medicine is developing rapidly. The advent of Chat Generative Pre-trained Transformer (ChatGPT) has taken the world by storm with its potential uses and efficiencies. However, technology leaders, researchers, educators, and policy makers have also sounded the alarm on its potential harms and unintended consequences. AI will increasingly find its way into medicine and is a force of both disruption and innovation. We discuss the potential benefits and limitations of this new league of technology and how medical educators have to develop skills and curricula to best harness this innovative power.</t>
  </si>
  <si>
    <t>[Heng, Jonathan J. Y.] Natl Univ Singapore, Yong Loo Lin Sch Med, Singapore, Singapore; [Teo, Desmond B.] Alexandra Hosp, Chron &amp; Fast Programmes, Singapore, Singapore; [Tan, L. F.] Alexandra Hosp, Hlth Ageing Programme, Singapore, Singapore; [Tan, L. F.] Blk20A Alexandra Hosp, Hlth Ageing Programme, 378 Alexandra Rd, Singapore 159964, Singapore</t>
  </si>
  <si>
    <t>National University of Singapore</t>
  </si>
  <si>
    <t>Tan, LF (corresponding author), Blk20A Alexandra Hosp, Hlth Ageing Programme, 378 Alexandra Rd, Singapore 159964, Singapore.</t>
  </si>
  <si>
    <t>jonathan.h@u.nus.edu; desmond_teo@nuhs.edu.sg; li_feng_tan@nuhs.edu.sg</t>
  </si>
  <si>
    <t>Teo, Desmond/X-5600-2019; Tan, Li Feng/AAH-6089-2021</t>
  </si>
  <si>
    <t>Teo, Desmond/0000-0002-0252-7426; Tan, Li Feng/0000-0003-1232-9308</t>
  </si>
  <si>
    <t>0032-5473</t>
  </si>
  <si>
    <t>1469-0756</t>
  </si>
  <si>
    <t>POSTGRAD MED J</t>
  </si>
  <si>
    <t>Postgrad. Med. J.</t>
  </si>
  <si>
    <t>SEP 21</t>
  </si>
  <si>
    <t>10.1093/postmj/qgad058</t>
  </si>
  <si>
    <t>T8CS6</t>
  </si>
  <si>
    <t>WOS:001031254900001</t>
  </si>
  <si>
    <t>du Plooy, C; Oosthuizen, R</t>
  </si>
  <si>
    <t>du Plooy, C.; Oosthuizen, R.</t>
  </si>
  <si>
    <t>AI USEFULNESS IN SYSTEMS MODELLING AND SIMULATION: GPT-4 APPLICATION</t>
  </si>
  <si>
    <t>SOUTH AFRICAN JOURNAL OF INDUSTRIAL ENGINEERING</t>
  </si>
  <si>
    <t>DYNAMICS</t>
  </si>
  <si>
    <t>In this study, we investigate the potential of artificial intelligence (AI), specifically Generative Pre-trained Transformer 4 (GPT-4), to accelerate the development of system dynamics simulations within the broader context of systems engineering. The research aims to uncover the opportunities and limitations of leveraging AI to assist humans in constructing and refining system dynamics models. Through a systematic iterative process, GPT-4 was engaged in tasks such as creating, expanding, and stabilising simulations, identifying errors, generating expansion ideas, and converting models to Python code. Our findings reveal that GPT-4, while not flawless, can significantly enhance the modelling process, reduce human error, and expedite learning. This paper critically examines the role of AI in model development, emphasising the continued importance of human expertise in the evaluation and testing of simulations. Ultimately, we argue for a symbiotic relationship between AI and human modellers, harnessing the power of GPT-4 to augment human capabilities and advance the fields of system dynamics and systems engineering.</t>
  </si>
  <si>
    <t>[du Plooy, C.] Katholieke Univ Leuven, Fac Econ &amp; Business, Access Med Res Ctr, Leuven, Belgium; [Oosthuizen, R.] Univ Pretoria, Dept Technol &amp; Engn Management, Pretoria, South Africa</t>
  </si>
  <si>
    <t>KU Leuven; University of Pretoria</t>
  </si>
  <si>
    <t>du Plooy, C (corresponding author), Katholieke Univ Leuven, Fac Econ &amp; Business, Access Med Res Ctr, Leuven, Belgium.</t>
  </si>
  <si>
    <t>corne.duplooy@kuleuven.be</t>
  </si>
  <si>
    <t>Oosthuizen, Rudolph/0000-0002-2333-6995</t>
  </si>
  <si>
    <t>SOUTHERN AFRICAN INST INDUSTRIAL ENGINEERING</t>
  </si>
  <si>
    <t>PRETORIA</t>
  </si>
  <si>
    <t>UNIV PRETORIA, DEPT INDUSTRIAL SYSTEMS ENGINEERING, PRETORIA, 0001, SOUTH AFRICA</t>
  </si>
  <si>
    <t>1012-277X</t>
  </si>
  <si>
    <t>2224-7890</t>
  </si>
  <si>
    <t>S AFR J IND ENG</t>
  </si>
  <si>
    <t>S. Afr. J. Ind. Eng.</t>
  </si>
  <si>
    <t>10.7166/34-3-2944</t>
  </si>
  <si>
    <t>Engineering, Industrial</t>
  </si>
  <si>
    <t>GY6R5</t>
  </si>
  <si>
    <t>WOS:001156280400015</t>
  </si>
  <si>
    <t>Park, S; Kim, H; Moon, I</t>
  </si>
  <si>
    <t>Park, Seonghwan; Kim, Hyunil; Moon, Inkyu</t>
  </si>
  <si>
    <t>Automated Classical Cipher Emulation Attacks via Unified Unsupervised Generative Adversarial Networks</t>
  </si>
  <si>
    <t>CRYPTOGRAPHY</t>
  </si>
  <si>
    <t>cryptanalysis; substitution ciphers; generative adversarial networks; unsupervised deep learning</t>
  </si>
  <si>
    <t>Cryptanalysis has been studied and gradually improved with the evolution of cryptosystems over past decades. Recently, deep learning (DL) has started to be used in cryptanalysis to attack digital cryptosystems. As computing power keeps growing, deploying DL-based cryptanalysis becomes feasible in practice. However, since these studies can analyze only one cipher type for one DL model learning, it takes a lot of time to analyze multi ciphers. In this paper, we propose a unified cipher generative adversarial network (UC-GAN), which can perform ciphertext-to-plaintext translations among multiple domains (ciphers) using only a single DL model. In particular, the proposed model is based on unified unsupervised DL for the analysis of classical substitutional ciphers. Simulation results have indicated the feasibility and good performance of the proposed approach. In addition, we compared our experimental results with the findings of conditional GAN, where plaintext and ciphertext pairs in only the single domain are given as training data, and with CipherGAN, which is cipher mapping between unpaired ciphertext and plaintext in the single domain, respectively. The proposed model showed more than 97% accuracy by learning only data without prior knowledge of three substitutional ciphers. These findings could open a new possibility for simultaneously cracking various block ciphers, which has a great impact on the field of cryptography. To the best of our knowledge, this is the first study of the cryptanalysis of multiple cipher algorithms using only a single DL model</t>
  </si>
  <si>
    <t>[Park, Seonghwan; Moon, Inkyu] Daegu Gyeongbuk Inst Sci &amp; Technol DGIST, Dept Robot &amp; Mechatron Engn, Deagu 42988, South Korea; [Kim, Hyunil] Kongju Natl Univ, Dept Convergence Sci, Gongju 32588, South Korea; [Kim, Hyunil] Kongju Natl Univ, Basic Sci Res Inst, Gongju 32588, South Korea</t>
  </si>
  <si>
    <t>Daegu Gyeongbuk Institute of Science &amp; Technology (DGIST); Kongju National University; Kongju National University</t>
  </si>
  <si>
    <t>Moon, I (corresponding author), Daegu Gyeongbuk Inst Sci &amp; Technol DGIST, Dept Robot &amp; Mechatron Engn, Deagu 42988, South Korea.</t>
  </si>
  <si>
    <t>tdn02007@dgist.ac.kr; hyunil89@kongju.ac.kr; inkyu.moon@dgist.ac.kr</t>
  </si>
  <si>
    <t>Kim, Hyunil/0000-0002-4018-4540; Park, Seonghwan/0000-0002-6622-8484; Moon, Inkyu/0000-0003-0882-8585</t>
  </si>
  <si>
    <t>Institute of Information &amp; Communications Technology Planning &amp; Evaluation (IITP); Korea Government (MSIT) [2020-0-00126]</t>
  </si>
  <si>
    <t>Institute of Information &amp; Communications Technology Planning &amp; Evaluation (IITP)(Institute for Information &amp; Communication Technology Planning &amp; Evaluation (IITP), Republic of Korea); Korea Government (MSIT)(Ministry of Science &amp; ICT (MSIT), Republic of Korea)</t>
  </si>
  <si>
    <t>This work was supported by an Institute of Information &amp; Communications Technology Planning &amp; Evaluation (IITP) grant, funded by the Korea Government (MSIT) (No.2020-0-00126, Research on AI-based cryptanalysis and security evaluation).</t>
  </si>
  <si>
    <t>2410-387X</t>
  </si>
  <si>
    <t>CRYPTOGRAPHY-BASEL</t>
  </si>
  <si>
    <t>Cryptography</t>
  </si>
  <si>
    <t>10.3390/cryptography7030035</t>
  </si>
  <si>
    <t>Computer Science, Information Systems; Computer Science, Theory &amp; Methods</t>
  </si>
  <si>
    <t>T3RX1</t>
  </si>
  <si>
    <t>WOS:001077203200001</t>
  </si>
  <si>
    <t>Acaru, SF; Abdullah, R; Lai, DTC; Lim, RC</t>
  </si>
  <si>
    <t>Acaru, Silviu Florin; Abdullah, Rosnah; Lai, Daphne Teck Ching; Lim, Ren Chong</t>
  </si>
  <si>
    <t>Enhancing glucose classification in continuous flow hydrothermal biomass liquefaction streams through generative AI and IR spectroscopy</t>
  </si>
  <si>
    <t>ENERGY ADVANCES</t>
  </si>
  <si>
    <t>INFRARED-SPECTROSCOPY; FTIR</t>
  </si>
  <si>
    <t>Energy from fossil fuels is forecasted to contribute to 28% of the energy demand by 2050. Shifting to renewable, green energy is desirable to mitigate the adverse effects on the climate posed by resultant gases. Continuous flow hydrothermal liquefaction holds promise to convert biomass into renewable energy. However, sustainable conversion of biomass feedstocks remains a considerable challenge, and more process optimization studies are necessary to achieve positive net energy ratios (NERs). To fast-track this process development, we investigated the integration of Fourier transform infrared spectroscopy (FTIR) for data collection coupled with a support vector machine classifier (SVC). We trained the model on data labeled after the analysis of the aqueous stream by high-performance liquid chromatography (HPLC). Multiple test data, such as liquified wood and cotton, and dissolved glucose, were used to classify the aqueous streams. The results showed that fused original data achieves 84% accuracy. The accuracy increased to 93% after merging synthetic data from generative adversarial networks (GANs) and hand-crafted statistical features. The effect of Uniform Manifold Approximation and Projection for Dimension Reduction (UMAP) on accuracy was also studied. We noticed that UMAP increases accuracy on some variations of the datasets, but it does not exceed the highest reported value. Shapely Additive Explanations (SHAP) were used to investigate the contribution of the top 20 features. We discovered that features representative of glucose contribute positively to the model's performance, whereas those found in water have a negative influence. Energy from fossil fuels is forecasted to contribute to 28% of the energy demand by 2050.</t>
  </si>
  <si>
    <t>[Acaru, Silviu Florin; Lim, Ren Chong] Univ Brunei Darussalam, Ctr Adv Mat &amp; Energy Sci CAMES, Jalan Tungku Link, BE-1410 Gadong, Brunei; [Abdullah, Rosnah] Univ Brunei Darussalam, Fac Sci FOS, Jalan Tungku Link, BE-1410 Gadong, Brunei; [Lai, Daphne Teck Ching] Univ Brunei Darussalam, Sch Digital Sci SDS, Jalan Tungku Link, BE-1410 Gadong, Brunei</t>
  </si>
  <si>
    <t>University Brunei Darussalam; University Brunei Darussalam; University Brunei Darussalam</t>
  </si>
  <si>
    <t>Acaru, SF; Lim, RC (corresponding author), Univ Brunei Darussalam, Ctr Adv Mat &amp; Energy Sci CAMES, Jalan Tungku Link, BE-1410 Gadong, Brunei.</t>
  </si>
  <si>
    <t>s.f.acaru@outlook.com; renchong.lim@ubd.edu.bn</t>
  </si>
  <si>
    <t>Lai, Daphne Teck Ching/T-5917-2017; Abdullah, Rosnah/JPA-2578-2023</t>
  </si>
  <si>
    <t>Lai, Daphne Teck Ching/0000-0001-8290-8941; Abdullah, Rosnah/0000-0002-7962-6799; Lim, Ren Chong/0000-0002-2493-5949; Acaru, Silviu Florin/0000-0001-6445-785X</t>
  </si>
  <si>
    <t>The authors would like to thank Parham Hadikhani for helpful discussions related to deploying deep learning techniques. The work carried out in this article was supported using a University Research Grant (URG) from Universiti Brunei Darussalam (UBD/RSCH/U [UBD/RSCH/URC/RG(b)/2019/013]; University Research Grant (URG) from Universiti Brunei Darussalam; UBD University Graduate Scholarship (UGS)</t>
  </si>
  <si>
    <t>The authors would like to thank Parham Hadikhani for helpful discussions related to deploying deep learning techniques. The work carried out in this article was supported using a University Research Grant (URG) from Universiti Brunei Darussalam (UBD/RSCH/U; University Research Grant (URG) from Universiti Brunei Darussalam; UBD University Graduate Scholarship (UGS)</t>
  </si>
  <si>
    <t>The authors would like to thank Parham Hadikhani for helpful discussions related to deploying deep learning techniques. The work carried out in this article was supported using a University Research Grant (URG) from Universiti Brunei Darussalam (UBD/RSCH/URC/RG(b)/2019/013). Silviu Florin Acaru is a recipient of the UBD University Graduate Scholarship (UGS).</t>
  </si>
  <si>
    <t>2753-1457</t>
  </si>
  <si>
    <t>ENERGY ADV</t>
  </si>
  <si>
    <t>Energy Adv.</t>
  </si>
  <si>
    <t>AUG 10</t>
  </si>
  <si>
    <t>10.1039/d3ya00236e</t>
  </si>
  <si>
    <t>Chemistry, Physical; Energy &amp; Fuels; Materials Science, Multidisciplinary</t>
  </si>
  <si>
    <t>Chemistry; Energy &amp; Fuels; Materials Science</t>
  </si>
  <si>
    <t>Y0HE6</t>
  </si>
  <si>
    <t>WOS:001102157900001</t>
  </si>
  <si>
    <t>Ding, NN; Zhang, GK; Zhang, LP; Shen, ZY; Yin, LH; Zhou, SH; Deng, Y</t>
  </si>
  <si>
    <t>Ding, Nana; Zhang, Guangkun; Zhang, LinPei; Shen, Ziyun; Yin, Lianghong; Zhou, Shenghu; Deng, Yu</t>
  </si>
  <si>
    <t>Engineering an AI-based forward-reverse platform for the design of cross-ribosome binding sites of a transcription factor biosensor</t>
  </si>
  <si>
    <t>COMPUTATIONAL AND STRUCTURAL BIOTECHNOLOGY JOURNAL</t>
  </si>
  <si>
    <t>Generative adversarial network; Predictive model; Cross-ribosome binding site; Glucarate biosensor; Dynamic range</t>
  </si>
  <si>
    <t>A cross-ribosome binding site (cRBS) adjusts the dynamic range of transcription factor-based biosensors (TFBs) by controlling protein expression and folding. The rational design of a cRBS with desired TFB dynamic range remains an important issue in TFB forward and reverse engineering. Here, we report a novel artificial intelligence (AI)-based forward-reverse engineering platform for TFB dynamic range prediction and de novo cRBS design with selected TFB dynamic ranges. The platform demonstrated superior in processing unbalanced minority-class datasets and was guided by sequence characteristics from trained cRBSs. The platform identified correlations between cRBSs and dynamic ranges to mimic bidirectional design between these factors based on Wasserstein generative adversarial network (GAN) with a gradient penalty (GP) (WGAN-GP) and balancing GAN with GP (BAGAN-GP). For forward and reverse engineering, the predictive accuracy was up to 98% and 82%, respectively. Collectively, we generated an AI-based method for the rational design of TFBs with desired dynamic ranges. (c) 2023 The Author(s). Published by Elsevier B.V. on behalf of Research Network of Computational and Structural Biotechnology. This is an open access article under the CC BY-NC-ND license (http://creativecommons.org/licenses/by-nc-nd/4.0/).</t>
  </si>
  <si>
    <t>[Ding, Nana; Zhang, LinPei; Shen, Ziyun; Zhou, Shenghu; Deng, Yu] Jiangnan Univ, Natl Engn Res Ctr Cereal Fermentat &amp; Food Biomfg, 1800 Lihu Rd, Wuxi 214122, Jiangsu, Peoples R China; [Ding, Nana; Zhang, LinPei; Shen, Ziyun; Zhou, Shenghu; Deng, Yu] Jiangnan Univ, Jiangsu Prov Res Ctr Bioact Prod Proc Technol, Wuxi, Peoples R China; [Ding, Nana; Yin, Lianghong] Zhejiang A&amp;F Univ, State Key Lab Subtrop Silviculture, Hangzhou 311300, Peoples R China; [Zhang, Guangkun] Tongji Univ, Shanghai Res Inst Intelligent Autonomous Syst, 1239 Siping Rd, Shanghai 201210, Peoples R China; [Yin, Lianghong] Zhejiang A&amp;F Univ, Zhejiang Prov Key Lab Resources Protect &amp; Innovat, Hangzhou 311300, Peoples R China</t>
  </si>
  <si>
    <t>Jiangnan University; Jiangnan University; Zhejiang A&amp;F University; Tongji University; Zhejiang A&amp;F University</t>
  </si>
  <si>
    <t>Zhou, SH; Deng, Y (corresponding author), Jiangnan Univ, Natl Engn Res Ctr Cereal Fermentat &amp; Food Biomfg, 1800 Lihu Rd, Wuxi 214122, Jiangsu, Peoples R China.</t>
  </si>
  <si>
    <t>zhoush@jiangnan.edu.cn; dengyu@jiangnan.edu.cn</t>
  </si>
  <si>
    <t>Zhou, Shenghu/0000-0002-7058-430X</t>
  </si>
  <si>
    <t>National Key Research and Development Program of China [2019YFA0905502]; Distinguished Young Scholars of Jiangsu Province [BK20220089]; Key R&amp;D Project of Jiangsu Province (Modern Agriculture) [BE2022322]; National Natural Science Foundation of China [21877053, 31900066]; Tianjin Synthetic Biotechnology Innovation Capacity Improvement Project [TSBICIP-KJGG-015]; Scientific Research Development Foundation of Zhejiang AF University [2023LFR020]</t>
  </si>
  <si>
    <t>National Key Research and Development Program of China; Distinguished Young Scholars of Jiangsu Province; Key R&amp;D Project of Jiangsu Province (Modern Agriculture); National Natural Science Foundation of China(National Natural Science Foundation of China (NSFC)); Tianjin Synthetic Biotechnology Innovation Capacity Improvement Project; Scientific Research Development Foundation of Zhejiang AF University</t>
  </si>
  <si>
    <t>This work was supported by the National Key Research and Development Program of China (2019YFA0905502) , Distinguished Young Scholars of Jiangsu Province (BK20220089) , The Key R&amp;D Project of Jiangsu Province (Modern Agriculture) (BE2022322) , the National Natural Science Foundation of China (21877053 and 31900066) , Tianjin Synthetic Biotechnology Innovation Capacity Improvement Project (TSBICIP-KJGG-015) , and the Scientific Research Development Foundation of Zhejiang A&amp;F University (2023LFR020) .</t>
  </si>
  <si>
    <t>2001-0370</t>
  </si>
  <si>
    <t>COMPUT STRUCT BIOTEC</t>
  </si>
  <si>
    <t>Comp. Struct. Biotechnol. J..</t>
  </si>
  <si>
    <t>10.1016/j.csbj.2023.04.026</t>
  </si>
  <si>
    <t>Biochemistry &amp; Molecular Biology; Biotechnology &amp; Applied Microbiology</t>
  </si>
  <si>
    <t>J1IQ9</t>
  </si>
  <si>
    <t>WOS:001007216400001</t>
  </si>
  <si>
    <t>Albdrani, RN; Al-Shargabi, AA</t>
  </si>
  <si>
    <t>Albdrani, Raneem N.; Al-Shargabi, Amal A.</t>
  </si>
  <si>
    <t>Investigating the Effectiveness of ChatGPT for Providing Personalized Learning Experience: A Case Study</t>
  </si>
  <si>
    <t>INTERNATIONAL JOURNAL OF ADVANCED COMPUTER SCIENCE AND APPLICATIONS</t>
  </si>
  <si>
    <t>Personalized learning; data science education; ChatGPT; generative AI</t>
  </si>
  <si>
    <t>The demand for personalized learning experiences that cater to the unique needs of individual learners has increased with the emergence of data science. This paper investigates the potential use of ChatGPT, a generative AI tool, in providing personalized learning experiences for data science education, specifically focusing on Deep Learning. The paper presents a case study that applies the 5Es model to test personalized learning for students using ChatGPT. The study aims to answer the question of how educators can leverage ChatGPT in their pedagogy to enhance student learning, and whether ChatGPT can provide a better learning experience than traditional teaching methods. The paper also discusses the limitations faced during the study and the findings. The results suggest that ChatGPT can be a valuable resource for data science education, providing personalized and instant feedback to learners. However, ethical considerations such as the potential for biased or inaccurate responses and the need for transparency in AI-generated content should be carefully ad-dressed by educators. The study highlights ChatGPT's potential as a research tool for data science educators to investigate the effectiveness of AI in personalized learning experiences. Overall, this paper contributes to the ongoing dialogue on the role of AI in data science education and provides insights into how educators can utilize ChatGPT to enhance student learning and engagement.</t>
  </si>
  <si>
    <t>[Albdrani, Raneem N.; Al-Shargabi, Amal A.] Qassim Univ, Dept Informat Technol, Coll Comp, Buraydah 51425, Saudi Arabia</t>
  </si>
  <si>
    <t>Qassim University</t>
  </si>
  <si>
    <t>Al-Shargabi, AA (corresponding author), Qassim Univ, Dept Informat Technol, Coll Comp, Buraydah 51425, Saudi Arabia.</t>
  </si>
  <si>
    <t>SCIENCE &amp; INFORMATION SAI ORGANIZATION LTD</t>
  </si>
  <si>
    <t>WEST YORKSHIRE</t>
  </si>
  <si>
    <t>19 BOLLING RD, BRADFORD, WEST YORKSHIRE, 00000, ENGLAND</t>
  </si>
  <si>
    <t>2158-107X</t>
  </si>
  <si>
    <t>2156-5570</t>
  </si>
  <si>
    <t>INT J ADV COMPUT SC</t>
  </si>
  <si>
    <t>Int. J. Adv. Comput. Sci. Appl.</t>
  </si>
  <si>
    <t>Computer Science, Theory &amp; Methods</t>
  </si>
  <si>
    <t>CN6O0</t>
  </si>
  <si>
    <t>WOS:001125969000001</t>
  </si>
  <si>
    <t>Han, J; Yoo, H; Kim, Y; Myung, J; Kim, M; Lim, H; Kim, J; Lee, TY; Hong, H; Ahn, SY; Oh, A</t>
  </si>
  <si>
    <t>Han, Jieun; Yoo, Haneul; Kim, Yoonsu; Myung, Junho; Kim, Minsun; Lim, Hyunseung; Kim, Juho; Lee, Tak Yeon; Hong, Hwajung; Ahn, So-Yeon; Oh, Alice</t>
  </si>
  <si>
    <t>RECIPE: How to Integrate ChatGPT into EFLWriting Education</t>
  </si>
  <si>
    <t>Generative AI; ChatGPT; Learner-ChatGPT Interaction; Essay Writing; EFL Learners</t>
  </si>
  <si>
    <t>The integration of generative AI in the field of education is actively being explored. In particular, ChatGPT has garnered significant interest, offering an opportunity to examine its effectiveness in English as a foreign language (EFL) education. To address this need, we present a novel learning platform called RECIPE (Revising an Essay with ChatGPT on an Interactive Platform for EFL learners). Our platform features two types of prompts that facilitate conversations between ChatGPT and students: (1) a hidden prompt for ChatGPT to take an EFL teacher role and (2) an open prompt for students to initiate a dialogue with a self-written summary of what they have learned. We deployed this platform for 213 undergraduate and graduate students enrolled in EFL writing courses and seven instructors. For this study, we collect students' interaction data from RECIPE, including students' perceptions and usage of the platform, and user scenarios are examined with the data. We also conduct a focus group interview with six students and an individual interview with one EFL instructor to explore design opportunities for leveraging generative AI models in the field of EFL education.</t>
  </si>
  <si>
    <t>[Han, Jieun; Yoo, Haneul; Kim, Yoonsu; Myung, Junho; Kim, Minsun; Lim, Hyunseung; Kim, Juho; Lee, Tak Yeon; Hong, Hwajung; Ahn, So-Yeon; Oh, Alice] Korea Adv Inst Sci &amp; Technol, Daejeon, South Korea</t>
  </si>
  <si>
    <t>Korea Advanced Institute of Science &amp; Technology (KAIST)</t>
  </si>
  <si>
    <t>Ahn, SY; Oh, A (corresponding author), Korea Adv Inst Sci &amp; Technol, Daejeon, South Korea.</t>
  </si>
  <si>
    <t>jieun_han@kaist.ac.kr; haneul.yoo@kaist.ac.kr; yoonsu16@kaist.ac.kr; junho00211@kaist.ac.kr; 9909cindy@kaist.ac.kr; charlie9807@kaist.ac.kr; juhokim@kaist.ac.kr; takyeonlee@kaist.ac.kr; hwajung@kaist.ac.kr; ahnsoyeon@kaist.ac.kr; alice.oh@kaist.edu</t>
  </si>
  <si>
    <t>; Kim, Juho/A-7091-2016</t>
  </si>
  <si>
    <t>Kim, Minsun/0009-0002-4593-2672; Kim, Juho/0000-0001-6348-4127; Yoo, Haneul/0000-0001-8266-6962</t>
  </si>
  <si>
    <t>Elice</t>
  </si>
  <si>
    <t>This work was supported by Elice.</t>
  </si>
  <si>
    <t>10.1145/3573051.3596200</t>
  </si>
  <si>
    <t>WOS:001125787500061</t>
  </si>
  <si>
    <t>Çiçek, S; Turhan, GD; Taser, A</t>
  </si>
  <si>
    <t>Cicek, Selen; Turhan, Gozde Damla; Taser, Aybuke</t>
  </si>
  <si>
    <t>Deterioration of pre-war and rehabilitation of post-war urbanscapes using generative adversarial networks</t>
  </si>
  <si>
    <t>Post-war; urban rehabilitation; generative adversarial network; CycleGAN; pix2pix GAN; machine learning; artificial intelligence</t>
  </si>
  <si>
    <t>The urban built environment of contemporary cities confronts a constant risk of deterioration due to natural or artificial reasons. Especially political aggression and war conflicts have significant destructive effects on architectural and cultural heritage buildings. The post-war urbanscapes demonstrate the striking effects of the armed conflicts during the hot war encounters. However, the residues of the urbanscapes become the actual indicators of damage and loss. Since today we can make future predictions using a variety of machine learning algorithms, it is possible to represent hybrid projections of urban heterotopias. In this context, this research proposes to explore dystopian post-war projections for modern cities based on their architectural styles and demonstrate the utopian scenarios of rehabilitation possibilities for the damaged urban built environment of post-war cities by using generative adversarial network (GAN) algorithms. Two primary datasets containing the post-war and pre-war building facades have been given as the input data for the CycleGAN and pix2pix GAN models. Thus, two different image-to-image GAN models have been compared regarding their ability to produce legible building facade projections in architectural features. Besides, the machine learning process results have been discussed in terms of cities' utopian and dystopian future predictions, demonstrating the war conflicts' immense effects on the built environment. Moreover, the immediate consequence of the destructive aggression on tangible and intangible architectural heritage would become visible to inhabitants and policymakers when the AI-generated rehabilitation potentials have been exposed.</t>
  </si>
  <si>
    <t>[Cicek, Selen; Turhan, Gozde Damla; Taser, Aybuke] Izmir Univ Econ, Dept Architecture, Izmir, Turkiye; [Cicek, Selen] Istanbul Tech Univ, Architectural Design Comp Program, Istanbul, Turkiye; [Taser, Aybuke] Izmir Inst Technol, Architecture Dept, Izmir, Turkiye</t>
  </si>
  <si>
    <t>Izmir Ekonomi Universitesi; Istanbul Technical University; Izmir Institute of Technology</t>
  </si>
  <si>
    <t>Çiçek, S (corresponding author), Izmir Univ Econ, Dept Architecture, Sakarya Caddesi 156, TR-35330 Izmir, Turkiye.</t>
  </si>
  <si>
    <t>selen.cicek@ieu.edu.tr</t>
  </si>
  <si>
    <t>Çiçek, Selen/ACR-2487-2022; Taşer, Aybüke/HGB-1084-2022</t>
  </si>
  <si>
    <t>Çiçek, Selen/0000-0003-2489-2536; Taşer, Aybüke/0000-0002-0335-2904; TURHAN-HASKARA, GOZDE DAMLA/0000-0001-6657-7441</t>
  </si>
  <si>
    <t>10.1177/14780771231181237</t>
  </si>
  <si>
    <t>CH1I5</t>
  </si>
  <si>
    <t>WOS:001007354200001</t>
  </si>
  <si>
    <t>Chae, M; Kim, D; Kim, Y; Lin, LZ</t>
  </si>
  <si>
    <t>Chae, Minwoo; Kim, Dongha; Kim, Yongdai; Lin, Lizhen</t>
  </si>
  <si>
    <t>A Likelihood Approach to Nonparametric Estimation of a Singular Distribution Using Deep Generative Models</t>
  </si>
  <si>
    <t>Data perturbation; deep generative model; distribution on a lower-dimensional manifold; maximum likelihood; singular distribution estimation</t>
  </si>
  <si>
    <t>CONVERGENCE-RATES; NEURAL-NETWORKS; MANIFOLD; APPROXIMATION; DECONVOLUTION; INFERENCE; MIXTURES; FINITE</t>
  </si>
  <si>
    <t>Keywords: Data perturbation, deep generative model, distribution on a lower-dimensional manifold, maximum likelihood, singular distribution estimation.</t>
  </si>
  <si>
    <t>[Chae, Minwoo] Pohang Univ Sci &amp; Technol, Dept Ind &amp; Management Engn, Pohang 37673, Gyeongbuk, South Korea; [Kim, Dongha] Sungshin Womens Univ, Data Sci Ctr, Sch Math Stat &amp; Data Sci, Seoul 02844, South Korea; [Kim, Yongdai] Seoul Natl Univ, Dept Stat, Seoul 08826, South Korea; [Lin, Lizhen] Univ Notre Dame, Dept Appl &amp; Computat Math &amp; Stat, South Bend, IN 46556 USA</t>
  </si>
  <si>
    <t>Pohang University of Science &amp; Technology (POSTECH); Sungshin Women's University; Seoul National University (SNU); University of Notre Dame</t>
  </si>
  <si>
    <t>Chae, M (corresponding author), Pohang Univ Sci &amp; Technol, Dept Ind &amp; Management Engn, Pohang 37673, Gyeongbuk, South Korea.</t>
  </si>
  <si>
    <t>MCHAE@POSTECH.AC.KR; DONGHA0718@SUNGSHIN.AC.KR; YDKIM0903@GMAIL.COM; LIZHEN.LIN@ND.EDU</t>
  </si>
  <si>
    <t>Samsung Science and Technology Foundation [SSTF- BA2101-03]; National Research Foundation of Korea (NRF) - Korea government (MSIT) [NRF-2022R1G1A1010894]; NRF grant [2020R1A2C3A01003550]; Institute of Information &amp; communications Technology Planning &amp; Evaluation (IITP) - MSIT [2022-0-00184]; MSIT; NSF [DMS CAREER 1654579, DMS 2113642]</t>
  </si>
  <si>
    <t>Samsung Science and Technology Foundation(Samsung); National Research Foundation of Korea (NRF) - Korea government (MSIT)(National Research Foundation of KoreaMinistry of Science, ICT &amp; Future Planning, Republic of KoreaMinistry of Science &amp; ICT (MSIT), Republic of Korea); NRF grant(National Research Foundation of Korea); Institute of Information &amp; communications Technology Planning &amp; Evaluation (IITP) - MSIT(Institute for Information &amp; Communication Technology Planning &amp; Evaluation (IITP), Republic of Korea); MSIT(Ministry of Science &amp; ICT (MSIT), Republic of Korea); NSF(National Science Foundation (NSF))</t>
  </si>
  <si>
    <t>The authors are very grateful to the Editor, the Associate Editor and the reviewers for their valuable comments which have led to substantial improvement in the paper. MC was supported by Samsung Science and Technology Foundation under Project Number SSTF- BA2101-03. DK was supported by the National Research Foundation of Korea (NRF) grant funded by the Korea government (MSIT) (No. NRF-2022R1G1A1010894) . YK was supported by the NRF grant (No. 2020R1A2C3A01003550) and Institute of Information &amp; communications Technology Planning &amp; Evaluation (IITP) grant (No. 2022-0-00184, Development and Study of AI Technologies to Inexpensively Conform to Evolving Policy on Ethics) funded by MSIT. LL would like to acknowledge the generous support of NSF grants DMS CAREER 1654579 and DMS 2113642.</t>
  </si>
  <si>
    <t>CK5B9</t>
  </si>
  <si>
    <t>WOS:001125148900001</t>
  </si>
  <si>
    <t>Gabor-Siatkowska, K; Sowanski, M; Rzatkiewicz, R; Stefaniak, I; Kozlowski, M; Janicki, A</t>
  </si>
  <si>
    <t>Gabor-Siatkowska, Karolina; Sowanski, Marcin; Rzatkiewicz, Rafal; Stefaniak, Izabela; Kozlowski, Marek; Janicki, Artur</t>
  </si>
  <si>
    <t>AI to Train AI: Using ChatGPT to Improve the Accuracy of a Therapeutic Dialogue System</t>
  </si>
  <si>
    <t>spoken dialogue system; speech recognition; ChatGPT; data augmentation; computer-aided therapy; cognitive-behavioral therapy</t>
  </si>
  <si>
    <t>In this work, we present the use of one artificial intelligence (AI) application (ChatGPT) to train another AI-based application. As the latter one, we show a dialogue system named Terabot, which was used in the therapy of psychiatric patients. Our study was motivated by the fact that for such a domain-specific system, it was difficult to acquire large real-life data samples to increase the training database: this would require recruiting more patients, which is both time-consuming and costly. To address this gap, we have employed a neural large language model: ChatGPT version 3.5, to generate data solely for training our dialogue system. During initial experiments, we identified intents that were most often misrecognized. Next, we fed ChatGPT with a series of prompts, which triggered the language model to generate numerous additional training entries, e.g., alternatives to the phrases that had been collected during initial experiments with healthy users. This way, we have enlarged the training dataset by 112%. In our case study, for testing, we used 2802 speech recordings originating from 32 psychiatric patients. As an evaluation metric, we used the accuracy of intent recognition. The speech samples were converted into text using automatic speech recognition (ASR). The analysis showed that the patients' speech challenged the ASR module significantly, resulting in deteriorated speech recognition and, consequently, low accuracy of intent recognition. However, thanks to the augmentation of the training data with ChatGPT-generated data, the intent recognition accuracy increased by 13% relatively, reaching 86% in total. We also emulated the case of an error-free ASR and showed the impact of ASR misrecognitions on the intent recognition accuracy. Our study showcased the potential of using generative language models to develop other AI-based tools, such as dialogue systems.</t>
  </si>
  <si>
    <t>[Gabor-Siatkowska, Karolina; Sowanski, Marcin; Rzatkiewicz, Rafal; Kozlowski, Marek; Janicki, Artur] Warsaw Univ Technol, Fac Elect &amp; Informat Technol, Nowowiejska 15-19, PL-00665 Warsaw, Poland; [Stefaniak, Izabela] Lazarski Univ, Fac Med, Ul Swieradowska 43, PL-02662 Warsaw, Poland</t>
  </si>
  <si>
    <t>Warsaw University of Technology; Uczelnia Lazarskiego w Warszawie</t>
  </si>
  <si>
    <t>Gabor-Siatkowska, K; Janicki, A (corresponding author), Warsaw Univ Technol, Fac Elect &amp; Informat Technol, Nowowiejska 15-19, PL-00665 Warsaw, Poland.</t>
  </si>
  <si>
    <t>karolina.gabor-siatkowska.dokt@pw.edu.pl; artur.janicki@pw.edu.pl</t>
  </si>
  <si>
    <t>Janicki, Artur/0000-0002-9937-4402</t>
  </si>
  <si>
    <t>Center for Priority Research Area Artificial Intelligence and Robotics of the Warsaw University of Technology</t>
  </si>
  <si>
    <t>10.3390/electronics12224694</t>
  </si>
  <si>
    <t>AT7G7</t>
  </si>
  <si>
    <t>WOS:001120766500001</t>
  </si>
  <si>
    <t>Zhou, WK; Zhang, C; Wu, LW; Shashidhar, M</t>
  </si>
  <si>
    <t>Zhou, Wenkai; Zhang, Chi; Wu, Linwan; Shashidhar, Meghana</t>
  </si>
  <si>
    <t>ChatGPT and marketing: Analyzing public discourse in early Twitter posts</t>
  </si>
  <si>
    <t>JOURNAL OF MARKETING ANALYTICS</t>
  </si>
  <si>
    <t>ChatGPT; Generative AI; Marketing; Twitter; Topic modeling</t>
  </si>
  <si>
    <t>KNOWLEDGE-BASED THEORY; ARTIFICIAL-INTELLIGENCE; FIRM; CAPABILITIES</t>
  </si>
  <si>
    <t>Despite the significant interest generated by the Generative AI model ChatGPT, there is still a lack of understanding regarding its impact on marketing from the perspective of early informants. In order to address this gap, our research investigates the initial posts made by Twitter users concerning the relationship between ChatGPT and marketing. Using BERTopic-based topic modeling, we determined the primary themes related to this subject and monitored their popularity over time. Our analysis identified ten distinct clusters of tweets related to ChatGPT and marketing, and we provide a thorough examination of these themes. We also investigated the temporal patterns of these clusters within the timeframe studied and outlined the implications of our findings for both marketing academia and practice.</t>
  </si>
  <si>
    <t>[Zhou, Wenkai; Shashidhar, Meghana] Univ Cent Oklahoma, Coll Business, Edmond, OK 73034 USA; [Zhang, Chi] Butler Univ, Lacy Sch Business, Indianapolis, IN USA; [Wu, Linwan] Univ South Carolina, Coll Informat &amp; Commun, Columbia, SC USA</t>
  </si>
  <si>
    <t>University of Central Oklahoma; Butler University; University of South Carolina System; University of South Carolina Columbia</t>
  </si>
  <si>
    <t>Zhou, WK (corresponding author), Univ Cent Oklahoma, Coll Business, Edmond, OK 73034 USA.</t>
  </si>
  <si>
    <t>wzhou2@uco.edu; czhang2@butler.edu; linwanwu@mailbox.sc.edu; megshashidhar@gmail.com</t>
  </si>
  <si>
    <t>Wu, Linwan/0000-0002-5294-3559; Zhou, Wenkai/0000-0002-5966-3621</t>
  </si>
  <si>
    <t>2050-3318</t>
  </si>
  <si>
    <t>2050-3326</t>
  </si>
  <si>
    <t>J MARK ANAL</t>
  </si>
  <si>
    <t>J. Market. Anal.</t>
  </si>
  <si>
    <t>10.1057/s41270-023-00250-6</t>
  </si>
  <si>
    <t>CA8H9</t>
  </si>
  <si>
    <t>WOS:001056976800001</t>
  </si>
  <si>
    <t>Lee, SE; Kim, S; Chu, Y; Choi, J; Park, E; Woo, SS</t>
  </si>
  <si>
    <t>Lee, SangEun; Kim, Seoyun; Chu, Yeonju; Choi, JeongWon; Park, Eunil; Woo, Simon S.</t>
  </si>
  <si>
    <t>EAE-GAN: Emotion-Aware Emoji Generative Adversarial Network for Computational Modeling Diverse and Fine-Grained Human Emotions</t>
  </si>
  <si>
    <t>IEEE TRANSACTIONS ON COMPUTATIONAL SOCIAL SYSTEMS</t>
  </si>
  <si>
    <t>Computational social systems; emoji generation; emotion modeling; generative adversarial networks</t>
  </si>
  <si>
    <t>IMAGE SYNTHESIS; TEXT</t>
  </si>
  <si>
    <t>With the growing ubiquity and broad usage, emojis are widely used as a universal visual language, which complements the intentions and emotions beyond the textual data. Despite the critical role of representing emotion, existing emojis neglect the subtle and complex properties of human emotion in that only countable and finite face emojis exist in a categorical manner. In this article, we propose a novel approach to facial emoji generation, which can control the emotional degree of generated emojis for more complex and detailed usage on online conversations. In other words, we develop a new emotion-aware emoji generative adversarial network, which is capable of generating an emoji that expresses a given emotion distribution. In this way, our approach aims to map fine-grained emotions to expressive emojis. Both quantitative and qualitative evaluation demonstrate that our approach can successfully generate highquality emoji-like images by representing a wide range of emotions. To the best of our knowledge, this is the first approach to use the deep generative model from the standpoint of the emoji's emotional role, which can further promote more interactive and effective online communication.</t>
  </si>
  <si>
    <t>[Lee, SangEun] Elect &amp; Telecommun Res Inst, Gyeonggi 13488, South Korea; [Kim, Seoyun; Park, Eunil; Woo, Simon S.] Sungkyunkwan Univ, Dept Appl Artificial Intelligence, Seoul 03063, South Korea; [Chu, Yeonju] Lotte Data Commun, Seoul 08500, South Korea; [Choi, JeongWon] Sungkyunkwan Univ, Dept Interact Sci, Seoul, South Korea</t>
  </si>
  <si>
    <t>Electronics &amp; Telecommunications Research Institute - Korea (ETRI); Sungkyunkwan University (SKKU); Sungkyunkwan University (SKKU)</t>
  </si>
  <si>
    <t>Park, E (corresponding author), Sungkyunkwan Univ, Dept Appl Artificial Intelligence, Seoul 03063, South Korea.</t>
  </si>
  <si>
    <t>eunilpark@skku.edu</t>
  </si>
  <si>
    <t>Lee, SangEun/JXN-7992-2024</t>
  </si>
  <si>
    <t>Lee, SangEun/0000-0002-3828-6601</t>
  </si>
  <si>
    <t>Culture, Sports and Tourism R&amp;D Program through the Korea Creative Content Agency - Ministry of Culture, Sports and Tourism [RS-2023-00227917]; Institute of Information &amp; Communications Technology Planning &amp;Evaluation (IITP) - Korea government (MSIT) [2022-0-00688]</t>
  </si>
  <si>
    <t>Culture, Sports and Tourism R&amp;D Program through the Korea Creative Content Agency - Ministry of Culture, Sports and Tourism(Korea Creative Content Agency (KOCCA)); Institute of Information &amp; Communications Technology Planning &amp;Evaluation (IITP) - Korea government (MSIT)(Institute for Information &amp; Communication Technology Planning &amp; Evaluation (IITP), Republic of KoreaMinistry of Science &amp; ICT (MSIT), Republic of Korea)</t>
  </si>
  <si>
    <t>This work was supported in part by the Culture, Sports and Tourism R&amp;D Program through the Korea Creative Content Agency grant funded by the Ministry of Culture, Sports and Tourism in 2023 (Project Name: Development of AI-based Interactive Multi-Modal Storytelling 3-D Scene Creation Technology for User Engagement under Project RS-2023-00227917, Contribution Rate: 50%) and in part by the Institute of Information &amp; Communications Technology Planning &amp;Evaluation (IITP) grant funded by the Korea government (MSIT; AI Platform to Fully Adapt and Reflect Privacy-Policy Changes under Grant 2022-0-00688).</t>
  </si>
  <si>
    <t>2329-924X</t>
  </si>
  <si>
    <t>IEEE T COMPUT SOC SY</t>
  </si>
  <si>
    <t>IEEE Trans. Comput. Soc. Syst.</t>
  </si>
  <si>
    <t>10.1109/TCSS.2023.3329434</t>
  </si>
  <si>
    <t>Computer Science, Cybernetics; Computer Science, Information Systems</t>
  </si>
  <si>
    <t>CO4U3</t>
  </si>
  <si>
    <t>WOS:001126183600001</t>
  </si>
  <si>
    <t>Razzaq, MS; Maqbool, F; Ilyas, M; Jabeen, H</t>
  </si>
  <si>
    <t>Razzaq, Muhammad Saad; Maqbool, Fahad; Ilyas, Muhammad; Jabeen, Hajira</t>
  </si>
  <si>
    <t>EvoRecipes: A Generative Approach for Evolving Context-Aware Recipes</t>
  </si>
  <si>
    <t>Knowledge graph; ontology; computational creativity; recipe evolution; recipe; food</t>
  </si>
  <si>
    <t>Generative AI e.g. Large Language Models (LLMs) can be used to generate new recipes. However, LLMs struggle with more complex aspects like recipe semantics and process comprehension. Furthermore, LLMs have limited ability to account for user preferences since they are based on statistical patterns. As a result, these recipes may be invalid. Evolutionary algorithms inspired by the process of natural selection are optimization algorithms that use stochastic operators to generate new solutions. These algorithms can generate large number of solutions from the set of possible solution space. Moreover, these algorithms have the capability to incorporate user preferences in fitness function to generate novel recipes that are more aligned with the fitness objective. In this paper, we propose the EvoRecipes framework to generate novel recipes. The EvoRecipes framework utilizes both Genetic Algorithm and generative AI in addition to RecipeOn ontology, and RecipeKG knowledge graph. Genetic Algorithm explore the large solution space of encoded recipe solutions and are capable of incorporating user preferences, while LLMs are used to generate recipe text from encoded recipe solutions. EvoRecipes uses a population of context-aware recipe solutions from the RecipeKG knowledge graph. RecipeKG encodes recipes in RDF format using classes and properties as defined in the RecipeOn ontology. Moreover, to evaluate the alignment of EvoRecipe generated recipes with multiple intended objectives, we propose a fitness function that incorporates novelty, simplicity, visual appeal, and feasibility. Additionally, to evaluate the quality of the EvoRecipe generated recipes while considering the subjective nature of recipes, we conducted a survey using multi-dimensional metrics (i.e. contextual, procedural, and novelty). Results show that EvoRecipes generated recipes are novel, valid and incorporate user preferences.</t>
  </si>
  <si>
    <t>[Razzaq, Muhammad Saad; Maqbool, Fahad; Ilyas, Muhammad] Univ Sargodha, Dept Comp Sci &amp; IT, Sargodha 40100, Pakistan; [Jabeen, Hajira] GESIS Leibniz Inst Social Sci, D-50667 Cologne, Germany</t>
  </si>
  <si>
    <t>University of Sargodha; Leibniz Institut fur Sozialwissenschaften (GESIS)</t>
  </si>
  <si>
    <t>Razzaq, MS (corresponding author), Univ Sargodha, Dept Comp Sci &amp; IT, Sargodha 40100, Pakistan.</t>
  </si>
  <si>
    <t>saad.razzaq@uos.edu.pk</t>
  </si>
  <si>
    <t>Maqbool, Fahad/0000-0003-3969-5551</t>
  </si>
  <si>
    <t>10.1109/ACCESS.2023.3296144</t>
  </si>
  <si>
    <t>N6ST5</t>
  </si>
  <si>
    <t>WOS:001038293500001</t>
  </si>
  <si>
    <t>Lee, J; Jeon, J; Hong, Y; Jeong, D; Jang, Y; Jeon, B; Baek, HJ; Cho, E; Shim, H; Chang, HJ</t>
  </si>
  <si>
    <t>Lee, Jina; Jeon, Jaeik; Hong, Youngtaek; Jeong, Dawun; Jang, Yeonggul; Jeon, Byunghwan; Baek, Hye Jin; Cho, Eun; Shim, Hackjoon; Chang, Hyuk-Jae</t>
  </si>
  <si>
    <t>Generative adversarial network with radiomic feature reproducibility analysis for computed tomography denoising</t>
  </si>
  <si>
    <t>Medical image denoising; Generative adversarial networks; Radiomics; Parameter tuning</t>
  </si>
  <si>
    <t>LOW-DOSE CT; NEURAL-NETWORK; NOISE</t>
  </si>
  <si>
    <t>Background: Most computed tomography (CT) denoising algorithms have been evaluated using image quality analysis (IQA) methods developed for natural image, which do not adequately capture the texture details in medical imaging. Radiomics is an emerging image analysis technique that extracts texture information to provide a more objective basis for medical imaging diagnostics, overcoming the subjective nature of traditional methods. By utilizing the difficulty of reproducing radiomics features under different imaging protocols, we can more accurately evaluate the performance of CT denoising algorithms. Method: We introduced radiomic feature reproducibility analysis as an evaluation metric for a denoising algorithm. Also, we proposed a low-dose CT denoising method based on a generative adversarial network (GAN), which outperformed well-known CT denoising methods. Results: Although the proposed model produced excellent results visually, the traditional image assessment metrics such as peak signal-to-noise ratio and structural similarity failed to show distinctive performance dif-ferences between the proposed method and the conventional ones. However, radiomic feature reproducibility analysis provided a distinctive assessment of the CT denoising performance. Furthermore, radiomic feature reproducibility analysis allowed fine-tuning of the hyper-parameters of the GAN. Conclusion: We demonstrated that the well-tuned GAN architecture outperforms the well-known CT denoising methods. Our study is the first to introduce radiomics reproducibility analysis as an evaluation metric for CT denoising. We look forward that the study may bridge the gap between traditional objective and subjective evaluations in the clinical medical imaging field.</t>
  </si>
  <si>
    <t>[Lee, Jina; Jeon, Jaeik; Hong, Youngtaek; Jeong, Dawun; Jang, Yeonggul; Shim, Hackjoon; Chang, Hyuk-Jae] Yonsei Univ, Coll Med, CONNECT AI Res Ctr, Seoul 03764, South Korea; [Lee, Jina; Jeong, Dawun; Jang, Yeonggul] Yonsei Univ, Brain Korea 21 PLUS Project Med Sci, Seoul 03722, South Korea; [Jeon, Byunghwan] Hankuk Univ Foreign Studies, Div Comp Engn, Yongin 17035, South Korea; [Hong, Youngtaek] Ontact Hlth, Seoul 03764, South Korea; [Baek, Hye Jin; Cho, Eun] Gyeongsang Natl Univ, Changwon Hosp, Sch Med, Dept Radiol, Chang Won 51472, South Korea; [Chang, Hyuk-Jae] Yonsei Univ, Severance Cardiovasc Hosp, Coll Med, Div Cardiol, Seoul 03722, South Korea</t>
  </si>
  <si>
    <t>Yonsei University; Yonsei University Health System; Yonsei University; Hankuk University Foreign Studies; Gyeongsang National University; Yonsei University; Yonsei University Health System</t>
  </si>
  <si>
    <t>Hong, Y (corresponding author), Yonsei Univ, Coll Med, CONNECT AI Res Ctr, Seoul 03764, South Korea.</t>
  </si>
  <si>
    <t>hyt0205@gmail.com</t>
  </si>
  <si>
    <t>Lee, Jina/0000-0003-1395-5474; Chang, Hyuk-Jae/0000-0002-6139-7545; Cho, Eun/0000-0001-7814-7430; Jeong, Dawun/0000-0001-9791-9555; Shim, Hackjoon/0000-0002-6731-0084</t>
  </si>
  <si>
    <t>Korea Medical Device Development Fund - Korea government (the Ministry of Science and ICT); Korea Medical Device Development Fund - Korea government (the Ministry of Science and ICT, the Ministry of Trade, Industry and Energy, the Ministry of Health &amp; Welfare, the Ministry of Food and Drug Safety) [202016B02]</t>
  </si>
  <si>
    <t>Korea Medical Device Development Fund - Korea government (the Ministry of Science and ICT)(Ministry of Science, ICT &amp; Future Planning, Republic of Korea); Korea Medical Device Development Fund - Korea government (the Ministry of Science and ICT, the Ministry of Trade, Industry and Energy, the Ministry of Health &amp; Welfare, the Ministry of Food and Drug Safety)</t>
  </si>
  <si>
    <t>This work was supported by the Korea Medical Device Development Fund grant funded by the Korea government (the Ministry of Science and ICT, the Ministry of Trade, Industry and Energy, the Ministry of Health &amp; Welfare, the Ministry of Food and Drug Safety) (Project Number: 202016B02)</t>
  </si>
  <si>
    <t>10.1016/j.compbiomed.2023.106931</t>
  </si>
  <si>
    <t>G9WO5</t>
  </si>
  <si>
    <t>WOS:000992575500001</t>
  </si>
  <si>
    <t>Atairu, M</t>
  </si>
  <si>
    <t>Atairu, Minne</t>
  </si>
  <si>
    <t>Reimagining Benin Bronzes using generative adversarial networks</t>
  </si>
  <si>
    <t>StyleGAN; Generative adversarial networks; Cultural heritage; Benin Bronzes</t>
  </si>
  <si>
    <t>In this paper, I describe my artistic project, Igun-a StyleGAN series trained to animate the research question: what bronze objects could have been produced should the 1897 British invasion not have occurred in the Benin Kingdom? In addition to looting over 3000 palace-commissioned artworks, I surmise that the invasion resulted in a 17-year (1897-1914) artistic decline. Although post-invasion colonial reports referred to a thriving art scene and increased colonial art patronage, there is a dearth of visual documentation to identify objects created during this period. Considering this absence, I propose Igun, a series of StyleGAN models trained on a dataset of looted Benin Bronzes. This project is informed by the Igun Eronmwon's (the royal guild of bronze casters) artistic protocols. Finally, I present three prototypes based on emergent themes-infancy and facial expressions, which were underexplored in Benin's classical bronze casting tradition.</t>
  </si>
  <si>
    <t>[Atairu, Minne] Columbia Univ, Teachers Coll, New York, NY 10027 USA</t>
  </si>
  <si>
    <t>Columbia University Teachers College; Columbia University</t>
  </si>
  <si>
    <t>Atairu, M (corresponding author), Columbia Univ, Teachers Coll, New York, NY 10027 USA.</t>
  </si>
  <si>
    <t>mga2146@tc.columbia.edu</t>
  </si>
  <si>
    <t>10.1007/s00146-023-01761-7</t>
  </si>
  <si>
    <t>WOS:001064704400001</t>
  </si>
  <si>
    <t>Liu, XC; Wu, LM; Zhang, SJ; Gong, CY; Ping, W; Liu, Q</t>
  </si>
  <si>
    <t>Liu, Xingchao; Wu, Lemeng; Zhang, Shujian; Gong, Chengyue; Ping, Wei; Liu, Qiang</t>
  </si>
  <si>
    <t>FlowGrad: Controlling the Output of Generative ODEs with Gradients</t>
  </si>
  <si>
    <t>Generative modeling with ordinary differential equations (ODEs) has achieved fantastic results on a variety of applications. Yet, few works have focused on controlling the generated content of a pre-trained ODE-based generative model. In this paper, we propose to optimize the output of ODE models according to a guidance function to achieve controllable generation. We point out that, the gradients can be efficiently back-propagated from the output to any intermediate time steps on the ODE trajectory, by decomposing the back-propagation and computing vector-Jacobian products. To further accelerate the computation of the back-propagation, we propose to use a non-uniform discretization to approximate the ODE trajectory, where we measure how straight the trajectory is and gather the straight parts into one discretization step. This allows us to save similar to 90% of the back-propagation time with ignorable error. Our framework, named FlowGrad, outperforms the state-of-the-art baselines on text-guided image manipulation. Moreover, FlowGrad enables us to find global semantic directions in frozen ODE-based generative models that can be used to manipulate new images without extra optimization.</t>
  </si>
  <si>
    <t>[Liu, Xingchao; Wu, Lemeng; Zhang, Shujian; Gong, Chengyue; Liu, Qiang] Univ Texas Austin, Austin, TX 78712 USA; [Ping, Wei] NVIDIA, Santa Clara, CA USA</t>
  </si>
  <si>
    <t>University of Texas System; University of Texas Austin; Nvidia Corporation</t>
  </si>
  <si>
    <t>Liu, XC (corresponding author), Univ Texas Austin, Austin, TX 78712 USA.</t>
  </si>
  <si>
    <t>xcliu@utexas.edu; lmwu@utexas.edu; szhang19@utexas.edu; cygong@utexas.edu; wping@nvidia.com; lqiang@cs.utexas.edu</t>
  </si>
  <si>
    <t>NSF [1846421, 2037267, EAGER-2041327]; Office of Navy Research; NSF AI Institute for Foundations of Machine Learning (IFML)</t>
  </si>
  <si>
    <t>NSF(National Science Foundation (NSF)); Office of Navy Research(Office of Naval Research); NSF AI Institute for Foundations of Machine Learning (IFML)(National Science Foundation (NSF))</t>
  </si>
  <si>
    <t>This research is supported by NSF CAREER1846421, SenSE2037267, EAGER-2041327, Office of Navy Research, and NSF AI Institute for Foundations of Machine Learning (IFML).</t>
  </si>
  <si>
    <t>10.1109/CVPR52729.2023.02331</t>
  </si>
  <si>
    <t>BV6TH</t>
  </si>
  <si>
    <t>WOS:001062531308065</t>
  </si>
  <si>
    <t>Kiefer, AB; Millidge, B; Tschantz, A; Buckley, CL</t>
  </si>
  <si>
    <t>Buckley, CL; Cialfi, D; Lanillos, P; Ramstead, M; Sajid, N; Shimazaki, H; Verbelen, T</t>
  </si>
  <si>
    <t>Kiefer, Alex B.; Millidge, Beren; Tschantz, Alexander; Buckley, Christopher L.</t>
  </si>
  <si>
    <t>Capsule Networks as Generative Models</t>
  </si>
  <si>
    <t>ACTIVE INFERENCE, IWAI 2022</t>
  </si>
  <si>
    <t>Communications in Computer and Information Science</t>
  </si>
  <si>
    <t>3rd International Workshop on Active Inference (IWAI)</t>
  </si>
  <si>
    <t>SEP 19, 2022</t>
  </si>
  <si>
    <t>Capsule networks are a neural network architecture specialized for visual scene recognition. Features and pose information are extracted from a scene and then dynamically routed through a hierarchy of vector-valued nodes called 'capsules' to create an implicit scene graph, with the ultimate aim of learning vision directly as inverse graphics. Despite these intuitions, however, capsule networks are not formulated as explicit probabilistic generative models; moreover, the routing algorithms typically used are ad-hoc and primarily motivated by algorithmic intuition. In this paper, we derive an alternative capsule routing algorithm utilizing iterative inference under sparsity constraints. We then introduce an explicit probabilistic generative model for capsule networks based on the self-attention operation in transformer networks and show how it is related to a variant of predictive coding networks using Von-Mises-Fisher (VMF) circular Gaussian distributions.</t>
  </si>
  <si>
    <t>[Kiefer, Alex B.; Millidge, Beren; Tschantz, Alexander; Buckley, Christopher L.] VERSES Res Lab, Culver City, CA 90230 USA; [Kiefer, Alex B.] Monash Univ, Melbourne, Australia; [Millidge, Beren] Univ Oxford, MRC Brain Network Dynam Unit, Oxford, England; [Buckley, Christopher L.] Univ Sussex, Sussex AI Grp, Dept Informat, Brighton, England</t>
  </si>
  <si>
    <t>Monash University; University of Oxford; University of Sussex</t>
  </si>
  <si>
    <t>Kiefer, AB (corresponding author), VERSES Res Lab, Culver City, CA 90230 USA.;Kiefer, AB (corresponding author), Monash Univ, Melbourne, Australia.</t>
  </si>
  <si>
    <t>akiefer@gmail.com</t>
  </si>
  <si>
    <t>1865-0929</t>
  </si>
  <si>
    <t>1865-0937</t>
  </si>
  <si>
    <t>978-3-031-28718-3; 978-3-031-28719-0</t>
  </si>
  <si>
    <t>COMM COM INF SC</t>
  </si>
  <si>
    <t>10.1007/978-3-031-28719-0_14</t>
  </si>
  <si>
    <t>BV1XR</t>
  </si>
  <si>
    <t>WOS:001000556300014</t>
  </si>
  <si>
    <t>Sezgin, E</t>
  </si>
  <si>
    <t>Sezgin, Emre</t>
  </si>
  <si>
    <t>Artificial intelligence in healthcare: Complementing, not replacing, doctors and healthcare providers</t>
  </si>
  <si>
    <t>DIGITAL HEALTH</t>
  </si>
  <si>
    <t>Artificial intelligence; large language models; generative AI; doctor; healthcare provider; medicine; implementation</t>
  </si>
  <si>
    <t>The utilization of artificial intelligence (AI) in clinical practice has increased and is evidently contributing to improved diagnostic accuracy, optimized treatment planning, and improved patient outcomes. The rapid evolution of AI, especially generative AI and large language models (LLMs), have reignited the discussions about their potential impact on the healthcare industry, particularly regarding the role of healthcare providers. Concerning questions, can AI replace doctors? and will doctors who are using AI replace those who are not using it? have been echoed. To shed light on this debate, this article focuses on emphasizing the augmentative role of AI in healthcare, underlining that AI is aimed to complement, rather than replace, doctors and healthcare providers. The fundamental solution emerges with the human-AI collaboration, which combines the cognitive strengths of healthcare providers with the analytical capabilities of AI. A human-in-the-loop (HITL) approach ensures that the AI systems are guided, communicated, and supervised by human expertise, thereby maintaining safety and quality in healthcare services. Finally, the adoption can be forged further by the organizational process informed by the HITL approach to improve multidisciplinary teams in the loop. AI can create a paradigm shift in healthcare by complementing and enhancing the skills of healthcare providers, ultimately leading to improved service quality, patient outcomes, and a more efficient healthcare system.</t>
  </si>
  <si>
    <t>[Sezgin, Emre] Nationwide Childrens Hosp, Ctr Biobehav Hlth, Abigail Wexner Res Inst, 700 Childrens Dr, Columbus, OH 43205 USA; [Sezgin, Emre] Ohio State Univ, Dept Pediat, Coll Med, Columbus, OH USA</t>
  </si>
  <si>
    <t>University System of Ohio; Ohio State University; Nationwide Childrens Hospital; Research Institute at Nationwide Children's Hospital; University System of Ohio; Ohio State University</t>
  </si>
  <si>
    <t>Sezgin, E (corresponding author), Nationwide Childrens Hosp, Ctr Biobehav Hlth, Abigail Wexner Res Inst, 700 Childrens Dr, Columbus, OH 43205 USA.</t>
  </si>
  <si>
    <t>Emre.Sezgin@nationwidechildrens.org</t>
  </si>
  <si>
    <t>Sezgin, Emre/I-7969-2019</t>
  </si>
  <si>
    <t>Sezgin, Emre/0000-0001-8798-9605</t>
  </si>
  <si>
    <t>2055-2076</t>
  </si>
  <si>
    <t>DIGIT HEALTH</t>
  </si>
  <si>
    <t>Digit. Health</t>
  </si>
  <si>
    <t>10.1177/20552076231186520</t>
  </si>
  <si>
    <t>Health Care Sciences &amp; Services; Health Policy &amp; Services; Public, Environmental &amp; Occupational Health; Medical Informatics</t>
  </si>
  <si>
    <t>Health Care Sciences &amp; Services; Public, Environmental &amp; Occupational Health; Medical Informatics</t>
  </si>
  <si>
    <t>K7JM0</t>
  </si>
  <si>
    <t>WOS:001018165000001</t>
  </si>
  <si>
    <t>Venturini, T</t>
  </si>
  <si>
    <t>Venturini, Tommaso</t>
  </si>
  <si>
    <t>Bruno Latour and Artificial Intelligence</t>
  </si>
  <si>
    <t>TECNOSCIENZA-ITALIAN JOURNAL OF SCIENCE &amp; TECHNOLOGY STUDIES</t>
  </si>
  <si>
    <t>artificial intelligence; actor-network theory; machine learning; deep learn-ing; generative AI</t>
  </si>
  <si>
    <t>This scenario discusses generative AI in light of Bruno Latour's sociology of technology. It considers why Latour showed little interest in the simulation of intelligence and how connectionist AI fails to meet his condition for sci-entificity but offers a fascinating writing mediation. AI is most interesting not because it emulates human thinking or writing, but because it differs from them. Drawing on actor-network theory, this scenario argues against the idea of machines becoming detached from their creators and high-lights how AIs can only exist through the support of their human assistants. The risks associated with these technologies do not come from an improb-able singularity, but from their embedding in the dull and exploitative in-dustry of digital attention economy.</t>
  </si>
  <si>
    <t>[Venturini, Tommaso] Univ Geneva, Geneva, Switzerland; [Venturini, Tommaso] Univ Geneva, Medialab, Blvd Pont Arve 40, CH-1205 Geneva, Switzerland; [Venturini, Tommaso] CNRS, Ctr Internet &amp; Soc, Blvd Pont Arve 40, CH-1205 Geneva, Switzerland</t>
  </si>
  <si>
    <t>University of Geneva; University of Geneva</t>
  </si>
  <si>
    <t>Venturini, T (corresponding author), Univ Geneva, Medialab, Blvd Pont Arve 40, CH-1205 Geneva, Switzerland.;Venturini, T (corresponding author), CNRS, Ctr Internet &amp; Soc, Blvd Pont Arve 40, CH-1205 Geneva, Switzerland.</t>
  </si>
  <si>
    <t>tomm.venturini@gmail.com</t>
  </si>
  <si>
    <t>TECNOSCIENZA</t>
  </si>
  <si>
    <t>PADUA</t>
  </si>
  <si>
    <t>C/O STS ITALIA, DIPT SOCIOLOGIA, PADUA, 35123, ITALY</t>
  </si>
  <si>
    <t>2038-3460</t>
  </si>
  <si>
    <t>Tecnoscienza</t>
  </si>
  <si>
    <t>Social Issues</t>
  </si>
  <si>
    <t>IH1E9</t>
  </si>
  <si>
    <t>WOS:001165338200006</t>
  </si>
  <si>
    <t>Zhou, XK; Zheng, XZ; Shu, T; Liang, W; Wang, KIK; Qi, LY; Shimizu, S; Jin, Q</t>
  </si>
  <si>
    <t>Zhou, Xiaokang; Zheng, Xuzhe; Shu, Tian; Liang, Wei; Wang, Kevin I-Kai; Qi, Lianyong; Shimizu, Shohei; Jin, Qun</t>
  </si>
  <si>
    <t>Information Theoretic Learning-Enhanced Dual-Generative Adversarial Networks With Causal Representation for Robust OOD Generalization</t>
  </si>
  <si>
    <t>Autoencoder (AE); causal representation learning (CRL); deep learning; generative adversarial network (GAN); information theoretic learning (ITL); out-of-distribution (OOD)</t>
  </si>
  <si>
    <t>Recently, machine/deep learning techniques are achieving remarkable success in a variety of intelligent control and management systems, promising to change the future of artificial intelligence (AI) scenarios. However, they still suffer from some intractable difficulty or limitations for model training, such as the out-of-distribution (OOD) issue, in modern smart manufacturing or intelligent transportation systems (ITSs). In this study, we newly design and introduce a deep generative model framework, which seamlessly incorporates the information theoretic learning (ITL) and causal representation learning (CRL) in a dual-generative adversarial network (Dual-GAN) architecture, aiming to enhance the robust OOD generalization in modern machine learning (ML) paradigms. In particular, an ITL-and CRL-enhanced Dual-GAN (ITCRL-DGAN) model is presented, which includes an autoencoder with CRL (AE-CRL) structure to aid the dual-adversarial training with causality-inspired feature representations and a Dual-GAN structure to improve the data augmentation in both feature and data levels. Following a newly designed feature separation strategy, a causal graph is built and improved based on the information theory, which can enhance the causally related factors among the separated core features and further enrich the feature representation with the counterfactual features via interventions based on the refined causal relationships. The ITL is incorporated to improve the extraction of low-dimensional feature representations and learn the optimized causal representations based on the idea of information flow. A dual-adversarial training mechanism is then developed, which not only enables the generator to expand the boundary of feature distribution in accordance with the optimized feature representation from AE-CRL, but also allows the discriminator to further verify and improve the quality of the augmented data for OOD generalization. Experiment and evaluation results based on an open-source dataset demonstrate the outstanding learning efficiency and classification performance of our proposed model for robust OOD generalization in modern smart applications compared with three baseline methods.</t>
  </si>
  <si>
    <t>[Zhou, Xiaokang; Shimizu, Shohei] Shiga Univ, Fac Data Sci, Hikone 5228522, Japan; [Zhou, Xiaokang; Shimizu, Shohei] RIKEN Ctr Adv Intelligence Project, RIKEN, Tokyo 1030027, Japan; [Zheng, Xuzhe] Hunan Univ Technol &amp; Business, Sch Frontier Crossover Studies, Changsha 410205, Peoples R China; [Shu, Tian] Hunan Univ Technol &amp; Business, Comp Sci Inst, Changsha 410205, Peoples R China; [Liang, Wei] Hunan Univ Technol &amp; Business, Changsha Social Lab Artificial Intelligence, Changsha 410205, Peoples R China; [Wang, Kevin I-Kai] Univ Auckland, Dept Elect Comp &amp; Software Engn, Auckland 1010, New Zealand; [Qi, Lianyong] China Univ Petr East China, Coll Comp Sci &amp; Technol, Qingdao 266580, Peoples R China; [Jin, Qun] Waseda Univ, Fac Human Sci, Tokorozawa 3591192, Japan</t>
  </si>
  <si>
    <t>Shiga University; RIKEN; Hunan University of Technology &amp; Business; Hunan University of Technology &amp; Business; Hunan University of Technology &amp; Business; University of Auckland; China University of Petroleum; Waseda University</t>
  </si>
  <si>
    <t>Liang, W (corresponding author), Hunan Univ Technol &amp; Business, Changsha Social Lab Artificial Intelligence, Changsha 410205, Peoples R China.</t>
  </si>
  <si>
    <t>zhou@biwako.shiga-u.ac.jp; xuzhezheng245@gmail.com; wenbenst@gmail.com; weiliang@csu.edu.cn; kevin.wang@auckland.ac.nz; lianyongqi@upc.edu.cn; shohei-shimizu@biwako.shiga-u.ac.jp; jin@waseda.jp</t>
  </si>
  <si>
    <t>Qi, Lianyong/AAO-2681-2020; Shimizu, Shohei/B-4425-2010; liang, wei/ITV-5002-2023; Jin, Qun/H-3752-2012</t>
  </si>
  <si>
    <t>Shimizu, Shohei/0000-0002-1931-0733; liang, wei/0000-0002-0689-256X; Wang, Kevin/0000-0001-8450-2558; Jin, Qun/0000-0002-1325-4275</t>
  </si>
  <si>
    <t>Grants-in-Aid for Scientific Research (C) from Japan Society for the Promotion of Science (JSPS)</t>
  </si>
  <si>
    <t>2023 NOV 17</t>
  </si>
  <si>
    <t>10.1109/TNNLS.2023.3330864</t>
  </si>
  <si>
    <t>CD2T0</t>
  </si>
  <si>
    <t>WOS:001123253500001</t>
  </si>
  <si>
    <t>Gao, XY; Liu, HR; Shi, F; Shen, DG; Liu, MH</t>
  </si>
  <si>
    <t>Gao, Xingyu; Liu, Hongrui; Shi, Feng; Shen, Dinggang; Liu, Manhua</t>
  </si>
  <si>
    <t>Brain Status Transferring Generative Adversarial Network for Decoding Individualized Atrophy in Alzheimer's Disease</t>
  </si>
  <si>
    <t>Alzheimer's disease; generative adversa- rial network; generative model; individualized diagnosis; T1-weighted magnetic resonance imaging</t>
  </si>
  <si>
    <t>CLASSIFICATION; ROBUST</t>
  </si>
  <si>
    <t>Deep learning has been widely investigated in brain image computational analysis for diagnosing brain diseases such as Alzheimer's disease (AD). Most of the existing methods built end-to-end models to learn discriminative features by group-wise analysis. However, these methods cannot detect pathological changes in each subject, which is essential for the individualized interpretation of disease variances and precision medicine. In this article, we propose a brain status transferring generative adversarial network (BrainStatTrans-GAN) to generate corresponding healthy images of patients, which are further used to decode individualized brain atrophy. The BrainStatTrans-GAN consists of generator, discriminator, and status discriminator. First, a normative GAN is built to generate healthy brain images from normal controls. However, it cannot generate healthy images from diseased ones due to the lack of paired healthy and diseased images. To address this problem, a status discriminator with adversarial learning is designed in the training process to produce healthy brain images for patients. Then, the residual between the generated and input images can be computed to quantify pathological brain changes. Finally, a residual-based multi-level fusion network (RMFN) is built for more accurate disease diagnosis. Compared to the existing methods, our method can model individualized brain atrophy for facilitating disease diagnosis and interpretation. Experimental results on T1-weighted magnetic resonance imaging (MRI) data of 1,739 subjects from three datasets demonstrate the effectiveness of our method.</t>
  </si>
  <si>
    <t>[Gao, Xingyu; Liu, Hongrui] Shanghai Jiao Tong Univ, Sch Elect Informat &amp; Elect Engn, Shanghai 200240, Peoples R China; [Shi, Feng; Shen, Dinggang] Shanghai United Imaging Intelligence Co Ltd, Dept Res &amp; Dev, Shanghai 200232, Peoples R China; [Shen, Dinggang] Shanghai Tech Univ, Sch Biomed Engn, Shanghai 201210, Peoples R China; [Shen, Dinggang] Shanghai Tech Univ, Shanghai Clin Res &amp; Trial Ctr, Shanghai 201210, Peoples R China; [Liu, Manhua] Shanghai Jiao Tong Univ, AI Inst, MoE Key Lab Artificial Intelligence, Shanghai 200240, Peoples R China</t>
  </si>
  <si>
    <t>Shanghai Jiao Tong University; ShanghaiTech University; ShanghaiTech University; Shanghai Jiao Tong University</t>
  </si>
  <si>
    <t>Shi, F; Shen, DG (corresponding author), Shanghai United Imaging Intelligence Co Ltd, Dept Res &amp; Dev, Shanghai 200232, Peoples R China.;Shen, DG (corresponding author), Shanghai Tech Univ, Sch Biomed Engn, Shanghai 201210, Peoples R China.;Shen, DG (corresponding author), Shanghai Tech Univ, Shanghai Clin Res &amp; Trial Ctr, Shanghai 201210, Peoples R China.;Liu, MH (corresponding author), Shanghai Jiao Tong Univ, AI Inst, MoE Key Lab Artificial Intelligence, Shanghai 200240, Peoples R China.</t>
  </si>
  <si>
    <t>xingyu.gao@sjtu.edu.cn; liuhongrui@sjtu.edu.cn; feng.shi@uii-ai.com; dinggang.shen@gmail.com; mhliu@sjtu.edu.cn</t>
  </si>
  <si>
    <t>gao, xingyu/GZG-4141-2022; Shi, Feng/G-3247-2012</t>
  </si>
  <si>
    <t>gao, xingyu/0000-0003-2427-3540; Liu, Hongrui/0000-0002-0062-5786; Shi, Feng/0000-0003-1522-9943</t>
  </si>
  <si>
    <t>National Natural Science Foundation of China [62171283]; National Key Research and Development Program of China [2022YFC2503302, 2022YFC2503305, 2022YFE0205700]; Natural Science Foundation of Shanghai [20ZR1426300]; Shanghai Jiao Tong University Scientific and Technological Innovation Funds [2019QYB02]; CAAI-Huawei Mind Spore Open Fund; Shanghai Municipal Science and Technology Major Project [2021SHZDZX0102, 2018SHZDZX01]; Fundamental Research Funds for the Central Universities; Key Laboratory of Computational Neuroscience and Brain-Inspired Intelligence (LCNBI); ZJ Lab</t>
  </si>
  <si>
    <t>National Natural Science Foundation of China(National Natural Science Foundation of China (NSFC)); National Key Research and Development Program of China; Natural Science Foundation of Shanghai(Natural Science Foundation of Shanghai); Shanghai Jiao Tong University Scientific and Technological Innovation Funds; CAAI-Huawei Mind Spore Open Fund; Shanghai Municipal Science and Technology Major Project; Fundamental Research Funds for the Central Universities(Fundamental Research Funds for the Central Universities); Key Laboratory of Computational Neuroscience and Brain-Inspired Intelligence (LCNBI); ZJ Lab</t>
  </si>
  <si>
    <t>This work was supported in part by the National Natural Science Foundation of China under Grant 62171283, in part by the National Key Research and Development Program of China under Grants 2022YFC2503302, 2022YFC2503305,and 2022YFE0205700, in part by the Natural Science Foundation of Shanghai under Grant 20ZR1426300, in part by Shanghai Jiao Tong University Scientific and Technological Innovation Funds under Grant 2019QYB02, in part by the CAAI-Huawei Mind Spore Open Fund, in part by the Shanghai Municipal Science and Technology Major Project under Grants 2021SHZDZX0102 and 2018SHZDZX01, in part by the Fundamental Research Funds for the Central Universities, and in part by the Key Laboratory of Computational Neuroscience and Brain-Inspired Intelligence (LCNBI) and ZJ Lab.</t>
  </si>
  <si>
    <t>10.1109/JBHI.2023.3304388</t>
  </si>
  <si>
    <t>WOS:001083127700029</t>
  </si>
  <si>
    <t>Panthier, C; Gatinel, D</t>
  </si>
  <si>
    <t>Panthier, C.; Gatinel, D.</t>
  </si>
  <si>
    <t>Success of ChatGPT, an AI language model, in taking the French language version of the European Board of Ophthalmology examination: A novel approach to medical knowledge assessment</t>
  </si>
  <si>
    <t>JOURNAL FRANCAIS D OPHTALMOLOGIE</t>
  </si>
  <si>
    <t>ChatGPT; Artificial intelligence; Natural language processing; OpenAI; Language model; Transformer architecture; Machine learning; Human-like interaction; Text generation; Deep learning; Ethics in AI; Training dataset; AI applications; Generative AI; Medical examination; European Board of Ophthalmology; Ophthalmology</t>
  </si>
  <si>
    <t>Purpose. - The purpose of this study was to evaluate the performance of ChatGPT, a cutting edge artificial intelligence (AI) language model developed by OpenAI, in successfully completing the French language version of the European Board of Ophthalmology (EBO) examination and to assess its potential role in medical education and knowledge assessment.Methods. - ChatGPT, based on the GPT-4 architecture, was exposed to a series of EBO examination questions in French, covering various aspects of ophthalmology. The AI's performance was evaluated by comparing its responses with the correct answers provided by ophthalmology experts. Additionally, the study assessed the time taken by ChatGPT to answer each question as a measure of efficiency. Results. - ChatGPT achieved a 91% success rate on the EBO examination, demonstrating a high level of competency in ophthalmology knowledge and application. The AI provided correct answers across all question categories, indicating a strong understanding of basic sciences, clinical knowledge, and clinical management. The AI model also answered the questions rapidly, taking only a fraction of the time needed by human test-takers. Conclusion. - ChatGPT's performance on the French language version of the EBO examination demonstrates its potential to be a valuable tool in medical education and knowledge assess-ment. Further research is needed to explore optimal ways to implement AI language models in medical education and to address the associated ethical and practical concerns.&amp; COPY; 2023 L'Auteur(s). Publi &amp; PRIME;e par Elsevier Masson SAS. Cet article est publi &amp; PRIME;e en Open Access sous licence CC BY-NC-ND (http://creativecommons.org/licenses/by-nc-nd/4.0/).</t>
  </si>
  <si>
    <t>[Panthier, C.; Gatinel, D.] Rothschild Fdn Hosp, Dept Ophthalmol, 25 Rue Manin, F-75019 Paris, France; [Panthier, C.; Gatinel, D.] Ctr Expertise &amp; Res Opt Vis CEROV, Paris, France; [Gatinel, D.] Rothschild Fdn, Dept Ophthalmol, 25 Rue Manin, F-75019 Paris, France</t>
  </si>
  <si>
    <t>Fondation Adolphe de Rothschild</t>
  </si>
  <si>
    <t>Gatinel, D (corresponding author), Rothschild Fdn, Dept Ophthalmol, 25 Rue Manin, F-75019 Paris, France.</t>
  </si>
  <si>
    <t>gatinel@gmail.com</t>
  </si>
  <si>
    <t>Panthier, Christophe/0000-0001-8205-0252</t>
  </si>
  <si>
    <t>MASSON EDITEUR</t>
  </si>
  <si>
    <t>MOULINEAUX CEDEX 9</t>
  </si>
  <si>
    <t>21 STREET CAMILLE DESMOULINS, ISSY, 92789 MOULINEAUX CEDEX 9, FRANCE</t>
  </si>
  <si>
    <t>0181-5512</t>
  </si>
  <si>
    <t>1773-0597</t>
  </si>
  <si>
    <t>J FR OPHTALMOL</t>
  </si>
  <si>
    <t>J. Fr. Ophthamol.</t>
  </si>
  <si>
    <t>10.1016/j.jfo.2023.05.006</t>
  </si>
  <si>
    <t>Ophthalmology</t>
  </si>
  <si>
    <t>S2GC6</t>
  </si>
  <si>
    <t>WOS:001069394400001</t>
  </si>
  <si>
    <t>Williams, MC; Shambrook, J</t>
  </si>
  <si>
    <t>Williams, Michelle C.; Shambrook, James</t>
  </si>
  <si>
    <t>How will artificial intelligence transform cardiovascular computed tomography? A conversation with an AI model</t>
  </si>
  <si>
    <t>JOURNAL OF CARDIOVASCULAR COMPUTED TOMOGRAPHY</t>
  </si>
  <si>
    <t>Artificial intelligence (AI) has the potential to transform healthcare, but its clinical use also has important challenges and limitations. Recently natural language processing and generative pre-training transformer (GPT) models have gained particular interest due to their ability to simulate human conversation. We aimed to explore output of the ChatGPT model (OpenAI, https://openai.com/blog/chatgpt) regarding current debates in cardiovascular CT. Prompts included debate questions from the Society of Cardiovascular Computed Tomography 2023 programme as well as questions about high risk plaque (HRP), quantitative plaque analysis, and how AI will transform cardiovascular CT. The AI model rapidly provided plausible responses including both pro and con sides of the argument. Advantages of AI for cardiovascular CT that were described by the AI model included improving image quality, speed of reporting, accuracy, and consistency. The AI model also acknowledged the importance for continued involvement of clinicians in patient care.</t>
  </si>
  <si>
    <t>[Williams, Michelle C.] Univ Edinburgh, British Heart Fdn, Ctr Cardiovasc Sci, Edinburgh, Scotland; [Shambrook, James] Univ Hosp Southampton, Southampton, England; [Williams, Michelle C.] Univ BHF Ctr Cardiovasc Sci, Chancellors Bldg,49 Little France Crescent, Edinburgh EH16SUF, Scotland</t>
  </si>
  <si>
    <t>Williams, MC (corresponding author), Univ BHF Ctr Cardiovasc Sci, Chancellors Bldg,49 Little France Crescent, Edinburgh EH16SUF, Scotland.</t>
  </si>
  <si>
    <t>michelle.williams@ed.ac.uk</t>
  </si>
  <si>
    <t>Williams, Michelle C/K-7555-2012</t>
  </si>
  <si>
    <t>Williams, Michelle C/0000-0003-3556-2428; Shambrook, James/0000-0002-3084-5106</t>
  </si>
  <si>
    <t>1934-5925</t>
  </si>
  <si>
    <t>J CARDIOVASC COMPUT</t>
  </si>
  <si>
    <t>J. Cardiovasc. Comput. Tomogr.</t>
  </si>
  <si>
    <t>10.1016/j.jcct.2023.03.010</t>
  </si>
  <si>
    <t>Cardiac &amp; Cardiovascular Systems; Radiology, Nuclear Medicine &amp; Medical Imaging</t>
  </si>
  <si>
    <t>Cardiovascular System &amp; Cardiology; Radiology, Nuclear Medicine &amp; Medical Imaging</t>
  </si>
  <si>
    <t>CH0V3</t>
  </si>
  <si>
    <t>WOS:001124253600001</t>
  </si>
  <si>
    <t>Zou, JA; Liu, YX; Qi, YK; Cao, HY; Liu, LQ; Shi, JQ</t>
  </si>
  <si>
    <t>Zou, Jinan; Liu, Yanxi; Qi, Yuankai; Cao, Haiyao; Liu, Lingqiao; Shi, Javen Qinfeng</t>
  </si>
  <si>
    <t>A Generative Approach for Comprehensive Financial Event Extraction at the Document Level</t>
  </si>
  <si>
    <t>natural language processing; financial document event extraction</t>
  </si>
  <si>
    <t>Financial event extraction enables the extraction of comprehensive and accurate information about financial events from documents. This paper explores the current methods for extracting events at the financial document level, which often involve custom-designed networks and processes. We question whether such extensive efforts are truly necessary for this task. Our research is motivated by recent developments in generative event extraction, which have shown success in sentence-level extraction but have yet to be explored for financial document-level extraction. To fill this gap, we propose a generative solution for document-level event extraction, which is more challenging due to the presence of scattered arguments and multiple events. We introduce an encoding scheme to capture entity-to-document level information and a decoding scheme that makes the generative process aware of all relevant contexts. Our results indicate that using our method, a generative-based solution can perform as well as state-of-the-art methods that use a specialized structure for document event extraction, providing an easy-to-use, strong baseline for future research.</t>
  </si>
  <si>
    <t>[Zou, Jinan; Qi, Yuankai; Cao, Haiyao; Liu, Lingqiao; Shi, Javen Qinfeng] Univ Adelaide, Australian Inst Machine Learning, Adelaide, SA, Australia; [Liu, Yanxi] Univ Adelaide, Adelaide, SA, Australia</t>
  </si>
  <si>
    <t>University of Adelaide; University of Adelaide</t>
  </si>
  <si>
    <t>Zou, JA (corresponding author), Univ Adelaide, Australian Inst Machine Learning, Adelaide, SA, Australia.</t>
  </si>
  <si>
    <t>jinan.zou@adelaide.edu.au; jmfszy@gmail.com; qykshr@gmail.com; haiyao.cao@adelaide.edu.au; lingqiao.liu@adelaide.edu.au; javen.shi@adelaide.edu.au</t>
  </si>
  <si>
    <t>yang, qing/JBR-8440-2023</t>
  </si>
  <si>
    <t>Qi, Yuankai/0000-0003-4312-5682</t>
  </si>
  <si>
    <t>10.1145/3604237.3626844</t>
  </si>
  <si>
    <t>WOS:001124982700038</t>
  </si>
  <si>
    <t>Schetinger, V; Di Bartolomeo, S; El-Assady, M; McNutt, A; Miller, M; Passos, JPA; Adams, JL</t>
  </si>
  <si>
    <t>Schetinger, V.; Di Bartolomeo, S.; El-Assady, M.; McNutt, A.; Miller, M.; Passos, J. P. A.; Adams, J. L.</t>
  </si>
  <si>
    <t>Doom or Deliciousness: Challenges and Opportunities for Visualization in the Age of Generative Models</t>
  </si>
  <si>
    <t>COMPUTER GRAPHICS FORUM</t>
  </si>
  <si>
    <t>Generative text-to-image models (as exemplified by DALL-E, MidJourney, and Stable Diffusion) have recently made enormous technological leaps, demonstrating impressive results in many graphical domains-from logo design to digital painting to photographic composition. However, the quality of these results has led to existential crises in some fields of art, leading to questions about the role of human agency in the production of meaning in a graphical context. Such issues are central to visualization, and while these generative models have yet to be widely applied in visualization, it seems only a matter of time until their integration is manifest. Seeking to circumvent similar ponderous dilemmas, we attempt to understand the roles that generative models might play across visualization. We do so by constructing a framework that characterizes what these technologies offer at various stages of the visualization workflow, augmented and analyzed through semi-structured interviews with 21 experts from related domains. Through this work, we map the space of opportunities and risks that might arise in this intersection, identifying doomsday prophecies and delicious low-hanging fruits that are ripe for research.</t>
  </si>
  <si>
    <t>[Schetinger, V.] TU Wien, Vienna, Austria; [Di Bartolomeo, S.; Adams, J. L.] Northeastern Univ, Boston, MA USA; [El-Assady, M.] ETH AI Ctr, Zurich, Switzerland; [McNutt, A.] Univ Chicago, Chicago, IL USA; [Miller, M.] Univ Konstanz, Constance, Germany; [Passos, J. P. A.] Hugging Face, Brooklyn, NY USA</t>
  </si>
  <si>
    <t>Technische Universitat Wien; Northeastern University; University of Chicago; University of Konstanz</t>
  </si>
  <si>
    <t>Schetinger, V (corresponding author), TU Wien, Vienna, Austria.</t>
  </si>
  <si>
    <t>Di Bartolomeo, Sara/0000-0001-9517-3526; El-Assady, Mennatallah/0000-0001-8526-2613; Adams, Jane/0000-0002-7826-3500; McNutt, Andrew/0000-0001-8255-4258</t>
  </si>
  <si>
    <t>European Commission under the project Humane-AI-Net [952026]; Austrian Science Fund (FWF) [P35767]; Austrian Science Fund (FWF) [P35767] Funding Source: Austrian Science Fund (FWF)</t>
  </si>
  <si>
    <t>European Commission under the project Humane-AI-Net; Austrian Science Fund (FWF)(Austrian Science Fund (FWF)); Austrian Science Fund (FWF)(Austrian Science Fund (FWF))</t>
  </si>
  <si>
    <t>We thank our anonymous reviewers for their helpful comments, as well as our study participants, without whom this work would not have been possible. This work has been partially supported by the European Commission under the project Humane-AI-Net (grant agreement 952026) and the Austrian Science Fund (FWF, grant P35767).</t>
  </si>
  <si>
    <t>0167-7055</t>
  </si>
  <si>
    <t>1467-8659</t>
  </si>
  <si>
    <t>COMPUT GRAPH FORUM</t>
  </si>
  <si>
    <t>Comput. Graph. Forum</t>
  </si>
  <si>
    <t>10.1111/cgf.14841</t>
  </si>
  <si>
    <t>L1CY5</t>
  </si>
  <si>
    <t>WOS:001020716600035</t>
  </si>
  <si>
    <t>Gao, ML; Zhou, YN; Zhai, WZ; Zeng, S; Li, QL</t>
  </si>
  <si>
    <t>Gao, Mingliang; Zhou, Yi'nan; Zhai, Wenzhe; Zeng, Shuai; Li, Qilei</t>
  </si>
  <si>
    <t>SaReGAN: a salient regional generative adversarial network for visible and infrared image fusion</t>
  </si>
  <si>
    <t>Smart city; Image fusion; Visible and infrared image; Generative adversarial network; Salient region</t>
  </si>
  <si>
    <t>PERFORMANCE</t>
  </si>
  <si>
    <t>Multispectral image fusion plays a crucial role in smart city environment safety. In the domain of visible and infrared image fusion, object vanishment after fusion is a key problem which restricts the fusion performance. To address this problem, a novel Salient Regional Generative Adversarial Network GAN (SaReGAN) is presented for infrared and VIS image fusion. The SaReGAN consists of three parts. In the first part, the salient regions of infrared image are extracted by visual saliency map and the information of these regions is preserved. In the second part, the VIS image, infrared image and salient information are merged thoroughly in the generator to gain a pre-fused image. In the third part, the discriminator attempts to differentiate the pre-fused image and VIS image, in order to learn details from VIS image based on the adversarial mechanism. Experimental results verify that the SaReGAN outperforms other state-of-the-art methods in quantitative and qualitative evaluations.</t>
  </si>
  <si>
    <t>[Gao, Mingliang; Zhai, Wenzhe] Shandong Univ Technol, Coll Elect &amp; Elect Engn, Zibo 255000, Shandong, Peoples R China; [Zhou, Yi'nan] Genesis AI Lab, Futong Technol, Chengdu 610054, Peoples R China; [Zeng, Shuai] Sichuan Univ, West China Univ Hosp 2, Dept Obstet &amp; Gynaecol, Chengdu, Sichuan, Peoples R China; [Li, Qilei] Queen Mary Univ London, Sch Elect Engn &amp; Comp Sci, London E1 4NS, England</t>
  </si>
  <si>
    <t>Shandong University of Technology; Sichuan University; University of London; Queen Mary University London</t>
  </si>
  <si>
    <t>Zhou, YN (corresponding author), Genesis AI Lab, Futong Technol, Chengdu 610054, Peoples R China.</t>
  </si>
  <si>
    <t>littlemuji@163.com</t>
  </si>
  <si>
    <t>li, xiaomin/KCX-9845-2024; , 李启磊/K-7546-2019</t>
  </si>
  <si>
    <t>, 李启磊/0000-0002-9675-9016</t>
  </si>
  <si>
    <t>National Natural Science Foundation of Shandong Province [ZR2021QD041, ZR2020MF127]</t>
  </si>
  <si>
    <t>National Natural Science Foundation of Shandong Province</t>
  </si>
  <si>
    <t>This work is supported in part by the National Natural Science Foundation of Shandong Province (Nos. ZR2021QD041 and ZR2020MF127).</t>
  </si>
  <si>
    <t>2023 JAN 25</t>
  </si>
  <si>
    <t>10.1007/s11042-023-14393-2</t>
  </si>
  <si>
    <t>8G8VR</t>
  </si>
  <si>
    <t>WOS:000920621000001</t>
  </si>
  <si>
    <t>Meskó, B</t>
  </si>
  <si>
    <t>The Impact of Multimodal Large Language Models on Health Care's Future</t>
  </si>
  <si>
    <t>artificial intelligence; ChatGPT; digital health; future; GPT-4; Generative Pre-Trained Transformer; large language models; multimodality; technology; AI; LLM</t>
  </si>
  <si>
    <t>When large language models (LLMs) were introduced to the public at large in late 2022 with ChatGPT (OpenAI), the interest was unprecedented, with more than 1 billion unique users within 90 days. Until the introduction of Generative Pre-trained Transformer 4 (GPT-4) in March 2023, these LLMs only contained a single mode-text. As medicine is a multimodal discipline, the potential future versions of LLMs that can handle multimodality-meaning that they could interpret and generate not only text but also images, videos, sound, and even comprehensive documents-can be conceptualized as a significant evolution in the field of artificial intelligence (AI). This paper zooms in on the new potential of generative AI, a new form of AI that also includes tools such as LLMs, through the achievement of multimodal inputs of text, images, and speech on health care's future. We present several futuristic scenarios to illustrate the potential path forward as multimodal LLMs (M-LLMs) could represent the gateway between health care professionals and using AI for medical purposes. It is important to point out, though, that despite the unprecedented potential of generative AI in the form of M-LLMs, the human touch in medicine remains irreplaceable. AI should be seen as a tool that can augment health care professionals rather than replace them. It is also important to consider the human aspects of health care-empathy, understanding, and the doctor-patient relationship-when deploying AI.</t>
  </si>
  <si>
    <t>[Mesko, Bertalan] Med Futurist Intitute, Budapest, Hungary; [Mesko, Bertalan] Med Futurist Intitute, Povl Bang Jensen u 2 B1 4 1, H-1118 Budapest 11, Hungary</t>
  </si>
  <si>
    <t>Meskó, B (corresponding author), Med Futurist Intitute, Povl Bang Jensen u 2 B1 4 1, H-1118 Budapest 11, Hungary.</t>
  </si>
  <si>
    <t>NOV 2</t>
  </si>
  <si>
    <t>e52865</t>
  </si>
  <si>
    <t>10.2196/52865</t>
  </si>
  <si>
    <t>Y3GQ9</t>
  </si>
  <si>
    <t>WOS:001104191500001</t>
  </si>
  <si>
    <t>Angarano, S; Salvetti, F; Martini, M; Chiaberge, M</t>
  </si>
  <si>
    <t>Angarano, Simone; Salvetti, Francesco; Martini, Mauro; Chiaberge, Marcello</t>
  </si>
  <si>
    <t>Generative Adversarial Super-Resolution at the edge with knowledge distillation</t>
  </si>
  <si>
    <t>Super-Resolution; Edge-AI; Knowledge distillation; Real-time systems; GAN; Robotics</t>
  </si>
  <si>
    <t>NAVIGATION; ROBOTICS</t>
  </si>
  <si>
    <t>Single-Image Super-Resolution can support robotic tasks in environments where a reliable visual stream is required to monitor the mission, handle teleoperation or study relevant visual details. In this work, we propose an efficient Generative Adversarial Network model for real-time Super-Resolution, called EdgeSRGAN1. We adopt a tailored architecture of the original SRGAN and model quantization to boost the execution on CPU and Edge TPU devices, achieving up to 200 fps inference. We further optimize our model by distilling its knowledge to a smaller version of the network and obtain remarkable improvements compared to the standard training approach. Our experiments show that our fast and lightweight model preserves considerably satisfying image quality compared to heavier state-of-the-art models. Finally, we conduct experiments on image transmission with bandwidth degradation to highlight the advantages of the proposed system for mobile robotic applications.</t>
  </si>
  <si>
    <t>[Angarano, Simone; Salvetti, Francesco; Martini, Mauro; Chiaberge, Marcello] Politecn Torino, Corso Duca Abruzzi 24, I-10129 Turin, Italy; [Angarano, Simone; Salvetti, Francesco; Martini, Mauro; Chiaberge, Marcello] PIC4SeR PoliTo Interdept Ctr Serv Robot, Corso Ferrucci 112, I-10141 Turin, Italy; [Salvetti, Francesco] SmartDataPoliTo, Corso Ferrucci 112, I-10141 Turin, Italy; [Angarano, Simone] PIC4SeR, Corso Ferrucci 112, I-10141 Turin, Italy</t>
  </si>
  <si>
    <t>Angarano, S (corresponding author), PIC4SeR, Corso Ferrucci 112, I-10141 Turin, Italy.</t>
  </si>
  <si>
    <t>simone.angarano@polito.it; francesco.salvetti@polito.it; mauro.martini@polito.it; marcello.chiaberge@polito.it</t>
  </si>
  <si>
    <t>Martini, Mauro/IYJ-4228-2023</t>
  </si>
  <si>
    <t>Martini, Mauro/0000-0002-6204-3845; Salvetti, Francesco/0000-0003-4744-4349; Angarano, Simone/0000-0002-4445-9783</t>
  </si>
  <si>
    <t>B</t>
  </si>
  <si>
    <t>10.1016/j.engappai.2023.106407</t>
  </si>
  <si>
    <t>I3UZ3</t>
  </si>
  <si>
    <t>WOS:001002076800001</t>
  </si>
  <si>
    <t>Shimizu, Y; Ohta, M; Ishida, S; Terayama, K; Osawa, M; Honma, T; Ikeda, K</t>
  </si>
  <si>
    <t>Shimizu, Yugo; Ohta, Masateru; Ishida, Shoichi; Terayama, Kei; Osawa, Masanori; Honma, Teruki; Ikeda, Kazuyoshi</t>
  </si>
  <si>
    <t>AI-driven molecular generation of not-patented pharmaceutical compounds using world open patent data</t>
  </si>
  <si>
    <t>Patented compounds; Drug discovery; Database; Compound search; Molecular generation; Reward function</t>
  </si>
  <si>
    <t>DE-NOVO DESIGN</t>
  </si>
  <si>
    <t>Developing compounds with novel structures is important for the production of new drugs. From an intellectual perspective, confirming the patent status of newly developed compounds is essential, particularly for pharmaceutical companies. The generation of a large number of compounds has been made possible because of the recent advances in artificial intelligence (AI). However, confirming the patent status of these generated molecules has been a challenge because there are no free and easy-to-use tools that can be used to determine the novelty of the generated compounds in terms of patents in a timely manner; additionally, there are no appropriate reference databases for pharmaceutical patents in the world. In this study, two public databases, SureChEMBL and Google Patents Public Datasets, were used to create a reference database of drug-related patented compounds using international patent classification. An exact structure search system was constructed using InChIKey and a relational database system to rapidly search for compounds in the reference database. Because drug-related patented compounds are a good source for generative AI to learn useful chemical structures, they were used as the training data. Furthermore, molecule generation was successfully directed by increasing and decreasing the number of generated patented compounds through incorporation of patent status (i.e., patented or not) into learning. The use of patent status enabled generation of novel molecules with high drug-likeness. The generation using generative AI with patent information would help efficiently propose novel compounds in terms of pharmaceutical patents. Scientific contribution: In this study, a new molecule-generation method that takes into account the patent status of molecules, which has rarely been considered but is an important feature in drug discovery, was developed. The method enables the generation of novel molecules based on pharmaceutical patents with high drug-likeness and will help in the efficient development of effective drug compounds.</t>
  </si>
  <si>
    <t>[Shimizu, Yugo; Ohta, Masateru; Ikeda, Kazuyoshi] RIKEN Ctr Computat Sci, HPC &amp; AI Driven Drug Dev Platform Div, 1-7-22 Suehiro Cho,Tsurumi Ku, Yokohama, Kanagawa 2300045, Japan; [Shimizu, Yugo; Osawa, Masanori; Ikeda, Kazuyoshi] Keio Univ, Fac Pharm, Div Phys Life Funct, 1-5-30 Shibakoen,Minato Ku, Tokyo 1058512, Japan; [Ishida, Shoichi; Terayama, Kei] Yokohama City Univ, Grad Sch Med Life Sci, 1-7-29 Suehiro Cho,Tsurumi Ku, Yokohama, Kanagawa 2300045, Japan; [Honma, Teruki] RIKEN Ctr Biosyst Dynam Res, 1-7-29 Suehiro Cho,Tsurumi Ku, Yokohama, Kanagawa 2300045, Japan</t>
  </si>
  <si>
    <t>RIKEN; Keio University; Yokohama City University; RIKEN</t>
  </si>
  <si>
    <t>Ikeda, K (corresponding author), RIKEN Ctr Computat Sci, HPC &amp; AI Driven Drug Dev Platform Div, 1-7-22 Suehiro Cho,Tsurumi Ku, Yokohama, Kanagawa 2300045, Japan.;Ikeda, K (corresponding author), Keio Univ, Fac Pharm, Div Phys Life Funct, 1-5-30 Shibakoen,Minato Ku, Tokyo 1058512, Japan.</t>
  </si>
  <si>
    <t>kazuyoshi.ikeda@riken.jp</t>
  </si>
  <si>
    <t>Ohta, Masateru/AAE-6802-2019; Ohta, Masateru/GYI-9691-2022</t>
  </si>
  <si>
    <t>Ohta, Masateru/0000-0002-6580-7185; Ohta, Masateru/0000-0002-6580-7185</t>
  </si>
  <si>
    <t>Japan Agency for Medical Research and Development</t>
  </si>
  <si>
    <t>Japan Agency for Medical Research and Development(Japan Agency for Medical Research and Development (AMED))</t>
  </si>
  <si>
    <t>DEC 13</t>
  </si>
  <si>
    <t>10.1186/s13321-023-00791-z</t>
  </si>
  <si>
    <t>CG4A7</t>
  </si>
  <si>
    <t>WOS:001124074600001</t>
  </si>
  <si>
    <t>Li, W; Chen, JL; Cao, JN; Ma, C; Wang, J; Cui, XH; Chen, P</t>
  </si>
  <si>
    <t>Li, Wei; Chen, Jinlin; Cao, Jiannong; Ma, Chao; Wang, Jia; Cui, Xiaohui; Chen, Ping</t>
  </si>
  <si>
    <t>EID-GAN: Generative Adversarial Nets for Extremely Imbalanced Data Augmentation</t>
  </si>
  <si>
    <t>Training; Generators; Detectors; Data models; Pistons; Fabrics; Prototypes; Extremely imbalanced data augmentation; generative adversarial net (GAN); generated data evaluation; norm penalty function</t>
  </si>
  <si>
    <t>Imbalanced data cause deep neural networks to output biased results, and it becomes more serious when facing extremely imbalanced data regarding the outliers with tiny size (the ratio of the outlier size to the image size is around 0.05%). Many data argumentation models are proposed to supplement imbalanced data to alleviate biased results. However, the existing augmentation models cannot synthesize tiny outliers, which make the generated data unavailable. In this article, we propose a new augmentation model named extremely imbalanced data augmentation generative adversarial nets (EID-GANs) to address the extremely imbalanced data augmentation problem. First, we design a new penalty function by subtracting the outliers from the cropped region of generated instance to guide the generator to learn the features of outliers. After this, we combine the output value of the penalty function with the generator loss to jointly update the generator's parameters with backpropagation. Second, we propose a new evaluation approach that adopts two outlier detectors with k-fold cross-validation to assess the availability of generated instances. We conduct extensive experiments to demonstrate the significant performance improvement of EID-GAN on two extremely imbalanced datasets, which are the industrial Piston and the Fabric datasets, and one general imbalanced dataset, i.e., the public DAGM dataset. The experimental results show that our EID-GAN outperforms the state-of-the-art (SOTA) augmentation models on different imbalanced datasets.</t>
  </si>
  <si>
    <t>[Li, Wei] Jiangnan Univ, Sci Ctr Future Foods, Sch Artificial Intelligence &amp; Comp Sci, Jiangsu Key Lab Media Design &amp; Software Technol, Wuxi 214122, Peoples R China; [Chen, Jinlin; Cao, Jiannong] Hong Kong Polytech Univ, Dept Comp, Hong Kong, Peoples R China; [Ma, Chao] Wuhan Univ, Sch Cyber Sci &amp; Engn, Wuhan 430072, Peoples R China; [Wang, Jia; Cui, Xiaohui] Xian Jiaotong Liverpool Univ, Dept Intelligent Sci, Suzhou 215123, Peoples R China; [Chen, Ping] Univ Massachusetts Boston, Dept Engn, Boston, MA 02125 USA</t>
  </si>
  <si>
    <t>Jiangnan University; Hong Kong Polytechnic University; Wuhan University; Xi'an Jiaotong-Liverpool University; University of Massachusetts System; University of Massachusetts Boston</t>
  </si>
  <si>
    <t>Chen, JL (corresponding author), Hong Kong Polytech Univ, Dept Comp, Hong Kong, Peoples R China.</t>
  </si>
  <si>
    <t>cs_weili@jiangnan.edu.cn; csjlchen@comp.polyu.edu.hk; Csjcao@comp.polyu.edu.hk; whmachao@ieee.org; jia.wang02@xjtlu.edu.cn; xcui@whu.edu.cn; ping.chen@umb.edu</t>
  </si>
  <si>
    <t>Li, Wei/AFH-5145-2022; Wang, Xiaoman/JYP-1144-2024; Ma, Chao/GNP-4534-2022; Cao, Jian-Nong/ABE-5890-2020</t>
  </si>
  <si>
    <t>Li, Wei/0000-0002-3135-0447; Wang, Jia/0000-0002-3165-7051; Chen, Ping/0000-0003-3789-7686; CHEN, Jinlin/0000-0003-3923-8844; cui, xiaohui/0000-0001-6079-009X; Cao, Jiannong/0000-0002-2725-2529; Ma, Chao/0000-0002-7443-6267</t>
  </si>
  <si>
    <t>Jiangsu ShuangChuang Talent Program [JSSCBS20210827]; Open Foundation of Engineering Research Center of Cyberspace under Grant [KJAQ202112014]; CRF-RGC Collaborative Research Fund [C5026-18G]; Fundamental Research Funds for the Central Universities [JUSRP121073, JUSRP521004]; XJTLU Research Development Fund [RDF-21-01-053]; AI Empowerment Tech. Inc. Research Fund [RDS10120220021]</t>
  </si>
  <si>
    <t>Jiangsu ShuangChuang Talent Program; Open Foundation of Engineering Research Center of Cyberspace under Grant; CRF-RGC Collaborative Research Fund; Fundamental Research Funds for the Central Universities(Fundamental Research Funds for the Central Universities); XJTLU Research Development Fund; AI Empowerment Tech. Inc. Research Fund</t>
  </si>
  <si>
    <t>This work was supported in part by 2021 Jiangsu ShuangChuang Talent Program under Grant JSSCBS20210827, in part by the Open Foundation of Engineering Research Center of Cyberspace under Grant KJAQ202112014, in part by CRF-RGC Collaborative Research Fund 2018/19-Group Research under Grant C5026-18G, in part by the Fundamental Research Funds for the Central Universities under Grant JUSRP121073 and Grant JUSRP521004, in part by XJTLU Research Development Fund under Grant RDF-21-01-053, and in part by AI Empowerment Tech. Inc. Research Fund under Grant RDS10120220021. Paper no. TII-22-0765.</t>
  </si>
  <si>
    <t>10.1109/TII.2022.3182781</t>
  </si>
  <si>
    <t>D2LF0</t>
  </si>
  <si>
    <t>WOS:000967081100001</t>
  </si>
  <si>
    <t>Frick, TW</t>
  </si>
  <si>
    <t>Frick, Theodore W.</t>
  </si>
  <si>
    <t>Are We Dupes? Limitations of AI Systems: What Should Educators Do with Them?</t>
  </si>
  <si>
    <t>Artificial intelligence systems; General systems theory; Chatbots; Educology; Critical thinking; Qualitative knowing; Quantitative knowing; Neural networks; Culture; Worthwhile education</t>
  </si>
  <si>
    <t>Extant chatbots such as ChatGPT and Bard are currently able to converse with humans in natural language, demonstrating impressive linguistic responses. Or so it seems. I critically examine artificial intelligence systems such as these chatbots through examples of dialogue. When taking a systems view of AI, there is a vast and unique human culture in the environmental surroundings of the AI system (its negasystem) that is not accessible to extant AI systems. These generative AI systems, based on large language models, are trained with trillions of signs created by humans in the form of digital text and images as part of their machine learning from which they construct their unique neural networks. However, AI systems do not understand well, if at all, the meanings of those signs that we associate with our human experience of the world and our culture (i.e., in the AI negasystem). Similarly, we humans do not understand well the inner workings of an AI system (its neural network). Teachers and students in education must be very careful and cautious when using such AI systems. Are we dupes? Or not? Without thinking critically and checking facts independently, we can be fooled by responses of those AI systems.</t>
  </si>
  <si>
    <t>[Frick, Theodore W.] Indiana Univ, Sch Educ, Dept Instruct Syst Technol, Bloomington, IN 47405 USA</t>
  </si>
  <si>
    <t>Indiana University System; Indiana University Bloomington</t>
  </si>
  <si>
    <t>Frick, TW (corresponding author), Indiana Univ, Sch Educ, Dept Instruct Syst Technol, Bloomington, IN 47405 USA.</t>
  </si>
  <si>
    <t>frick@indiana.edu</t>
  </si>
  <si>
    <t>Frick, Theodore/0000-0003-2488-9396</t>
  </si>
  <si>
    <t>10.1007/s11528-023-00893-3</t>
  </si>
  <si>
    <t>WOS:001069494100001</t>
  </si>
  <si>
    <t>Wang, Q; Guo, C; Dai, HN; Li, P</t>
  </si>
  <si>
    <t>Wang, Qian; Guo, Cai; Dai, Hong-Ning; Li, Ping</t>
  </si>
  <si>
    <t>Stroke-GAN Painter: Learning to paint artworks using stroke-style generative adversarial networks</t>
  </si>
  <si>
    <t>COMPUTATIONAL VISUAL MEDIA</t>
  </si>
  <si>
    <t>AI painting; painting strokes; artistic style</t>
  </si>
  <si>
    <t>It is a challenging task to teach machines to paint like human artists in a stroke-by-stroke fashion. Despite advances in stroke-based image rendering and deep learning-based image rendering, existing painting methods have limitations: they (i) lack flexibility to choose different art-style strokes, (ii) lose content details of images, and (iii) generate few artistic styles for paintings. In this paper, we propose a stroke-style generative adversarial network, called Stroke-GAN, to solve the first two limitations. Stroke-GAN learns styles of strokes from different stroke-style datasets, so can produce diverse stroke styles. We design three players in Stroke-GAN to generate pure-color strokes close to human artists' strokes, thereby improving the quality of painted details. To overcome the third limitation, we have devised a neural network named Stroke-GAN Painter, based on Stroke-GAN; it can generate different artistic styles of paintings. Experiments demonstrate that our artful painter can generate various styles of paintings while well-preserving content details (such as details of human faces and building textures) and retaining high fidelity to the input images.</t>
  </si>
  <si>
    <t>[Wang, Qian; Guo, Cai] Macau Univ Sci &amp; Technol, Sch Comp Sci &amp; Engn, Macau, Peoples R China; [Wang, Qian; Li, Ping] Hong Kong Polytech Univ, Dept Comp, Hong Kong, Peoples R China; [Guo, Cai] Hanshan Normal Univ, Sch Comp &amp; Informat Engn, Chaozhou, Peoples R China; [Dai, Hong-Ning] Hong Kong Baptist Univ, Dept Comp Sci, Hong Kong, Peoples R China; [Li, Ping] Hong Kong Polytech Univ, Sch Design, Hong Kong, Peoples R China</t>
  </si>
  <si>
    <t>Macau University of Science &amp; Technology; Hong Kong Polytechnic University; Hanshan Normal University; Hong Kong Baptist University; Hong Kong Polytechnic University</t>
  </si>
  <si>
    <t>Li, P (corresponding author), Hong Kong Polytech Univ, Dept Comp, Hong Kong, Peoples R China.;Dai, HN (corresponding author), Hong Kong Baptist Univ, Dept Comp Sci, Hong Kong, Peoples R China.;Li, P (corresponding author), Hong Kong Polytech Univ, Sch Design, Hong Kong, Peoples R China.</t>
  </si>
  <si>
    <t>anrogim@outlook.com; c.guo@hstc.edu.cn; hndai@ieee.org; p.li@polyu.edu.hk</t>
  </si>
  <si>
    <t>Dai, Hong-Ning/B-1931-2012; Guo, Cai/HZI-6956-2023; Li, Ping/AAO-2019-2020</t>
  </si>
  <si>
    <t>Dai, Hong-Ning/0000-0001-6165-4196; Li, Ping/0000-0002-1503-0240; Guo, Cai/0000-0001-7524-2272</t>
  </si>
  <si>
    <t>Hong Kong Institute of Business Studies (HKIBS) Research Seed Fund [HKIBS RSF-212-004]; Hong Kong Polytechnic University [P0030419, P0030929, P0035358]</t>
  </si>
  <si>
    <t>Hong Kong Institute of Business Studies (HKIBS) Research Seed Fund; Hong Kong Polytechnic University(Hong Kong Polytechnic University)</t>
  </si>
  <si>
    <t>AcknowledgementsThe authors would like to thank the anonymous reviewers for their helpful suggestions and comments. This work was supported in part by the Hong Kong Institute of Business Studies (HKIBS) Research Seed Fund under Grant HKIBS RSF-212-004, and in part by The Hong Kong Polytechnic University under Grant P0030419, Grant P0030929, and Grant P0035358.</t>
  </si>
  <si>
    <t>2096-0433</t>
  </si>
  <si>
    <t>2096-0662</t>
  </si>
  <si>
    <t>COMPUT VIS MEDIA</t>
  </si>
  <si>
    <t>Comput. Vis. Media</t>
  </si>
  <si>
    <t>10.1007/s41095-022-0287-3</t>
  </si>
  <si>
    <t>P1QC2</t>
  </si>
  <si>
    <t>WOS:000947086600001</t>
  </si>
  <si>
    <t>Kim, J; Lee, J; Jang, KM; Lourentzou, I</t>
  </si>
  <si>
    <t>Kim, Junghwan; Lee, Jinhyung; Jang, Kee Moon; Lourentzou, Ismini</t>
  </si>
  <si>
    <t>Exploring the limitations in how ChatGPT introduces environmental justice issues in the United States: A case study of 3,108 counties</t>
  </si>
  <si>
    <t>ChatGPT; Disparities; Environmental justice; Generative AI; Geographic bias</t>
  </si>
  <si>
    <t>AIR TOXICS; RISKS</t>
  </si>
  <si>
    <t>The potential of Generative AI, such as ChatGPT, has sparked discussions among researchers and the public. This study empirically explores the capabilities and limitations of ChatGPT, specifically its portrayal of environmental justice issues. Using OpenAI's ChatGPT API, we asked ChatGPT (GPT-4) to answer questions about environmental justice issues in 3,108 counties in the contiguous United States. Our findings suggest that ChatGPT provides a general overview of environmental justice issues. Consistent with research, ChatGPT appears to acknowledge the disproportionate distribution of environmental pollutants and toxic materials in low-income communities and those inhabited by people of color. However, our results also highlighted ChatGPT's shortcomings in detailing specific local environmental justice issues, particularly in disadvantaged (e.g., rural and low-income) counties. For instance, ChatGPT could not provide information on local-specific environmental justice issues for 2,593 of 3,108 counties (83%). The results of the binary logistic regression model revealed that counties with lower population densities, higher percentages of white population, and lower incomes are less likely to receive local-specific responses from the ChatGPT. This could indicate a potential regional disparity in the volume and quality of training data, hinting at geographical biases. Our findings offer insights and implications for educators, researchers, and AI developers.</t>
  </si>
  <si>
    <t>[Kim, Junghwan] Virginia Tech, Dept Geog, Blacksburg, VA 24061 USA; [Lee, Jinhyung] Western Univ, Dept Geog &amp; Environm, London, ON, Canada; [Jang, Kee Moon] MIT, Dept Urban Studies &amp; Planning, Cambridge, MA USA; [Lourentzou, Ismini] Virginia Tech, Dept Comp Sci, Blacksburg, VA USA</t>
  </si>
  <si>
    <t>Virginia Polytechnic Institute &amp; State University; Western University (University of Western Ontario); Massachusetts Institute of Technology (MIT); Virginia Polytechnic Institute &amp; State University</t>
  </si>
  <si>
    <t>Kim, J (corresponding author), Virginia Tech, Dept Geog, Blacksburg, VA 24061 USA.</t>
  </si>
  <si>
    <t>junghwankim@vt.edu; jinhyung.lee@uwo.ca; keejang@mit.edu; ilourentzou@vt.edu</t>
  </si>
  <si>
    <t>Kim, Junghwan/0000-0002-7275-769X</t>
  </si>
  <si>
    <t>Institute for Society, Culture and Environment (ISCE) at Virginia Tech</t>
  </si>
  <si>
    <t>Junghwan Kim was supported by the Institute for Society, Culture and Environment (ISCE) at Virginia Tech.</t>
  </si>
  <si>
    <t>10.1016/j.tele.2023.102085</t>
  </si>
  <si>
    <t>IM7W9</t>
  </si>
  <si>
    <t>WOS:001166819100001</t>
  </si>
  <si>
    <t>Popovici, MD</t>
  </si>
  <si>
    <t>Popovici, Matei-Dan</t>
  </si>
  <si>
    <t>ChatGPT in the Classroom. Exploring Its Potential and Limitations in a Functional Programming Course</t>
  </si>
  <si>
    <t>Learning and generative AI; empirical studies of programming and software engineering; human language technologies in program development</t>
  </si>
  <si>
    <t>In November 2022, OpenAI has introduced ChatGPT - a chatbot based on supervised and reinforcement learning. Not only can it answer questions emulating human-like responses, but it can also generate code from scratch or complete coding templates provided by the user. ChatGPT can generate unique responses which render any traditional anti-plagiarism tool useless. Its release has ignited a heated debate about its usage in academia, especially by students. We have found, to our surprise, that our students at POLITEHNICA University of Bucharest (UPB) have been using generative AI tools (ChatGPT and its predecessors) for solving homework, for at least 6 months. We therefore set out to explore the capabilities of ChatGPT and assess its value for educational purposes. We used ChatGPT to solve all our coding assignments for the semester from our UPB Functional Programming course. We discovered that, although ChatGPT provides correct answers in 68% of the cases, only around half of those are legible solutions which can benefit students in some form. On the other hand, ChatGPT has a very good ability to perform code review on student programming homework. Based on these findings, we discuss the pros and cons of ChatGPT in a teaching environment, as well as means for integrating GPT models for generating code reviews, in order to improve the code-writing skills of students.</t>
  </si>
  <si>
    <t>[Popovici, Matei-Dan] Natl Univ Sci &amp; Technol POLITEHN Bucharest, Comp Sci Dept, Bucharest 060042, Romania; [Popovici, Matei-Dan] Natl Univ Sci &amp; Technol POLITEHN Bucharest, Comp Sci Dept, Splaiul Independentei 313, Bucharest 060042, Romania</t>
  </si>
  <si>
    <t>Popovici, MD (corresponding author), Natl Univ Sci &amp; Technol POLITEHN Bucharest, Comp Sci Dept, Splaiul Independentei 313, Bucharest 060042, Romania.</t>
  </si>
  <si>
    <t>matei.popovici@upb.ro</t>
  </si>
  <si>
    <t>project: EduGPT: Valorificarea modelelor generative pentru imath;mbunatatirea calitatii scrierii codului imath;n spatiul educational [69]</t>
  </si>
  <si>
    <t>project: EduGPT: Valorificarea modelelor generative pentru imath;mbunatatirea calitatii scrierii codului imath;n spatiul educational</t>
  </si>
  <si>
    <t>This work was carried out as part of the project: EduGPT: Valorificarea modelelor generative pentru &amp; imath;mbunatatirea calitatii scrierii codului &amp; imath;n spatiul educational, ID 69 funded in the GNAC ARUT 2023 competition.</t>
  </si>
  <si>
    <t>2023 OCT 17</t>
  </si>
  <si>
    <t>10.1080/10447318.2023.2269006</t>
  </si>
  <si>
    <t>U6LK8</t>
  </si>
  <si>
    <t>WOS:001085897000001</t>
  </si>
  <si>
    <t>Lu, XY; Lin, YH; Lin, PJ; He, XJ; Fang, GF; Cheng, SY; Chen, ZC; Wu, LJ</t>
  </si>
  <si>
    <t>Lu, Xiaoyang; Lin, Yaohai; Lin, Peijie; He, Xiangjian; Fang, Gengfa; Cheng, Shuying; Chen, Zhicong; Wu, Lijun</t>
  </si>
  <si>
    <t>Efficient fault diagnosis approach for solar photovoltaic array using a convolutional neural network in combination of generative adversarial network under small dataset</t>
  </si>
  <si>
    <t>SOLAR ENERGY</t>
  </si>
  <si>
    <t>Photovoltaic Array; Faults Diagnosis; Generative Adversarial Network; Convolutional Neural Network; Deep Learning</t>
  </si>
  <si>
    <t>MULTIRESOLUTION SIGNAL DECOMPOSITION; SYSTEMS; VOLTAGE; RELIABILITY; PERFORMANCE</t>
  </si>
  <si>
    <t>Accurate faults diagnosis for photovoltaic (PV) array is one of the vital factors that guarantee the reliable operation of PV power plant. Artificial intelligence (AI) based fault detection and diagnosis (FDD) models are promising techniques. In order to automatically extract the faults features from the raw electrical data of PV array and create efficient FDD model with small dataset, a FDD scheme using Wasserstein generative adversarial network (WGAN) and convolutional neural network (CNN) is designed. The proposed FDD model is consisting of three modules, a discriminator, a generator and a classifier for fault diagnosis. By analyzing sequential PV data in a 2-Dimension way, the proposed discriminator and generator learn the distribution of PV data under various PV system operations. Then they are utilized to generate more labeled samples to improve the performance of the CNN based classifier. Thus, the proposed FDD model can be trained only requiring minor labeled samples. A laboratory grid-connected PV system is established to experimentally investigate the performance of the developed method. The results demonstrate that the designed FDD model can accurately diagnose line-line and open circuit faults.</t>
  </si>
  <si>
    <t>[Lu, Xiaoyang; Lin, Peijie; Cheng, Shuying; Chen, Zhicong; Wu, Lijun] Fuzhou Univ, Sch Phys &amp; Informat Engn, Fuzhou, Peoples R China; [Lu, Xiaoyang; Lin, Peijie; Cheng, Shuying; Chen, Zhicong; Wu, Lijun] Fuzhou Univ, Inst Micronano Devices &amp; Solar Cells, Fuzhou, Peoples R China; [Lu, Xiaoyang; Lin, Peijie; Cheng, Shuying; Chen, Zhicong; Wu, Lijun] Jiangsu Collaborat Innovat Ctr Photovolta Sci &amp; En, Changzhou, Peoples R China; [Lin, Yaohai] Fujian Agr &amp; Forest Univ, Coll Comp &amp; Informat Sci, Fuzhou, Peoples R China; [Lu, Xiaoyang; Fang, Gengfa] Univ Technol Sydney, Fac Engn &amp; Informat Technol, Sydney, Australia; [He, Xiangjian] Univ Nottingham Ningbo China, Sch Comp Sci, Ningbo, Peoples R China</t>
  </si>
  <si>
    <t>Fuzhou University; Fuzhou University; Fujian Agriculture &amp; Forestry University; University of Technology Sydney; University of Nottingham Ningbo China</t>
  </si>
  <si>
    <t>Lin, PJ; Cheng, SY (corresponding author), Fuzhou Univ, Sch Phys &amp; Informat Engn, Fuzhou, Peoples R China.;Lin, PJ; Cheng, SY (corresponding author), Fuzhou Univ, Inst Micronano Devices &amp; Solar Cells, Fuzhou, Peoples R China.</t>
  </si>
  <si>
    <t>linpeijie@fzu.edu.cn; sycheng@fzu.edu.cn</t>
  </si>
  <si>
    <t>Lu, Xiaoyang/IZD-8360-2023; He, Xiangjian/CAA-1461-2022</t>
  </si>
  <si>
    <t>Lu, Xiaoyang/0000-0002-3790-8843; Wu, LiJun/0000-0003-0468-3294; CHEN, ZHICONG/0000-0002-3471-6395</t>
  </si>
  <si>
    <t>National Natural Science Foundation of China [61574038, 62271151, 51508105]; Foundation of Fujian Provincial Department of Science and Technology of China [2022H0008, 2021J01580, 2018J01774, 2018J01645, 2017J01504, 2019H0006]; Foun-dation of Fujian Provincial Department of Industry and Information Technology of China [82318075]; China Scholarship Council [202006650014]</t>
  </si>
  <si>
    <t>National Natural Science Foundation of China(National Natural Science Foundation of China (NSFC)); Foundation of Fujian Provincial Department of Science and Technology of China; Foun-dation of Fujian Provincial Department of Industry and Information Technology of China; China Scholarship Council(China Scholarship Council)</t>
  </si>
  <si>
    <t>This work was supported in part by the National Natural Science Foundation of China (Grant Nos. 61574038, 62271151, and 51508105) , by the Foundation of Fujian Provincial Department of Science and Technology of China (Grant Nos. 2022H0008, 2021J01580, 2018J01774, 2018J01645, 2017J01504 and 2019H0006) , the Foundation of Fujian Provincial Department of Industry and Information Technology of China (Grant No. 82318075) , by the China Scholarship Council (CSC NO. 202006650014) .</t>
  </si>
  <si>
    <t>0038-092X</t>
  </si>
  <si>
    <t>1471-1257</t>
  </si>
  <si>
    <t>SOL ENERGY</t>
  </si>
  <si>
    <t>Sol. Energy</t>
  </si>
  <si>
    <t>MAR 15</t>
  </si>
  <si>
    <t>10.1016/j.solener.2022.12.037</t>
  </si>
  <si>
    <t>A4JZ3</t>
  </si>
  <si>
    <t>WOS:000954819400001</t>
  </si>
  <si>
    <t>Bernardini, M; Doinychko, A; Romeo, L; Frontoni, E; Amini, MR</t>
  </si>
  <si>
    <t>Bernardini, Michele; Doinychko, Anastasiia; Romeo, Luca; Frontoni, Emanuele; Amini, Massih-Reza</t>
  </si>
  <si>
    <t>A novel missing data imputation approach based on clinical conditional Generative Adversarial Networks applied to EHR datasets</t>
  </si>
  <si>
    <t>Data imputation; Generative Adversarial Network; Electronic Health Record; Machine Learning; Predictive medicine</t>
  </si>
  <si>
    <t>TIME-SERIES; MODEL</t>
  </si>
  <si>
    <t>The missing data mechanism is a relevant problem in Machine Learning (ML) and biomedical informatics communities. Real-world Electronic Health Record (EHR) datasets comprise several missing values, thus revealing a high level of spatiotemporal sparsity in the predictors' matrix. Several approaches in the state-of-the-art tried to deal with this problem by proposing different data imputation strategies that (i) are often unrelated to the ML model, (ii) are not conceived for EHR data where laboratory exams are not prescribed uniformly over time and percentage of missing values is high (iii) exploit only univariate and linear information on the observed features. Our paper proposes a data imputation strategy based on a clinical conditional Generative Adversarial Network (ccGAN) capable of imputing missing values by exploiting non-linear and multivariate information across patients. Unlike other GAN data imputation-based approaches, our method deals explicitly with the high level of missingness of routine EHR data by conditioning the imputing strategy to the observable values and those fully-annotated. We demonstrated the statistical significance of the ccGAN to other state-of-the-art approaches in terms of imputation (around 19.79% of gain to the best competitor) and predictive performance (up to 1.60% of gain to the best competitor) on a real multi-diabetic centers dataset. We also demonstrated its robustness across different missingness rates (up to 1.61% of gain to the best competitor in the highest missingness rates condition) on an additional benchmark EHR dataset.</t>
  </si>
  <si>
    <t>[Bernardini, Michele] Univ Politecn Marche, Dept Informat Engn DII, Ancona, Italy; [Romeo, Luca] Univ Macerata, Dept Econ &amp; Law, Macerata, Italy; [Frontoni, Emanuele] Univ Macerata, Dept Polit Sci Commun &amp; Int Relat, Macerata, Italy; [Doinychko, Anastasiia; Amini, Massih-Reza] Univ Grenoble Alpes, Grenoble Informat Lab, St Martin Dheres, France</t>
  </si>
  <si>
    <t>Marche Polytechnic University; University of Macerata; University of Macerata; Communaute Universite Grenoble Alpes; Universite Grenoble Alpes (UGA)</t>
  </si>
  <si>
    <t>Bernardini, M (corresponding author), Univ Politecn Marche, Dept Informat Engn DII, Ancona, Italy.</t>
  </si>
  <si>
    <t>m.bernardini@pm.univpm.it; anastasiia.doinychko@univ-grenoble-alpes.fr; luca.romeo@unimc.it; emanuele.frontoni@unimc.it; massih-reza.amini@univ-grenoble-alpes.fr</t>
  </si>
  <si>
    <t>Universita Politecnica delle Marche; University of Macerata; METEDA srl; AI Medical srl</t>
  </si>
  <si>
    <t>This research received no specific grant from any funding agency in the public, commercial, or not-for-profit sectors. This work was supported by the collaboration between Universita Politecnica delle Marche, University of Macerata, METEDA srl, and AI Medical srl.</t>
  </si>
  <si>
    <t>10.1016/j.compbiomed.2023.107188</t>
  </si>
  <si>
    <t>N1BZ7</t>
  </si>
  <si>
    <t>WOS:001034464700001</t>
  </si>
  <si>
    <t>Bhowmick, AK; Jagmohan, A; Vempaty, A; Dey, P; Hall, L; Hartman, J; Kokku, R; Maheshwari, H</t>
  </si>
  <si>
    <t>Bramer, M; Stahl, F</t>
  </si>
  <si>
    <t>Bhowmick, Ayan Kumar; Jagmohan, Ashish; Vempaty, Aditya; Dey, Prasenjit; Hall, Leigh; Hartman, Jeremy; Kokku, Ravi; Maheshwari, Hema</t>
  </si>
  <si>
    <t>Automating Question Generation From Educational Text</t>
  </si>
  <si>
    <t>ARTIFICIAL INTELLIGENCE XL, AI 2023</t>
  </si>
  <si>
    <t>43rd SGAI International Conference on Innovative Techniques and Applications of Artificial Intelligence (AI)</t>
  </si>
  <si>
    <t>DEC 12-14, 2023</t>
  </si>
  <si>
    <t>British Comp Soc Specialist Grp Artificial Intelligence,Chartered Inst IT</t>
  </si>
  <si>
    <t>Automatic question generation; Large language models; Generative AI; Distractors; Question-based activities; Multiple-choice questions</t>
  </si>
  <si>
    <t>The use of question-based activities (QBAs) is wide-spread in education, traditionally forming an integral part of the learning and assessment process. In this paper, we design and evaluate an automated question generation tool for formative and summative assessment in schools. We present an expert survey of one hundred and four teachers, demonstrating the need for automated generation of QBAs, as a tool that can significantly reduce the workload of teachers and facilitate personalized learning experiences. Leveraging the recent advancements in generative AI, we then present a modular framework employing transformer based language models for automatic generation of multiple-choice questions (MCQs) from textual content. The presented solution, with distinct modules for question generation, correct answer prediction, and distractor formulation, enables us to evaluate different language models and generation techniques. Finally, we perform an extensive quantitative and qualitative evaluation, demonstrating trade-offs in the use of different techniques and models.</t>
  </si>
  <si>
    <t>[Bhowmick, Ayan Kumar; Jagmohan, Ashish; Vempaty, Aditya; Dey, Prasenjit; Hall, Leigh; Hartman, Jeremy; Kokku, Ravi; Maheshwari, Hema] Merlyn Mind Inc, New York, NY 10174 USA</t>
  </si>
  <si>
    <t>Bhowmick, AK (corresponding author), Merlyn Mind Inc, New York, NY 10174 USA.</t>
  </si>
  <si>
    <t>ayan@merlyn.org; ashish@merlyn.org; aditya@merlyn.org; prasenjit@merlyn.org; leigh@merlyn.org; jeremy@merlyn.org; ravi@merlyn.org; hema@merlyn.org</t>
  </si>
  <si>
    <t>978-3-031-47993-9; 978-3-031-47994-6</t>
  </si>
  <si>
    <t>10.1007/978-3-031-47994-6_38</t>
  </si>
  <si>
    <t>BW5JS</t>
  </si>
  <si>
    <t>WOS:001162078800038</t>
  </si>
  <si>
    <t>Dou, HZ; Zhang, PY; Su, W; Yu, Y; Lin, Y; Li, X</t>
  </si>
  <si>
    <t>Dou, Huanzhang; Zhang, Pengyi; Su, Wei; Yu, Yunlong; Lin, Yining; Li, Xi</t>
  </si>
  <si>
    <t>GaitGCI: Generative Counterfactual Intervention for Gait Recognition</t>
  </si>
  <si>
    <t>2023 IEEE/CVF CONFERENCE ON COMPUTER VISION AND PATTERN RECOGNITION, CVPR</t>
  </si>
  <si>
    <t>Gait is one of the most promising biometrics that aims to identify pedestrians from their walking patterns. However, prevailing methods are susceptible to confounders, resulting in the networks hardly focusing on the regions that reflect effective walking patterns. To address this fundamental problem in gait recognition, we propose a Generative Counterfactual Intervention framework, dubbed GaitGCI, consisting of Counterfactual Intervention Learning (CIL) and Diversity-Constrained Dynamic Convolution (DCDC). CIL eliminates the impacts of confounders by maximizing the likelihood difference between factual/counterfactual attention while DCDC adaptively generates sample-wise factual/counterfactual attention to efficiently perceive the sample-wise properties. With matrix decomposition and diversity constraint, DCDC guarantees the model to be efficient and effective. Extensive experiments indicate that proposed GaitGCI: 1) could effectively focus on the discriminative and interpretable regions that reflect gait pattern; 2) is model-agnostic and could be plugged into existing models to improve performance with nearly no extra cost; 3) efficiently achieves state-of-the-art performance on arbitrary scenarios (in-the-lab and in-the-wild).</t>
  </si>
  <si>
    <t>[Dou, Huanzhang; Zhang, Pengyi; Su, Wei; Li, Xi] Zhejiang Univ, Coll Comp Sci Technol, Hangzhou, Peoples R China; [Yu, Yunlong] Zhejiang Univ, Coll Informat Sci Elect Engn, Hangzhou, Peoples R China; [Lin, Yining] SupreMind, Shanghai, Peoples R China; [Li, Xi] Zhejiang Univ, Shanghai Inst Adv Study, Hangzhou, Peoples R China; [Li, Xi] Shanghai AI Lab, Shanghai, Peoples R China; [Li, Xi] Zhejiang Singapore Innovat &amp; Joint Res Lab, Hangzhou, Peoples R China</t>
  </si>
  <si>
    <t>Zhejiang University; Zhejiang University; Zhejiang University; Shanghai Artificial Intelligence Laboratory</t>
  </si>
  <si>
    <t>Li, X (corresponding author), Zhejiang Univ, Coll Comp Sci Technol, Hangzhou, Peoples R China.;Li, X (corresponding author), Zhejiang Univ, Shanghai Inst Adv Study, Hangzhou, Peoples R China.;Li, X (corresponding author), Shanghai AI Lab, Shanghai, Peoples R China.;Li, X (corresponding author), Zhejiang Singapore Innovat &amp; Joint Res Lab, Hangzhou, Peoples R China.</t>
  </si>
  <si>
    <t>National Natural Science Foundation of China [U20A20222]; National Science Foundation for Distinguished Young Scholars [62225605]; National Key Research and Development Program of China [2020AAA0107400]; Zhejiang -Singapore Innovation and AI Joint Research Lab, Ant Group through CCF-Ant Research Fund; CCF-AFSG Research Fund [CCF-Zhipu202302]</t>
  </si>
  <si>
    <t>National Natural Science Foundation of China(National Natural Science Foundation of China (NSFC)); National Science Foundation for Distinguished Young Scholars(National Natural Science Foundation of China (NSFC)National Science Fund for Distinguished Young Scholars); National Key Research and Development Program of China; Zhejiang -Singapore Innovation and AI Joint Research Lab, Ant Group through CCF-Ant Research Fund; CCF-AFSG Research Fund</t>
  </si>
  <si>
    <t>This work is supported in part by National Natural Science Foundation of China under Grant U20A20222, National Science Foundation for Distinguished Young Scholars under Grant 62225605, National Key Research and Development Program of China under Grant 2020AAA0107400, Zhejiang -Singapore Innovation and AI Joint Research Lab, Ant Group through CCF-Ant Research Fund, and sponsored by CCF-AFSG Research Fund, CAAI-HUAWEI MindSpore Open Fund as well as CCF-Zhipu AI Large Model Fund(CCF-Zhipu202302).</t>
  </si>
  <si>
    <t>10.1109/CVPR52729.2023.00540</t>
  </si>
  <si>
    <t>Computer Science, Artificial Intelligence; Computer Science, Interdisciplinary Applications; Computer Science, Software Engineering; Computer Science, Theory &amp; Methods</t>
  </si>
  <si>
    <t>BV6JX</t>
  </si>
  <si>
    <t>WOS:001058542605088</t>
  </si>
  <si>
    <t>Edenberg, E; Wood, A</t>
  </si>
  <si>
    <t>Edenberg, Elizabeth; Wood, Alexandra</t>
  </si>
  <si>
    <t>Disambiguating Algorithmic Bias: From Neutrality to Justice</t>
  </si>
  <si>
    <t>algorithms; bias; discrimination; fairness; justice; generative AI; large language models; vision-language models; law; philosophy</t>
  </si>
  <si>
    <t>ARTIFICIAL-INTELLIGENCE; FAILS</t>
  </si>
  <si>
    <t>As algorithms have become ubiquitous in consequential domains, societal concerns about the potential for discriminatory outcomes have prompted urgent calls to address algorithmic bias. In response, a rich literature across computer science, law, and ethics is rapidly proliferating to advance approaches to designing fair algorithms. Yet computer scientists, legal scholars, and ethicists are often not speaking the same language when using the term 'bias.' Debates concerning whether society can or should tackle the problem of algorithmic bias are hampered by conflations of various understandings of bias, ranging from neutral deviations from a standard to morally problematic instances of injustice due to prejudice, discrimination, and disparate treatment. This terminological confusion impedes efforts to address clear cases of discrimination. In this paper, we examine the promises and challenges of different approaches to disambiguating bias and designing for justice. While both approaches aid in understanding and addressing clear algorithmic harms, we argue that they also risk being leveraged in ways that ultimately deflect accountability from those building and deploying these systems. Applying this analysis to recent examples of generative AI, our argument highlights unseen dangers in current methods of evaluating algorithmic bias and points to ways to redirect approaches to addressing bias in generative AI at its early stages in ways that can more robustly meet the demands of justice.</t>
  </si>
  <si>
    <t>[Edenberg, Elizabeth] CUNY, Baruch Coll, Dept Philosophy, New York, NY 10021 USA; [Wood, Alexandra] Harvard Univ, Berkman Klein Ctr Internet &amp; Soc, Cambridge, MA 02138 USA</t>
  </si>
  <si>
    <t>City University of New York (CUNY) System; Baruch College (CUNY); Harvard University</t>
  </si>
  <si>
    <t>Edenberg, E (corresponding author), CUNY, Baruch Coll, Dept Philosophy, New York, NY 10021 USA.</t>
  </si>
  <si>
    <t>elizabeth.edenberg@baruch.cuny.edu; awood@cyber.harvard.edu</t>
  </si>
  <si>
    <t>10.1145/3600211.3604695</t>
  </si>
  <si>
    <t>WOS:001117838100053</t>
  </si>
  <si>
    <t>Pham, V; Le, DT; Bum, J; Lee, EJ; Han, JC; Choo, H</t>
  </si>
  <si>
    <t>Pham, Van-Nguyen; Le, Duc-Tai; Bum, Junghyun; Lee, Eun Jung; Han, Jong Chul; Choo, Hyunseung</t>
  </si>
  <si>
    <t>Attention-Aided Generative Learning for Multi-Scale Multi-Modal Fundus Image Translation</t>
  </si>
  <si>
    <t>Optical imaging; Task analysis; Diseases; Ophthalmology; Mathematical models; Deep learning; Biomedical optical imaging; Conventional fundus images; deep learning; generative learning; ophthalmology; unpaired image-to-image translation; ultra wide-field fundus images</t>
  </si>
  <si>
    <t>Conventional fundus images (CFIs) and ultra-widefield fundus images (UFIs) are two fundamental image modalities in ophthalmology. While CFIs provide a detailed view of the optic nerve head and the posterior pole of an eye, their clinical use is associated with high costs and patient inconvenience due to the requirement of good pupil dilation. On the other hand, UFIs capture peripheral lesions, but their image quality is sensitive to factors such as pupil size, eye position, and eyelashes, leading to greater variability between examinations compared to CFIs. The widefield retina view of UFIs offers the theoretical possibility of generating CFIs from available UFIs to reduce patient examination costs. A recent study has shown the feasibility of this approach by leveraging deep learning techniques for the UFI-to-CFI translation task. However, the technique suffers from the heterogeneous scales of the image modalities and variations in the brightness of the training data. In this paper, we address these issues with a novel framework consisting of three stages: cropping, enhancement, and translation. The first stage is an optic disc-centered cropping strategy that helps to alleviate the scale difference between the two image domains. The second stage mitigates the variation in training data brightness and unifies the mask between the two modalities. In the last stage, we introduce an attention-aided generative learning model to translate a given UFI into the CFI domain. Our experimental results demonstrate the success of the proposed method on 1,011 UFIs, with 99.8% of the generated CFIs evaluated as good quality and usable. Expert evaluations confirm significant visual quality improvements in the generated CFIs compared to the UFIs, ranging from 10% to 80% for features such as optic nerve structure, vascular distribution, and drusen. Furthermore, using generated CFIs in an AI-based diagnosis system for age-related macular degeneration results in superior accuracy compared to UFIs and competitive performance relative to real CFIs. These results showcase the potential of our approach for automatic disease diagnosis and monitoring.</t>
  </si>
  <si>
    <t>[Pham, Van-Nguyen; Choo, Hyunseung] Sungkyunkwan Univ, Dept Elect &amp; Comp Engn, Suwon 16419, South Korea; [Le, Duc-Tai; Choo, Hyunseung] Sungkyunkwan Univ, Coll Comp &amp; Informat, Suwon 16419, South Korea; [Bum, Junghyun] Sungkyunkwan Univ, Sungkyun AI Res Inst, Suwon 16419, South Korea; [Lee, Eun Jung; Han, Jong Chul] Samsung Med Ctr, Dept Ophthalmol, Seoul 06351, South Korea; [Han, Jong Chul] Sungkyunkwan Univ, Sch Med, Suwon 16419, South Korea; [Han, Jong Chul] Sungkyunkwan Univ, Dept Med Device Management &amp; Res, SAIHST, Suwon 16419, South Korea</t>
  </si>
  <si>
    <t>Sungkyunkwan University (SKKU); Sungkyunkwan University (SKKU); Sungkyunkwan University (SKKU); Sungkyunkwan University (SKKU); Samsung Medical Center; Sungkyunkwan University (SKKU); Sungkyunkwan University (SKKU)</t>
  </si>
  <si>
    <t>Choo, H (corresponding author), Sungkyunkwan Univ, Dept Elect &amp; Comp Engn, Suwon 16419, South Korea.;Le, DT; Choo, H (corresponding author), Sungkyunkwan Univ, Coll Comp &amp; Informat, Suwon 16419, South Korea.;Han, JC (corresponding author), Samsung Med Ctr, Dept Ophthalmol, Seoul 06351, South Korea.;Han, JC (corresponding author), Sungkyunkwan Univ, Sch Med, Suwon 16419, South Korea.;Han, JC (corresponding author), Sungkyunkwan Univ, Dept Med Device Management &amp; Res, SAIHST, Suwon 16419, South Korea.</t>
  </si>
  <si>
    <t>ldtai@skku.edu; heartmedic@skku.edu; choo@skku.edu</t>
  </si>
  <si>
    <t>Le, Duc-Tai/0000-0002-5286-6629; Pham, Van-Nguyen/0000-0001-6523-6047</t>
  </si>
  <si>
    <t>10.1109/ACCESS.2023.3278596</t>
  </si>
  <si>
    <t>I9BH0</t>
  </si>
  <si>
    <t>WOS:001005656200001</t>
  </si>
  <si>
    <t>Schwab, M; Biswas, AK</t>
  </si>
  <si>
    <t>Schwab, Malgorzata; Biswas, Ashis Kumer</t>
  </si>
  <si>
    <t>Invertible Neural Networks for Trustworthy AI</t>
  </si>
  <si>
    <t>2023 IEEE 35TH INTERNATIONAL CONFERENCE ON TOOLS WITH ARTIFICIAL INTELLIGENCE, ICTAI</t>
  </si>
  <si>
    <t>Proceedings-International Conference on Tools With Artificial Intelligence</t>
  </si>
  <si>
    <t>35th IEEE International Conference on Tools with Artificial Intelligence (ICTAI)</t>
  </si>
  <si>
    <t>NOV 06-08, 2023</t>
  </si>
  <si>
    <t>Atlanta, GA</t>
  </si>
  <si>
    <t>IEEE,IEEE Comp Soc,Biol &amp; Artificial Intelligence Fdn</t>
  </si>
  <si>
    <t>Invertible; Integrity; Robustness; Trustworthy</t>
  </si>
  <si>
    <t>This study combines research in machine learning and system engineering practices to conceptualize a paradigm enhancing trustworthiness of machine learning inference process. We explore the topic of reversibility in deep neural networks and introduce their anomaly detection capabilities to build a framework of integrity verification checkpoints across the inference pipeline of a deployed model. We leverage previous findings and principles regarding several types of autoencoders, deep generative maximum-likelihood training and invertibility of neural networks to propose an improved network architecture for anomaly detection. A remarkable ability of an Invertible Neural Network (INN) to reconstruct data from its compressed representation and to solve inverse problems is then generalized and applied in the field of Trustworthy AI. To achieve integrity verification of an inference pipeline we place the INN-based Trusted Neural Network nodes around the mission critical parts of the system, achieving an end-to-end outcome verification. This work aspires to enhance robustness and reliability of applications employing artificial intelligence, which are playing increasingly noticeable role in highly consequential decision-making processes across many industries and problem domains.</t>
  </si>
  <si>
    <t>[Schwab, Malgorzata; Biswas, Ashis Kumer] Univ Colorado, Dept Comp Sci &amp; Engn, Denver, CO 80204 USA</t>
  </si>
  <si>
    <t>University of Colorado System; University of Colorado Denver</t>
  </si>
  <si>
    <t>Schwab, M (corresponding author), Univ Colorado, Dept Comp Sci &amp; Engn, Denver, CO 80204 USA.</t>
  </si>
  <si>
    <t>malgorzata.schwab@ucdenver.edu; ashis.biswas@ucdenver.edu</t>
  </si>
  <si>
    <t>1082-3409</t>
  </si>
  <si>
    <t>979-8-3503-4273-4</t>
  </si>
  <si>
    <t>PROC INT C TOOLS ART</t>
  </si>
  <si>
    <t>10.1109/ICTAI59109.2023.00076</t>
  </si>
  <si>
    <t>BW3KO</t>
  </si>
  <si>
    <t>WOS:001139095400068</t>
  </si>
  <si>
    <t>Lim, KL; Dutta, R; Rotaru, M</t>
  </si>
  <si>
    <t>Lim, Kart-Leong; Dutta, Rahul; Rotaru, Mihai</t>
  </si>
  <si>
    <t>Inverse prediction of capacitor multiphysics dynamic parameters using deep generative model</t>
  </si>
  <si>
    <t>2023 IEEE 73RD ELECTRONIC COMPONENTS AND TECHNOLOGY CONFERENCE, ECTC</t>
  </si>
  <si>
    <t>Electronic Components and Technology Conference</t>
  </si>
  <si>
    <t>IEEE 73rd Electronic Components and Technology Conference (ECTC)</t>
  </si>
  <si>
    <t>MAY 30-JUN 02, 2023</t>
  </si>
  <si>
    <t>IEEE,IEEE Elect Packaging Soc</t>
  </si>
  <si>
    <t>Boundary conditions; electrostatics field; inverse prediction; deep learning</t>
  </si>
  <si>
    <t>INFORMED NEURAL-NETWORKS</t>
  </si>
  <si>
    <t>Finite element simulations are run by package design engineers to model design structures. The process is irreversible meaning every minute structural adjustment requires a fresh input parameter run. In this paper, the problem of modeling changing (small) design structures through varying input parameters is known as inverse prediction. We demonstrate inverse prediction on the electrostatics field of an air-filled capacitor dataset where the structural change is affected by a dynamic parameter to the boundary condition. Using recent AI such as deep generative model, we outperformed best baseline on inverse prediction both visually and in terms of quantitative measure.</t>
  </si>
  <si>
    <t>[Lim, Kart-Leong; Dutta, Rahul; Rotaru, Mihai] Agcy Sci Technol &amp; Res, Inst Microelect, Singapore, Singapore</t>
  </si>
  <si>
    <t>Agency for Science Technology &amp; Research (A*STAR); A*STAR - Institute of Microelectronics (IME)</t>
  </si>
  <si>
    <t>Lim, KL (corresponding author), Agcy Sci Technol &amp; Res, Inst Microelect, Singapore, Singapore.</t>
  </si>
  <si>
    <t>limkl@ime.a-star.edu.sg; duttar@ime.a-star.edu.sg; mihai_dragos_rotaru@ime.a-star.edu.sg</t>
  </si>
  <si>
    <t>0569-5503</t>
  </si>
  <si>
    <t>2377-5726</t>
  </si>
  <si>
    <t>979-8-3503-3498-2</t>
  </si>
  <si>
    <t>ELEC COMP C</t>
  </si>
  <si>
    <t>10.1109/ECTC51909.2023.00313</t>
  </si>
  <si>
    <t>Engineering, Electrical &amp; Electronic; Materials Science, Multidisciplinary</t>
  </si>
  <si>
    <t>BV5ES</t>
  </si>
  <si>
    <t>WOS:001047624100300</t>
  </si>
  <si>
    <t>Yuan, K; Sajid, N; Friston, K; Li, ZB</t>
  </si>
  <si>
    <t>Yuan, Kai; Sajid, Noor; Friston, Karl; Li, Zhibin</t>
  </si>
  <si>
    <t>Hierarchical generative modelling for autonomous robots</t>
  </si>
  <si>
    <t>NATURE MACHINE INTELLIGENCE</t>
  </si>
  <si>
    <t>ACTIVE INFERENCE; BEHAVIOR; MOVEMENT</t>
  </si>
  <si>
    <t>Humans generate intricate whole-body motions by planning, executing and combining individual limb movements. We investigated this fundamental aspect of motor control and approached the problem of autonomous task completion by hierarchical generative modelling with multi-level planning, emulating the deep temporal architecture of human motor control. We explored the temporal depth of nested timescales, where successive levels of a forward or generative model unfold, for example, object delivery requires both global planning and local coordination of limb movements. This separation of temporal scales suggests the advantage of hierarchically organizing the global planning and local control of individual limbs. We validated our proposed formulation extensively through physics simulation. Using a hierarchical generative model, we showcase that an embodied artificial intelligence system, a humanoid robot, can autonomously complete a complex task requiring a holistic use of locomotion, manipulation and grasping: the robot adeptly retrieves and transports a box, opens and walks through a door, kicks a football and exhibits robust performance even in the presence of body damage and ground irregularities. Our findings demonstrated the efficacy and feasibility of human-inspired motor control for an embodied artificial intelligence robot, highlighting the viability of the formulized hierarchical architecture for achieving autonomous completion of challenging goal-directed tasks. Human and animal motion planning works at various timescales to allow the completion of complex tasks. Inspired by this natural strategy, Yuan and colleagues present a hierarchical motion planning approach for robotics, using deep reinforcement learning and predictive proprioception.</t>
  </si>
  <si>
    <t>[Yuan, Kai] Intel Labs, Embodied AI Lab, Munich, Germany; [Sajid, Noor; Friston, Karl] UCL, Queen Sq Inst Neurol, Wellcome Ctr Human Neuroimaging, London, England; [Friston, Karl] VERSES Res Lab, Los Angeles, CA USA; [Li, Zhibin] UCL, Dept Comp Sci, London, England</t>
  </si>
  <si>
    <t>Intel Corporation; University of London; University College London; University of London; University College London</t>
  </si>
  <si>
    <t>Li, ZB (corresponding author), UCL, Dept Comp Sci, London, England.</t>
  </si>
  <si>
    <t>alex.li@ucl.ac.uk</t>
  </si>
  <si>
    <t>Friston, Karl/D-9230-2011</t>
  </si>
  <si>
    <t>Friston, Karl/0000-0001-7984-8909</t>
  </si>
  <si>
    <t>Theoretical Neurobiology Group at University College London; Engineering and Physical Sciences Research Council Center for Doctoral Training in Robotics and Autonomous Systems [EP/L016834/1]; Medical Research Council [MR/S502522/1, 2021-2022]; Wellcome Centre for Human Neuroimaging [205103/Z/16/Z]; Canada-UK Artificial Intelligence Initiative</t>
  </si>
  <si>
    <t>Theoretical Neurobiology Group at University College London; Engineering and Physical Sciences Research Council Center for Doctoral Training in Robotics and Autonomous Systems; Medical Research Council(UK Research &amp; Innovation (UKRI)Medical Research Council UK (MRC)); Wellcome Centre for Human Neuroimaging(Wellcome Trust); Canada-UK Artificial Intelligence Initiative</t>
  </si>
  <si>
    <t>We would like to thank the Theoretical Neurobiology Group at University College London and the Advanced Intelligent Robotics Lab for their insightful feedback. K.Y. was supported by the Engineering and Physical Sciences Research Council Center for Doctoral Training in Robotics and Autonomous Systems (EP/L016834/1). N.S. is funded by the Medical Research Council (MR/S502522/1) and a 2021-2022 Microsoft PhD Research Fellowship. K.F. is supported by funding for the Wellcome Centre for Human Neuroimaging (Ref: 205103/Z/16/Z), a Canada-UK Artificial Intelligence Initiative.</t>
  </si>
  <si>
    <t>2522-5839</t>
  </si>
  <si>
    <t>NAT MACH INTELL</t>
  </si>
  <si>
    <t>Nat. Mach. Intell.</t>
  </si>
  <si>
    <t>2023 NOV 2</t>
  </si>
  <si>
    <t>10.1038/s42256-023-00752-z</t>
  </si>
  <si>
    <t>AO8X1</t>
  </si>
  <si>
    <t>WOS:001119507900001</t>
  </si>
  <si>
    <t>Yeo, MA</t>
  </si>
  <si>
    <t>Yeo, Marie Alina</t>
  </si>
  <si>
    <t>Academic integrity in the age of Artificial Intelligence (AI) authoring apps</t>
  </si>
  <si>
    <t>TESOL JOURNAL</t>
  </si>
  <si>
    <t>What does it mean to write, learn to write, and teach writing in an age when students can use the latest artificial intelligence (AI) co-authoring tools to produce entire essays without even adding an original idea or composing a single sentence? This article addresses questions of authorship and academic integrity concerning the use of AI writing assistants and the latest GPT-3 (Generative Pre-trained Transformer, Version 3) tools. It begins by problematizing the use of these tools, and then illustrates how students can use these tools to paraphrase, summarize, extend, and even create original texts with minimal original input, raising questions about authorship and academic integrity. The author argues that as these tools become more widespread, teachers must find creative ways to integrate them into the teaching and learning process and offer practical suggestions for classroom practice. The author hopes to raise awareness about threats to academic integrity brought about by the use of the latest AI co-authoring tools and aims to equip teachers with strategies to embrace the use of these new digital technologies in the teaching of writing.</t>
  </si>
  <si>
    <t>[Yeo, Marie Alina] Southeast Asian Ministers Educ Org Reg Language Ct, Singapore, Singapore</t>
  </si>
  <si>
    <t>Yeo, MA (corresponding author), Southeast Asian Ministers Educ Org Reg Language Ct, Singapore, Singapore.</t>
  </si>
  <si>
    <t>marie.yeo@relc.org.sg</t>
  </si>
  <si>
    <t>1056-7941</t>
  </si>
  <si>
    <t>1949-3533</t>
  </si>
  <si>
    <t>TESOL J</t>
  </si>
  <si>
    <t>TESOL J.</t>
  </si>
  <si>
    <t>10.1002/tesj.716</t>
  </si>
  <si>
    <t>N9XY0</t>
  </si>
  <si>
    <t>WOS:000952640700001</t>
  </si>
  <si>
    <t>Yuksel, KA</t>
  </si>
  <si>
    <t>Yuksel, Kamer Ali</t>
  </si>
  <si>
    <t>Generative Meta-Learning Robust Quality-Diversity Portfolio</t>
  </si>
  <si>
    <t>robust portfolio optimization; ensemble learning; quality-diversity</t>
  </si>
  <si>
    <t>This paper proposes a novel meta-learning approach to optimize a robust portfolio ensemble. The method uses a deep generative model to generate diverse and high-quality sub-portfolios combined to form the ensemble portfolio. The generative model consists of a convolutional layer, a stateful LSTM module, and a dense network. During training, the model takes a randomly sampled batch of Gaussian noise and outputs a population of solutions, which are then evaluated using the objective function of the problem. The weights of the model are updated using a gradient-based optimizer. The convolutional layer transforms the noise into a desired distribution in latent space, while the LSTM module adds dependence between generations. The dense network decodes the population of solutions. The proposed method balances maximizing the performance of the sub-portfolios with minimizing their maximum correlation, resulting in a robust ensemble portfolio against systematic shocks. The approach was effective in experiments where stochastic rewards were present. Moreover, the results (Fig. 1) demonstrated that the ensemble portfolio obtained by taking the average of the generated sub-portfolio weights was robust and generalized well. The proposed method can be applied to problems where diversity is desired among co-optimized solutions for a robust ensemble. The source-codes and the dataset are in the supplementary material.</t>
  </si>
  <si>
    <t>[Yuksel, Kamer Ali] aiXplain Inc AI Labs, Los Gatos, CA 95032 USA</t>
  </si>
  <si>
    <t>Yuksel, KA (corresponding author), aiXplain Inc AI Labs, Los Gatos, CA 95032 USA.</t>
  </si>
  <si>
    <t>kamer@aixplain.com</t>
  </si>
  <si>
    <t>10.1145/3583133.3590729</t>
  </si>
  <si>
    <t>WOS:001117972600219</t>
  </si>
  <si>
    <t>Nazeer, S; Sumbal, MS; Liu, G; Munir, H; Tsui, E</t>
  </si>
  <si>
    <t>Nazeer, Sumaira; Sumbal, Muhammad Saleem; Liu, Gang; Munir, Hina; Tsui, Eric</t>
  </si>
  <si>
    <t>The next big thing: role of ChatGPT in personal knowledge management challenges and opportunities for knowledge workers across diverse disciplines</t>
  </si>
  <si>
    <t>GLOBAL KNOWLEDGE MEMORY AND COMMUNICATION</t>
  </si>
  <si>
    <t>Personal knowledge management; Generative AI; ChatGPT; Knowledge worker; Knowledge management theories; Knowledge augmentation</t>
  </si>
  <si>
    <t>DIGITAL TRANSFORMATION; ARTIFICIAL-INTELLIGENCE; SHADOW</t>
  </si>
  <si>
    <t>Purpose- The purpose of this paper is to embark on evaluating the role of Chat Generative-Trained Transformer (ChatGPT) in personal knowledge management (PKM) practices of individual knowledge workers across varied disciplines.Design/methodology/approach- The methodology involves four steps, i.e. literature search, screening and selection of relevant data, data analysis and data synthesis related to KM, PKM and generative artificial intelligence (AI) with a focus on ChatGPT. The findings are then synthesized to develop a viewpoint on the challenges and opportunities brought by ChatGPT for individual knowledge workers in enhancing their PKM capability.Findings- This work highlights the prevailing challenges and opportunities experienced by knowledge workers while leveraging PKM through implying ChatGPT. It also encapsulates how some management theories back the cruciality of generative AI (specifically ChatGPT) for PKM.Research limitations/implications- This study identifies the challenges and opportunities. from existing studies and does not imply empirical data/result. The authors believe that findings can be adjusted to diverse domains regarding knowledge workers' PKM endeavors. This paper draws some conclusions and calls for further empirical research.Originality/value- ChatGPT's capability to accelerate organizational performance compelled scholars to focus in this domain. The linkage of ChatGPT to Knowledge Management is an under-explored area specifically the role of ChatGPT on PKM hasn't been given attention in the existing work. This is one of the earliest studies to explore this context.</t>
  </si>
  <si>
    <t>[Nazeer, Sumaira; Sumbal, Muhammad Saleem; Tsui, Eric] Hong Kong Polytech Univ, Dept Ind &amp; Syst Engn, Hong Kong, Peoples R China; [Liu, Gang] Shenzhen Technol Univ, SZTU Business Sch, Shenzhen, Peoples R China; [Munir, Hina] Univ Engn &amp; Technol, Dept Business &amp; Management, Lahore, Pakistan</t>
  </si>
  <si>
    <t>Hong Kong Polytechnic University; Shenzhen Technology University; University of Engineering &amp; Technology Lahore</t>
  </si>
  <si>
    <t>Sumbal, MS (corresponding author), Hong Kong Polytech Univ, Dept Ind &amp; Syst Engn, Hong Kong, Peoples R China.</t>
  </si>
  <si>
    <t>sumairahrnust@gmail.com; saleemsumbal@gmail.com; liugang3@sztu.edu.cn; hina.munir@uet.edu.pk; eric.Tsui@polyu.edu.hk</t>
  </si>
  <si>
    <t>Sumbal, Muhammad Saleem/U-7889-2019</t>
  </si>
  <si>
    <t>Sumbal, Muhammad Saleem/0000-0003-2134-3654</t>
  </si>
  <si>
    <t>Hong Kong Polytechnic University, Hong Kong [P0042641-BD5B]</t>
  </si>
  <si>
    <t>Hong Kong Polytechnic University, Hong Kong(Hong Kong Polytechnic University)</t>
  </si>
  <si>
    <t>This work is supported by The Hong Kong Polytechnic University, Hong Kong under the Project ID: P0042641-BD5B.</t>
  </si>
  <si>
    <t>2514-9342</t>
  </si>
  <si>
    <t>2514-9350</t>
  </si>
  <si>
    <t>GLOB KNOWL MEM COMMU</t>
  </si>
  <si>
    <t>Glob. Knowl. Mem. Commun.</t>
  </si>
  <si>
    <t>10.1108/GKMC-07-2023-0246</t>
  </si>
  <si>
    <t>DB4P0</t>
  </si>
  <si>
    <t>WOS:001129562300001</t>
  </si>
  <si>
    <t>Atilla, S</t>
  </si>
  <si>
    <t>Atilla, Sogut</t>
  </si>
  <si>
    <t>Dealing with AI-generated works: lessons from the CDPA section 9(3)</t>
  </si>
  <si>
    <t>COPYRIGHT PROTECTION; AUTHORSHIP</t>
  </si>
  <si>
    <t>This article aims to provide some input for revising the text of section 9(3) of the Copyright, Designs and Patents Act 1988 (CDPA), without proposing a new provision. Specifically, it addresses the question of how this provision should be construed vis-a-vis Artificial Intelligence (AI)-generated outputs. Although numerous options have been discussed in literature, so far none of them has comprehensively looked at the broader context in which users of generative AI models give instructions and how these prompts could impact issues of subsistence in AI-generated outputs. This article aims to fill that gap.Before suggesting a new framework for reconsidering the provision of section 9(3) CDPA, this contribution briefly revisits the originality, fixation and human authorship requirements, and explains how these are met when AI is involved in creative processes. Next, it questions whether the copyright regime is the appropriate form of protection for AI-generated outputs. Lastly, it provides an examination of the strengths and weaknesses of section 9(3).This article supports the human-centred approach of the CDPA towards authorship of AI-generated works. However, it also suggests that a more nuanced approach should be adopted. Specifically, it contends that under section 9(3), AI-generated works should belong to the user of the AI model giving instructions only as long as such directions to create are sufficiently original themselves for the purposes of copyright protection. Furthermore, de lege ferenda, this distinction should be expressly included in the text of section 9(3).</t>
  </si>
  <si>
    <t>sogutatilla@gmail.com</t>
  </si>
  <si>
    <t>JAN 31</t>
  </si>
  <si>
    <t>10.1093/jiplp/jpad102</t>
  </si>
  <si>
    <t>GH1A2</t>
  </si>
  <si>
    <t>WOS:001132678800001</t>
  </si>
  <si>
    <t>Wang, L; Mei, H; Luo, WL; Cheng, YF</t>
  </si>
  <si>
    <t>Wang, Li; Mei, Hui; Luo, Weilun; Cheng, Yunfei</t>
  </si>
  <si>
    <t>Reduction of rain effect on wave height estimation from marine X-band radar images using unsupervised generative adversarial networks</t>
  </si>
  <si>
    <t>INTERNATIONAL JOURNAL OF DIGITAL EARTH</t>
  </si>
  <si>
    <t>Generative adversarial networks; self-attention mechanism; unsupervised model; marine X-band radar; wave height</t>
  </si>
  <si>
    <t>CLASSIFICATION; BACKSCATTER; MITIGATION; WEATHER</t>
  </si>
  <si>
    <t>An intelligent single radar image de-raining method based on unsupervised self-attention generative adversarial networks is proposed to improve the accuracy of wave height parameter inversion results. The method builds a trainable end-to-end de-raining model with an unsupervised cycle-consistent adversarial network as an AI framework, which does not require pairs of rain-contaminated and corresponding ground-truth rain-free images for training. The model is trained by feeding rain-contaminated and clean radar images in an unpaired manner, and the atmospheric scattering model parameters are not required as a prior condition. Additionally, a self-attention mechanism is introduced into the model, allowing it to focus on rain clutter when processing radar images. This combines global and local rain clutter context information to output more accurate and clear de-raining radar images. The proposed method is validated by applying it to actual field test data, which shows that compared with the wave height derived from the original rain-contaminated data, the root-mean-square error is reduced by 0.11 m and the correlation coefficient of the wave height is increased by 14% using the de-raining method. These results demonstrate that the method effectively reduces the impact of rain on the accuracy of wave height parameter estimation from marine X-band radar images.</t>
  </si>
  <si>
    <t>[Wang, Li; Cheng, Yunfei] Minist Publ Secur, Res Inst 3, Shanghai, Peoples R China; [Mei, Hui; Luo, Weilun] Shanghai Acad Space Flight Technol, Inst 802, Shanghai, Peoples R China; [Wang, Li] Minist Publ Secur, Res Inst 3, Shanghai 200031, Peoples R China</t>
  </si>
  <si>
    <t>Ministry of Public Security (China); Ministry of Public Security (China)</t>
  </si>
  <si>
    <t>Wang, L (corresponding author), Minist Publ Secur, Res Inst 3, Shanghai 200031, Peoples R China.</t>
  </si>
  <si>
    <t>sanven@whu.edu.cn</t>
  </si>
  <si>
    <t>Cheng, Yunfei/N-9567-2018</t>
  </si>
  <si>
    <t>Cheng, Yunfei/0000-0002-0634-5830</t>
  </si>
  <si>
    <t>National Key Research and Development Program of China</t>
  </si>
  <si>
    <t>This work is financially supported by the National Key Research and Development Program of China [grant no 2021YFF0602104-1].</t>
  </si>
  <si>
    <t>1753-8947</t>
  </si>
  <si>
    <t>1753-8955</t>
  </si>
  <si>
    <t>INT J DIGIT EARTH</t>
  </si>
  <si>
    <t>Int. J. Digit. Earth</t>
  </si>
  <si>
    <t>10.1080/17538947.2023.2225882</t>
  </si>
  <si>
    <t>Geography, Physical; Remote Sensing</t>
  </si>
  <si>
    <t>Physical Geography; Remote Sensing</t>
  </si>
  <si>
    <t>K4EB3</t>
  </si>
  <si>
    <t>WOS:001015974800001</t>
  </si>
  <si>
    <t>Zhu, BY; Lv, QB; Yang, YB; Zhang, K; Sui, XF; Tang, YH; Tan, Z</t>
  </si>
  <si>
    <t>Zhu, Baoyu; Lv, Qunbo; Yang, Yuanbo; Zhang, Kai; Sui, Xuefu; Tang, Yinhui; Tan, Zheng</t>
  </si>
  <si>
    <t>Gradient Structure Information-Guided Attention Generative Adversarial Networks for Remote Sensing Image Generation</t>
  </si>
  <si>
    <t>REMOTE SENSING</t>
  </si>
  <si>
    <t>remote sensing image generation; generative adversarial networks (GANs); structural information; attention mechanism; object detection; deep learning</t>
  </si>
  <si>
    <t>A rich and effective dataset is an important foundation for the development of AI algorithms, and the quantity and quality of the dataset determine the upper limit level of the algorithms. For aerospace remote sensing datasets, due to the high cost of data collection and susceptibility to meteorological and airway conditions, the existing datasets have two problems: firstly, the number of datasets is obviously insufficient, and, secondly, there is large unevenness between different categories in datasets. One of the effective solutions is to use neural networks to generate fake data by learning from real data, but existing methods still find difficulty in generating remote sensing sample images with good texture detail and geometric distortion. To address the shortcomings of existing image generation algorithms, this paper proposes a gradient structure information-guided attention generative adversarial network (SGA-GAN) for remote sensing image generation, which contains two innovative initiatives: on the one hand, a learnable gradient structure information extraction branch network can be added to the generator network to obtain complex structural information in the sample image, thus alleviating the distortion of the sample geometric structure in remote sensing image generation; on the other hand, a multidimensional self-attention feature selection module is proposed to further improve the quality of the generated remote sensing images by connecting cross-attentive modules as well as spatial and channel attention modules in series to guide the generator to better utilize global information. The algorithm proposed in this paper outperformed other methods, such as StyleGAN-XL and FastGAN, in both the qualitative and quantitative evaluation, whereby the FID on the DOTA dataset decreased by 23.927 and the IS was improved by 2.351. The comparison experiments show that the method proposed in this paper can generate more realistic sample images, and images generated by this method can improve object detection metrics by increasing the number of single-category datasets and the number of targets in fewer categories in multi-category datasets, which means it can be effectively used in the field of intelligent processing of remote sensing images.</t>
  </si>
  <si>
    <t>[Zhu, Baoyu; Lv, Qunbo; Yang, Yuanbo; Zhang, Kai; Sui, Xuefu; Tang, Yinhui; Tan, Zheng] Chinese Acad Sci, Aerosp Informat Res Inst, 9 Dengzhuang South Rd, Beijing 100094, Peoples R China; [Zhu, Baoyu; Lv, Qunbo; Yang, Yuanbo; Sui, Xuefu; Tang, Yinhui] Univ Chinese Acad Sci, Sch Optoelect, 19 A Yuquan Rd, Beijing 100049, Peoples R China; [Zhu, Baoyu; Lv, Qunbo; Yang, Yuanbo; Zhang, Kai; Sui, Xuefu; Tang, Yinhui; Tan, Zheng] Chinese Acad Sci, Dept Key Lab Computat Opt Imagine Technol, 9 Dengzhuang South Rd, Beijing 100094, Peoples R China</t>
  </si>
  <si>
    <t>Chinese Academy of Sciences; Chinese Academy of Sciences; University of Chinese Academy of Sciences, CAS; Chinese Academy of Sciences</t>
  </si>
  <si>
    <t>Tan, Z (corresponding author), Chinese Acad Sci, Aerosp Informat Res Inst, 9 Dengzhuang South Rd, Beijing 100094, Peoples R China.;Tan, Z (corresponding author), Chinese Acad Sci, Dept Key Lab Computat Opt Imagine Technol, 9 Dengzhuang South Rd, Beijing 100094, Peoples R China.</t>
  </si>
  <si>
    <t>tanzheng@aircas.ac.cn</t>
  </si>
  <si>
    <t>Key Program Project of Science and Technology Innovation of the Chinese Academy of Sciences [KGFZD-135-20-03-02]; Strategic Priority Research Program of the Chinese Academy of Sciences [XDA28050401]</t>
  </si>
  <si>
    <t>Key Program Project of Science and Technology Innovation of the Chinese Academy of Sciences; Strategic Priority Research Program of the Chinese Academy of Sciences(Chinese Academy of Sciences)</t>
  </si>
  <si>
    <t>This research was funded by the Key Program Project of Science and Technology Innovation of the Chinese Academy of Sciences (no. KGFZD-135-20-03-02) and the Strategic Priority Research Program of the Chinese Academy of Sciences (Grant No. XDA28050401).</t>
  </si>
  <si>
    <t>2072-4292</t>
  </si>
  <si>
    <t>REMOTE SENS-BASEL</t>
  </si>
  <si>
    <t>Remote Sens.</t>
  </si>
  <si>
    <t>MAY 29</t>
  </si>
  <si>
    <t>10.3390/rs15112827</t>
  </si>
  <si>
    <t>Environmental Sciences; Geosciences, Multidisciplinary; Remote Sensing; Imaging Science &amp; Photographic Technology</t>
  </si>
  <si>
    <t>Environmental Sciences &amp; Ecology; Geology; Remote Sensing; Imaging Science &amp; Photographic Technology</t>
  </si>
  <si>
    <t>I6YA5</t>
  </si>
  <si>
    <t>WOS:001004209000001</t>
  </si>
  <si>
    <t>Alam, F; Lim, MA; Zulkipli, IN</t>
  </si>
  <si>
    <t>Alam, Faiza; Lim, Mei Ann; Zulkipli, Ihsan Nazurah</t>
  </si>
  <si>
    <t>Integrating AI in medical education: embracing ethical usage and critical understanding</t>
  </si>
  <si>
    <t>FRONTIERS IN MEDICINE</t>
  </si>
  <si>
    <t>generative AI; medical higher education; critical thinking; ethical considerations; healthcare professionals</t>
  </si>
  <si>
    <t>[Alam, Faiza; Lim, Mei Ann; Zulkipli, Ihsan Nazurah] Univ Brunei Darussalam, Pengiran Anak Puteri Rashidah Saadatul Bolkiah In, Bandar Seri Begawan, Brunei</t>
  </si>
  <si>
    <t>University Brunei Darussalam</t>
  </si>
  <si>
    <t>Zulkipli, IN (corresponding author), Univ Brunei Darussalam, Pengiran Anak Puteri Rashidah Saadatul Bolkiah In, Bandar Seri Begawan, Brunei.</t>
  </si>
  <si>
    <t>nazurah.zulkipli@ubd.edu.bn</t>
  </si>
  <si>
    <t>The author(s) declare that no financial support was received for the research, authorship, and/or publication of this article.</t>
  </si>
  <si>
    <t>2296-858X</t>
  </si>
  <si>
    <t>FRONT MED-LAUSANNE</t>
  </si>
  <si>
    <t>Front. Med.</t>
  </si>
  <si>
    <t>OCT 13</t>
  </si>
  <si>
    <t>10.3389/fmed.2023.1279707</t>
  </si>
  <si>
    <t>W4IU6</t>
  </si>
  <si>
    <t>WOS:001091285800001</t>
  </si>
  <si>
    <t>Kim, S; Jo, D; Lee, D; Kim, J</t>
  </si>
  <si>
    <t>Kim, Sungwoong; Jo, Daejin; Lee, Donghoon; Kim, Jongmin</t>
  </si>
  <si>
    <t>MAGVLT: Masked Generative Vision-and-Language Transformer</t>
  </si>
  <si>
    <t>While generative modeling on multimodal image-text data has been actively developed with large-scale paired datasets, there have been limited attempts to generate both image and text data by a single model rather than a generation of one fixed modality conditioned on the other modality. In this paper, we explore a unified generative vision-and-language (VL) model that can produce both images and text sequences. Especially, we propose a generative VL transformer based on the non-autoregressive mask prediction, named MAGVLT, and compare it with an autoregressive generative VL transformer (ARGVLT). In comparison to ARGVLT, the proposed MAGVLT enables bidirectional context encoding, fast decoding by parallel token predictions in an iterative refinement, and extended editing capabilities such as image and text infilling. For rigorous training of our MAGVLT with image-text pairs from scratch, we combine the image-to-text, text-to-image, and joint image-and-text mask prediction tasks. Moreover, we devise two additional tasks based on the step-unrolled mask prediction and the selective prediction on the mixture of two image-text pairs. Experimental results on various downstream generation tasks of VL benchmarks show that our MAGVLT outperforms ARGVLT by a large margin even with significant inference speedup. Particularly, MAGVLT achieves competitive results on both zero-shot image-to-text and text-to-image generation tasks from MS-COCO by one moderatesized model (fewer than 500M parameters) even without the use of monomodal data and networks.</t>
  </si>
  <si>
    <t>[Kim, Sungwoong] Korea Univ, Dept Artificial Intelligence, Seoul, South Korea; [Kim, Sungwoong; Jo, Daejin; Lee, Donghoon; Kim, Jongmin] Kakao Brain, Seongnam, South Korea</t>
  </si>
  <si>
    <t>Korea University; Kakao</t>
  </si>
  <si>
    <t>Kim, S (corresponding author), Korea Univ, Dept Artificial Intelligence, Seoul, South Korea.</t>
  </si>
  <si>
    <t>swkim01@korea.ac.kr; daejin.jo@kakaobrain.com; dhlee@kakaobrain.com; jmkim@kakaobrain.com</t>
  </si>
  <si>
    <t>Brain Cloud Team at Kakao Brain; Korea University [K2304351]; Institute of Information &amp; communications Technology Planning &amp; Evaluation (IITP) grant - Korea government (MSIT) [2022-0-00612]</t>
  </si>
  <si>
    <t>Brain Cloud Team at Kakao Brain; Korea University; Institute of Information &amp; communications Technology Planning &amp; Evaluation (IITP) grant - Korea government (MSIT)(Institute for Information &amp; Communication Technology Planning &amp; Evaluation (IITP), Republic of KoreaMinistry of Science &amp; ICT (MSIT), Republic of Korea)</t>
  </si>
  <si>
    <t>We would like to thank Brain Cloud Team at Kakao Brain for their support. This work was also supported by Korea University Grant (K2304351) and Institute of Information &amp; communications Technology Planning &amp; Evaluation (IITP) grant funded by the Korea government (MSIT) (No. 2022-0-00612, Geometric and Physical Commonsense Reasoning based Behavior Intelligence for Embodied AI).</t>
  </si>
  <si>
    <t>10.1109/CVPR52729.2023.02235</t>
  </si>
  <si>
    <t>WOS:001062531307064</t>
  </si>
  <si>
    <t>Sabeel, U; Heydari, SS; El-Khatib, K; Elgazzar, K</t>
  </si>
  <si>
    <t>Sabeel, Ulya; Heydari, Shahram Shah; El-Khatib, Khalil; Elgazzar, Khalid</t>
  </si>
  <si>
    <t>Analyzing the Quality of Synthetic Adversarial Cyberattacks</t>
  </si>
  <si>
    <t>Attack quality; Deep Learning; Generative models; Intrusion detection; Realistic adversarial attacks</t>
  </si>
  <si>
    <t>Today's networked systems face significant security challenges due to sophisticated attacks. Several Machine Learning (ML) and Deep Learning (DL) models are employed to combat these diverse attacks. Adversarial attacks, which can evade detection by AI-based intrusion detection systems (IDS) through small alterations to network attack traffic, pose a significant concern. These AI-synthesized adversarial attacks must adhere to network constraints to seem plausible. In this work, we explore the validation criteria for such adversarial attacks and propose a methodology for analyzing their quality. We evaluate adversarial attack samples synthesized by state-of-the-art generative DL models such as Variational autoencoder (VAE), Conditional Variational autoencoder (CVAE), Generative Adversarial Network (GAN) and compare the performance with our CVAE-Adversarial Network (CVAE-AN) model. Results indicate the effectiveness of CVAE-AN in synthesizing realistic adversarial attacks.</t>
  </si>
  <si>
    <t>[Sabeel, Ulya; Heydari, Shahram Shah; El-Khatib, Khalil] Univ Ontario Inst Technol, Fac Business &amp; Informat Technol, Oshawa, ON, Canada; [Elgazzar, Khalid] Univ Ontario Inst Technol, Fac Engn &amp; Appl Sci, Oshawa, ON, Canada</t>
  </si>
  <si>
    <t>Ontario Tech University; Ontario Tech University</t>
  </si>
  <si>
    <t>Sabeel, U (corresponding author), Univ Ontario Inst Technol, Fac Business &amp; Informat Technol, Oshawa, ON, Canada.</t>
  </si>
  <si>
    <t>ulya.sabeel@ontariotechu.net; shahram.heydari@ontariotechu.ca; khalil.el-khatib@ontariotechu.ca; khalid.elgazzar@ontariotechu.ca</t>
  </si>
  <si>
    <t>WOS:001117985100040</t>
  </si>
  <si>
    <t>Wu, ZY; Sun, B; Feng, Q; Wang, ZL; Pan, JN</t>
  </si>
  <si>
    <t>Wu, Zeyu; Sun, Bo; Feng, Qiang; Wang, Zili; Pan, Junlin</t>
  </si>
  <si>
    <t>Physics-Informed AI Surrogates for Day-Ahead Wind Power Probabilistic Forecasting with Incomplete Data for Smart Grid in Smart Cities</t>
  </si>
  <si>
    <t>CMES-COMPUTER MODELING IN ENGINEERING &amp; SCIENCES</t>
  </si>
  <si>
    <t>Physics-informed method; probabilistic forecasting; wind power; generative adversarial network; extreme learning machine; day-ahead forecasting; incomplete data; smart grids</t>
  </si>
  <si>
    <t>GENERATION</t>
  </si>
  <si>
    <t>Due to the high inherent uncertainty of renewable energy, probabilistic day-ahead wind power forecasting is crucial for modeling and controlling the uncertainty of renewable energy smart grids in smart cities. However, the accuracy and reliability of high-resolution day-ahead wind power forecasting are constrained by unreliable local weather prediction and incomplete power generation data. This article proposes a physics-informed artificial intelligence (AI) surrogates method to augment the incomplete dataset and quantify its uncertainty to improve wind power forecasting performance. The incomplete dataset, built with numerical weather prediction data, historical wind power generation, and weather factors data, is augmented based on generative adversarial networks. After augmentation, the enriched data is then fed into a multiple AI surrogates model constructed by two extreme learning machine networks to train the forecasting model for wind power. Therefore, the forecasting models' accuracy and generalization ability are improved by mining the implicit physics information from the incomplete dataset. An incomplete dataset gathered from a wind farm in North China, containing only 15 days of weather and wind power generation data with missing points caused by occasional shutdowns, is utilized to verify the proposed method's performance. Compared with other probabilistic forecasting methods, the proposed method shows better accuracy and probabilistic performance on the same incomplete dataset, which highlights its potential for more flexible and sensitive maintenance of smart grids in smart cities.</t>
  </si>
  <si>
    <t>[Wu, Zeyu; Sun, Bo; Wang, Zili; Pan, Junlin] Beihang Univ, Sch Reliabil &amp; Syst Engn, Beijing, Peoples R China; [Sun, Bo; Feng, Qiang] Beihang Univ, Inst Reliabil Engn, Beijing, Peoples R China</t>
  </si>
  <si>
    <t>Beihang University; Beihang University</t>
  </si>
  <si>
    <t>Feng, Q (corresponding author), Beihang Univ, Inst Reliabil Engn, Beijing, Peoples R China.</t>
  </si>
  <si>
    <t>fengqiang@buaa.edu.cn</t>
  </si>
  <si>
    <t>Feng, Qiang/AAA-2080-2020</t>
  </si>
  <si>
    <t>Feng, Qiang/0000-0003-2454-7839</t>
  </si>
  <si>
    <t>TECH SCIENCE PRESS</t>
  </si>
  <si>
    <t>HENDERSON</t>
  </si>
  <si>
    <t>871 CORONADO CENTER DR, SUTE 200, HENDERSON, NV 89052 USA</t>
  </si>
  <si>
    <t>1526-1492</t>
  </si>
  <si>
    <t>1526-1506</t>
  </si>
  <si>
    <t>CMES-COMP MODEL ENG</t>
  </si>
  <si>
    <t>CMES-Comp. Model. Eng. Sci.</t>
  </si>
  <si>
    <t>10.32604/cmes.2023.027124</t>
  </si>
  <si>
    <t>Engineering, Multidisciplinary; Mathematics, Interdisciplinary Applications</t>
  </si>
  <si>
    <t>M9AE0</t>
  </si>
  <si>
    <t>WOS:001033059300020</t>
  </si>
  <si>
    <t>Zhang, Z; Zhang, JH; Zhang, YX; Yu, L; Liu, GY</t>
  </si>
  <si>
    <t>Zhang, Zhen; Zhang, Jianhua; Zhang, Yuxiang; Yu, Li; Liu, Guangyi</t>
  </si>
  <si>
    <t>AI-Based Time-, Frequency-, and Space-Domain Channel Extrapolation for 6G: Opportunities and Challenges</t>
  </si>
  <si>
    <t>IEEE VEHICULAR TECHNOLOGY MAGAZINE</t>
  </si>
  <si>
    <t>Extrapolation; Channel estimation; Time-domain analysis; Artificial intelligence; 6G mobile communication; Wireless communication; Generative adversarial networks</t>
  </si>
  <si>
    <t>BEAM</t>
  </si>
  <si>
    <t>The trend of using larger scale antenna arrays will continue toward 6G systems, where the number of antennas will be further scaled up to improve spectral efficiency. However, the increase in the number of antennas will bring new challenges to the physical layer, such as frequent feedback in high-speed mobile communications, multiband coexistence overhead from sub-6 (gigahertz) GHz to terahertz (THz), and energy consumption due to increased antenna components and circuits. In this article, we introduce artificial intelligence (AI)-based channel extrapolation to address these problems. Specifically, we divide the channel extrapolation into time, frequency, and space domains according to different application scenarios. The channel propagation characteristics that affect the extrapolation of each domain, such as the spatial consistency property (SCP), partial reciprocity, and spatial nonstationarity, are analyzed. The motivations for selecting various AI models in each domain are explained, and the performance of AI models is compared. Furthermore, we find the gain of cross-domain channel extrapolation based on transfer learning (TL). The simulation results show that the experience of the AI model cross different domains can be mutually reinforcing. Finally, we introduce several challenges for AI-based channel extrapolation, which can be regarded as potential research directions for realizing future AI-powered 6G systems.</t>
  </si>
  <si>
    <t>[Zhang, Zhen] Beijing Univ Posts &amp; Telecommun, Informat &amp; Commun Engn, Beijing, Peoples R China; [Zhang, Jianhua] Beijing Univ Posts &amp; Telecommun BUPT, Circuits &amp; Syst, Beijing, Peoples R China; [Zhang, Yuxiang] Univ Waterloo, Waterloo, ON, Canada; [Yu, Li] BUPT, Beijing 100876, Peoples R China; [Liu, Guangyi] China Mobile Res Inst, Beijing 100053, Peoples R China</t>
  </si>
  <si>
    <t>Beijing University of Posts &amp; Telecommunications; University of Waterloo; Beijing University of Posts &amp; Telecommunications; China Mobile</t>
  </si>
  <si>
    <t>Zhang, Z (corresponding author), Beijing Univ Posts &amp; Telecommun, Informat &amp; Commun Engn, Beijing, Peoples R China.</t>
  </si>
  <si>
    <t>zhenzhang@bupt.edu.cn; jhzhang@bupt.edu.cn; zhangyx@bupt.edu.cn; li.yu@bupt.edu.cn; liuguangyi@chinamobile.com</t>
  </si>
  <si>
    <t>Jia, Li/JVN-3095-2024; Zhou, Hong/JKJ-1067-2023; peng, jin/JRW-4493-2023; li, jing/JEF-8436-2023; li, jixiang/JXN-7599-2024; Wei, Wei/JVM-8876-2024; .., What/IXW-6776-2023; WANG, Bin/JGM-2639-2023; Li, Ly/JCD-4746-2023; li, wei/IUQ-2973-2023; yi, li/KFR-6141-2024</t>
  </si>
  <si>
    <t>Wei, Wei/0000-0002-4109-3878; Yu, Li/0000-0002-5782-1147</t>
  </si>
  <si>
    <t>National Science Fund for Distinguished Young Scholars [61925102]; National Natural Science Foundation of China [92167202]; National Natural Science Foundation of China [62101069, 62031019, 62201087]; Beijing University of Posts and Telecommunications-China Mobile Communications Group Co., Ltd. Joint Innovation Center</t>
  </si>
  <si>
    <t>National Science Fund for Distinguished Young Scholars(National Natural Science Foundation of China (NSFC)National Science Fund for Distinguished Young Scholars); National Natural Science Foundation of China(National Natural Science Foundation of China (NSFC)); National Natural Science Foundation of China(National Natural Science Foundation of China (NSFC)); Beijing University of Posts and Telecommunications-China Mobile Communications Group Co., Ltd. Joint Innovation Center</t>
  </si>
  <si>
    <t>The work is supported by the National Science Fund for Distinguished Young Scholars (61925102), the National Natural Science Foundation of China (92167202), the National Natural Science Foundation of China (62101069 and 62031019), the National Natural Science Foundation of China (62201087), and the Beijing University of Posts and Telecommunications-China Mobile Communications Group Co., Ltd. Joint Innovation Center. The corresponding author of this article is Jianhua Zhang</t>
  </si>
  <si>
    <t>1556-6072</t>
  </si>
  <si>
    <t>1556-6080</t>
  </si>
  <si>
    <t>IEEE VEH TECHNOL MAG</t>
  </si>
  <si>
    <t>IEEE Veh. Technol. Mag.</t>
  </si>
  <si>
    <t>10.1109/MVT.2023.3234169</t>
  </si>
  <si>
    <t>Engineering, Electrical &amp; Electronic; Telecommunications; Transportation Science &amp; Technology</t>
  </si>
  <si>
    <t>Engineering; Telecommunications; Transportation</t>
  </si>
  <si>
    <t>D2WJ0</t>
  </si>
  <si>
    <t>WOS:000967375100008</t>
  </si>
  <si>
    <t>Salvaggio, E</t>
  </si>
  <si>
    <t>Salvaggio, Eryk</t>
  </si>
  <si>
    <t>Infinite Barnacle: The AI Image and Imagination in GANs from Personal Snapshots</t>
  </si>
  <si>
    <t>Today's artificial intelligence image generation tools create images from datasets. These training sets are typically images sourced from the World Wide Web. However, artists may produce their own datasets from photographs. This essay explores one such process. In it, the artist discusses training a generative adversarial network (GAN) from images of personal memories. These images are shared here not as public artworks, but as personal photographs: snapshots reproduced and newly imagined by a machine. The essay explores the distortion that AI image generation introduces to memory and imagination, connecting ideas of photography to cybernetics to expose new ways of theorizing the image in the current stage of AI. It concludes that a theory of A imagery may borrow from theories of traditional photography but must examine its distinctions.</t>
  </si>
  <si>
    <t>[Salvaggio, Eryk] Rochester Inst Technol, 490 Hurstbourne Rd, Rochester, NY 14623 USA</t>
  </si>
  <si>
    <t>Rochester Institute of Technology</t>
  </si>
  <si>
    <t>Salvaggio, E (corresponding author), Rochester Inst Technol, 490 Hurstbourne Rd, Rochester, NY 14623 USA.</t>
  </si>
  <si>
    <t>eryk.salvaggio@gmail.com</t>
  </si>
  <si>
    <t>10.1162/leon_a_02404</t>
  </si>
  <si>
    <t>DO8Q3</t>
  </si>
  <si>
    <t>WOS:001133091200002</t>
  </si>
  <si>
    <t>Lv, CY; Wei, ZL; Qian, WK; Ye, JJ; Feng, C; He, ZZ</t>
  </si>
  <si>
    <t>Lv, Chenyang; Wei, Ziling; Qian, Weikang; Ye, Junjie; Feng, Chang; He, Zhezhi</t>
  </si>
  <si>
    <t>GPT-LS: Generative Pre-Trained Transformer with Offline Reinforcement Learning for Logic Synthesis</t>
  </si>
  <si>
    <t>2023 IEEE 41ST INTERNATIONAL CONFERENCE ON COMPUTER DESIGN, ICCD</t>
  </si>
  <si>
    <t>Proceedings IEEE International Conference on Computer Design</t>
  </si>
  <si>
    <t>41st IEEE International Conference on Computer Design (ICCD)</t>
  </si>
  <si>
    <t>George Washington Univ, Washington, DC</t>
  </si>
  <si>
    <t>George Washington Univ</t>
  </si>
  <si>
    <t>logic synthesis; offline reinforcement learning; decision transformer; generative pre-trained transformer</t>
  </si>
  <si>
    <t>Logic synthesis (LS) is a process that transforms a high-level logic circuit description into a gate-level netlist, typically via a heuristic algorithm. Such a process can be decomposed into a series of transformation primitives, where each primitive optimizes the netlist while preserving the functional equivalence. However, identifying a desirable primitive sequence (PS) to achieve design goals is challenging, due to the immense design space. Recent advances in artificial intelligence offer the opportunity to leverage machine learning techniques to tackle the combinatorial optimization problem associated with PS. Unfortunately, the existing works either require time-consuming training for each circuit or incur high computational costs. To address these issues, we redefine the optimization of LS as a sequence generation problem and propose a generative pre-trained transformer (GPT) with offline reinforcement learning, which is named as GPT-LS. Thanks to the OpenABC-D dataset, GPT-LS is pre-trained on diverse circuits and its massive intermediate data during the synthesis, by utilizing the offline reinforcement learning technique of decision transformer. Then, GPT-LS is able to generate PS for unseen circuits to conduct optimized LS. According to our comprehensive experiments, GPT-LS achieves results that match those of previous state-of-the-art methods in a significantly shorter time. It is available at: github.com/Intelligent-Computing-Research-Group/GPT-LS.</t>
  </si>
  <si>
    <t>[Lv, Chenyang; Wei, Ziling; He, Zhezhi] Shanghai Jiao Tong Univ, Sch Elect Informat &amp; Elect Engn, Shanghai, Peoples R China; [Qian, Weikang] Shanghai Jiao Tong Univ, UM SJTU Joint Inst, Shanghai, Peoples R China; [Qian, Weikang] Shanghai Jiao Tong Univ, MoE Key Lab AI, Shanghai, Peoples R China; [Ye, Junjie; Feng, Chang] Huawei Noahs Ark Lab, Shenzhen, Guangdong, Peoples R China</t>
  </si>
  <si>
    <t>Shanghai Jiao Tong University; Shanghai Jiao Tong University; Shanghai Jiao Tong University; Huawei Technologies</t>
  </si>
  <si>
    <t>Lv, CY (corresponding author), Shanghai Jiao Tong Univ, Sch Elect Informat &amp; Elect Engn, Shanghai, Peoples R China.</t>
  </si>
  <si>
    <t>lvchenyang@sjtu.edu.cn; weiziling@sjtu.edu.cn; qianwk@sjtu.edu.cn; yejunjie4@huawei.com; fengchang1@huawei.com; zhezhi.he@sjtu.edu.cn</t>
  </si>
  <si>
    <t>National Natural Science Foundation of China [62102257]; National Key R&amp;D Program of China [2022YFB4500200]; Microsoft Research Asia Gift Fund</t>
  </si>
  <si>
    <t>National Natural Science Foundation of China(National Natural Science Foundation of China (NSFC)); National Key R&amp;D Program of China; Microsoft Research Asia Gift Fund</t>
  </si>
  <si>
    <t>This work is partially supported by National Natural Science Foundation of China (No.62102257), National Key R&amp;D Program of China (2022YFB4500200), Microsoft Research Asia Gift Fund.</t>
  </si>
  <si>
    <t>1063-6404</t>
  </si>
  <si>
    <t>979-8-3503-4291-8</t>
  </si>
  <si>
    <t>PR IEEE COMP DESIGN</t>
  </si>
  <si>
    <t>10.1109/ICCD58817.2023.00056</t>
  </si>
  <si>
    <t>Computer Science, Hardware &amp; Architecture; Computer Science, Information Systems; Computer Science, Software Engineering; Computer Science, Theory &amp; Methods</t>
  </si>
  <si>
    <t>BW4DO</t>
  </si>
  <si>
    <t>WOS:001146866200046</t>
  </si>
  <si>
    <t>Wu, C; Du, B; Zhang, LP</t>
  </si>
  <si>
    <t>Wu, Chen; Du, Bo; Zhang, Liangpei</t>
  </si>
  <si>
    <t>Fully Convolutional Change Detection Framework With Generative Adversarial Network for Unsupervised, Weakly Supervised and Regional Supervised Change Detection</t>
  </si>
  <si>
    <t>Task analysis; Image segmentation; Generators; Remote sensing; Generative adversarial networks; Predictive models; Training; Change detection; fully covolutional network; generative adversarial network; remote sensing; weakly supervised segmentation</t>
  </si>
  <si>
    <t>SLOW FEATURE ANALYSIS; IMAGE FUSION; CLASSIFICATION; URBAN</t>
  </si>
  <si>
    <t>Deep learning for change detection is one of the current hot topics in the field of remote sensing. However, most end-to-end networks are proposed for supervised change detection, and unsupervised change detection models depend on traditional pre-detection methods. Therefore, we proposed a fully convolutional change detection framework with generative adversarial network, to unify unsupervised, weakly supervised, regional supervised, and fully supervised change detection tasks into one end-to-end framework. A basic Unet segmentor is used to obtain change detection map, an image-to-image generator is implemented to model the spectral and spatial variation between multi-temporal images, and a discriminator for changed and unchanged is proposed for modeling the semantic changes in weakly and regional supervised change detection task. The iterative optimization of segmentor and generator can build an end-to-end network for unsupervised change detection, the adversarial process between segmentor and discriminator can provide the solutions for weakly and regional supervised change detection, the segmentor itself can be trained for fully supervised task. The experiments indicate the effectiveness of the propsed framework in unsupervised, weakly supervised and regional supervised change detection. This article provides new theorical definitions for unsupervised, weakly supervised and regional supervised change detection tasks with the proposed framework, and shows great potentials in exploring end-to-end network for remote sensing change detection (https://github.com/Cwuwhu/FCD-GAN-pytorch).</t>
  </si>
  <si>
    <t>[Wu, Chen; Zhang, Liangpei] Wuhan Univ, State Key Lab Informat Engn Surveying Mapping &amp; R, Wuhan 430072, Hubei, Peoples R China; [Wu, Chen] Wuhan Univ, Inst Artificial Intelligence, Wuhan 430072, Hubei, Peoples R China; [Du, Bo] Wuhan Univ, Inst Artificial Intelligence, Sch Comp Sci, Natl Engn Res Ctr Multimedia Software, Wuhan 430072, Hubei, Peoples R China; [Du, Bo] Wuhan Univ, Hubei Key Lab Multimedia &amp; Network Commun Engn, Wuhan 430072, Hubei, Peoples R China</t>
  </si>
  <si>
    <t>Wuhan University; Wuhan University; Wuhan University; Wuhan University</t>
  </si>
  <si>
    <t>Zhang, LP (corresponding author), Wuhan Univ, State Key Lab Informat Engn Surveying Mapping &amp; R, Wuhan 430072, Hubei, Peoples R China.;Du, B (corresponding author), Wuhan Univ, Inst Artificial Intelligence, Sch Comp Sci, Natl Engn Res Ctr Multimedia Software, Wuhan 430072, Hubei, Peoples R China.;Du, B (corresponding author), Wuhan Univ, Hubei Key Lab Multimedia &amp; Network Commun Engn, Wuhan 430072, Hubei, Peoples R China.</t>
  </si>
  <si>
    <t>chen.wu@whu.edu.cn; dubo@whu.edu.cn; zlp62@whu.edu.cn</t>
  </si>
  <si>
    <t>Wu, Chen/0000-0001-6461-8377</t>
  </si>
  <si>
    <t>National Natural Science Foundation of China [T2122014, 61971317, 62225113, 42230108]; National Key Research and Development Program of China [2022YFB3903302, 2022YFB3903405]; Science and Technology Major Project of Hubei Province (Next-Generation AI Technologies) [2019AEA170]</t>
  </si>
  <si>
    <t>National Natural Science Foundation of China(National Natural Science Foundation of China (NSFC)); National Key Research and Development Program of China; Science and Technology Major Project of Hubei Province (Next-Generation AI Technologies)</t>
  </si>
  <si>
    <t>This work was supported in part by the National Natural Science Foundation of China under Grants T2122014, 61971317, 62225113, and 42230108, in part by the National Key Research and Development Program of China under Grants 2022YFB3903302 and 2022YFB3903405, and in part by the Science and Technology Major Project of Hubei Province (Next-Generation AI Technologies) under Grant 2019AEA170. Recommended for acceptance by T. Tran.</t>
  </si>
  <si>
    <t>10.1109/TPAMI.2023.3237896</t>
  </si>
  <si>
    <t>L4KG5</t>
  </si>
  <si>
    <t>WOS:001022958600033</t>
  </si>
  <si>
    <t>Ramos, L; Marquez, R; Francklin, F</t>
  </si>
  <si>
    <t>Ramos, Leo; Marquez, Ronald; Francklin, Francklin</t>
  </si>
  <si>
    <t>AI's next frontier: The rise of ChatGPT and its implications on society, industry, and scientific research</t>
  </si>
  <si>
    <t>CIENCIA E INGENIERIA</t>
  </si>
  <si>
    <t>ChatGPT; text-generation; artificial intelligence; artificial neural networks; generative adversarial networks; natural language processing</t>
  </si>
  <si>
    <t>Artificial intelligence (AI) refers to the capability of computer systems to carry out tasks requiring human-like intelligence, such as decision-making, natural language processing, problem-solving, and learning. The development of AI has been a rapidly growing field in recent years. With the recent release of AI text-generation software in late 2022, a transformative breakthrough in the field seems to have been achieved. Within a matter of months, the ChatGPT software garnered over two million subscribers and has since been widely adopted as a promising tool in both academic and industrial settings. This paper presents a compilation of the basic concepts of AI, including its definition, history, challenges, and opportunities. It also discusses the potential impacts of AI on society and the crucial ethical and social considerations that need to be addressed. The innovative nature of this work is that the ChatGPT text-generation AI was involved in its conception through guided sessions of inputs and answers. Then, the text and references were edited. This demonstrates the power of AI to construct knowledge, particularly to deploy research text in journal articles, reviews, and perspectives. It also raises awareness of the specific new tasks of scientific journals' editors and reviewers, since text-generation AI seems to write novel text constructed from the knowledge of the AI algorithm. This work also highlights the dramatic changes that AI will possibly bring to our everyday life among other considerations.</t>
  </si>
  <si>
    <t>[Ramos, Leo; Francklin, Francklin] Yachay Tech Univ, Sch Math &amp; Computat Sci, Urcuqui 100119, Ecuador; [Marquez, Ronald] Ecole Super Phys &amp; Chim Ind Ville Paris ESPCI, F-75231 Paris, France; [Francklin, Francklin] Pontificia Univ Catolica Ecuador Sede Ibarra, Ibarra 10102, Ecuador; [Francklin, Francklin] MIU City Univ Miami, Miami, FL 33132 USA</t>
  </si>
  <si>
    <t>Universite PSL; Ecole Superieure de Physique et de Chimie Industrielles de la Ville de Paris (ESPCI); Pontificia Universidad Catolica del Ecuador</t>
  </si>
  <si>
    <t>Marquez, R (corresponding author), Ecole Super Phys &amp; Chim Ind Ville Paris ESPCI, F-75231 Paris, France.</t>
  </si>
  <si>
    <t>marquezronald.ula.ve@gmail.com; frivas@yachaytech.edu.ec</t>
  </si>
  <si>
    <t>Marquez, Ronald/R-5626-2018</t>
  </si>
  <si>
    <t>Marquez, Ronald/0000-0001-6003-7487; Ramos, Leo/0000-0001-7107-7943</t>
  </si>
  <si>
    <t>UNIV ANDES, FAC INGENIERIA</t>
  </si>
  <si>
    <t>BOGOTA D C</t>
  </si>
  <si>
    <t>CR 1 ESTE 19 A-40, EDIFICIO MARIO LASERNA OFICINA ML313, BOGOTA D C, 00000, COLOMBIA</t>
  </si>
  <si>
    <t>1316-7081</t>
  </si>
  <si>
    <t>2244-8780</t>
  </si>
  <si>
    <t>CIENC ING</t>
  </si>
  <si>
    <t>Cienc. Ing.</t>
  </si>
  <si>
    <t>APR-JUL</t>
  </si>
  <si>
    <t>C9FL8</t>
  </si>
  <si>
    <t>WOS:000964892400006</t>
  </si>
  <si>
    <t>Kunz, WH; Wirtz, J</t>
  </si>
  <si>
    <t>Kunz, Werner H.; Wirtz, Jochen</t>
  </si>
  <si>
    <t>Corporate digital responsibility (CDR) in the age of AI: implications for interactive marketing</t>
  </si>
  <si>
    <t>JOURNAL OF RESEARCH IN INTERACTIVE MARKETING</t>
  </si>
  <si>
    <t>Digitalisations; Artificial Intelligence; Data Security; Service Technology; Ethics; Corporate Responsibility; Digital Responsibility</t>
  </si>
  <si>
    <t>PurposeDespite all the recent achievements in the field of interactive marketing and artificial intelligence (AI), it is important to consider the ethical implications of these technologies. This paper explains the concept of corporate digital responsibility (CDR) and how it is affected by new advances in AI.Design/methodology/approachThe authors build on the work of Wirtz et al., (2023) and derive several managerial implications for the challenges that AI poses to CDR. CDR refers to a service company's ethical and fair use of data and technology within its digital service ecosystem. It involves establishing standards, protecting customer privacy, conducting external audits and striving for an equitable power dynamic between service firms and their partners.FindingsDespite the risks involved, many companies are not prioritizing good CDR practices. Financial benefits from the collection and use of consumer data, improved customer experience through AI-driven customization and personalization, cost reduction through service automation and the trade-offs between organizational goals and CDR practices can prevent companies from prioritizing good CDR practices.Originality/valueThis is one of the first articles in the service domain to take the concept of CDR and apply it to recent developments in generative AI.Research limitations/implicationsThe emergence of powerful AI tools presents opportunities and challenges. Research opportunities include responsible business restructuring, responsible service automation to ensure fairness and human oversight, addressing dehumanization of service delivery, responsible customer profiling to address privacy and discrimination concerns and preventing AI misuse.</t>
  </si>
  <si>
    <t>[Kunz, Werner H.] Univ Massachusetts Boston, Dept Mkt, Boston, MA 02125 USA; [Wirtz, Jochen] Natl Univ Singapore, Dept Mkt, Singapore, Singapore</t>
  </si>
  <si>
    <t>University of Massachusetts System; University of Massachusetts Boston; National University of Singapore</t>
  </si>
  <si>
    <t>Kunz, WH (corresponding author), Univ Massachusetts Boston, Dept Mkt, Boston, MA 02125 USA.</t>
  </si>
  <si>
    <t>werner.kunz@umb.edu</t>
  </si>
  <si>
    <t>Wirtz, Jochen/P-3235-2015</t>
  </si>
  <si>
    <t>Wirtz, Jochen/0000-0002-6297-4498; Kunz, Werner/0000-0001-6264-183X</t>
  </si>
  <si>
    <t>2040-7122</t>
  </si>
  <si>
    <t>2040-7130</t>
  </si>
  <si>
    <t>J RES INTERACT MARK</t>
  </si>
  <si>
    <t>J. Res. Interact. Mark.</t>
  </si>
  <si>
    <t>JAN 30</t>
  </si>
  <si>
    <t>10.1108/JRIM-06-2023-0176</t>
  </si>
  <si>
    <t>GP5C2</t>
  </si>
  <si>
    <t>WOS:001041119600001</t>
  </si>
  <si>
    <t>Alam, MM; Alshahrani, T; Khan, F; Hakami, J; Shinde, SM; Azim, R</t>
  </si>
  <si>
    <t>Alam, Md Mottahir; Alshahrani, Thamraa; Khan, Firoz; Hakami, Jabir; Shinde, Sangram M.; Azim, Rezaul</t>
  </si>
  <si>
    <t>AI-based efficiency analysis technique for photovoltaic renewable energy system</t>
  </si>
  <si>
    <t>PHYSICA SCRIPTA</t>
  </si>
  <si>
    <t>photovoltaic; efficiency; renewable energy sources; artificial intelligence; hyperparameters</t>
  </si>
  <si>
    <t>Artificial intelligence (AI) in renewable energy technologies plays a crucial part due to its modeling and performance forecasting. Therefore, a novel AI-based evolving generative adversarial Fuzzy network (EGAFN) has been presented in this paper as a forecasting tool for the efficiency analysis of renewable solar energy for four distinct regions. The power ratings from environmental parameters and solar panels were monitored and recorded for a year. The data pre-processing is primarily applied to improve the system's function using a data filter. Furthermore, the data's energy estimation accuracy is enhanced using feature extraction and selection by a multi-objective lionized manta-ray foraging optimizer (MLMRFO). Finally, the hyperparameters of the EGAFN method are optimized by multi-objective optimization. The proposed technique uses an optimized multi-objective algorithm to enhance the energy efficiency of PV systems for solar power production forecasting. The findings show that the suggested technique's prediction performance is better than earlier methods. Thus, the proposed methodology can assist in increasing energy efficiency and making better use of renewable energy sources.</t>
  </si>
  <si>
    <t>[Alam, Md Mottahir] King Abdulaziz Univ, Dept Elect &amp; Comp Engn, Jeddah 21589, Saudi Arabia; [Alshahrani, Thamraa] Princess Nourah bint Abdulrahman Univ, Coll Sci, Dept Phys, Riyadh 11671, Saudi Arabia; [Khan, Firoz] King Fahd Univ Petr &amp; Minerals KFUPM, Interdisciplinary Res Ctr Renewable Energy &amp; Power, Dhahran 31261, Saudi Arabia; [Hakami, Jabir] Jazan Univ, Coll Sci, Dept Phys, POB 114, Jazan 45142, Saudi Arabia; [Shinde, Sangram M.] Jazan Univ, Fac Engn, Dept Mech Engn, Jazan 45142, Saudi Arabia; [Azim, Rezaul] Univ Chittagong, Dept Phys, Chattogram 4331, Bangladesh</t>
  </si>
  <si>
    <t>King Abdulaziz University; Princess Nourah bint Abdulrahman University; King Fahd University of Petroleum &amp; Minerals; Jazan University; Jazan University; University of Chittagong</t>
  </si>
  <si>
    <t>Azim, R (corresponding author), Univ Chittagong, Dept Phys, Chattogram 4331, Bangladesh.</t>
  </si>
  <si>
    <t>rezaulazim@cu.ac.bd</t>
  </si>
  <si>
    <t>Khan, Firoz/G-8959-2019; alshahrani, Thamraa/GRF-0625-2022; Azim, Rezaul/H-4619-2013; Alam, Md Mottahir/AAP-7260-2020; Hakami, Jabir/AHH-4892-2022</t>
  </si>
  <si>
    <t>Khan, Firoz/0000-0002-1832-3583; Azim, Rezaul/0000-0002-9648-7188; Alam, Md Mottahir/0000-0003-2127-7183; Hakami, Jabir/0000-0001-5548-0046</t>
  </si>
  <si>
    <t>Princess Nourah Bint Abdulrahman University https://doi.org/10.13039/501100004242 [2023R1]; Princess Nourah bint Abdulrahman University; Princess Nourah bint Abdulrahman University, Riyadh, Saudi Arabia</t>
  </si>
  <si>
    <t>Princess Nourah Bint Abdulrahman University https://doi.org/10.13039/501100004242(Princess Nourah bint Abdulrahman University); Princess Nourah bint Abdulrahman University(Princess Nourah bint Abdulrahman University); Princess Nourah bint Abdulrahman University, Riyadh, Saudi Arabia(Princess Nourah bint Abdulrahman University)</t>
  </si>
  <si>
    <t>This research was funded by Princess Nourah bint Abdulrahman University, researchers supporting project number (PNURSP, 2023R1), Princess Nourah bint Abdulrahman University, Riyadh, Saudi Arabia.</t>
  </si>
  <si>
    <t>0031-8949</t>
  </si>
  <si>
    <t>1402-4896</t>
  </si>
  <si>
    <t>PHYS SCRIPTA</t>
  </si>
  <si>
    <t>Phys. Scr.</t>
  </si>
  <si>
    <t>10.1088/1402-4896/ad0bb4</t>
  </si>
  <si>
    <t>Physics, Multidisciplinary</t>
  </si>
  <si>
    <t>Y6TG2</t>
  </si>
  <si>
    <t>WOS:001106557900001</t>
  </si>
  <si>
    <t>Divito, CB; Katchikian, BM; Gruenwald, JE; Burgoon, JM</t>
  </si>
  <si>
    <t>Divito, Christopher B.; Katchikian, Bryan M.; Gruenwald, Jenna E.; Burgoon, Jennifer M.</t>
  </si>
  <si>
    <t>The tools of the future are the challenges of today: The use of ChatGPT in problem-based learning medical education</t>
  </si>
  <si>
    <t>ChatGPT; problem-based learning (PBL); generative artificial intelligence (AI); large language models (LLM); medical education</t>
  </si>
  <si>
    <t>What is the educational challenge?Incorporation of large language model (LLM) or generative artificial intelligence (AI) software poses a challenge to various areas of medical education, including problem-based learning (PBL). LLMs, such as ChatGPT, have incredible potential to transform educational systems and enhance student learning outcomes when used responsibly.What are the proposed solutions?ChatGPT can provide several ways to support students and assist facilitators with course responsibilities. Here we address factors of implementation and describe how ChatGPT can be responsibly utilized to support key elements of PBL.How was the solution implemented?Providing reasonable access is an essential element of novel software implementation. Additionally, training for both faculty and staff is vital to foster responsible usage, provide base-line proficiency, and guide users to critically evaluate the quality of output.What lessons were learned that are relevant to a wider audience?The use of LLMs or other generative AI is dramatically rising in the world. Appropriate and conscientious incorporation of AI into educational programs can foster responsible use and potentially enhance student learning.What are the next steps?Assessment of learning outcomes, student self-efficacy, group dynamics, and stakeholder feedback are required to measure the effects of ChatGPT in the PBL curriculum. Additionally, software programs competitive with ChatGPT are currently under development and will also need to be investigated for their potential role in education.</t>
  </si>
  <si>
    <t>[Divito, Christopher B.; Katchikian, Bryan M.; Gruenwald, Jenna E.; Burgoon, Jennifer M.] Lake Erie Coll Osteopath Med Seton Hill, Coll Med, 20 Seton Hill Dr, Greensburg, PA 15601 USA</t>
  </si>
  <si>
    <t>Burgoon, JM (corresponding author), Lake Erie Coll Osteopath Med Seton Hill, Coll Med, 20 Seton Hill Dr, Greensburg, PA 15601 USA.</t>
  </si>
  <si>
    <t>jburgoon@lecom.edu</t>
  </si>
  <si>
    <t>Burgoon, Jennifer M/E-2819-2011</t>
  </si>
  <si>
    <t>Burgoon, Jennifer Marie/0000-0001-9824-7965</t>
  </si>
  <si>
    <t>MAR 3</t>
  </si>
  <si>
    <t>10.1080/0142159X.2023.2290997</t>
  </si>
  <si>
    <t>KA7A9</t>
  </si>
  <si>
    <t>WOS:001132117900001</t>
  </si>
  <si>
    <t>Abd-alrazaq, A; AlSaad, R; Alhuwail, D; Ahmed, A; Healy, PM; Latifi, S; Aziz, S; Damseh, R; Alrazak, SA; Sheikh, J</t>
  </si>
  <si>
    <t>Abd-alrazaq, Alaa; AlSaad, Rawan; Alhuwail, Dari; Ahmed, Arfan; Healy, Padraig Mark; Latifi, Syed; Aziz, Sarah; Damseh, Rafat; Alrazak, Sadam Alabed; Sheikh, Javaid</t>
  </si>
  <si>
    <t>Large Language Models in Medical Education: Opportunities, Challenges, and Future Directions</t>
  </si>
  <si>
    <t>large language models; artificial intelligence; medical education; ChatGPT; GPT-4; generative AI; students; educators</t>
  </si>
  <si>
    <t>ARTIFICIAL-INTELLIGENCE; CURRICULUM</t>
  </si>
  <si>
    <t>The integration of large language models (LLMs), such as those in the Generative Pre-trained Transformers (GPT) series, into medical education has the potential to transform learning experiences for students and elevate their knowledge, skills, and competence. Drawing on a wealth of professional and academic experience, we propose that LLMs hold promise for revolutionizing medical curriculum development, teaching methodologies, personalized study plans and learning materials, student assessments, and more. However, we also critically examine the challenges that such integration might pose by addressing issues of algorithmic bias, overreliance, plagiarism, misinformation, inequity, privacy, and copyright concerns in medical education. As we navigate the shift from an information-driven educational paradigm to an artificial intelligence (AI)-driven educational paradigm, we argue that it is paramount to understand both the potential and the pitfalls of LLMs in medical education. This paper thus offers our perspective on the opportunities and challenges of using LLMs in this context. We believe that the insights gleaned from this analysis will serve as a foundation for future recommendations and best practices in the field, fostering the responsible and effective use of AI technologies in medical education.(JMIR Med Educ 2023;9:e48291) doi: 10.2196/48291</t>
  </si>
  <si>
    <t>[Abd-alrazaq, Alaa; AlSaad, Rawan; Ahmed, Arfan; Aziz, Sarah; Sheikh, Javaid] AI Ctr Precis Hlth, Weill Cornell Med Qatar, Doha, Qatar; [AlSaad, Rawan] Univ Doha Sci &amp; Technol, Coll Comp &amp; Informat Technol, Doha, Qatar; [Alhuwail, Dari] Kuwait Univ, Coll Life Sci, Informat Sci Dept, Kuwait, Kuwait; [Healy, Padraig Mark; Latifi, Syed] Div Med Educ, Off Educ Dev, Weill Cornell Med Qatar, Doha, Qatar; [Damseh, Rafat] United Arab Emirates Univ, Dept Comp Sci &amp; Software Engn, Abu Dhabi, U Arab Emirates; [Alrazak, Sadam Alabed] Univ Toronto, Fac Appl Sci &amp; Engn, Dept Mech &amp; Ind Engn, Toronto, ON, Canada; [Abd-alrazaq, Alaa] AI Ctr Precis Hlth, Weill Cornell Med Qatar, POB 5825,Doha Al Luqta St Ar Rayyan, Doha, Qatar</t>
  </si>
  <si>
    <t>Qatar Foundation (QF); Weill Cornell Medical College Qatar; Kuwait University; Qatar Foundation (QF); Weill Cornell Medical College Qatar; United Arab Emirates University; University of Toronto; Qatar Foundation (QF); Weill Cornell Medical College Qatar</t>
  </si>
  <si>
    <t>Abd-alrazaq, A (corresponding author), AI Ctr Precis Hlth, Weill Cornell Med Qatar, POB 5825,Doha Al Luqta St Ar Rayyan, Doha, Qatar.</t>
  </si>
  <si>
    <t>alaa_alzoubi88@yahoo.com</t>
  </si>
  <si>
    <t>damseh, rafat/AAY-2880-2020; Alhuwail, Dari/AAT-2198-2020</t>
  </si>
  <si>
    <t>damseh, rafat/0000-0001-6797-0448; Alhuwail, Dari/0000-0001-5038-3044; Aziz, Sarah/0000-0002-0861-9743; Healy, Padraig Mark/0000-0002-5804-0342; Abd-alrazaq, Alaa/0000-0001-7695-4626; Sheikh, Javaid/0000-0002-5762-4186; Ahmed, Arfan/0000-0002-4025-5767; Alabed Alrazak, Sadam/0000-0002-8586-7564; Latifi, Syed/0000-0003-0505-609X</t>
  </si>
  <si>
    <t>e48291</t>
  </si>
  <si>
    <t>10.2196/48291</t>
  </si>
  <si>
    <t>K8SA8</t>
  </si>
  <si>
    <t>WOS:001019068500001</t>
  </si>
  <si>
    <t>Barrett, A; Pack, A</t>
  </si>
  <si>
    <t>Barrett, Alex; Pack, Austin</t>
  </si>
  <si>
    <t>Not quite eye to AI: student and teacher perspectives on the use of generative artificial intelligence in the writing process</t>
  </si>
  <si>
    <t>Artificial intelligence; Large language model; GPT; Writing education; Academic integrity</t>
  </si>
  <si>
    <t>PLAGIARISM</t>
  </si>
  <si>
    <t>Generative artificial intelligence (GenAI) can be used to author academic texts at a similar level to what humans are capable of, causing concern about its misuse in education. Addressing the role of GenAI in teaching and learning has become an urgent task. This study reports the results of a survey comparing educators' (n = 68) and university students' (n = 158) perceptions on the appropriate use of GenAI in the writing process. The survey included representations of user prompts and output from ChatGPT, a GenAI chatbot, for each of six tasks of the writing process (brainstorming, outlining, writing, revising, feedback, and evaluating). Survey respondents were asked to differentiate between various uses of GenAI for these tasks, which were divided between student and teacher use. Results indicate minor disagreement between students and teachers on acceptable use of GenAI tools in the writing process, as well as classroom and institutional-level lack of preparedness for GenAI. These results imply the need for explicit guidelines and teacher professional development on the use of GenAI in educational contexts. This study can contribute to evidence-based guidelines on the integration of GenAI in teaching and learning.</t>
  </si>
  <si>
    <t>[Barrett, Alex] Florida State Univ, Coll Educ, Stone Bldg,114 West Call St, Tallahassee, FL 32306 USA; [Pack, Austin] Brigham Young Univ Hawaii, Fac Educ &amp; Social Work, 55-220 Kulanui St, Laie, HI 96762 USA</t>
  </si>
  <si>
    <t>State University System of Florida; Florida State University; Brigham Young University; Brigham Young University - Hawaii</t>
  </si>
  <si>
    <t>Barrett, A (corresponding author), Florida State Univ, Coll Educ, Stone Bldg,114 West Call St, Tallahassee, FL 32306 USA.</t>
  </si>
  <si>
    <t>abarrett3@fsu.edu</t>
  </si>
  <si>
    <t>Barrett, Alex/0000-0003-1229-9743</t>
  </si>
  <si>
    <t>10.1186/s41239-023-00427-0</t>
  </si>
  <si>
    <t>X5WO5</t>
  </si>
  <si>
    <t>WOS:001099156200001</t>
  </si>
  <si>
    <t>Aravena, LT; Casas, P; Bustos-Jiménez, J; Capdehourat, G; Findrik, M</t>
  </si>
  <si>
    <t>Aravena, L. Torrealba; Casas, P.; Bustos-Jimenez, J.; Capdehourat, G.; Findrik, M.</t>
  </si>
  <si>
    <t>Dom2Vec-Detecting DGA Domains through Word Embeddings and AI/ML-driven Lexicographic Analysis</t>
  </si>
  <si>
    <t>DGA Detection; Word2Vec; TF-IDF; n-grams; Lexicographic Analysis; DNS; Machine Learning</t>
  </si>
  <si>
    <t>The timely identification of DNS queries to Domain Generation Algorithm (DGA) domains plays a critical role in mitigating malware propagation and its potential impact, especially in thwarting coordinated botnet activity. We introduce Dom2Vec, an innovative approach for swiftly detecting DGA-generated domains by leveraging lexicographic features exclusively derived from the observed domain names in DNS queries. Dom2Vec leverages word embeddings to map tokens extracted from domain names into highly expressive representations. These representations are then combined with a reputation-based scoring system for domain names, which utilizes the co-occurrence frequency of n-grams in relation to a list of whitelisted domains. The fusion of domain embeddings, reputation scores, and other meaningful lexicographic features derived from domain names provides robust domain name representations for AI/ML-driven detection of DGAs. Through experimental evaluation on a dataset comprising 25 distinct families of DGA domains, we demonstrate that Dom2Vec significantly outperforms current state-of-the-art approaches for DGA detection and analysis, improving our previous detection system based on reputation scores by at least 30%, for a false-alarm rate below 1%.</t>
  </si>
  <si>
    <t>[Aravena, L. Torrealba; Bustos-Jimenez, J.] Univ Chile, NIC Labs, Santiago, Chile; [Aravena, L. Torrealba; Casas, P.] AIT Austrian Inst Technol, Seibersdorf, Austria; [Capdehourat, G.] Univ Republ &amp; Plan Ceibal, Montevideo, Uruguay; [Findrik, M.] Cyan Secur Grp, Vienna, Austria</t>
  </si>
  <si>
    <t>Universidad de Chile; Austrian Institute of Technology (AIT)</t>
  </si>
  <si>
    <t>Aravena, LT (corresponding author), Univ Chile, NIC Labs, Santiago, Chile.;Aravena, LT (corresponding author), AIT Austrian Inst Technol, Seibersdorf, Austria.</t>
  </si>
  <si>
    <t>Austrian FFG ICT-of-the-Future project DynAISEC - Adaptive AI/ML for Dynamic Cybersecurity Systems [887504]</t>
  </si>
  <si>
    <t>Austrian FFG ICT-of-the-Future project DynAISEC - Adaptive AI/ML for Dynamic Cybersecurity Systems</t>
  </si>
  <si>
    <t>this work has been partially supported by the Austrian FFG ICT-of-the-Future project DynAISEC - Adaptive AI/ML for Dynamic Cybersecurity Systems - project ID 887504.</t>
  </si>
  <si>
    <t>WOS:001117985100071</t>
  </si>
  <si>
    <t>Zhang, Q; Cai, C; Qin, XF; Wang, YZ; Cao, K</t>
  </si>
  <si>
    <t>Zhang, Qing; Cai, Chao; Qin, Xiaofei; Wang, Yuzhu; Cao, Kang</t>
  </si>
  <si>
    <t>Generative Adversarial Network-Based Network Anomaly Detection with Unlabeled Data</t>
  </si>
  <si>
    <t>2023 20TH ANNUAL IEEE INTERNATIONAL CONFERENCE ON SENSING, COMMUNICATION, AND NETWORKING, SECON</t>
  </si>
  <si>
    <t>IEEE International Conference on Sensing Communication and Networking</t>
  </si>
  <si>
    <t>20th Annual IEEE International Conference on Sensing, Communication, and Networking (SECON)</t>
  </si>
  <si>
    <t>SEP 11-14, 2023</t>
  </si>
  <si>
    <t>Madrid, SPAIN</t>
  </si>
  <si>
    <t>Network anomaly detection; high-dimensional features; distributed network edge intelligence; and 5G vertical application scenario</t>
  </si>
  <si>
    <t>In the rapidly evolving landscape of 5G networks, effective anomaly detection is becoming increasingly important to ensure network stability and security. Traditional methods often encounter issues due to the inherent complexity and diversity of network data, coupled with the lack of labeled data. Although there are some feasible artificial intelligence (AI) techniques available, their performance is still limited. To address these challenges, this paper proposes a network anomaly detection scheme. First, the strengths of Autoencoder (AE) and generative adversarial network (GAN) architectures is combined. Through feature transformation, it calculates anomaly scores for network data at specific time points, significantly enhancing detection accuracy. Second, the scheme is deployed in a distributed architecture, thereby improving the robustness and flexibility of network anomaly detection. Finally, the simulation results are provided in two distinct 5G vertical applications to show the performance gains of our proposed scheme.</t>
  </si>
  <si>
    <t>[Zhang, Qing; Cai, Chao; Qin, Xiaofei; Cao, Kang] China Unicom Intelligent Network Innovat Ctr, Beijing 100048, Peoples R China; [Zhang, Qing; Wang, Yuzhu] Beijing Univ Posts &amp; Telecommun, Sch Informat &amp; Commun Engn, Beijing 100876, Peoples R China</t>
  </si>
  <si>
    <t>Beijing University of Posts &amp; Telecommunications</t>
  </si>
  <si>
    <t>Zhang, Q (corresponding author), China Unicom Intelligent Network Innovat Ctr, Beijing 100048, Peoples R China.;Zhang, Q (corresponding author), Beijing Univ Posts &amp; Telecommun, Sch Informat &amp; Commun Engn, Beijing 100876, Peoples R China.</t>
  </si>
  <si>
    <t>zhangq49@chinaunicom.cn; caichao2@chinaunicom.cn; qinxf9@chinaunicom.cn; fuzhu743@bupt.edu.cn; caok6@chinaunicom.cn</t>
  </si>
  <si>
    <t>National Natural Science Foundation [61971061]; Beijing Natural Science Foundation [L223026]; 5G Evolution Wireless Air interface Intelligent R&amp;D and Verification Public Platform Project [2022-229-220]</t>
  </si>
  <si>
    <t>National Natural Science Foundation(National Natural Science Foundation of China (NSFC)); Beijing Natural Science Foundation(Beijing Natural Science Foundation); 5G Evolution Wireless Air interface Intelligent R&amp;D and Verification Public Platform Project</t>
  </si>
  <si>
    <t>This paper was supported by National Natural Science Foundation (Grant. 61971061), Beijing Natural Science Foundation (Grant. L223026), and 5G Evolution Wireless Air interface Intelligent R&amp;D and Verification Public Platform Project (Grant. 2022-229-220).</t>
  </si>
  <si>
    <t>2473-0440</t>
  </si>
  <si>
    <t>979-8-3503-0052-9</t>
  </si>
  <si>
    <t>IEEE INT CONF SENS</t>
  </si>
  <si>
    <t>10.1109/SECON58729.2023.10287473</t>
  </si>
  <si>
    <t>Engineering, Electrical &amp; Electronic; Remote Sensing; Telecommunications</t>
  </si>
  <si>
    <t>Engineering; Remote Sensing; Telecommunications</t>
  </si>
  <si>
    <t>BW0EA</t>
  </si>
  <si>
    <t>WOS:001094863700021</t>
  </si>
  <si>
    <t>Mo, ZB; Fu, YJ; Xu, DR; Di, X</t>
  </si>
  <si>
    <t>Mo, Zhaobin; Fu, Yongjie; Xu, Daran; Di, Xuan</t>
  </si>
  <si>
    <t>TrafficFlowGAN: Physics-Informed Flow Based Generative Adversarial Network for Uncertainty Quantification</t>
  </si>
  <si>
    <t>MACHINE LEARNING AND KNOWLEDGE DISCOVERY IN DATABASES, ECML PKDD 2022, PT III</t>
  </si>
  <si>
    <t>Uncertainty Quantification (UQ); Normalizing flow; Generative Adversarial Networks (GAN); Physics-informed Deep Learning (PIDL)</t>
  </si>
  <si>
    <t>This paper proposes the TrafficFlowGAN, a physics-informed flow based generative adversarial network (GAN), for uncertainty quantification (UQ) of dynamical systems. TrafficFlowGAN adopts a normalizing flow model as the generator to explicitly estimate the data likelihood. This flow model is trained to maximize the data likelihood and to generate synthetic data that can fool a convolutional discriminator. We further regularize this training process using prior physics information, so-called physics-informed deep learning (PIDL). To the best of our knowledge, we are the first to propose an integration of normalizing flow, GAN and PIDL for the UQ problems. We take the traffic state estimation (TSE), which aims to estimate the traffic variables (e.g. traffic density and velocity) using partially observed data, as an example to demonstrate the performance of our proposed model. We conduct numerical experiments where the proposed model is applied to learn the solutions of stochastic differential equations. The results demonstrate the robustness and accuracy of the proposed model, together with the ability to learn a machine learning surrogate model. We also test it on a real-world dataset, the Next Generation SIMulation (NGSIM), to show that the proposed TrafficFlowGAN can outperform the baselines, including the pure flow model, the physics-informed flow model, and the flow based GAN model. Source code and data are available at https://github.com/ZhaobinMo/TrafficFlowGAN.</t>
  </si>
  <si>
    <t>[Mo, Zhaobin; Fu, Yongjie; Di, Xuan] Columbia Univ, Dept Civil Engn &amp; Engn Mech, New York, NY 10027 USA; [Xu, Daran] Columbia Univ, Dept Stat, New York, NY USA; [Di, Xuan] Columbia Univ, Data Sci Inst, New York, NY 10027 USA</t>
  </si>
  <si>
    <t>Columbia University; Columbia University; Columbia University</t>
  </si>
  <si>
    <t>Di, X (corresponding author), Columbia Univ, Dept Civil Engn &amp; Engn Mech, New York, NY 10027 USA.;Di, X (corresponding author), Columbia Univ, Data Sci Inst, New York, NY 10027 USA.</t>
  </si>
  <si>
    <t>zm2302@columbia.edu; yf2578@columbia.edu; dx2207@columbia.edu; xd2187@columbia.edu</t>
  </si>
  <si>
    <t>NSF [CPS-2038984]</t>
  </si>
  <si>
    <t>This work is sponsored by NSF under CPS-2038984.</t>
  </si>
  <si>
    <t>978-3-031-26408-5; 978-3-031-26409-2</t>
  </si>
  <si>
    <t>10.1007/978-3-031-26409-2_20</t>
  </si>
  <si>
    <t>BV1UD</t>
  </si>
  <si>
    <t>WOS:000999043300020</t>
  </si>
  <si>
    <t>Stathopoulos, EA; Karageorgiadis, AI; Kokkalas, A; Diplaris, S; Vrochidis, S; Kompatsiaris, I</t>
  </si>
  <si>
    <t>Stathopoulos, Evangelos A.; Karageorgiadis, Anastasios I.; Kokkalas, Alexandros; Diplaris, Sotiris; Vrochidis, Stefanos; Kompatsiaris, Ioannis</t>
  </si>
  <si>
    <t>A Query Expansion Benchmark on Social Media Information Retrieval: Which Methodology Performs Best and Aligns with Semantics?</t>
  </si>
  <si>
    <t>COMPUTERS</t>
  </si>
  <si>
    <t>query expansion; social media information retrieval; generative AI models; semantic matching algorithms; semantic web; ontology; knowledge graph</t>
  </si>
  <si>
    <t>This paper presents a benchmarking survey on query expansion techniques for social media information retrieval, with a focus on comparing the performance of methods using semantic web technologies. The study evaluated query expansion techniques such as generative AI models and semantic matching algorithms and how they are integrated in a semantic framework. The evaluation was based on cosine similarity metrics, including the Discounted Cumulative Gain (DCG), Ideal Discounted Cumulative Gain (IDCG), and normalized Discounted Cumulative Gain (nDCG), as well as the Mean Average Precision (MAP). Additionally, the paper discusses the use of semantic web technologies as a component in a pipeline for building thematic knowledge graphs from retrieved social media data with extended ontologies integrated for the refugee crisis. The paper begins by introducing the importance of query expansion in information retrieval and the potential benefits of incorporating semantic web technologies. The study then presents the methodologies and outlines the specific procedures for each query expansion technique. The results of the evaluation are presented, as well as the rest semantic framework, and the best-performing technique was identified, which was the curie-001 generative AI model. Finally, the paper summarizes the main findings and suggests future research directions.</t>
  </si>
  <si>
    <t>[Stathopoulos, Evangelos A.; Karageorgiadis, Anastasios I.; Kokkalas, Alexandros; Diplaris, Sotiris; Vrochidis, Stefanos; Kompatsiaris, Ioannis] CERTH, Informat Technol Inst, GR-57001 Thessaloniki, Greece</t>
  </si>
  <si>
    <t>Centre for Research &amp; Technology Hellas</t>
  </si>
  <si>
    <t>Stathopoulos, EA (corresponding author), CERTH, Informat Technol Inst, GR-57001 Thessaloniki, Greece.</t>
  </si>
  <si>
    <t>estathop@iti.gr; tassoskarag@iti.gr; akokkalas@iti.gr; diplaris@iti.gr; stefanos@iti.gr; ikom@iti.gr</t>
  </si>
  <si>
    <t>Kompatsiaris, Ioannis/P-8594-2015</t>
  </si>
  <si>
    <t>Kompatsiaris, Ioannis/0000-0001-6447-9020; Diplaris, Sotiris/0000-0002-9969-6436; Vrochidis, Stefanos/0000-0002-2505-9178</t>
  </si>
  <si>
    <t>[H2020-870939]</t>
  </si>
  <si>
    <t>This work was supported by the EC-funded project SO-CLOSE (H2020-870939).</t>
  </si>
  <si>
    <t>2073-431X</t>
  </si>
  <si>
    <t>Computers</t>
  </si>
  <si>
    <t>10.3390/computers12060119</t>
  </si>
  <si>
    <t>K1UT2</t>
  </si>
  <si>
    <t>WOS:001014371000001</t>
  </si>
  <si>
    <t>Hand, P; Leong, O; Voroninski, V</t>
  </si>
  <si>
    <t>Hand, Paul; Leong, Oscar; Voroninski, Vladislav</t>
  </si>
  <si>
    <t>Compressive phase retrieval: Optimal sample complexity with deep generative priors</t>
  </si>
  <si>
    <t>COMMUNICATIONS ON PURE AND APPLIED MATHEMATICS</t>
  </si>
  <si>
    <t>RESTRICTED ISOMETRY PROPERTY; STABLE SIGNAL RECOVERY; QUADRATIC MEASUREMENTS; IMAGE; ALGORITHMS</t>
  </si>
  <si>
    <t>Advances in compressive sensing (CS) provided reconstruction algorithms of sparse signals from linear measurements with optimal sample complexity, but natural extensions of this methodology to nonlinear inverse problems have been met with potentially fundamental sample complexity bottlenecks. In particular, tractable algorithms for compressive phase retrieval with sparsity priors have not been able to achieve optimal sample complexity. This has created an open problem in compressive phase retrieval: under generic, phaseless linear measurements, are there tractable reconstruction algorithms that succeed with optimal sample complexity? Meanwhile, progress in machine learning has led to the development of new data-driven signal priors in the form of generative models, which can outperform sparsity priors with significantly fewer measurements. In this work, we resolve the open problem in compressive phase retrieval and demonstrate that generative priors can lead to a fundamental advance by permitting optimal sample complexity by a tractable algorithm. We additionally provide empirics showing that exploiting generative priors in phase retrieval can significantly outperform sparsity priors. These results provide support for generative priors as a new paradigm for signal recovery in a variety of contexts, both empirically and theoretically. The strengths of this paradigm are that (1) generative priors can represent some classes of natural signals more concisely than sparsity priors, (2) generative priors allow for direct optimization over the natural signal manifold, which is intractable under sparsity priors, and (3) the resulting non-convex optimization problems with generative priors can admit benign optimization landscapes at optimal sample complexity, perhaps surprisingly, even in cases of nonlinear measurements.</t>
  </si>
  <si>
    <t>[Hand, Paul] Northeastern Univ, Dept Math, Boston, MA USA; [Hand, Paul] Northeastern Univ, Khoury Coll Comp Sci, Boston, MA USA; [Leong, Oscar] CALTECH, Dept Comp &amp; Math Sci, Pasadena, CA 91125 USA; [Voroninski, Vladislav] Helm Ai, Menlo Pk, CA USA</t>
  </si>
  <si>
    <t>Northeastern University; Northeastern University; California Institute of Technology</t>
  </si>
  <si>
    <t>Leong, O (corresponding author), CALTECH, Dept Comp &amp; Math Sci, Pasadena, CA 91125 USA.</t>
  </si>
  <si>
    <t>oleong@caltech.edu</t>
  </si>
  <si>
    <t>National Science Foundation [DMS-1848087, DMS-2022205, DMS-2053448, DGE-1450681]</t>
  </si>
  <si>
    <t>National Science Foundation, Grant/Award Numbers: DMS-1848087, DMS-2022205, DMS-2053448, DGE-1450681</t>
  </si>
  <si>
    <t>0010-3640</t>
  </si>
  <si>
    <t>1097-0312</t>
  </si>
  <si>
    <t>COMMUN PUR APPL MATH</t>
  </si>
  <si>
    <t>Commun. Pure Appl. Math.</t>
  </si>
  <si>
    <t>10.1002/cpa.22155</t>
  </si>
  <si>
    <t>Mathematics, Applied; Mathematics</t>
  </si>
  <si>
    <t>GP4J9</t>
  </si>
  <si>
    <t>WOS:001062231500001</t>
  </si>
  <si>
    <t>Wu, SJ; Yan, YC; Li, YH; Cheng, YH; Zhu, WH; Gao, K; Li, XB; Zhai, GT</t>
  </si>
  <si>
    <t>Wu, Sijing; Yan, Yichao; Li, Yunhao; Cheng, Yuhao; Zhu, Wenhan; Gao, Ke; Li, Xiaobo; Zhai, Guangtao</t>
  </si>
  <si>
    <t>GANHead: Towards Generative Animatable Neural Head Avatars</t>
  </si>
  <si>
    <t>To bring digital avatars into people's lives, it is highly demanded to efficiently generate complete, realistic, and animatable head avatars. This task is challenging, and it is difficult for existing methods to satisfy all the requirements at once. To achieve these goals, we propose GANHead (Generative Animatable Neural Head Avatar), a novel generative head model that takes advantages of both the fine-grained control over the explicit expression parameters and the realistic rendering results of implicit representations. Specifically, GANHead represents coarse geometry, fine-gained details and texture via three networks in canonical space to obtain the ability to generate complete and realistic head avatars. To achieve flexible animation, we define the deformation filed by standard linear blend skinning (LBS), with the learned continuous pose and expression bases and LBS weights. This allows the avatars to be directly animated by FLAME [22] parameters and generalize well to unseen poses and expressions. Compared to state-of-the-art (SOTA) methods, GANHead achieves superior performance on head avatar generation and raw scan fitting.</t>
  </si>
  <si>
    <t>[Wu, Sijing; Li, Yunhao; Zhai, Guangtao] Shanghai Jiao Tong Univ, Inst Image Commun &amp; Network Engn, Shanghai, Peoples R China; [Yan, Yichao; Zhai, Guangtao] Shanghai Jiao Tong Univ, AI Inst, MoE Key Lab Artificial Intelligence, Shanghai, Peoples R China; [Gao, Ke; Li, Xiaobo] Alibaba Grp, Hangzhou, Peoples R China</t>
  </si>
  <si>
    <t>Shanghai Jiao Tong University; Shanghai Jiao Tong University; Alibaba Group</t>
  </si>
  <si>
    <t>Zhai, GT (corresponding author), Shanghai Jiao Tong Univ, Inst Image Commun &amp; Network Engn, Shanghai, Peoples R China.;Yan, YC; Zhai, GT (corresponding author), Shanghai Jiao Tong Univ, AI Inst, MoE Key Lab Artificial Intelligence, Shanghai, Peoples R China.</t>
  </si>
  <si>
    <t>wusijing@sjtu.edu.cn; yanyichao@sjtu.edu.cn; lyhsjtu@sjtu.edu.cn; chengyuhao@sjtu.edu.cn; zhuwenhan823@sjtu.edu.cn; gaoke.gao@alibaba-inc.com; xiaobo.lixb@alibaba-inc.com; zhaiguangtao@sjtu.edu.cn</t>
  </si>
  <si>
    <t>Yan, Yichao/ADT-5511-2022; Zhai, Guangtao/X-5949-2019</t>
  </si>
  <si>
    <t>Yan, Yichao/0000-0003-3209-8965; Zhai, Guangtao/0000-0001-8165-9322</t>
  </si>
  <si>
    <t>NSFC [62225112, 61831015, 62101325, 62201342]; Fundamental Research Funds for the Central Universities; National Key R&amp;D Program of China [2021YFE0206700]; Shanghai Municipal Science and Technology Major Project [2021SHZDZX0102]</t>
  </si>
  <si>
    <t>NSFC(National Natural Science Foundation of China (NSFC)); Fundamental Research Funds for the Central Universities(Fundamental Research Funds for the Central Universities); National Key R&amp;D Program of China; Shanghai Municipal Science and Technology Major Project</t>
  </si>
  <si>
    <t>This work was supported by NSFC (No. 62225112, 61831015, 62101325, 62201342), the Fundamental Research Funds for the Central Universities, National Key R&amp;D Program of China (2021YFE0206700), Shanghai Municipal Science and Technology Major Project (2021SHZDZX0102).</t>
  </si>
  <si>
    <t>10.1109/CVPR52729.2023.00050</t>
  </si>
  <si>
    <t>WOS:001058542600042</t>
  </si>
  <si>
    <t>Cushing, CA; Dawes, AJ; Hofmann, SG; Lau, H; LeDoux, JE; Taschereau-Dumouchel, V</t>
  </si>
  <si>
    <t>Cushing, Cody A.; Dawes, Alexei J.; Hofmann, Stefan G.; Lau, Hakwan; LeDoux, Joseph E.; Taschereau-Dumouchel, Vincent</t>
  </si>
  <si>
    <t>A generative adversarial model of intrusive imagery in the human brain</t>
  </si>
  <si>
    <t>PNAS NEXUS</t>
  </si>
  <si>
    <t>POSTTRAUMATIC-STRESS-DISORDER; TOP-DOWN FACILITATION; CEREBRAL-BLOOD-FLOW; CHILDHOOD SEXUAL-ABUSE; MACAQUE STRIATE CORTEX; MENTAL-IMAGERY; VISUAL-IMAGERY; FUNCTIONAL-ANATOMY; SPATIAL-FREQUENCY; PREFRONTAL CORTEX</t>
  </si>
  <si>
    <t>The mechanisms underlying the subjective experiences of mental disorders remain poorly understood. This is partly due to long-standing over-emphasis on behavioral and physiological symptoms and a de-emphasis of the patient's subjective experiences when searching for treatments. Here, we provide a new perspective on the subjective experience of mental disorders based on findings in neuroscience and artificial intelligence (AI). Specifically, we propose the subjective experience that occurs in visual imagination depends on mechanisms similar to generative adversarial networks that have recently been developed in AI. The basic idea is that a generator network fabricates a prediction of the world, and a discriminator network determines whether it is likely real or not. Given that similar adversarial interactions occur in the two major visual pathways of perception in people, we explored whether we could leverage this AI-inspired approach to better understand the intrusive imagery experiences of patients suffering from mental illnesses such as post-traumatic stress disorder (PTSD) and acute stress disorder. In our model, a nonconscious visual pathway generates predictions of the environment that influence the parallel but interacting conscious pathway. We propose that in some patients, an imbalance in these adversarial interactions leads to an overrepresentation of disturbing content relative to current reality, and results in debilitating flashbacks. By situating the subjective experience of intrusive visual imagery in the adversarial interaction of these visual pathways, we propose testable hypotheses on novel mechanisms and clinical applications for controlling and possibly preventing symptoms resulting from intrusive imagery.</t>
  </si>
  <si>
    <t>[Cushing, Cody A.] UCLA, Dept Psychol, Los Angeles, CA 90095 USA; [Dawes, Alexei J.; Lau, Hakwan] BRIKEN Ctr Brain Sci, Wako, Saitama 3510106, Japan; [Hofmann, Stefan G.] Philipps Univ Marburg, Dept Clin Psychol, D-35037 Marburg, Germany; [Hofmann, Stefan G.] Boston Univ, Dept Psychol &amp; Brain Sci, Boston, MA 02215 USA; [LeDoux, Joseph E.] NYU, Ctr Neural Sci &amp; Dept Psychol, New York, NY 10012 USA; [LeDoux, Joseph E.] NYU, Langone Med Sch, Dept Psychiat, New York, NY 10016 USA; [LeDoux, Joseph E.] NYU, Langone Med Sch, Dept Child &amp; Adolescent Psychiat, New York, NY 10016 USA; [Taschereau-Dumouchel, Vincent] Univ Montreal, Dept Psychiat &amp; Addictol, Montreal, PQ H3T IJ4, Canada; [Taschereau-Dumouchel, Vincent] Inst Univ Sante Mentale Montreal, Ctr Rech, Montreal, PQ H1N 3M5, Canada</t>
  </si>
  <si>
    <t>University of California System; University of California Los Angeles; Philipps University Marburg; Boston University; New York University; NYU Langone Medical Center; New York University; New York University; NYU Langone Medical Center; Universite de Montreal; Universite de Montreal</t>
  </si>
  <si>
    <t>Lau, H (corresponding author), BRIKEN Ctr Brain Sci, Wako, Saitama 3510106, Japan.</t>
  </si>
  <si>
    <t>hakwan.lau@riken.jp</t>
  </si>
  <si>
    <t>Hofmann, Stefan/B-8769-2014</t>
  </si>
  <si>
    <t>Hofmann, Stefan/0000-0002-3548-9681; Cushing, Cody/0000-0002-3877-3354</t>
  </si>
  <si>
    <t>Alexander von Humboldt Foundation; James S. McDonnell Foundation 21st Century Science Initiative in Understanding Human Cognition-Special Initiative; US National Institute of Mental Health [R61MH113772]; Templeton World Charity Foundation [RA537-01]; National Institute of Drug Abuse; Templeton World Charity Foundation, New York University; Canadian Institute of Health Research (CIHR)</t>
  </si>
  <si>
    <t>Alexander von Humboldt Foundation(Alexander von Humboldt Foundation); James S. McDonnell Foundation 21st Century Science Initiative in Understanding Human Cognition-Special Initiative; US National Institute of Mental Health(United States Department of Health &amp; Human ServicesNational Institutes of Health (NIH) - USANIH National Institute of Mental Health (NIMH)); Templeton World Charity Foundation(Templeton World Charity Foundation); National Institute of Drug Abuse(United States Department of Health &amp; Human ServicesNational Institutes of Health (NIH) - USANIH National Institute on Drug Abuse (NIDA)); Templeton World Charity Foundation, New York University; Canadian Institute of Health Research (CIHR)(Canadian Institutes of Health Research (CIHR))</t>
  </si>
  <si>
    <t>S.G.H. received financial support from the Alexander von Humboldt Foundation and the James S. McDonnell Foundation 21st Century Science Initiative in Understanding Human Cognition-Special Initiative. H.L. received financial support from the US National Institute of Mental Health (R61MH113772) and The Templeton World Charity Foundation (RA537-01). J.E.L. received financial support from the National Institute of Drug Abuse, The Templeton World Charity Foundation, New York University, and private donors. V.T.-D. received financial support from the Canadian Institute of Health Research (CIHR).</t>
  </si>
  <si>
    <t>2752-6542</t>
  </si>
  <si>
    <t>PNAS Nexus</t>
  </si>
  <si>
    <t>10.1093/pnasnexus/pgac265</t>
  </si>
  <si>
    <t>Multidisciplinary Sciences; Social Sciences, Interdisciplinary</t>
  </si>
  <si>
    <t>Science &amp; Technology - Other Topics; Social Sciences - Other Topics</t>
  </si>
  <si>
    <t>R3KA3</t>
  </si>
  <si>
    <t>WOS:001063362300001</t>
  </si>
  <si>
    <t>Triguero, I; Molina, D; Poyatos, J; Del Ser, J; Herrera, F</t>
  </si>
  <si>
    <t>Triguero, Isaac; Molina, Daniel; Poyatos, Javier; Del Ser, Javier; Herrera, Francisco</t>
  </si>
  <si>
    <t>General Purpose Artificial Intelligence Systems (GPAIS): Properties, definition, taxonomy, societal implications and responsible governance</t>
  </si>
  <si>
    <t>INFORMATION FUSION</t>
  </si>
  <si>
    <t>General-purpose AI; Meta -learning; Reinforcement learning; Neuroevolution; Few -shot learning; AutoML; Transfer learning; Generative AI; Large language models</t>
  </si>
  <si>
    <t>Most applications of Artificial Intelligence (AI) are designed for a confined and specific task. However, there are many scenarios that call for a more general AI, capable of solving a wide array of tasks without being specifically designed for them. The term General Purpose Artificial Intelligence Systems (GPAIS) has been defined to refer to these AI systems. To date, the possibility of an Artificial General Intelligence, powerful enough to perform any intellectual task as if it were human, or even improve it, has remained an aspiration, fiction, and considered a risk for our society. Whilst we might still be far from achieving that, GPAIS is a reality and sitting at the forefront of AI research. This work discusses existing definitions for GPAIS and proposes a new definition that allows for a gradual differentiation among types of GPAIS according to their properties and limitations. We distinguish between closed-world and open-world GPAIS, characterising their degree of autonomy and ability based on several factors such as adaptation to new tasks, competence in domains not intentionally trained for, ability to learn from few data, or proactive acknowledgement of their own limitations. We then propose a taxonomy of approaches to realise GPAIS, describing research trends such as the use of AI techniques to improve another AI (commonly referred to as AI-powered AI) or (single) foundation models. As a prime example, we delve into generative AI (GenAI), aligning them with the terms and concepts presented in the taxonomy. Similarly, we explore the challenges and prospects of multi-modality, which involves fusing various types of data sources to expand the capabilities of GPAIS. Through the proposed definition and taxonomy, our aim is to facilitate research collaboration across different areas that are tackling general purpose tasks, as they share many common aspects. Finally, with the goal of providing a holistic view of GPAIS, we discuss the current state of GPAIS, its prospects, implications for our society, and the need for regulation and governance of GPAIS to ensure their responsible and trustworthy development.</t>
  </si>
  <si>
    <t>[Triguero, Isaac; Molina, Daniel; Poyatos, Javier; Herrera, Francisco] Univ Granada, Andalusian Res Inst Data Sci &amp; Computat Intelligen, Dept Comp Sci &amp; Artificial Intelligence, Granada 18071, Spain; [Del Ser, Javier] TECNALIA, Basque Res &amp; Technol Alliance BRTA, Derio 48160, Spain; [Del Ser, Javier] Univ Basque Country UPV EHU, Bilbao 48013, Spain; [Triguero, Isaac] Univ Nottingham, Sch Comp Sci, Nottingham NG8 1BB, England</t>
  </si>
  <si>
    <t>University of Granada; University of Basque Country; University of Nottingham</t>
  </si>
  <si>
    <t>Triguero, I (corresponding author), Univ Granada, Andalusian Res Inst Data Sci &amp; Computat Intelligen, Dept Comp Sci &amp; Artificial Intelligence, Granada 18071, Spain.</t>
  </si>
  <si>
    <t>triguero@decsai.ugr.es; dmolina@decsai.ugr.es; jpoyatosamador@ugr.es; javier.delser@tecnalia.com; herrera@decsai.ugr.es</t>
  </si>
  <si>
    <t>Cabrera, Daniel Molina/X-4025-2019; Triguero, Isaac/AAU-3586-2021</t>
  </si>
  <si>
    <t>Cabrera, Daniel Molina/0000-0002-4175-2204; Triguero, Isaac/0000-0002-0150-0651</t>
  </si>
  <si>
    <t>Maria Zambrano Senior Fellowship at the University of Granada; R&amp;D and Innovation project [PID2020-119478GB-I00]; Spain's Ministry of Science and Innovation; European Regional Development Fund (ERDF); Basque Government, Spain [KK-2023/00012, IT1456-22]; Department of Education of this institution</t>
  </si>
  <si>
    <t>Maria Zambrano Senior Fellowship at the University of Granada; R&amp;D and Innovation project; Spain's Ministry of Science and Innovation(Spanish Government); European Regional Development Fund (ERDF)(European Union (EU)); Basque Government, Spain(Basque Government); Department of Education of this institution</t>
  </si>
  <si>
    <t>I. Triguero is funded by a Maria Zambrano Senior Fellowship at the University of Granada. I. Triguero, F. Herrera, D. Molina, and J. Poyatos are supported by the R&amp;D and Innovation project with reference PID2020-119478GB-I00 granted by Spain's Ministry of Science and Innovation and European Regional Development Fund (ERDF) . J. Del Ser would like to thank the Basque Government, Spain for the funding support received through the EMAITEK and ELKARTEK programs (ref. KK-2023/00012) , as well as the Consolidated Research Group MATHMODE (IT1456-22) granted by the Department of Education of this institution.</t>
  </si>
  <si>
    <t>1566-2535</t>
  </si>
  <si>
    <t>1872-6305</t>
  </si>
  <si>
    <t>INFORM FUSION</t>
  </si>
  <si>
    <t>Inf. Fusion</t>
  </si>
  <si>
    <t>10.1016/j.inffus.2023.102135</t>
  </si>
  <si>
    <t>Z5GF8</t>
  </si>
  <si>
    <t>WOS:001112351800001</t>
  </si>
  <si>
    <t>Ozcelik, F; VanRullen, R</t>
  </si>
  <si>
    <t>Ozcelik, Furkan; VanRullen, Rufin</t>
  </si>
  <si>
    <t>Natural scene reconstruction from fMRI signals using generative latent diffusion</t>
  </si>
  <si>
    <t>SCIENTIFIC REPORTS</t>
  </si>
  <si>
    <t>NEURONS; IMAGES; CORTEX; FACES</t>
  </si>
  <si>
    <t>In neural decoding research, one of the most intriguing topics is the reconstruction of perceived natural images based on fMRI signals. Previous studies have succeeded in re-creating different aspects of the visuals, such as low-level properties (shape, texture, layout) or high-level features (category of objects, descriptive semantics of scenes) but have typically failed to reconstruct these properties together for complex scene images. Generative AI has recently made a leap forward with latent diffusion models capable of generating high-complexity images. Here, we investigate how to take advantage of this innovative technology for brain decoding. We present a two-stage scene reconstruction framework called Brain-Diffuser. In the first stage, starting from fMRI signals, we reconstruct images that capture low-level properties and overall layout using a VDVAE (Very Deep Variational Autoencoder) model. In the second stage, we use the image-to-image framework of a latent diffusion model (Versatile Diffusion) conditioned on predicted multimodal (text and visual) features, to generate final reconstructed images. On the publicly available Natural Scenes Dataset benchmark, our method outperforms previous models both qualitatively and quantitatively. When applied to synthetic fMRI patterns generated from individual ROI (region-of-interest) masks, our trained model creates compelling ROI-optimal scenes consistent with neuroscientific knowledge. Thus, the proposed methodology can have an impact on both applied (e.g. brain-computer interface) and fundamental neuroscience.</t>
  </si>
  <si>
    <t>[Ozcelik, Furkan; VanRullen, Rufin] CNRS, CerCo, UMR5549, Toulouse, France; [Ozcelik, Furkan; VanRullen, Rufin] Univ Toulouse, Toulouse, France; [VanRullen, Rufin] ANITI, Toulouse, France</t>
  </si>
  <si>
    <t>Universite de Toulouse; Universite Toulouse III - Paul Sabatier; Centre National de la Recherche Scientifique (CNRS); CNRS - National Institute for Biology (INSB); Universite de Toulouse</t>
  </si>
  <si>
    <t>Ozcelik, F (corresponding author), CNRS, CerCo, UMR5549, Toulouse, France.;Ozcelik, F (corresponding author), Univ Toulouse, Toulouse, France.</t>
  </si>
  <si>
    <t>ozcelikfu@gmail.com</t>
  </si>
  <si>
    <t>VanRullen, Rufin/B-2150-2008</t>
  </si>
  <si>
    <t>VanRullen, Rufin/0000-0002-3611-7716</t>
  </si>
  <si>
    <t>Agence Nationale de la Recherche ANR [AI-REPS ANR-18-CE37-0007-01, ANITI ANR-19-PI3A-0004]; European Union [GLoW 101096017]</t>
  </si>
  <si>
    <t>Agence Nationale de la Recherche ANR(Agence Nationale de la Recherche (ANR)); European Union(European Union (EU))</t>
  </si>
  <si>
    <t>This work was funded by the Agence Nationale de la Recherche ANR Grants AI-REPS ANR-18-CE37-0007-01 and ANITI ANR-19-PI3A-0004, and the European Union (Grant ERC Advanced GLoW 101096017). Views and opinions expressed are however those of the authors only and do not necessarily reflect those of the European Union or ERCEA. Neither the European Union nor the granting authority can be held responsible for them. We thank Yu Takagi and Zijin Gu for sharing their test results with us and also we thank Alex Nguyen, Paul Scotti, and MedARC team for helping acquire the replicated results of the Mind-Reader study.</t>
  </si>
  <si>
    <t>2045-2322</t>
  </si>
  <si>
    <t>SCI REP-UK</t>
  </si>
  <si>
    <t>Sci Rep</t>
  </si>
  <si>
    <t>SEP 20</t>
  </si>
  <si>
    <t>10.1038/s41598-023-42891-8</t>
  </si>
  <si>
    <t>X2WH7</t>
  </si>
  <si>
    <t>WOS:001097104800115</t>
  </si>
  <si>
    <t>Chen, BQ; Thandiackal, K; Pati, P; Goksel, O</t>
  </si>
  <si>
    <t>Chen, Boqi; Thandiackal, Kevin; Pati, Pushpak; Goksel, Orcun</t>
  </si>
  <si>
    <t>Generative appearance replay for continual unsupervised domain adaptation</t>
  </si>
  <si>
    <t>MEDICAL IMAGE ANALYSIS</t>
  </si>
  <si>
    <t>Unsupervised domain adaptation; Continual learning; Optic disc segmentation; Cardiac segmentation; Prostate segmentation</t>
  </si>
  <si>
    <t>IMAGE; SEGMENTATION; EXTRACTION; DATABASE</t>
  </si>
  <si>
    <t>Deep learning models can achieve high accuracy when trained on large amounts of labeled data. However, real-world scenarios often involve several challenges: Training data may become available in installments, may originate from multiple different domains, and may not contain labels for training. Certain settings, for instance medical applications, often involve further restrictions that prohibit retention of previously seen data due to privacy regulations. In this work, to address such challenges, we study unsupervised segmentation in continual learning scenarios that involve domain shift. To that end, we introduce GarDA (Generative Appearance Replay for continual Domain Adaptation), a generative-replay based approach that can adapt a segmentation model sequentially to new domains with unlabeled data. In contrast to single-step unsupervised domain adaptation (UDA), continual adaptation to a sequence of domains enables leveraging and consolidation of information from multiple domains. Unlike previous approaches in incremental UDA, our method does not require access to previously seen data, making it applicable in many practical scenarios. We evaluate GarDA on three datasets with different organs and modalities, where it substantially outperforms existing techniques. Our code is available at: https://github.com/histocartography/generative-appearance-replay.</t>
  </si>
  <si>
    <t>[Chen, Boqi] ETH AI Ctr, Zurich, Switzerland; [Chen, Boqi] Swiss Fed Inst Technol, Dept Comp Sci, Zurich, Switzerland; [Thandiackal, Kevin; Pati, Pushpak] IBM Res Europe, Zurich, Switzerland; [Thandiackal, Kevin; Goksel, Orcun] Swiss Fed Inst Technol, Comp Assisted Applicat Med, Zurich, Switzerland; [Goksel, Orcun] Uppsala Univ, Dept Informat Technol, Uppsala, Sweden</t>
  </si>
  <si>
    <t>Swiss Federal Institutes of Technology Domain; ETH Zurich; Swiss Federal Institutes of Technology Domain; ETH Zurich; Uppsala University</t>
  </si>
  <si>
    <t>Thandiackal, K (corresponding author), Swiss Fed Inst Technol, Comp Assisted Applicat Med, Zurich, Switzerland.</t>
  </si>
  <si>
    <t>kevin.thandiackal@vision.ee.ethz.ch</t>
  </si>
  <si>
    <t>; Goksel, Orcun/D-1884-2018</t>
  </si>
  <si>
    <t>Thandiackal, Kevin/0000-0001-6527-6823; Goksel, Orcun/0000-0002-8639-7373</t>
  </si>
  <si>
    <t>1361-8415</t>
  </si>
  <si>
    <t>1361-8423</t>
  </si>
  <si>
    <t>MED IMAGE ANAL</t>
  </si>
  <si>
    <t>Med. Image Anal.</t>
  </si>
  <si>
    <t>10.1016/j.media.2023.102924</t>
  </si>
  <si>
    <t>Computer Science, Artificial Intelligence; Computer Science, Interdisciplinary Applications; Engineering, Biomedical; Radiology, Nuclear Medicine &amp; Medical Imaging</t>
  </si>
  <si>
    <t>Computer Science; Engineering; Radiology, Nuclear Medicine &amp; Medical Imaging</t>
  </si>
  <si>
    <t>CA9H6</t>
  </si>
  <si>
    <t>WOS:001122641500001</t>
  </si>
  <si>
    <t>He, YB; Seng, KP; Ang, L</t>
  </si>
  <si>
    <t>He, Yibo; Seng, Kah Phooi; Ang, Li Minn</t>
  </si>
  <si>
    <t>Generative Adversarial Networks (GANs) for Audio-Visual Speech Recognition in Artificial Intelligence IoT</t>
  </si>
  <si>
    <t>Internet of things (IoT); generative adversarial networks (GANs); deep learning; audio-visual speech recognition</t>
  </si>
  <si>
    <t>This paper proposes a novel multimodal generative adversarial network AVSR (multimodal AVSR GAN) architecture, to improve both the energy efficiency and the AVSR classification accuracy of artificial intelligence Internet of things (IoT) applications. The audio-visual speech recognition (AVSR) modality is a classical multimodal modality, which is commonly used in IoT and embedded systems. Examples of suitable IoT applications include in-cabin speech recognition systems for driving systems, AVSR in augmented reality environments, and interactive applications such as virtual aquariums. The application of multimodal sensor data for IoT applications requires efficient information processing, to meet the hardware constraints of IoT devices. The proposed multimodal AVSR GAN architecture is composed of a discriminator and a generator, each of which is a two-stream network, corresponding to the audio stream information and the visual stream information, respectively. To validate this approach, we used augmented data from well-known datasets (LRS2-Lip Reading Sentences 2 and LRS3) in the training process, and testing was performed using the original data. The research and experimental results showed that the proposed multimodal AVSR GAN architecture improved the AVSR classification accuracy. Furthermore, in this study, we discuss the domain of GANs and provide a concise summary of the proposed GANs.</t>
  </si>
  <si>
    <t>[He, Yibo; Seng, Kah Phooi] Xian Jiaotong Liverpool Univ, Sch AI &amp; Adv Comp, Suzhou 215000, Peoples R China; [Seng, Kah Phooi] Queensland Univ Technol, Sch Comp Sci, Brisbane, Qld 4000, Australia; [Seng, Kah Phooi; Ang, Li Minn] Univ Sunshine Coast, Sch Sci Technol &amp; Engn, Sippy Downs, Qld 4556, Australia</t>
  </si>
  <si>
    <t>Xi'an Jiaotong-Liverpool University; Queensland University of Technology (QUT); University of the Sunshine Coast</t>
  </si>
  <si>
    <t>Ang, L (corresponding author), Univ Sunshine Coast, Sch Sci Technol &amp; Engn, Sippy Downs, Qld 4556, Australia.</t>
  </si>
  <si>
    <t>yibo.he22@xjtlu.edu.cn; jasmine.seng@xjtlu.edu.cn; lang@usc.edu.au</t>
  </si>
  <si>
    <t>10.3390/info14100575</t>
  </si>
  <si>
    <t>W9YY7</t>
  </si>
  <si>
    <t>WOS:001095126200001</t>
  </si>
  <si>
    <t>Moya, BA; Eaton, SE</t>
  </si>
  <si>
    <t>Moya, Beatriz Antonieta; Eaton, Sarah Elaine</t>
  </si>
  <si>
    <t>Examining Recommendations for Generative Artificial Intelligence Use with Integrity from a Scholarship of Teaching and Learning Lens</t>
  </si>
  <si>
    <t>Artificial Intelligence; Generative Artificial Intelligence (GenAI); Large Language Models; Academic Integrity; Scholarship of Teaching and Learning; Systems Approach</t>
  </si>
  <si>
    <t>SOTL</t>
  </si>
  <si>
    <t>New developments in the Artificial Intelligence (AI) field allowed the development of Generative Artificial Intelligence (GenAI), capable of creating text resembling what humans can produce. As a result, educators' concerns in the higher education sector quickly emerged. Many organizations and experts have addressed these concerns through recommendations. In this conceptual paper, we draw from the Integrated Model for Academic Integrity through a Scholarship of Teaching and Learning Lens to examine and stimulate discussion from twelve documents that focus on using GenAI with integrity. We identified recommendations suitable for the individual (micro), the departmental/program (meso), the institutional (macro), and the interinstitutional/ national/ international (mega) levels concerning two core elements of the model: high-impact professional learning for individuals and groups and local-level leadership and microcultures. Suggestions around the core element scholarship, research and inquiry were lacking at the micro and meso levels; likewise, recommendations for the core element learning spaces, pedagogies, and technologies were also absent at the meso, macro, and mega levels. We acknowledge that these recommendations focus on learning, involve various stakeholders, and go beyond student conduct, which aligns with current approaches to academic integrity. However, some gaps need further exploration. We highlight the need to develop more specific and practical guidance and resources for educational stakeholders around GenAI issues related to academic integrity, explore how to better support networks and leaders in higher education in creating the conditions for ethical GenAI use, and emphasizing the need for an Equity, Diversity, and Inclusion lens on GenAI.</t>
  </si>
  <si>
    <t>[Moya, Beatriz Antonieta] Univ Calgary, Werklund Sch Educ, Educ Res Program, Calgary, AB, Canada; [Eaton, Sarah Elaine] Univ Calgary, Educ, Calgary, AB, Canada</t>
  </si>
  <si>
    <t>University of Calgary; University of Calgary</t>
  </si>
  <si>
    <t>Moya, BA (corresponding author), Univ Calgary, Calgary, AB, Canada.</t>
  </si>
  <si>
    <t>beatriz.moya@ucalgary.ca; seaton@ucalgary.ca</t>
  </si>
  <si>
    <t>University of Calgary Teaching and Learning Grant; Social Sciences and Humanities Research Council of Canada (SSHRC) [611-2022-0398]</t>
  </si>
  <si>
    <t>University of Calgary Teaching and Learning Grant; Social Sciences and Humanities Research Council of Canada (SSHRC)(Social Sciences and Humanities Research Council of Canada (SSHRC)CGIAR)</t>
  </si>
  <si>
    <t>We are grateful to the University of Calgary Teaching and Learning Grant and to the Social Sciences and Humanities Research Council of Canada (SSHRC) (Grant #611-2022-0398) for supporting this research.</t>
  </si>
  <si>
    <t>10.30827/relieve.v29i2.29295</t>
  </si>
  <si>
    <t>WOS:001171855700010</t>
  </si>
  <si>
    <t>Biró, A; Cuesta-Vargas, AI; Szilágyi, L</t>
  </si>
  <si>
    <t>Biro, Attila; Cuesta-Vargas, Antonio Ignacio; Szilagyi, Laszlo</t>
  </si>
  <si>
    <t>Precognition of mental health and neurogenerative disorders using AI-parsed text and sentiment analysis</t>
  </si>
  <si>
    <t>ACTA UNIVERSITATIS SAPIENTIAE INFORMATICA</t>
  </si>
  <si>
    <t>mental health disorder; neurogenerative disorder; anomaly detection; sports safety; performance sports; BERT; GPT-3; sentiment analysis; multimodal learning</t>
  </si>
  <si>
    <t>INFECTIOUS-DISEASES; ARTIFICIAL-INTELLIGENCE; FRONTOTEMPORAL DEMENTIA; IMPACT; QUALITY</t>
  </si>
  <si>
    <t>The paper examines the potential of artificial intelligence (AI) in parsing text and conducting sentiment analysis to identify early markers of mental health and neurodegenerative disorders. Through the analysis of textual data, we investigate whether AI can provide a noninvasive, continuous, and objective complement to traditional diagnostic practices.Background: the early detection of mental health (such as depression, anxiety, psychotic disorders, Alzheimer's disease and dementia) and neurodegenerative disorders (like Parkinson's disease) remains a critical challenge in clinical practice. Traditional diagnostic methods rely on clinical evaluations that may be subjective and episodic. Recent advancements in AI and natural language processing (NLP) have opened new avenues for precognitive health assessments, suggesting that variations in language and expressed sentiments in written text can serve as potential biomarkers for these conditions.Materials and Methods: the research used a dataset comprising various forms of textual data, including anonymized social media interactions, transcripts from patient interviews, and electronic health records. NLP algorithms were deployed to parse the text, and machine learning models were trained to identify language patterns and sentiment changes. The study also incorporated a sentiment analysis to gauge emotional expression, a key component of mental health diagnostics.Results: the AI models were able to identify language use patterns and sentiment shifts that correlated with clinically validated instances of mental health symptoms and neurodegenerative conditions. Notably, the models detected an increased use of negative a ect words, a higher frequency of first-person singular pronouns, and a decrease in future tense in individuals with depression. For neurode-generative conditions, there was a notable decline in language complexity and semantic coherence over time.Conclusions: the implemented pipeline of AI-parsed text and sentiment analysis appears to be a promising tool for the early detection and ongoing monitoring of mental health and neurodegenerative disorders. However, these methods are supplementary and cannot replace the nuanced clinical evaluation process. Future research must refine the AI algorithms to account for linguistic diversity and context, while also addressing ethical considerations regarding data use and privacy. The integration of AI tools in clinical settings necessitates a multidisciplinary approach, ensuring that technological advancements align with patient-centered care and ethical standards.</t>
  </si>
  <si>
    <t>[Biro, Attila; Cuesta-Vargas, Antonio Ignacio] Univ Malaga, Dept Physiotherapy, Malaga 29071, Spain; [Biro, Attila] Univ Med Pharm Sci &amp; Technol Targu Mures, Dept Elect Engn &amp; Informat Technol, Targu Mures 540088, Romania; [Biro, Attila; Cuesta-Vargas, Antonio Ignacio] Biomed Res Inst Malaga IBIMA, Malaga 29590, Spain; [Cuesta-Vargas, Antonio Ignacio] Queensland Univ Technol, Sch Clin Sci, Fac Hlth Sci, Brisbane 4000, Australia; [Szilagyi, Laszlo] Obuda Univ, Physiol Controls Res Ctr, H-1034 Budapest, Hungary; [Szilagyi, Laszlo] Sapientia Hungarian Univ Transylvania, Computat Intelligence Res Grp, Targu Mures 540485, Romania</t>
  </si>
  <si>
    <t>Universidad de Malaga; George Emil Palade University of Medicine, Pharmacy, Science, &amp; Technology of Targu Mures; Instituto de Investigacion Biomedica de Malaga y Plataforma en Nanomedicina (IBIMA); Universidad de Malaga; Queensland University of Technology (QUT); Obuda University; Sapientia Hungarian University of Transylvania</t>
  </si>
  <si>
    <t>Biró, A (corresponding author), Univ Malaga, Dept Physiotherapy, Malaga 29071, Spain.;Biró, A (corresponding author), Univ Med Pharm Sci &amp; Technol Targu Mures, Dept Elect Engn &amp; Informat Technol, Targu Mures 540088, Romania.;Biró, A (corresponding author), Biomed Res Inst Malaga IBIMA, Malaga 29590, Spain.</t>
  </si>
  <si>
    <t>abiro@uma.es; acuesta@uma.es; lalo@ms.sapientia.ro</t>
  </si>
  <si>
    <t>Biró, Attila/AAC-9273-2021</t>
  </si>
  <si>
    <t>Biró, Attila/0000-0002-0430-9932; Cuesta-Vargas, Antonio I/0000-0002-8880-4315</t>
  </si>
  <si>
    <t>Consolidator Researcher Program of Obuda University, Budapest, Hungary; University of Malaga; ITware, Hungary</t>
  </si>
  <si>
    <t>The work of L. Szilagyi was supported by the Consolidator Researcher Program of Obuda University, Budapest, Hungary. The work of A. Birowas supported by University of Malaga and ITware, Hungary.</t>
  </si>
  <si>
    <t>1844-6086</t>
  </si>
  <si>
    <t>2066-7760</t>
  </si>
  <si>
    <t>ACTA U SAPIEN INFORM</t>
  </si>
  <si>
    <t>Acta Univ. Sapientiae Inform.</t>
  </si>
  <si>
    <t>10.2478/ausi-2023-0022</t>
  </si>
  <si>
    <t>CI3E1</t>
  </si>
  <si>
    <t>WOS:001124576200002</t>
  </si>
  <si>
    <t>Taecharungroj, V; Kompaniets, OR</t>
  </si>
  <si>
    <t>Taecharungroj, Viriya; Kompaniets, Olga Rauhut</t>
  </si>
  <si>
    <t>Decoding Nordic cities: uncovering multi-level place experiences from tweets for effective city branding</t>
  </si>
  <si>
    <t>PLACE BRANDING AND PUBLIC DIPLOMACY</t>
  </si>
  <si>
    <t>Nordic cities; City experience; Place experience; Place analytics; Place branding; Twitter; Topic modelling; Generative AI</t>
  </si>
  <si>
    <t>SOCIAL MEDIA; DESTINATION; COVID-19</t>
  </si>
  <si>
    <t>This research focuses on the significance of place experiences in shaping effective place branding strategies. It introduces a novel method that leverages social media data analytics to uncover and understand place experiences, addressing the challenges of capturing these elusive experiences. The study examines the 20 major cities in the Nordic region, investigating both common and distinctive place experiences among them. Additionally, it explores the changes in place experiences during the COVID-19 pandemic, shedding light on the impact of the crisis on people's experiences in those cities. The research collected a dataset of 1,943,772 tweets associated with the 20 cities from 2017 to 2022, and employed various analytical techniques including topic modelling, associative word analysis, and principal component analysis to analyse and visualise the place experiences. Furthermore, the study demonstrates the practical applications of generative AI in place branding by using Midjourney and GPT-4 to create branding materials that capture the unique experiences of a city. Overall, the research contributes to the understanding of place experiences, introduces a multi-level perspective, and highlights the potential of generative AI in place branding.</t>
  </si>
  <si>
    <t>[Taecharungroj, Viriya] Mahidol Univ Int Coll, Mkt, 999 Phutthamonthon 4 Rd, Salaya 73170, Nakhonpathom, Thailand; [Kompaniets, Olga Rauhut] Hogskolan Halmstad, Kristian IV S Vag 3, S-30118 Halmstad, Sweden</t>
  </si>
  <si>
    <t>Mahidol University</t>
  </si>
  <si>
    <t>Taecharungroj, V (corresponding author), Mahidol Univ Int Coll, Mkt, 999 Phutthamonthon 4 Rd, Salaya 73170, Nakhonpathom, Thailand.</t>
  </si>
  <si>
    <t>viriya.tae@mahidol.edu; olga.rauhut-kompaniets@hh.se</t>
  </si>
  <si>
    <t>Rauhut Kompaniets, Olga/AAD-8968-2021</t>
  </si>
  <si>
    <t>Rauhut Kompaniets, Olga/0000-0001-6363-7066</t>
  </si>
  <si>
    <t>1751-8040</t>
  </si>
  <si>
    <t>1751-8059</t>
  </si>
  <si>
    <t>PLACE BRANDING PUBLI</t>
  </si>
  <si>
    <t>Place Branding Public Dipl.</t>
  </si>
  <si>
    <t>2023 AUG 21</t>
  </si>
  <si>
    <t>10.1057/s41254-023-00313-6</t>
  </si>
  <si>
    <t>P5ZL8</t>
  </si>
  <si>
    <t>WOS:001051455300001</t>
  </si>
  <si>
    <t>Sun, JX; Wang, X; Wang, LZ; Li, XY; Zhang, Y; Zhang, HW; Liu, YB</t>
  </si>
  <si>
    <t>Sun, Jingxiang; Wang, Xuan; Wang, Lizhen; Li, Xiaoyu; Zhang, Yong; Zhang, Hongwen; Liu, Yebin</t>
  </si>
  <si>
    <t>Next3D: Generative Neural Texture Rasterization for 3D-Aware Head Avatars</t>
  </si>
  <si>
    <t>3D-aware generative adversarial networks (GANs) synthesize high-fidelity and multi-view-consistent facial images using only collections of single-view 2D imagery. Towards fine-grained control over facial attributes, recent efforts incorporate 3D Morphable Face Model (3DMM) to describe deformation in generative radiance fields either explicitly or implicitly. Explicit methods provide fine-grained expression control but cannot handle topological changes caused by hair and accessories, while implicit ones can model varied topologies but have limited generalization caused by the unconstrained deformation fields. We propose a novel 3D GAN framework for unsupervised learning of generative, high-quality and 3D-consistent facial avatars from unstructured 2D images. To achieve both deformation accuracy and topological flexibility, we propose a 3D representation called Generative Texture-Rasterized Tri-planes. The proposed representation learns Generative Neural Textures on top of parametric mesh templates and then projects them into three orthogonal-viewed feature planes through rasterization, forming a tri-plane feature representation for volume rendering. In this way, we combine both fine-grained expression control of mesh-guided explicit deformation and the flexibility of implicit volumetric representation. We further propose specific modules for modeling mouth interior which is not taken into account by 3DMM. Our method demonstrates state-of-the-art 3D-aware synthesis quality and animation ability through extensive experiments. Furthermore, serving as 3D prior, our animatable 3D representation boosts multiple applications including one-shot facial avatars and 3D-aware stylization. Project page: https://mrtornado24.github.io/Next3D/.Code: https://github.com/MrTornado24/Next3D.</t>
  </si>
  <si>
    <t>[Sun, Jingxiang; Wang, Lizhen; Zhang, Hongwen; Liu, Yebin] Tsinghua Univ, Beijing, Peoples R China; [Wang, Xuan] Ant Grp, Hangzhou, Peoples R China; [Li, Xiaoyu; Zhang, Yong] Tencent AI Lab, Shenzhen, Guangdong, Peoples R China; [Wang, Lizhen] NNKosmos, Kosmos, South Africa</t>
  </si>
  <si>
    <t>Tsinghua University; Tencent</t>
  </si>
  <si>
    <t>Sun, JX (corresponding author), Tsinghua Univ, Beijing, Peoples R China.</t>
  </si>
  <si>
    <t>Wang, Lizhen/JXL-5347-2024</t>
  </si>
  <si>
    <t>Wang, Lizhen/0000-0002-6674-9327</t>
  </si>
  <si>
    <t>National Key RD Program of China [2022YFF0902200]; NSFC [62125107]</t>
  </si>
  <si>
    <t>National Key RD Program of China; NSFC(National Natural Science Foundation of China (NSFC))</t>
  </si>
  <si>
    <t>This paper is supported by National Key RD Program of China (2022YFF0902200) and the NSFC project No.62125107.</t>
  </si>
  <si>
    <t>10.1109/CVPR52729.2023.02011</t>
  </si>
  <si>
    <t>WOS:001062531305032</t>
  </si>
  <si>
    <t>Hasani, AM; Singh, S; Zahergivar, A; Ryan, B; Nethala, D; Bravomontenegro, G; Mendhiratta, N; Ball, M; Farhadi, F; Malayeri, A</t>
  </si>
  <si>
    <t>Hasani, Amir M.; Singh, Shiva; Zahergivar, Aryan; Ryan, Beth; Nethala, Daniel; Bravomontenegro, Gabriela; Mendhiratta, Neil; Ball, Mark; Farhadi, Faraz; Malayeri, Ashkan</t>
  </si>
  <si>
    <t>Evaluating the performance of Generative Pre-trained Transformer-4 (GPT-4) in standardizing radiology reports</t>
  </si>
  <si>
    <t>EUROPEAN RADIOLOGY</t>
  </si>
  <si>
    <t>Artificial intelligence; Natural language processing; Digital health; Machine learning</t>
  </si>
  <si>
    <t>ObjectiveRadiology reporting is an essential component of clinical diagnosis and decision-making. With the advent of advanced artificial intelligence (AI) models like GPT-4 (Generative Pre-trained Transformer 4), there is growing interest in evaluating their potential for optimizing or generating radiology reports. This study aimed to compare the quality and content of radiologist-generated and GPT-4 AI-generated radiology reports.MethodsA comparative study design was employed in the study, where a total of 100 anonymized radiology reports were randomly selected and analyzed. Each report was processed by GPT-4, resulting in the generation of a corresponding AI-generated report. Quantitative and qualitative analysis techniques were utilized to assess similarities and differences between the two sets of reports.ResultsThe AI-generated reports showed comparable quality to radiologist-generated reports in most categories. Significant differences were observed in clarity (p = 0.027), ease of understanding (p = 0.023), and structure (p = 0.050), favoring the AI-generated reports. AI-generated reports were more concise, with 34.53 fewer words and 174.22 fewer characters on average, but had greater variability in sentence length. Content similarity was high, with an average Cosine Similarity of 0.85, Sequence Matcher Similarity of 0.52, BLEU Score of 0.5008, and BERTScore F1 of 0.8775.ConclusionThe results of this proof-of-concept study suggest that GPT-4 can be a reliable tool for generating standardized radiology reports, offering potential benefits such as improved efficiency, better communication, and simplified data extraction and analysis. However, limitations and ethical implications must be addressed to ensure the safe and effective implementation of this technology in clinical practice.Clinical relevance statementThe findings of this study suggest that GPT-4 (Generative Pre-trained Transformer 4), an advanced AI model, has the potential to significantly contribute to the standardization and optimization of radiology reporting, offering improved efficiency and communication in clinical practice.Key Points center dot Large language model-generated radiology reports exhibited high content similarity and moderate structural resemblance to radiologist-generated reports.center dot Performance metrics highlighted the strong matching of word selection and order, as well as high semantic similarity between AI and radiologist-generated reports.center dot Large language model demonstrated potential for generating standardized radiology reports, improving efficiency and communication in clinical settings.Key Points center dot Large language model-generated radiology reports exhibited high content similarity and moderate structural resemblance to radiologist-generated reports.center dot Performance metrics highlighted the strong matching of word selection and order, as well as high semantic similarity between AI and radiologist-generated reports.center dot Large language model demonstrated potential for generating standardized radiology reports, improving efficiency and communication in clinical settings.Key Points center dot Large language model-generated radiology reports exhibited high content similarity and moderate structural resemblance to radiologist-generated reports.center dot Performance metrics highlighted the strong matching of word selection and order, as well as high semantic similarity between AI and radiologist-generated reports. center dot Large language model demonstrated potential for generating standardized radiology reports, improving efficiency and communication in clinical settings.</t>
  </si>
  <si>
    <t>[Hasani, Amir M.] NHBLI, Lab Translat Res, NIH, Bethesda, MD USA; [Singh, Shiva; Zahergivar, Aryan; Farhadi, Faraz; Malayeri, Ashkan] NIH, Radiol &amp; Imaging Sci Dept, Clin Ctr, Bethesda, MD 20892 USA; [Ryan, Beth; Nethala, Daniel; Bravomontenegro, Gabriela; Mendhiratta, Neil; Ball, Mark] NCI, Urol Oncol Branch, NIH, Bethesda, MD USA</t>
  </si>
  <si>
    <t>National Institutes of Health (NIH) - USA; NIH National Heart Lung &amp; Blood Institute (NHLBI); National Institutes of Health (NIH) - USA; NIH Clinical Center (CC); National Institutes of Health (NIH) - USA; NIH National Cancer Institute (NCI)</t>
  </si>
  <si>
    <t>Malayeri, A (corresponding author), NIH, Radiol &amp; Imaging Sci Dept, Clin Ctr, Bethesda, MD 20892 USA.</t>
  </si>
  <si>
    <t>Ashkan.Malayeri@nih.gov</t>
  </si>
  <si>
    <t>Zahergivar, Aryan/0000-0002-1428-4054</t>
  </si>
  <si>
    <t>National Institutes of Health</t>
  </si>
  <si>
    <t>National Institutes of Health(United States Department of Health &amp; Human ServicesNational Institutes of Health (NIH) - USA)</t>
  </si>
  <si>
    <t>This study has received funding by National Institutes of Health.</t>
  </si>
  <si>
    <t>0938-7994</t>
  </si>
  <si>
    <t>1432-1084</t>
  </si>
  <si>
    <t>EUR RADIOL</t>
  </si>
  <si>
    <t>Eur. Radiol.</t>
  </si>
  <si>
    <t>10.1007/s00330-023-10384-x</t>
  </si>
  <si>
    <t>X9XO0</t>
  </si>
  <si>
    <t>WOS:001101905600009</t>
  </si>
  <si>
    <t>Nisbett, N; Spaiser, V</t>
  </si>
  <si>
    <t>Nisbett, Nicole; Spaiser, Viktoria</t>
  </si>
  <si>
    <t>How convincing are AI-generated moral arguments for climate action?</t>
  </si>
  <si>
    <t>FRONTIERS IN CLIMATE</t>
  </si>
  <si>
    <t>Moral Foundations Theory; climate change; climate action; climate communication; AI; GPT-3</t>
  </si>
  <si>
    <t>ENVIRONMENT; VALUES</t>
  </si>
  <si>
    <t>Mobilizing broad support for climate action is paramount for solving the climate crisis. Research suggests that people can be persuaded to support climate action when presented with certain moral arguments, but which moral arguments are most convincing across the population? With this pilot study, we aim to understand which types of moral arguments based on an extended Moral Foundation Theory are most effective at convincing people to support climate action. Additionally, we explore to what extent Generative Pre-trained Transformer 3 (GPT-3) models can be employed to generate bespoke moral statements. We find statements appealing to compassion, fairness and good ancestors are the most convincing to participants across the population, including to participants, who identify as politically right-leaning and who otherwise respond least to moral arguments. Negative statements appear to be more convincing than positive ones. Statements appealing to other moral foundations can be convincing, but only to specific social groups. GPT-3-generated statements are generally more convincing than human-generated statements, but the large language model struggles with creating novel arguments.</t>
  </si>
  <si>
    <t>[Nisbett, Nicole; Spaiser, Viktoria] Univ Leeds, Sch Polit &amp; Int Studies, Leeds, England</t>
  </si>
  <si>
    <t>University of Leeds</t>
  </si>
  <si>
    <t>Nisbett, N (corresponding author), Univ Leeds, Sch Polit &amp; Int Studies, Leeds, England.</t>
  </si>
  <si>
    <t>n.nisbett@leeds.ac.uk</t>
  </si>
  <si>
    <t>Spaiser, Viktoria/0000-0002-5892-245X</t>
  </si>
  <si>
    <t>UKRI Future Leaders Fellowship [MR/V021141/1]; Alan Turing Institute Postdoctoral Enrichment Award [2022PEA]</t>
  </si>
  <si>
    <t>UKRI Future Leaders Fellowship(UK Research &amp; Innovation (UKRI)); Alan Turing Institute Postdoctoral Enrichment Award</t>
  </si>
  <si>
    <t>Funding This research was funded by a UKRI Future Leaders Fellowship (Grant Number: MR/V021141/1), and an Alan Turing Institute Postdoctoral Enrichment Award (Reference 2022PEA).</t>
  </si>
  <si>
    <t>2624-9553</t>
  </si>
  <si>
    <t>FRONT CLIM</t>
  </si>
  <si>
    <t>Front. Clim.</t>
  </si>
  <si>
    <t>10.3389/fclim.2023.1193350</t>
  </si>
  <si>
    <t>Environmental Sciences; Environmental Studies</t>
  </si>
  <si>
    <t>M3UE5</t>
  </si>
  <si>
    <t>WOS:001029466300001</t>
  </si>
  <si>
    <t>Liu, HH; Azam, M; Bin Naeem, S; Faiola, A</t>
  </si>
  <si>
    <t>Liu, Huihui; Azam, Mehreen; Bin Naeem, Salman; Faiola, Anthony</t>
  </si>
  <si>
    <t>An overview of the capabilities of ChatGPT for medical writing and its implications for academic integrity</t>
  </si>
  <si>
    <t>HEALTH INFORMATION AND LIBRARIES JOURNAL</t>
  </si>
  <si>
    <t>artificial intelligence (AI); librarians, health science; libraries, academic; plagiarism; students, medical</t>
  </si>
  <si>
    <t>The artificial intelligence (AI) tool ChatGPT, which is based on a large language model (LLM), is gaining popularity in academic institutions, notably in the medical field. This article provides a brief overview of the capabilities of ChatGPT for medical writing and its implications for academic integrity. It provides a list of AI generative tools, common use of AI generative tools for medical writing, and provides a list of AI generative text detection tools. It also provides recommendations for policymakers, information professionals, and medical faculty for the constructive use of AI generative tools and related technology. It also highlights the role of health sciences librarians and educators in protecting students from generating text through ChatGPT in their academic work.</t>
  </si>
  <si>
    <t>[Liu, Huihui] Shanxi Univ, Taiyuan, Peoples R China; [Azam, Mehreen; Bin Naeem, Salman] Islamia Univ Bahawalpur, Dept Informat Management, Bahawalpur, Pakistan; [Faiola, Anthony] Univ Kentucky, Coll Hlth Sci, Dept Hlth &amp; Clin Sci, Lexington, KY USA</t>
  </si>
  <si>
    <t>Shanxi University; Islamia University of Bahawalpur; University of Kentucky</t>
  </si>
  <si>
    <t>Azam, M (corresponding author), Islamia Univ Bahawalpur, Dept Informat Management, Bahawalpur, Pakistan.</t>
  </si>
  <si>
    <t>mehreenazam100@gmail.com</t>
  </si>
  <si>
    <t>Shanxi Provincial Universities Philosophy and Social Science; 2020 Shanxi Provincial Universities Philosophy and Social Science Research Project 'Research on the Status Quo and Promotion Strategies ofChinese Civic Moral Construction in the New Era' [2020W022]</t>
  </si>
  <si>
    <t>Shanxi Provincial Universities Philosophy and Social Science; 2020 Shanxi Provincial Universities Philosophy and Social Science Research Project 'Research on the Status Quo and Promotion Strategies ofChinese Civic Moral Construction in the New Era'</t>
  </si>
  <si>
    <t>Shanxi Provincial Universities Philosophy and Social ScienceThis work was supported by 2020 Shanxi Provincial Universities Philosophy and Social Science Research Project 'Research on the Status Quo and Promotion Strategies ofChinese Civic Moral Construction in the New Era', Project No. 2020W022.</t>
  </si>
  <si>
    <t>1471-1834</t>
  </si>
  <si>
    <t>1471-1842</t>
  </si>
  <si>
    <t>HEALTH INFO LIBR J</t>
  </si>
  <si>
    <t>Heatlth Info. Libr. J.</t>
  </si>
  <si>
    <t>10.1111/hir.12509</t>
  </si>
  <si>
    <t>GP4B1</t>
  </si>
  <si>
    <t>WOS:001080368700001</t>
  </si>
  <si>
    <t>Weichelt, BP; Pilz, M; Burke, R; Puthoff, D; Namkoong, K</t>
  </si>
  <si>
    <t>Weichelt, Bryan P.; Pilz, Matthew; Burke, Richard; Puthoff, David; Namkoong, Kang</t>
  </si>
  <si>
    <t>The Potential of AI and ChatGPT in Improving Agricultural Injury and Illness Surveillance Programming and Dissemination</t>
  </si>
  <si>
    <t>JOURNAL OF AGROMEDICINE</t>
  </si>
  <si>
    <t>Agricultural injury; artificial intelligence; ChatGPT; surveillance</t>
  </si>
  <si>
    <t>Generative Artificial Intelligence (AI) provides unprecedented opportunities to improve injury surveillance systems in many ways, including the curation and publication of information related to agricultural injuries and illnesses. This editorial explores the feasibility and implication of ChatGPT integration in an international sentinel agricultural injury surveillance system, AgInjuryNews, highlighting that AI integration may enhance workflows by reducing human and financial resources and increasing outputs. In the coming years, text intensive natural language reports in AgInjuryNews and similar systems could be a rich source for data for ChatGPT or other more customized and fine-tuned LLMs. By harnessing the capabilities of AI and NLP, teams could potentially streamline the process of data analysis, report generation, and public dissemination, ultimately contributing to improved agricultural injury prevention efforts, well beyond any manually driven efforts.</t>
  </si>
  <si>
    <t>[Weichelt, Bryan P.; Pilz, Matthew; Burke, Richard] Marshfield Clin Res Inst, Natl Childrens Ctr Rural &amp; Agr Hlth &amp; Safety, Natl Farm Med Ctr, Marshfield, WI USA; [Puthoff, David] Marshfield Clin Res Inst, Off Res &amp; Sponsored Programs, Marshfield, WI USA; [Namkoong, Kang] Univ Maryland, Dept Commun, College Pk, MD USA; [Weichelt, Bryan P.] Marshfield Clin Res Inst, Natl Childrens Ctr Rural &amp; Agr Hlth &amp; Safety, Natl Farm Med Ctr, 1000 N Oak Ave, Marshfield, WI 54449 USA</t>
  </si>
  <si>
    <t>University System of Maryland; University of Maryland College Park</t>
  </si>
  <si>
    <t>Weichelt, BP (corresponding author), Marshfield Clin Res Inst, Natl Childrens Ctr Rural &amp; Agr Hlth &amp; Safety, Natl Farm Med Ctr, 1000 N Oak Ave, Marshfield, WI 54449 USA.</t>
  </si>
  <si>
    <t>weichelt.bryan@marshfieldresearch.org</t>
  </si>
  <si>
    <t>Burke, Richard D/C-1482-2015</t>
  </si>
  <si>
    <t>Weichelt, Bryan/0000-0001-7444-4374</t>
  </si>
  <si>
    <t>National Farm Medicine Center, Marshfield Clinic Research Institute; National Children's Center for Rural and Agricultural Health and Safety through the National Institute for Occupational Safety and Health [U54 OH009568]</t>
  </si>
  <si>
    <t>National Farm Medicine Center, Marshfield Clinic Research Institute; National Children's Center for Rural and Agricultural Health and Safety through the National Institute for Occupational Safety and Health</t>
  </si>
  <si>
    <t>Funding support was provided through the National Farm Medicine Center, Marshfield Clinic Research Institute, and National Children's Center for Rural and Agricultural Health and Safety through the National Institute for Occupational Safety and Health Cooperative Agreement U54 OH009568.</t>
  </si>
  <si>
    <t>1059-924X</t>
  </si>
  <si>
    <t>1545-0813</t>
  </si>
  <si>
    <t>J AGROMEDICINE</t>
  </si>
  <si>
    <t>J. Agromedicine</t>
  </si>
  <si>
    <t>10.1080/1059924X.2023.2284959</t>
  </si>
  <si>
    <t>Public, Environmental &amp; Occupational Health</t>
  </si>
  <si>
    <t>JY5W6</t>
  </si>
  <si>
    <t>WOS:001118133000001</t>
  </si>
  <si>
    <t>Rajala, J; Hukkanen, J; Hartikainen, M; Niemelä, P</t>
  </si>
  <si>
    <t>Rajala, Jaakko; Hukkanen, Jenni; Hartikainen, Maria; Niemela, Pia</t>
  </si>
  <si>
    <t>Call me Kiran - ChatGPT as a Tutoring Chatbot in a Computer Science Course</t>
  </si>
  <si>
    <t>artificial intelligence; generative AI; ChatGPT; student perceptions; chatbots; education; tutoring; discussion forum</t>
  </si>
  <si>
    <t>Natural language processing has taken enormous steps during the last few years. The development of large language models and generative AI has elevated natural language processing to the level that it can output coherent and contextually relevant text for a given natural language prompt. ChatGPT is one incarnation of these steps, and its use in education is a rather new phenomenon. In this paper, we study students' perception on ChatGPT during a computer science course. On the course, we integrated ChatGPT into Teams private discussion groups. In addition, all the students had freedom to employ ChatGPT and related technologies to help them in their coursework. The results show that the majority of students had at least tested AI-powered chatbots, and that students are using AI-powered chatbots for multiple tasks, e.g., debugging code, tutoring, and enhancing comprehension. The amount of positive implications of using ChatGPT takes over the negative implications, when the implications were considered from an understanding, learning and creativity perspective. Relatively many students reported reliability issues with the outputs and that the iterations with prompts might be necessary for satisfactory outputs. It is important to try to steer the usage of ChatGPT so that it complements students' learning processes, but does not replace it.</t>
  </si>
  <si>
    <t>[Rajala, Jaakko; Hukkanen, Jenni; Hartikainen, Maria; Niemela, Pia] Tampere Univ, Tampere, Finland</t>
  </si>
  <si>
    <t>Rajala, J (corresponding author), Tampere Univ, Tampere, Finland.</t>
  </si>
  <si>
    <t>jaakko.rajala@tuni.fi; jenni.j.hukkanen@tuni.fi; maria.hartikainen@tuni.fi; pia.niemela@tuni.fi</t>
  </si>
  <si>
    <t>Niemela, Pia/0000-0002-8673-9089</t>
  </si>
  <si>
    <t>10.1145/3616961.3616974</t>
  </si>
  <si>
    <t>WOS:001147480500008</t>
  </si>
  <si>
    <t>Lee, CF; Chang, TC</t>
  </si>
  <si>
    <t>Tsihrintzis, GA; Wang, S; Lin, I</t>
  </si>
  <si>
    <t>Lee, Chin-Feng; Chang, Ting-Chia</t>
  </si>
  <si>
    <t>Fabric Defect Detection by Applying Structural Similarity Index to the Combination of Variational Autoencode and Generative Adversarial Network</t>
  </si>
  <si>
    <t>2021 INTERNATIONAL CONFERENCE ON SECURITY AND INFORMATION TECHNOLOGIES WITH AI, INTERNET COMPUTING AND BIG-DATA APPLICATIONS</t>
  </si>
  <si>
    <t>Smart Innovation Systems and Technologies</t>
  </si>
  <si>
    <t>1st International Conference on Security and Information Technologies with AI, Internet Computing, and Big data Applications (SITAIBA)</t>
  </si>
  <si>
    <t>NOV 18-20, 2021</t>
  </si>
  <si>
    <t>National Chung Hsing Univ, Taichung, TAIWAN</t>
  </si>
  <si>
    <t>National Chung Hsing Univ</t>
  </si>
  <si>
    <t>Automated fabric detection; Deep learning; Variational autoencoder; Generative adversarial network; Structural similarity index</t>
  </si>
  <si>
    <t>Textiles are one of the common necessities in our lives. The quality of textile products is usually closely related to the quality of the fabric materials. Therefore, before the fabric materials are processed, the fabric and textile industry first conducts quality inspections. In the past, traditional methods detect the defects on the fabric surface by human eyes, suffering from the overall inspection standards to be unreliable due to the fatigue and subjective judgment of the inspectors and consuming considerable labor costs and time. Automated detection methods are gradually introduced into the textile industry as one of the important processes. With the rapid advancement of deep learning technology, deep neural networks have caused revolutionary changes in the field of computer vision Therefore, this research employs an unsupervised deep learning model to detect fabric defects by combining the variational autoencoder (VAE) and the generative adversarial network (GAN). The proposed fabric inspection networks The proposed fabric inspection networks also called FINs only use non-defective fabric data to train the model, which solves the problem that traditional detection methods need to collect a large amount of defect data. In the process of model training, we introduced structural similarity index to help the overall model learn the defect-free texture characteristics of fabric surfaces. Finally, through this method, the surface defects can be found and the defective areas can be repaired. After segmentation, the position of the defect can be marked, and the detection result has also reached a certain degree of accuracy.</t>
  </si>
  <si>
    <t>[Lee, Chin-Feng; Chang, Ting-Chia] Chaoyang Univ Technol, Dept Informat Management, Taichung 41349, Taiwan</t>
  </si>
  <si>
    <t>Lee, CF (corresponding author), Chaoyang Univ Technol, Dept Informat Management, Taichung 41349, Taiwan.</t>
  </si>
  <si>
    <t>lcf@cyut.edu.tw</t>
  </si>
  <si>
    <t>2190-3018</t>
  </si>
  <si>
    <t>2190-3026</t>
  </si>
  <si>
    <t>978-3-031-05491-4; 978-3-031-05490-7</t>
  </si>
  <si>
    <t>SMART INNOV SYST TEC</t>
  </si>
  <si>
    <t>10.1007/978-3-031-05491-4_24</t>
  </si>
  <si>
    <t>BU7ZS</t>
  </si>
  <si>
    <t>WOS:000945919300024</t>
  </si>
  <si>
    <t>Adao, T; Oliveira, J; Shahrabadi, S; Jesus, H; Fernandes, M; Costa, A; Ferreira, V; Gonçalves, MF; Lopéz, MAG; Peres, E; Magalhaes, LG</t>
  </si>
  <si>
    <t>Adao, Telmo; Oliveira, Joao; Shahrabadi, Somayeh; Jesus, Hugo; Fernandes, Marco; Costa, Angelo; Ferreira, Vania; Goncalves, Martinho Fradeira; Lopez, Miguel A. Guevara; Peres, Emanuel; Magalhaes, Luis Gonzaga</t>
  </si>
  <si>
    <t>Empowering Deaf-Hearing Communication: Exploring Synergies between Predictive and Generative AI-Based Strategies towards (Portuguese) Sign Language Interpretation</t>
  </si>
  <si>
    <t>sign language recognition (SLR); Portuguese Sign Language; video-based motion analytics; machine learning (ML); long-short term memory (LSTM); large language models (LLM); generative pre-trained transformer (GPT); deaf-hearing communication; inclusion</t>
  </si>
  <si>
    <t>RECOGNITION</t>
  </si>
  <si>
    <t>Communication between Deaf and hearing individuals remains a persistent challenge requiring attention to foster inclusivity. Despite notable efforts in the development of digital solutions for sign language recognition (SLR), several issues persist, such as cross-platform interoperability and strategies for tokenizing signs to enable continuous conversations and coherent sentence construction. To address such issues, this paper proposes a non-invasive Portuguese Sign Language (Lingua Gestual Portuguesa or LGP) interpretation system-as-a-service, leveraging skeletal posture sequence inference powered by long-short term memory (LSTM) architectures. To address the scarcity of examples during machine learning (ML) model training, dataset augmentation strategies are explored. Additionally, a buffer-based interaction technique is introduced to facilitate LGP terms tokenization. This technique provides real-time feedback to users, allowing them to gauge the time remaining to complete a sign, which aids in the construction of grammatically coherent sentences based on inferred terms/words. To support human-like conditioning rules for interpretation, a large language model (LLM) service is integrated. Experiments reveal that LSTM-based neural networks, trained with 50 LGP terms and subjected to data augmentation, achieved accuracy levels ranging from 80% to 95.6%. Users unanimously reported a high level of intuition when using the buffer-based interaction strategy for terms/words tokenization. Furthermore, tests with an LLM-specifically ChatGPT-demonstrated promising semantic correlation rates in generated sentences, comparable to expected sentences.</t>
  </si>
  <si>
    <t>[Adao, Telmo; Peres, Emanuel] Univ Tras Os Montes &amp; Alto Douro, Sch Sci &amp; Technol, Dept Engn, P-5000801 Vila Real, Portugal; [Adao, Telmo; Lopez, Miguel A. Guevara; Magalhaes, Luis Gonzaga] Univ Minho, ALGORITMI Res Ctr LASI, P-4800058 Guimaraes, Portugal; [Oliveira, Joao; Shahrabadi, Somayeh; Jesus, Hugo] Univ Minho, Ctr Comp Graf CCG Zgdv, Campus Azurem,Edificio 14, P-4800058 Guimaraes, Portugal; [Fernandes, Marco; Goncalves, Martinho Fradeira] Polytech Inst Braganca, Sch Commun Adm &amp; Tourism, Campus Cruzeiro, P-5370202 Mirandela, Portugal; [Costa, Angelo; Ferreira, Vania] Assoc Portuguesa Surdos APS, P-1600796 Lisbon, Portugal; [Lopez, Miguel A. Guevara] Escola Super Tecnol Setubal, Inst Politecn Setubal, P-2914508 Setubal, Portugal; [Peres, Emanuel] Univ Tras Os Montes &amp; Alto Douro, Ctr Res &amp; Technol Agroenvironm &amp; Biol Sci, P-5000801 Vila Real, Portugal; [Peres, Emanuel] Univ Tras Os Montes &amp; Alto Douro, Inst Innovat Capac Bldg &amp; Sustainabil Agrifood Pro, P-5000801 Vila Real, Portugal</t>
  </si>
  <si>
    <t>University of Tras-os-Montes &amp; Alto Douro; Universidade do Minho; Universidade do Minho; Instituto Politecnico de Braganca; Instituto Politecnico de Setubal; University of Tras-os-Montes &amp; Alto Douro; University of Tras-os-Montes &amp; Alto Douro</t>
  </si>
  <si>
    <t>Adao, T (corresponding author), Univ Tras Os Montes &amp; Alto Douro, Sch Sci &amp; Technol, Dept Engn, P-5000801 Vila Real, Portugal.;Adao, T (corresponding author), Univ Minho, ALGORITMI Res Ctr LASI, P-4800058 Guimaraes, Portugal.</t>
  </si>
  <si>
    <t>telmoadao@utad.pt; joaooliveira@ccg.pt; somayeh.shahrabadi@ccg.pt; jose.jesus@ccg.pt; a35106@alunos.ipb.pt; angelomscosta@gmail.com; vania.ferreira.91@hotmail.com; martinho.goncalves@ipb.pt; miguel.lopez@estsetubal.ips.pt; eperes@utad.pt; lmagalhaes@dsi.uminho.pt</t>
  </si>
  <si>
    <t>Guevara Lopez, Miguel Angel/A-3126-2011; Peres, Emanuel/E-8392-2011; Mendes Magalhaes, Luis Gonzaga/B-4300-2012</t>
  </si>
  <si>
    <t>Guevara Lopez, Miguel Angel/0000-0001-7814-1653; Peres, Emanuel/0000-0001-5669-7976; Adao, Telmo/0000-0002-2727-0014; Mendes Magalhaes, Luis Gonzaga/0000-0002-4426-0002</t>
  </si>
  <si>
    <t>Portugal 2020, under the Competitiveness and Internationalization Operational Program (POCI)</t>
  </si>
  <si>
    <t>10.3390/jimaging9110235</t>
  </si>
  <si>
    <t>AD2P8</t>
  </si>
  <si>
    <t>WOS:001116460700001</t>
  </si>
  <si>
    <t>Wang, YCF</t>
  </si>
  <si>
    <t>Wang, Yu-Chiang Frank</t>
  </si>
  <si>
    <t>Generative AI: How It Changes Our Lives? Take Vision &amp; Language as an Example</t>
  </si>
  <si>
    <t>2023 INTERNATIONAL VLSI SYMPOSIUM ON TECHNOLOGY, SYSTEMS AND APPLICATIONS, VLSI-TSA/VLSI-DAT</t>
  </si>
  <si>
    <t>International VLSI Symposium on Technology, Systems and Applications (VLSI-TSA/VLSI-DAT)</t>
  </si>
  <si>
    <t>APR 17-20, 2023</t>
  </si>
  <si>
    <t>Hsinchu, TAIWAN</t>
  </si>
  <si>
    <t>IEEE,Electron Devices Soc,SSCS,Ind Technol Res Inst</t>
  </si>
  <si>
    <t>[Wang, Yu-Chiang Frank] NVIDIA, Santa Clara, CA 95051 USA</t>
  </si>
  <si>
    <t>Nvidia Corporation</t>
  </si>
  <si>
    <t>Wang, YCF (corresponding author), NVIDIA, Santa Clara, CA 95051 USA.</t>
  </si>
  <si>
    <t>979-8-3503-3416-6</t>
  </si>
  <si>
    <t>10.1109/VLSI-TSA/VLSI-DAT57221.2023.10134215</t>
  </si>
  <si>
    <t>BV2WX</t>
  </si>
  <si>
    <t>WOS:001012107600062</t>
  </si>
  <si>
    <t>Tan, Z; Li, Y; Wu, X; Zhang, ZY; Shi, WM; Yang, SQ; Zhang, WL</t>
  </si>
  <si>
    <t>Tan, Zheng; Li, Yan; Wu, Xin; Zhang, Ziying; Shi, Weimei; Yang, Shiqing; Zhang, Wanli</t>
  </si>
  <si>
    <t>De novo creation of fluorescent molecules via adversarial generative modeling</t>
  </si>
  <si>
    <t>RSC ADVANCES</t>
  </si>
  <si>
    <t>EMISSION WAVELENGTH</t>
  </si>
  <si>
    <t>The development of AI for fluorescent materials design is technologically demanding due to the issue of accurately forecasting fluorescent properties. Besides the huge efforts made in predicting the photoluminescent properties of organic dyes in terms of machine learning techniques, this article aims to introduce an adversarial generation paradigm for the rational design of fluorescent molecules. Molecular SMILES is employed as the input of a GRU based autoencoder, where the encoding and decoding of the string information are processed. A generative adversarial network is applied on the latent space with a generator to generate samples to mimic the latent space, and a discriminator to distinguish samples from the latent space. It is found that the excited state property distributions of generated molecules fully match those of the original samples, with the molecular synthesizability being accessible as well. Further screening of the generated samples delivers a remarkable luminescence efficiency of molecules epitomized by the significant oscillator strength and charge transfer characteristics, demonstrating the great potential of the adversarial model in enriching the fluorescent library.</t>
  </si>
  <si>
    <t>[Tan, Zheng; Zhang, Wanli] Univ Elect Sci &amp; Technol China, State Key Lab Elect Thin Films &amp; Integrated Device, Chengdu 610054, Peoples R China; [Li, Yan; Shi, Weimei; Yang, Shiqing] Chengdu Polytech, 83 Tianyi St, Chengdu 610000, Peoples R China; [Wu, Xin] Xiyuan Quantitat Technol, 388 Yizhou Rd, Chengdu 610000, Peoples R China; [Zhang, Ziying] Guangzhou Yinfo Informat Technol, 2 Ruyi Rd, Guangzhou 511431, Peoples R China</t>
  </si>
  <si>
    <t>University of Electronic Science &amp; Technology of China</t>
  </si>
  <si>
    <t>Shi, WM (corresponding author), Chengdu Polytech, 83 Tianyi St, Chengdu 610000, Peoples R China.</t>
  </si>
  <si>
    <t>shiweimei@cdp.edu.cn</t>
  </si>
  <si>
    <t>Wanli, Zhang/AAO-4066-2020; Shi, Weimei/IXN-4174-2023</t>
  </si>
  <si>
    <t>Sichuan Science and Technology Project; Chengdu Science and Technology Project; Research Platform Foundation of Chengdu Polytechnic; [2019YJ0646]; [2019-YF05-00224-SN]; [19KYPT01]; [20KYTD07]</t>
  </si>
  <si>
    <t>Sichuan Science and Technology Project; Chengdu Science and Technology Project; Research Platform Foundation of Chengdu Polytechnic; ; ; ;</t>
  </si>
  <si>
    <t>The work is supported by the Sichuan Science and Technology Project (No. 2019YJ0646); Chengdu Science and Technology Project (No. 2019-YF05-00224-SN); Research Platform Foundation of Chengdu Polytechnic (No. 19KYPT01, No. 20KYTD07).</t>
  </si>
  <si>
    <t>2046-2069</t>
  </si>
  <si>
    <t>RSC ADV</t>
  </si>
  <si>
    <t>RSC Adv.</t>
  </si>
  <si>
    <t>JAN 3</t>
  </si>
  <si>
    <t>10.1039/d2ra07008a</t>
  </si>
  <si>
    <t>Chemistry, Multidisciplinary</t>
  </si>
  <si>
    <t>Chemistry</t>
  </si>
  <si>
    <t>7N2QU</t>
  </si>
  <si>
    <t>WOS:000907190100001</t>
  </si>
  <si>
    <t>Vogel, G; Balhorn, LS; Schweidtmann, AM</t>
  </si>
  <si>
    <t>Vogel, Gabriel; Balhorn, Lukas Schulze; Schweidtmann, Artur M.</t>
  </si>
  <si>
    <t>Learning from flowsheets: A generative transformer model for autocompletion of flowsheets</t>
  </si>
  <si>
    <t>COMPUTERS &amp; CHEMICAL ENGINEERING</t>
  </si>
  <si>
    <t>Flowsheet synthesis; Flowsheet completion; SFILES 2; 0; Natural language processing; Generative transformer model</t>
  </si>
  <si>
    <t>We propose a novel method enabling autocompletion of chemical flowsheets. This idea is inspired by the autocompletion of text. We represent flowsheets as strings using the text-based SFILES 2.0 notation and learn the grammatical structure of the SFILES 2.0 language and common patterns in flowsheets using a transformer -based language model. We pre-train our model on synthetically generated flowsheet topologies to learn the flowsheet language grammar. Then, we fine-tune our model in a transfer learning step on real flowsheet topologies. Finally, we use the trained model for causal language modeling to autocomplete flowsheets. Eventually, the proposed method can provide chemical engineers with recommendations during interactive flowsheet synthesis. The results demonstrate a high potential of this approach for future AI-assisted process synthesis but also reveal the limitations at the present state and the next steps that need to be taken to deploy this technique in realistic flowsheet synthesis scenarios.</t>
  </si>
  <si>
    <t>[Vogel, Gabriel; Balhorn, Lukas Schulze; Schweidtmann, Artur M.] Delft Univ Technol, Dept Chem Engn, Proc Intelligence Res Grp, Maasweg 9, NL-2629 HZ Delft, Netherlands</t>
  </si>
  <si>
    <t>Delft University of Technology</t>
  </si>
  <si>
    <t>Schweidtmann, AM (corresponding author), Delft Univ Technol, Dept Chem Engn, Proc Intelligence Res Grp, Maasweg 9, NL-2629 HZ Delft, Netherlands.</t>
  </si>
  <si>
    <t>a.schweidtmann@tudelft.nl</t>
  </si>
  <si>
    <t>; Schweidtmann, Artur M./W-7428-2019</t>
  </si>
  <si>
    <t>Schulze Balhorn, Lukas/0000-0001-7494-9110; Schweidtmann, Artur M./0000-0001-8885-6847</t>
  </si>
  <si>
    <t>Dutch Research Council (NWO) [203.001.107]; ERASMUS Plus scholarship</t>
  </si>
  <si>
    <t>Dutch Research Council (NWO)(Netherlands Organization for Scientific Research (NWO)); ERASMUS Plus scholarship</t>
  </si>
  <si>
    <t>This publication is part of the project Chem Eng KG - The Chemical Engineering Knowledge Graph'' with project number 203.001.107 of the research programme Open Science (OS) Fund 2020/2021'' which is (partly) financed by the Dutch Research Council (NWO). GV ac-knowledges the ERASMUS Plus scholarship for his research stay at the Process Intelligence Research group. The authors acknowledge the fruitful discussions with Prof. R. Gani and Prof. J. Grievink on the combination of data-driven and mechanistic models.</t>
  </si>
  <si>
    <t>0098-1354</t>
  </si>
  <si>
    <t>1873-4375</t>
  </si>
  <si>
    <t>COMPUT CHEM ENG</t>
  </si>
  <si>
    <t>Comput. Chem. Eng.</t>
  </si>
  <si>
    <t>10.1016/j.compchemeng.2023.108162</t>
  </si>
  <si>
    <t>Computer Science, Interdisciplinary Applications; Engineering, Chemical</t>
  </si>
  <si>
    <t>8V9GA</t>
  </si>
  <si>
    <t>Green Submitted, Green Published, hybrid</t>
  </si>
  <si>
    <t>WOS:000930932000001</t>
  </si>
  <si>
    <t>Yang, TT; Zhou, DL; Ye, S; Li, XY; Li, HR; Feng, Y; Jiang, ZF; Yang, L; Ye, K; Shen, YX; Jiang, S; Feng, S; Zhang, GZ; Huang, Y; Wang, S; Jiang, J</t>
  </si>
  <si>
    <t>Yang, Tongtong; Zhou, Donglai; Ye, Sheng; Li, Xiyu; Li, Huirong; Feng, Yi; Jiang, Zifan; Yang, Li; Ye, Ke; Shen, Yixi; Jiang, Shuang; Feng, Shuo; Zhang, Guozhen; Huang, Yan; Wang, Song; Jiang, Jun</t>
  </si>
  <si>
    <t>Catalytic Structure Design by AI Generating with Spectroscopic Descriptors</t>
  </si>
  <si>
    <t>JOURNAL OF THE AMERICAN CHEMICAL SOCIETY</t>
  </si>
  <si>
    <t>Generative artificial intelligence has depicted a beautiful blueprint for on-demand design in chemical research. However, the few successful chemical generations have only been able to implement a few special property values because most chemical descriptors are mathematically discrete or discontinuously adjustable. Herein, we use spectroscopic descriptors with machine learning to establish a quantitative spectral structure-property relationship for adsorbed molecules on metal monatomic catalysts. Besides catalytic properties such as adsorption energy and charge transfer, the complete spatial relative coordinates of the adsorbed molecule were successfully inverted. The spectroscopic descriptors and prediction models are generalized, allowing them to be transferred to several different systems. Due to the continuous tunability of the spectroscopic descriptors, the design of catalytic structures with continuous adsorption states generated by AI in the catalytic process has been achieved. This work paves the way for using spectroscopy to enable real-time monitoring of the catalytic process and continuous customization of catalytic performance, which will lead to profound changes in catalytic research.</t>
  </si>
  <si>
    <t>[Yang, Tongtong; Zhou, Donglai; Li, Huirong; Feng, Yi; Jiang, Zifan; Ye, Ke; Shen, Yixi; Jiang, Shuang; Feng, Shuo; Zhang, Guozhen; Huang, Yan; Wang, Song; Jiang, Jun] Univ Sci &amp; Technol China, Sch Chem &amp; Mat Sci, Key Lab Precis &amp; Intelligent Chem, Hefei 230026, Anhui, Peoples R China; [Yang, Tongtong] Henan Acad Sci, Inst Intelligent Innovat, Zhengzhou 451162, Henan, Peoples R China; [Ye, Sheng] Anhui Univ, Sch Artificial Intelligence, Hefei 230601, Anhui, Peoples R China; [Li, Xiyu] Songshan Lake Mat Lab, Dongguan 523808, Guangdong, Peoples R China; [Yang, Li] Anhui Univ, Inst Phys Sci &amp; Informat Technol, Hefei 230601, Anhui, Peoples R China</t>
  </si>
  <si>
    <t>Chinese Academy of Sciences; University of Science &amp; Technology of China, CAS; Henan Academy of Sciences; Anhui University; Songshan Lake Materials Laboratory; Anhui University</t>
  </si>
  <si>
    <t>Huang, Y; Wang, S; Jiang, J (corresponding author), Univ Sci &amp; Technol China, Sch Chem &amp; Mat Sci, Key Lab Precis &amp; Intelligent Chem, Hefei 230026, Anhui, Peoples R China.</t>
  </si>
  <si>
    <t>hyan@ustc.edu.cn; wsong09@ustc.edu.cn; jiangj1@ustc.edu.cn</t>
  </si>
  <si>
    <t>Wang, Yibin/KEZ-9645-2024; WANG, YANAN/KCL-4840-2024; Ye, Ke/T-8053-2017; li, fangyu/KCY-0521-2024; jiang, jun/P-5378-2014; Zhang, Guozhen/A-5079-2019; zhang, yueqi/JXM-4287-2024; Wang, Fei/KEH-6292-2024; wang, shuo/KCL-3379-2024</t>
  </si>
  <si>
    <t>li, fangyu/0009-0009-8303-9157;</t>
  </si>
  <si>
    <t>National Natural Science Foundation of China [2021ZD0303303]; Innovation Program for Quantum Science and Technology [YSBR-005]; CAS Project for Young Scientists in Basic Research [22025304, 22033007, 22203082, 12227901, 22203001]; National Natural Science Foundation of China [GXXT-2022-062]; University Synergy Innovation Program of Anhui Province [2208085Y04]; Natural Science Foundation of Anhui Province; Fundamental Research Funds for the Central Universities</t>
  </si>
  <si>
    <t>National Natural Science Foundation of China(National Natural Science Foundation of China (NSFC)); Innovation Program for Quantum Science and Technology; CAS Project for Young Scientists in Basic Research; National Natural Science Foundation of China(National Natural Science Foundation of China (NSFC)); University Synergy Innovation Program of Anhui Province; Natural Science Foundation of Anhui Province(Natural Science Foundation of Anhui Province); Fundamental Research Funds for the Central Universities(Fundamental Research Funds for the Central Universities)</t>
  </si>
  <si>
    <t>This work was financially supported by the Innovation Program for Quantum Science and Technology (2021ZD0303303), the CAS Project for Young Scientists in Basic Research (YSBR-005), the National Natural Science Foundation of China (Grant No. 22025304, 22033007, 22203082, 12227901, and 22203001), the University Synergy Innovation Program of Anhui Province (GXXT-2022-062), the Natural Science Foundation of Anhui Province (Grants 2208085Y04) and the Fundamental Research Funds for the Central Universities. We thank the Hefei Advanced Computing Center for providing numerical computations and the USTC supercomputing center for providing computational resources for this project.</t>
  </si>
  <si>
    <t>0002-7863</t>
  </si>
  <si>
    <t>1520-5126</t>
  </si>
  <si>
    <t>J AM CHEM SOC</t>
  </si>
  <si>
    <t>J. Am. Chem. Soc.</t>
  </si>
  <si>
    <t>NOV 29</t>
  </si>
  <si>
    <t>10.1021/jacs.3c09299</t>
  </si>
  <si>
    <t>EV1A7</t>
  </si>
  <si>
    <t>WOS:001141604800001</t>
  </si>
  <si>
    <t>Jo, K; Shim, G; Jung, S; Yang, S; Choo, J</t>
  </si>
  <si>
    <t>Jo, Kyungmin; Shim, Gyumin; Jung, Sanghun; Yang, Soyoung; Choo, Jaegul</t>
  </si>
  <si>
    <t>CG-NeRF: Conditional Generative Neural Radiance Fields for 3D-aware Image Synthesis</t>
  </si>
  <si>
    <t>2023 IEEE/CVF WINTER CONFERENCE ON APPLICATIONS OF COMPUTER VISION (WACV)</t>
  </si>
  <si>
    <t>IEEE Winter Conference on Applications of Computer Vision</t>
  </si>
  <si>
    <t>23rd IEEE/CVF Winter Conference on Applications of Computer Vision (WACV)</t>
  </si>
  <si>
    <t>JAN 03-07, 2023</t>
  </si>
  <si>
    <t>Waikoloa, HI</t>
  </si>
  <si>
    <t>Recent generative models based on neural radiance fields (NeRF) achieve the generation of diverse 3D-aware images. Despite the success, their applicability can be further expanded by incorporating with various types of user-specified conditions such as text and images. In this paper, we propose a novel approach called the conditional generative neural radiance fields (CG-NeRF), which generates multi-view images that reflect multimodal input conditions such as images or text. However, generating 3D-aware images from multimodal conditions bears several challenges. First, each condition type has different amount of information - e.g., the amount of information in text and color images are significantly different. Furthermore, the pose-consistency is often violated when diversifying the generated images from input conditions. Addressing such challenges, we propose 1) a unified architecture that effectively handles multiple types of conditions, and 2) the pose-consistent diversity loss for generating various images while maintaining the view consistency. Experimental results show that the proposed method maintains consistent image quality on various multimodal condition types and achieves superior fidelity and diversity compared to the existing NeRF-based generative models.</t>
  </si>
  <si>
    <t>[Jo, Kyungmin; Shim, Gyumin; Jung, Sanghun; Yang, Soyoung; Choo, Jaegul] Korea Adv Inst Sci &amp; Technol KAIST, Daejeon, South Korea</t>
  </si>
  <si>
    <t>Jo, K (corresponding author), Korea Adv Inst Sci &amp; Technol KAIST, Daejeon, South Korea.</t>
  </si>
  <si>
    <t>bttkm@kaist.ac.kr; shimgyumin@kaist.ac.kr; shjung13@kaist.ac.kr; sy_yang@kaist.ac.kr; jchoo@kaist.ac.kr</t>
  </si>
  <si>
    <t>Institute of Information &amp; communications Technology Planning &amp; Evaluation (IITP) - Korea government(MSIT) [2019-0-00075]; National Research Foundation of Korea [2022R1A2B5B0200191311]; KAIST-NAVER hypercreative AI center</t>
  </si>
  <si>
    <t>Institute of Information &amp; communications Technology Planning &amp; Evaluation (IITP) - Korea government(MSIT)(Institute for Information &amp; Communication Technology Planning &amp; Evaluation (IITP), Republic of KoreaMinistry of Science &amp; ICT (MSIT), Republic of Korea); National Research Foundation of Korea(National Research Foundation of Korea); KAIST-NAVER hypercreative AI center</t>
  </si>
  <si>
    <t>This work was supported by Institute of Information &amp; communications Technology Planning &amp; Evaluation (IITP) grant funded by the Korea government(MSIT) (No.2019-0-00075, Artificial Intelligence Graduate School Program(KAIST)), National Research Foundation of Korea (No. 2022R1A2B5B0200191311), and the KAIST-NAVER hypercreative AI center.</t>
  </si>
  <si>
    <t>2472-6737</t>
  </si>
  <si>
    <t>978-1-6654-9346-8</t>
  </si>
  <si>
    <t>IEEE WINT CONF APPL</t>
  </si>
  <si>
    <t>10.1109/WACV56688.2023.00079</t>
  </si>
  <si>
    <t>Computer Science, Artificial Intelligence; Engineering, Electrical &amp; Electronic; Imaging Science &amp; Photographic Technology</t>
  </si>
  <si>
    <t>Computer Science; Engineering; Imaging Science &amp; Photographic Technology</t>
  </si>
  <si>
    <t>BV0HX</t>
  </si>
  <si>
    <t>WOS:000971500200071</t>
  </si>
  <si>
    <t>Pandey, NP; Fournarakis, M; Patel, C; Nagel, M</t>
  </si>
  <si>
    <t>Pandey, Nilesh Prasad; Fournarakis, Marios; Patel, Chirag; Nagel, Markus</t>
  </si>
  <si>
    <t>Softmax Bias Correction for Quantized Generative Models</t>
  </si>
  <si>
    <t>2023 IEEE/CVF INTERNATIONAL CONFERENCE ON COMPUTER VISION WORKSHOPS, ICCVW</t>
  </si>
  <si>
    <t>IEEE International Conference on Computer Vision Workshops</t>
  </si>
  <si>
    <t>IEEE/CVF International Conference on Computer Vision (ICCV)</t>
  </si>
  <si>
    <t>OCT 02-06, 2023</t>
  </si>
  <si>
    <t>Paris, FRANCE</t>
  </si>
  <si>
    <t>IEEE,IEEE Comp Soc,CVF</t>
  </si>
  <si>
    <t>Post-training quantization (PTQ) is the go-to compression technique for large generative models, such as stable diffusion or large language models. PTQ methods commonly keep the softmax activation in higher precision as it has been shown to be very sensitive to quantization noise. However, this can lead to a significant runtime and power overhead during inference on resource-constraint edge devices. In this work, we investigate the source of the softmax sensitivity to quantization and show that the quantization operation leads to a large bias in the softmax output, causing accuracy degradation. To overcome this issue, we propose an offline bias correction technique that improves the quantizability of softmax without additional compute during deployment, as it can be readily absorbed into the quantization parameters. We demonstrate the effectiveness of our method on stable diffusion v1.5 and 125M-size OPT language model, achieving significant accuracy improvement for 8-bit quantized softmax.</t>
  </si>
  <si>
    <t>[Pandey, Nilesh Prasad; Fournarakis, Marios; Patel, Chirag; Nagel, Markus] Qualcomm AI Res, San Diego, CA 92121 USA</t>
  </si>
  <si>
    <t>Pandey, NP (corresponding author), Qualcomm AI Res, San Diego, CA 92121 USA.</t>
  </si>
  <si>
    <t>nileshpr@qti.qualcomm.com; mfournar@qti.qualcomm.com; cpatel@qti.qualcomm.com; markusn@qti.qualcomm.com</t>
  </si>
  <si>
    <t>2473-9936</t>
  </si>
  <si>
    <t>979-8-3503-0744-3</t>
  </si>
  <si>
    <t>IEEE INT CONF COMP V</t>
  </si>
  <si>
    <t>10.1109/ICCVW60793.2023.00157</t>
  </si>
  <si>
    <t>Computer Science, Artificial Intelligence; Computer Science, Theory &amp; Methods; Imaging Science &amp; Photographic Technology</t>
  </si>
  <si>
    <t>BW4XE</t>
  </si>
  <si>
    <t>WOS:001156680301058</t>
  </si>
  <si>
    <t>Giro, R; Hsu, HH; Kishimoto, A; Hama, T; Neumann, RF; Luan, BQ; Takeda, S; Hamada, L; Steiner, MB</t>
  </si>
  <si>
    <t>Giro, Ronaldo; Hsu, Hsianghan; Kishimoto, Akihiro; Hama, Toshiyuki; Neumann, Rodrigo F. F.; Luan, Binquan; Takeda, Seiji; Hamada, Lisa; Steiner, Mathias B. B.</t>
  </si>
  <si>
    <t>AI powered, automated discovery of polymer membranes for carbon capture</t>
  </si>
  <si>
    <t>NPJ COMPUTATIONAL MATERIALS</t>
  </si>
  <si>
    <t>IMPLEMENTING MOLECULAR-DYNAMICS; FORCE-FIELD; DESIGN; ALGORITHMS; SIMULATION; DIOXIDE; PACKAGE</t>
  </si>
  <si>
    <t>The generation of molecules with artificial intelligence (AI) or, more specifically, machine learning (ML), is poised to revolutionize materials discovery. Potential applications range from development of potent drugs to efficient carbon capture and separation technologies. However, existing computational discovery frameworks for polymer membranes lack automated training data creation, generative design, and physical performance validation at meso-scale where complex properties of amorphous materials emerge. The methodological gaps are less relevant to the ML design of individual molecules such as the monomers which constitute the building blocks of polymers. Here, we report automated discovery of complex materials through inverse molecular design which is informed by meso-scale target features and process figures-of-merit. We have explored the multi-scale discovery regime by computationally generating and validating hundreds of polymer candidates designed for application in post-combustion carbon dioxide filtration. Specifically, we have validated each discovery step, from training dataset creation, via graph-based generative design of optimized monomer units, to molecular dynamics simulation of gas permeation through the polymer membranes. For the latter, we have devised a representative elementary volume (REV) enabling permeability simulations at about 1000x the volume of an individual, ML-generated monomer, obtaining quantitative agreement. The discovery-to-validation time per polymer candidate is on the order of 100 h using one CPU and one GPU, offering a computational screening alternative prior to lab validation.</t>
  </si>
  <si>
    <t>[Giro, Ronaldo; Neumann, Rodrigo F. F.; Steiner, Mathias B. B.] IBM Res, Ave Republ Chile 330, BR-20031170 Rio De Janeiro, RJ, Brazil; [Hsu, Hsianghan; Kishimoto, Akihiro; Hama, Toshiyuki; Takeda, Seiji; Hamada, Lisa] IBM Res, 7-7 Shin-Kawasaki, Saiwai Ku, Kawasaki, Kanagawa 2120032, Japan; [Luan, Binquan] IBM Res, 1101 Kitchawan Rd,POB 218, Yorktown Hts, NY 10598 USA</t>
  </si>
  <si>
    <t>Steiner, MB (corresponding author), IBM Res, Ave Republ Chile 330, BR-20031170 Rio De Janeiro, RJ, Brazil.</t>
  </si>
  <si>
    <t>mathiast@br.ibm.com</t>
  </si>
  <si>
    <t>Neumann, Rodrigo/D-8111-2013</t>
  </si>
  <si>
    <t>Neumann, Rodrigo/0000-0003-4435-0507; Giro, Ronaldo/0000-0003-2040-7564</t>
  </si>
  <si>
    <t>2057-3960</t>
  </si>
  <si>
    <t>NPJ COMPUT MATER</t>
  </si>
  <si>
    <t>npj Comput. Mater.</t>
  </si>
  <si>
    <t>JUL 29</t>
  </si>
  <si>
    <t>10.1038/s41524-023-01088-3</t>
  </si>
  <si>
    <t>Chemistry, Physical; Materials Science, Multidisciplinary</t>
  </si>
  <si>
    <t>Chemistry; Materials Science</t>
  </si>
  <si>
    <t>N7XE7</t>
  </si>
  <si>
    <t>WOS:001039089300001</t>
  </si>
  <si>
    <t>Gupta, A; Narayan, S; Khan, S; Khan, FS; Shao, L; van de Weijer, J</t>
  </si>
  <si>
    <t>Gupta, Akshita; Narayan, Sanath; Khan, Salman; Khan, Fahad Shahbaz; Shao, Ling; van de Weijer, Joost</t>
  </si>
  <si>
    <t>Generative Multi-Label Zero-Shot Learning</t>
  </si>
  <si>
    <t>Generalized zero-shot learning; multi-label classification; zero-shot object detection; feature synthesis</t>
  </si>
  <si>
    <t>Multi-label zero-shot learning strives to classify images into multiple unseen categories for which no data is available during training. The test samples can additionally contain seen categories in the generalized variant. Existing approaches rely on learning either shared or label-specific attention from the seen classes. Nevertheless, computing reliable attention maps for unseen classes during inference in a multi-label setting is still a challenge. In contrast, state-of-the-art single-label generative adversarial network (GAN) based approaches learn to directly synthesize the class-specific visual features from the corresponding class attribute embeddings. However, synthesizing multi-label features from GANs is still unexplored in the context of zero-shot setting. When multiple objects occur jointly in a single image, a critical question is how to effectively fuse multi-class information. In this work, we introduce different fusion approaches at the attribute-level, feature-level and cross-level (across attribute and feature-levels) for synthesizing multi-label features from their corresponding multi-label class embeddings. To the best of our knowledge, our work is the first to tackle the problem of multi-label feature synthesis in the (generalized) zero-shot setting. Our cross-level fusion-based generative approach outperforms the state-of-the-art on three zero-shot benchmarks: NUS-WIDE, Open Images and MS COCO. Furthermore, we show the generalization capabilities of our fusion approach in the zero-shot detection task on MS COCO, achieving favorable performance against existing methods.</t>
  </si>
  <si>
    <t>[Gupta, Akshita] Univ Guelph, Vector Inst, Guelph, ON N1G 2W1, Canada; [Narayan, Sanath] Technol Innovat Inst, Abu Dhabi, U Arab Emirates; [Khan, Salman; Khan, Fahad Shahbaz] Mohamed Bin Zayed Univ, Abu Dhabi, U Arab Emirates; [Khan, Salman] Australian Natl Univ, Canberra, ACT 2601, Australia; [Khan, Fahad Shahbaz] Linkoping Univ, S-58183 Linkoping, Sweden; [Shao, Ling] Chinese Acad Sci, UCAS Terminus AI Lab, Beijing 101408, Peoples R China; [van de Weijer, Joost] Univ Autonoma Barcelona, Comp Vis Ctr, Barcelona 08193, Spain</t>
  </si>
  <si>
    <t>University of Guelph; Technology Innovation Institute; Australian National University; Linkoping University; Chinese Academy of Sciences; Autonomous University of Barcelona; Centre de Visio per Computador (CVC)</t>
  </si>
  <si>
    <t>Gupta, A (corresponding author), Univ Guelph, Vector Inst, Guelph, ON N1G 2W1, Canada.</t>
  </si>
  <si>
    <t>akshita.sem.iitr@gmail.com; sanathn@gmail.com; salman.khan@mbzuai.ac.ae; fahad.khan@liu.se; ling.shao@ieee.org; joost@cvc.uab.es</t>
  </si>
  <si>
    <t>; Khan, Salman Hameed/M-4834-2016</t>
  </si>
  <si>
    <t>van de Weijer, Joost/0000-0002-9656-9706; Khan, Salman Hameed/0000-0002-9502-1749</t>
  </si>
  <si>
    <t>[PID2021-128178OB-I00]</t>
  </si>
  <si>
    <t>This work was supported by PID2021-128178OB-I00.</t>
  </si>
  <si>
    <t>10.1109/TPAMI.2023.3295772</t>
  </si>
  <si>
    <t>WOS:001104973300034</t>
  </si>
  <si>
    <t>Jittrapirom, P; Bekius, F; Führer, K</t>
  </si>
  <si>
    <t>Jittrapirom, Peraphan; Bekius, Femke; Fuhrer, Karoline</t>
  </si>
  <si>
    <t>Visioning future transport systems with an integrated robust and generative framework</t>
  </si>
  <si>
    <t>LAND-USE; SUSTAINABILITY; CITIES; MOBILITY; POLICY; SPACE</t>
  </si>
  <si>
    <t>Visioning has been widely adopted in transport planning as a method to support explorations of possible future transport systems over a long time horizon. There are vast variations in how visioning is applied but given a clear association between visions and the long-time perspective, it is unclear how these processes handle uncertainty surrounding the resulting visions and their implementation. This study reflects on previous visioning processes by systematically reviewing the scientific publications on participatory visioning in passenger transport. The review identifies possible improvements contributing to a systematic approach that produces concrete visions and actions to deal with uncertainties surrounding the vision and its implementation. We address these improvements by proposing a robust and generative visioning framework, which combines the generative approach in Appreciative Inquiry (Ai) and methods to handle uncertainty in the Dynamic Adaptive Planning (DAP). The framework is illustrated in a case study of the Southwest area of the Dutch city of the Hague that involved over 50 participants in a survey and two workshops. The process produced a vision for the mobility system of the area, a set of measures to realize it (i.e. pathways), and concrete actions to ensure that the pathways are robust against different futures that can affect the implementation. The approach can help planners, policymakers, and researchers in designing a visioning process that helps participants to better appreciate the temporal dimension of the visioning process and improves their awareness regarding the need to safeguard policy interventions against possible impacts of (un)certain future events.</t>
  </si>
  <si>
    <t>[Jittrapirom, Peraphan; Bekius, Femke] Radboud Univ Nijmegen, Nijmegen Sch Management, Nijmegen, Netherlands; [Fuhrer, Karoline] Delft Univ Technol, Delft, Netherlands</t>
  </si>
  <si>
    <t>Radboud University Nijmegen; Delft University of Technology</t>
  </si>
  <si>
    <t>Jittrapirom, P (corresponding author), Radboud Univ Nijmegen, Nijmegen Sch Management, Nijmegen, Netherlands.</t>
  </si>
  <si>
    <t>Peraphan.jittrapirom@ru.nl</t>
  </si>
  <si>
    <t>Fuhrer, Karoline/0000-0002-8219-4640</t>
  </si>
  <si>
    <t>Dutch Research Council (NWO) [403.19.215]</t>
  </si>
  <si>
    <t>Dutch Research Council (NWO)(Netherlands Organization for Scientific Research (NWO))</t>
  </si>
  <si>
    <t>This research is funded by a Dutch Research Council (NWO) funding, Grant Id 403.19.215.</t>
  </si>
  <si>
    <t>10.1038/s41598-023-30818-2</t>
  </si>
  <si>
    <t>F7UI3</t>
  </si>
  <si>
    <t>WOS:000984356200012</t>
  </si>
  <si>
    <t>Goktas, P; Karakaya, G; Kalyoncu, AF; Damadoglu, E</t>
  </si>
  <si>
    <t>Goktas, Polat; Karakaya, Gul; Kalyoncu, Ali Fuat; Damadoglu, Ebru</t>
  </si>
  <si>
    <t>Artificial Intelligence Chatbots in Allergy and Immunology Practice: Where Have We Been and Where Are We Going?</t>
  </si>
  <si>
    <t>JOURNAL OF ALLERGY AND CLINICAL IMMUNOLOGY-IN PRACTICE</t>
  </si>
  <si>
    <t>ChatGPT; Artificial intelligence; Allergy; Ethical considerations; AI chatbots; Natural language processing; Generative pretrained transformer; Healthcare</t>
  </si>
  <si>
    <t>Artificial intelligence (AI) is rapidly becoming a valuable tool in healthcare, providing clinicians with a new AI lens perspective for patient care, diagnosis, and treatment. This article explores the potential applications, benefits, and challenges of AI chatbots in clinical settings, with a particular emphasis on ChatGPT 4.0 (OpenAI - Chat generative pretrained transformer 4.0), especially in the field of allergy and immunology. AI chatbots have shown considerable promise in various medical domains, including radiology and dermatology, by improving patient engagement, diagnostic accuracy, and personalized treatment plans. ChatGPT 4.0, developed by OpenAI, is good at understanding and replying to prompts in a way that makes sense. However, it is critical to address the potential biases, data privacy issues, ethical considerations, and the need for verification of AI-generated findings. When used responsibly, AI chatbots can significantly enhance clinical practice in allergy and immunology. However, there are still challenges in using this technology that require ongoing research and collaboration between AI developers and medical specialists. To this end, the ChatGPT 4.0 platform has the potential to enhance patient engagement, improve diagnostic accuracy, and provide personalized treatment plans in allergy and immunology practice. However, limitations and risks must be addressed to ensure their safe and effective use in clinical practice. (C) 2023 The Authors. Published by Elsevier Inc. on behalf of the American Academy of Allergy, Asthma &amp; Immunology. This is an open access article under the CC BY license (http:// creativecommons.org/licenses/by/4.0/).</t>
  </si>
  <si>
    <t>[Goktas, Polat] Univ Coll Dublin, UCD Sch Comp Sci, Dublin, Ireland; [Goktas, Polat] CeADAR Irelands Ctr Appl Artificial Intelligence, Dublin, Ireland; [Karakaya, Gul; Kalyoncu, Ali Fuat; Damadoglu, Ebru] Hacettepe Univ, Sch Med, Dept Chest Dis, Div Allergy &amp; Clin Immunol, Ankara, Turkiye; [Goktas, Polat] Univ Coll Dublin, NexusUCD, Belfield Off Pk,Unit 9, Dublin, Ireland</t>
  </si>
  <si>
    <t>University College Dublin; Hacettepe University; University College Dublin</t>
  </si>
  <si>
    <t>Goktas, P (corresponding author), Univ Coll Dublin, NexusUCD, Belfield Off Pk,Unit 9, Dublin, Ireland.</t>
  </si>
  <si>
    <t>polat.goktas@ucd.ie</t>
  </si>
  <si>
    <t>Goktas, Polat/JRW-9094-2023</t>
  </si>
  <si>
    <t>Goktas, Polat/0000-0001-7183-6890</t>
  </si>
  <si>
    <t>2213-2198</t>
  </si>
  <si>
    <t>2213-2201</t>
  </si>
  <si>
    <t>J ALLER CL IMM-PRACT</t>
  </si>
  <si>
    <t>J. Allergy Clin. Immunol.-Pract.</t>
  </si>
  <si>
    <t>10.1016/j.jaip.2023.05.042</t>
  </si>
  <si>
    <t>Allergy; Immunology</t>
  </si>
  <si>
    <t>S8KV7</t>
  </si>
  <si>
    <t>WOS:001073611400001</t>
  </si>
  <si>
    <t>Yu, ZY; Zhai, SX; Zhang, N</t>
  </si>
  <si>
    <t>Yu, Zhiyuan; Zhai, Shixuan; Zhang, Ning</t>
  </si>
  <si>
    <t>AntiFake: Using Adversarial Audio to Prevent Unauthorized Speech Synthesis</t>
  </si>
  <si>
    <t>Adversarial Machine Learning; Generative AI; Speech Synthesis; DeepFake Defense</t>
  </si>
  <si>
    <t>The rapid development of deep neural networks and generative AI has catalyzed growth in realistic speech synthesis. While this technology has great potential to improve lives, it also leads to the emergence of DeepFake where synthesized speech can be misused to deceive humans and machines for nefarious purposes. In response to this evolving threat, there has been a significant amount of interest in mitigating this threat by DeepFake detection. Complementary to the existing work, we propose to take the preventative approach and introduce AntiFake, a defense mechanism that relies on adversarial examples to prevent unauthorized speech synthesis. To ensure the transferability to attackers' unknown synthesis models, an ensemble learning approach is adopted to improve the generalizability of the optimization process. To validate the efficacy of the proposed system, we evaluated AntiFake against five state-of-the-art synthesizers using real-world DeepFake speech samples. The experiments indicated that AntiFake achieved over 95% protection rate even to unknown black-box models. We have also conducted usability tests involving 24 human participants to ensure the solution is accessible to diverse populations.</t>
  </si>
  <si>
    <t>[Yu, Zhiyuan; Zhai, Shixuan; Zhang, Ning] Washington Univ, St Louis, MO 63110 USA</t>
  </si>
  <si>
    <t>Washington University (WUSTL)</t>
  </si>
  <si>
    <t>Yu, ZY (corresponding author), Washington Univ, St Louis, MO 63110 USA.</t>
  </si>
  <si>
    <t>yu.zhiyuan@wustl.edu; zhais@wustl.edu; zhang.ning@wustl.edu</t>
  </si>
  <si>
    <t>NSF [CNS-1916926, CNS-2038995, CNS-2154930, CNS-2238635]; ARO [W911NF2010141]</t>
  </si>
  <si>
    <t>We thank the reviewers for their valuable feedback. This work is supported in part by the NSF (CNS-1916926, CNS-2038995, CNS-2154930, CNS-2238635), and ARO (W911NF2010141).</t>
  </si>
  <si>
    <t>10.1145/3576915.3623209</t>
  </si>
  <si>
    <t>WOS:001124987200032</t>
  </si>
  <si>
    <t>Firdaus, M; Thangavelu, N; Ekbal, A; Bhattacharyya, P</t>
  </si>
  <si>
    <t>Firdaus, Mauajama; Thangavelu, Naveen; Ekbal, Asif; Bhattacharyya, Pushpak</t>
  </si>
  <si>
    <t>I Enjoy Writing and Playing, Do You?: A Personalized and Emotion Grounded Dialogue Agent Using Generative Adversarial Network</t>
  </si>
  <si>
    <t>IEEE TRANSACTIONS ON AFFECTIVE COMPUTING</t>
  </si>
  <si>
    <t>Natural language generation; persona-aware NLG; conversational AI; empathetic NLG; GAN</t>
  </si>
  <si>
    <t>Social chatbots have gained immense popularity, and their appeal lies in their capacity to respond to diverse requests, but also in their ability to develop an emotional connection with users. To develop and promote social chatbots, we need to concentrate on increasing user interaction and consider both the intellectual and emotional quotient in conversational agents. In this work, we propose the task of empathetic, personalized dialogue generation giving the machine the capability to respond emotionally and in accordance with the persona of the user. We design a generative adversarial framework, named EP-GAN (Empathy and Persona aware Generative Adversarial Network) to generate responses that are sensitive to the emotion of the user and corresponds to the persona. The persona information is encoded as memory vectors that, along with the dialogue history, are fed to the decoder for generation. An interactive adversarial learning framework is implemented to verify whether the generated responses elicit the emotion and persona in dialogues. Experimental results show that the EP-GAN framework significantly outperforms the existing baselines for both automatic and manual evaluation. We achieve an improvement of 1 point BLEU-4 and 2 points in the emotion accuracy metric compared to the best performing baseline.</t>
  </si>
  <si>
    <t>[Firdaus, Mauajama; Thangavelu, Naveen; Ekbal, Asif] IIT Patna, Dept Comp Sci &amp; Engn, Patna 801106, Bihar, India; [Bhattacharyya, Pushpak] Indian Inst Technol, Dept Comp Sci &amp; Engn, Mumbai 400076, Maharashtra, India</t>
  </si>
  <si>
    <t>Indian Institute of Technology (IIT) - Patna; Indian Institute of Technology System (IIT System); Indian Institute of Technology System (IIT System); Indian Institute of Technology (IIT) - Bombay</t>
  </si>
  <si>
    <t>Ekbal, A (corresponding author), IIT Patna, Dept Comp Sci &amp; Engn, Patna 801106, Bihar, India.</t>
  </si>
  <si>
    <t>mauzama.03@gmail.com; tnaveen1998@gmail.com; asif@iitp.ac.in; pushpakbh@gmail.com</t>
  </si>
  <si>
    <t>; Ekbal, Asif/I-6203-2016</t>
  </si>
  <si>
    <t>Firdaus, Mauajama/0000-0001-7485-5974; Ekbal, Asif/0000-0003-3612-8834</t>
  </si>
  <si>
    <t>Sevak-An Intelligent Indian Language Chatbot, in part by IMPRINT-II, SERB, Govt. of India; Visvesvaraya PhD scheme for Electronics and IT, Ministry of Electronics and Information Technology (MeitY), Government of India; [IMP/2018/002072]</t>
  </si>
  <si>
    <t>Sevak-An Intelligent Indian Language Chatbot, in part by IMPRINT-II, SERB, Govt. of India; Visvesvaraya PhD scheme for Electronics and IT, Ministry of Electronics and Information Technology (MeitY), Government of India;</t>
  </si>
  <si>
    <t>This work was supported in part by the Project titled Sevak-An Intelligent Indian Language Chatbot, in part by IMPRINT-II, SERB, Govt. of India (IMP/2018/002072). The work of Asif Ekbal acknowledges the Young Faculty Research Fellowship (YFRF), supported by Visvesvaraya PhD scheme for Electronics and IT, Ministry of Electronics and Information Technology (MeitY), Government of India, being implemented by Digital India Corporation (for-merly Media Lab Asia).</t>
  </si>
  <si>
    <t>1949-3045</t>
  </si>
  <si>
    <t>IEEE T AFFECT COMPUT</t>
  </si>
  <si>
    <t>IEEE Trans. Affect. Comput.</t>
  </si>
  <si>
    <t>JUL-SEP</t>
  </si>
  <si>
    <t>10.1109/TAFFC.2022.3155105</t>
  </si>
  <si>
    <t>T0NN8</t>
  </si>
  <si>
    <t>WOS:001075041900032</t>
  </si>
  <si>
    <t>Rusinko, A; Rezaei, M; Friedrich, L; Buchstaller, HP; Kuhn, D; Ghogare, A</t>
  </si>
  <si>
    <t>Rusinko, Andrew; Rezaei, Mohammad; Friedrich, Lukas; Buchstaller, Hans-Peter; Kuhn, Daniel; Ghogare, Ashwini</t>
  </si>
  <si>
    <t>AIDDISON: Empowering Drug Discovery with AI/ML and CADD Tools in a Secure, Web-Based SaaS Platform</t>
  </si>
  <si>
    <t>JOURNAL OF CHEMICAL INFORMATION AND MODELING</t>
  </si>
  <si>
    <t>BETA-CATENIN; COLORECTAL-CANCER; STRUCTURAL BASIS; OVEREXPRESSION; CARCINOMA; CTNNB1</t>
  </si>
  <si>
    <t>The widespread proliferation of artificial intelligence (AI) and machine learning (ML) methods has a profound effect on the drug discovery process. However, many scientists are reluctant to utilize these powerful tools due to the steep learning curve typically associated with them. AIDDISON offers a convenient, secure, web-based platform for drug discovery, addressing the reluctance of scientists to adopt AI and ML methods due to the steep learning curve. By seamlessly integrating generative models, ADMET property predictions, searches in vast chemical spaces, and molecular docking, AIDDISON provides a sophisticated platform for modern drug discovery. It enables less computer-savvy scientists to utilize these powerful tools in their daily activities, as demonstrated by an example of identifying a valuable set of molecules for lead optimization. With AIDDISON, the benefits of AI/ML in drug discovery are accessible to all.</t>
  </si>
  <si>
    <t>[Rusinko, Andrew; Rezaei, Mohammad; Ghogare, Ashwini] MilliporeSigma, Burlington, MA 01803 USA; [Friedrich, Lukas; Buchstaller, Hans-Peter; Kuhn, Daniel] Merck Healthcare KGaA, Med Chem &amp; Drug Design, D-64293 Darmstadt, Germany</t>
  </si>
  <si>
    <t>Merck KGaA; MilliporeSigma</t>
  </si>
  <si>
    <t>Ghogare, A (corresponding author), MilliporeSigma, Burlington, MA 01803 USA.;Kuhn, D (corresponding author), Merck Healthcare KGaA, Med Chem &amp; Drug Design, D-64293 Darmstadt, Germany.</t>
  </si>
  <si>
    <t>daniel.kuhn@merckgroup.com; ashwini.ghogare@milliporesigma.com</t>
  </si>
  <si>
    <t>Buchstaller, Hans-Peter/0000-0002-0577-8319</t>
  </si>
  <si>
    <t>1549-9596</t>
  </si>
  <si>
    <t>1549-960X</t>
  </si>
  <si>
    <t>J CHEM INF MODEL</t>
  </si>
  <si>
    <t>J. Chem Inf. Model.</t>
  </si>
  <si>
    <t>DEC 22</t>
  </si>
  <si>
    <t>10.1021/acs.jcim.3c01016</t>
  </si>
  <si>
    <t>Chemistry, Medicinal; Chemistry, Multidisciplinary; Computer Science, Information Systems; Computer Science, Interdisciplinary Applications</t>
  </si>
  <si>
    <t>Pharmacology &amp; Pharmacy; Chemistry; Computer Science</t>
  </si>
  <si>
    <t>EI7S4</t>
  </si>
  <si>
    <t>WOS:001138367600001</t>
  </si>
  <si>
    <t>Wölflein, G; Um, IH; Harrison, DJ; Arandjelovic, O</t>
  </si>
  <si>
    <t>Wolflein, Georg; Um, In Hwa; Harrison, David J.; Arandjelovic, Ognjen</t>
  </si>
  <si>
    <t>HoechstGAN: Virtual Lymphocyte Staining Using Generative Adversarial Networks</t>
  </si>
  <si>
    <t>CELL; STANDARDIZATION; CLASSIFICATION; SYSTEM; TUMORS</t>
  </si>
  <si>
    <t>The presence and density of specific types of immune cells are important to understand a patient's immune response to cancer. However, immunofluorescence staining required to identify T cell subtypes is expensive, time-consuming, and rarely performed in clinical settings. We present a framework to virtually stain Hoechst images (which are cheap and widespread) with both CD3 and CD8 to identify T cell subtypes in clear cell renal cell carcinoma using generative adversarial networks. Our proposed method jointly learns both staining tasks, incentivising the network to incorporate mutually beneficial information from each task. We devise a novel metric to quantify the virtual staining quality, and use it to evaluate our method.</t>
  </si>
  <si>
    <t>[Wolflein, Georg; Arandjelovic, Ognjen] Univ St Andrews, Sch Comp Sci, St Andrews, Scotland; [Um, In Hwa; Harrison, David J.] Univ St Andrews, Sch Med, St Andrews, Scotland; [Harrison, David J.] Lothian NHS Univ Hosp, Div Lab Med, Edinburgh, Scotland</t>
  </si>
  <si>
    <t>University of St Andrews; University of St Andrews</t>
  </si>
  <si>
    <t>Wölflein, G (corresponding author), Univ St Andrews, Sch Comp Sci, St Andrews, Scotland.</t>
  </si>
  <si>
    <t>georg@woelflein.de</t>
  </si>
  <si>
    <t>harrison, david/0000-0001-9041-9988; Wolflein, Georg/0000-0002-0407-7617</t>
  </si>
  <si>
    <t>Lothian NHS; European Union's Horizon 2020 research and innovation programme as part of the KATY project [101017453]; Industrial Centre for AI Research in Digital Diagnostics - Innovate UK on behalf of UK Research and Innovation (UKRI) [104690]</t>
  </si>
  <si>
    <t>Lothian NHS; European Union's Horizon 2020 research and innovation programme as part of the KATY project; Industrial Centre for AI Research in Digital Diagnostics - Innovate UK on behalf of UK Research and Innovation (UKRI)</t>
  </si>
  <si>
    <t>GW is supported by Lothian NHS. This project received funding from the European Union's Horizon 2020 research and innovation programme under Grant Agreement No. 101017453 as part of the KATY project. This work is supported in part by the Industrial Centre for AI Research in Digital Diagnostics (iCAIRD) which is funded by Innovate UK on behalf of UK Research and Innovation (UKRI) (project number 104690).</t>
  </si>
  <si>
    <t>10.1109/WACV56688.2023.00497</t>
  </si>
  <si>
    <t>WOS:000971500205010</t>
  </si>
  <si>
    <t>Lee, J; Lee, M</t>
  </si>
  <si>
    <t>Lee, Jina; Lee, Minhyeok</t>
  </si>
  <si>
    <t>FIDGAN: A Generative Adversarial Network with An Inception Distance</t>
  </si>
  <si>
    <t>2023 INTERNATIONAL CONFERENCE ON ARTIFICIAL INTELLIGENCE IN INFORMATION AND COMMUNICATION, ICAIIC</t>
  </si>
  <si>
    <t>Conference on Artificial Intelligence in Information and Communication</t>
  </si>
  <si>
    <t>5th International Conference on Artificial Intelligence in Information and Communication (ICAIIC)</t>
  </si>
  <si>
    <t>FEB 20-23, 2023</t>
  </si>
  <si>
    <t>Bali, INDONESIA</t>
  </si>
  <si>
    <t>IEEE,IEEE Commun Soc,Korean Inst Commun &amp; Informat Sci,IEICE Commun Soc,Elect &amp; Telecommunicat Res Inst,Korea Elect Technol Inst,Inst Informat &amp; Commun Technol Planning &amp; Evaluat,Samsung Elect,LG Elect,KT,SK Telecom,LG U+,ESG Convergence Forum,Kookmin Univ, Internet Energy Res Ctr,Kyungpook Natl Univ, Ctr ICT &amp; Automot Convergence,Kookmin Univ, AI Mobil Res Inst</t>
  </si>
  <si>
    <t>generative adversarial network; Frechet Inception distance; image generation; sample generation; generative models</t>
  </si>
  <si>
    <t>Two evaluation metrics for GAN models have been proposed in existing studies: Inception score (IS) and Frechet Inception distance (FID). We propose a new GAN model based on the idea that backpropagating the FID score would guide the GAN to efficiently learn the distribution of real images and generate high-quality images. Based on such an idea, we propose a training loss for the generator to minimize a modified FID loss. Trained with the CIFAR-10 dataset, FIDGAN exhibited an FID of 11.78, which corresponds to a reduced FID compared to an existing model called BigGAN by 20.0%.</t>
  </si>
  <si>
    <t>[Lee, Jina; Lee, Minhyeok] Chung Ang Univ, Sch Elect &amp; Elect Engn, Seoul, South Korea</t>
  </si>
  <si>
    <t>Chung Ang University</t>
  </si>
  <si>
    <t>Lee, M (corresponding author), Chung Ang Univ, Sch Elect &amp; Elect Engn, Seoul, South Korea.</t>
  </si>
  <si>
    <t>wlsklee98@cau.ac.kr; mlee@cau.ac.kr</t>
  </si>
  <si>
    <t>Lee, Minhyeok/AAD-6000-2019</t>
  </si>
  <si>
    <t>Lee, Minhyeok/0000-0003-2562-172X</t>
  </si>
  <si>
    <t>National Research Foundation of Korea (NRF) - Korea government (MSIT) [2021R1F1A1050977]</t>
  </si>
  <si>
    <t>National Research Foundation of Korea (NRF) - Korea government (MSIT)(National Research Foundation of KoreaMinistry of Science, ICT &amp; Future Planning, Republic of KoreaMinistry of Science &amp; ICT (MSIT), Republic of Korea)</t>
  </si>
  <si>
    <t>This work was supported by the National Research Foundation of Korea (NRF) grants funded by the Korea government (MSIT) (No. 2021R1F1A1050977)</t>
  </si>
  <si>
    <t>2831-6991</t>
  </si>
  <si>
    <t>978-1-6654-5645-6</t>
  </si>
  <si>
    <t>Art Intel Info Commu</t>
  </si>
  <si>
    <t>10.1109/ICAIIC57133.2023.10066964</t>
  </si>
  <si>
    <t>Computer Science, Artificial Intelligence; Computer Science, Interdisciplinary Applications; Engineering, Electrical &amp; Electronic</t>
  </si>
  <si>
    <t>BV2ZU</t>
  </si>
  <si>
    <t>WOS:001012997600073</t>
  </si>
  <si>
    <t>Fink, T; Almila, A; Salah, A</t>
  </si>
  <si>
    <t>Fink, Thomas; Almila, Alkim; Salah, Akdag</t>
  </si>
  <si>
    <t>Extending the Visual Arts Experience: Sonifying Paintings with AI</t>
  </si>
  <si>
    <t>Artwork sonification; Generative music models; High level visual feature sonification; Low level visual feature sonification</t>
  </si>
  <si>
    <t>Sonification of visual information is a relatively new research line that aims to create a new way to access and experience visual displays, especially for the visually impaired. When applied to artworks, sonification needs to translate the aesthetic experience as well. This is attempted via a handful studies in the literature, where most of the transformation and music generation is done manually, or only by using the low level visual features of artworks. In this paper, we present a sonification model that uses both low level and high level features such as color, edge information, saliency, object and scene detection to create a pleasant and descriptive sonification of artworks with the use of a fully automatic pipeline. The results of the model are tested via interviews done with experts in music theory and generative music models. We found a high agreement among experts for the evaluation of a small set of sonified paintings. Addition of high level features such as sounds extracted from the scene played a big role in this. Among the challenges observed during the interviews was the need to add emotion and mood information as well as semantic information to the sonification in order to create more descriptive melodies and sounds. The complexity and ambiguity of the visual information generated the most disagreement among experts both in their interpretation of the paintings as well as their sonifications.</t>
  </si>
  <si>
    <t>[Fink, Thomas; Almila, Alkim; Salah, Akdag] Univ Utrecht, Informat &amp; Comp Sci, Utrecht, Netherlands</t>
  </si>
  <si>
    <t>Utrecht University</t>
  </si>
  <si>
    <t>Salah, A (corresponding author), Univ Utrecht, Informat &amp; Comp Sci, Utrecht, Netherlands.</t>
  </si>
  <si>
    <t>a.a.akdag@uu.nl</t>
  </si>
  <si>
    <t>Akdag, Almila/HDN-7084-2022</t>
  </si>
  <si>
    <t>Akdag, Almila/0000-0002-7204-5633</t>
  </si>
  <si>
    <t>10.1007/978-3-031-29956-8_7</t>
  </si>
  <si>
    <t>WOS:000999872400007</t>
  </si>
  <si>
    <t>Peter, SD; Cancino-Chacón, CE; Karystinaios, E; Widmer, G</t>
  </si>
  <si>
    <t>Peter, Silvan David; Cancino-Chacon, Carlos Eduardo; Karystinaios, Emmanouil; Widmer, Gerhard</t>
  </si>
  <si>
    <t>Sounding Out Reconstruction Error-Based Evaluation of Generative Models of Expressive Performance</t>
  </si>
  <si>
    <t>THE 10TH INTERNATIONAL CONFERENCE ON DIGITAL LIBRARIES FOR MUSICOLOGY, DLFM 2023</t>
  </si>
  <si>
    <t>10th International Conference on Digital Libraries for Musicology (DLfM)</t>
  </si>
  <si>
    <t>NOV 10, 2023</t>
  </si>
  <si>
    <t>Milan, ITALY</t>
  </si>
  <si>
    <t>RISM Digital Ctr,LinkedMusic,Software Sustainabil Inst,Social Sci &amp; Humanities Res Council India</t>
  </si>
  <si>
    <t>Performance; Expression; Evaluation; Validity; Listening Study</t>
  </si>
  <si>
    <t>MUSIC PERFORMANCE; PIANO PERFORMANCE</t>
  </si>
  <si>
    <t>Generative models of expressive piano performance are usually assessed by comparing their predictions to a reference human performance. A generative algorithm is taken to be better than competing ones if it produces performances that are closer to a human reference performance. However, expert human performers can (and do) interpret music in different ways, making for different possible references, and quantitative closeness is not necessarily aligned with perceptual similarity, raising concerns about the validity of this evaluation approach. In this work, we present a number of experiments that shed light on this problem. Using precisely measured high-quality performances of classical piano music, we carry out a listening test indicating that listeners can sometimes perceive subtle performance difference that go unnoticed under quantitative evaluation. We further present tests that indicate that such evaluation frameworks show a lot of variability in reliability and validity across different reference performances and pieces. We discuss these results and their implications for quantitative evaluation, and hope to foster a critical appreciation of the uncertainties involved in quantitative assessments of such performances within the wider music information retrieval (MIR) community.</t>
  </si>
  <si>
    <t>[Peter, Silvan David; Cancino-Chacon, Carlos Eduardo; Karystinaios, Emmanouil; Widmer, Gerhard] Johannes Kepler Univ Linz, Linz, Austria</t>
  </si>
  <si>
    <t>Johannes Kepler University Linz</t>
  </si>
  <si>
    <t>Peter, SD (corresponding author), Johannes Kepler Univ Linz, Linz, Austria.</t>
  </si>
  <si>
    <t>silvan.peter@jku.at; carlos_eduardo.cancino_chacon@jku.at; emmanouil.karystinaios@jku.at; gerhard.widmer@jku.at</t>
  </si>
  <si>
    <t>; Widmer, Gerhard/B-8218-2017</t>
  </si>
  <si>
    <t>Peter, Silvan David/0009-0000-8328-291X; Widmer, Gerhard/0000-0003-3531-1282</t>
  </si>
  <si>
    <t>European Research Council (ERC) under the EU [101019375]; Federal State of Upper Austria (LIT AI Lab)</t>
  </si>
  <si>
    <t>European Research Council (ERC) under the EU(European Research Council (ERC)); Federal State of Upper Austria (LIT AI Lab)</t>
  </si>
  <si>
    <t>This work is supported by the European Research Council (ERC) under the EU's Horizon 2020 research &amp; innovation programme, grant agreement No. 101019375 (Whither Music?), and the Federal State of Upper Austria (LIT AI Lab).</t>
  </si>
  <si>
    <t>979-8-4007-0833-6</t>
  </si>
  <si>
    <t>10.1145/3625135.3625141</t>
  </si>
  <si>
    <t>Computer Science, Information Systems; Computer Science, Interdisciplinary Applications; Music</t>
  </si>
  <si>
    <t>Computer Science; Music</t>
  </si>
  <si>
    <t>BW3KL</t>
  </si>
  <si>
    <t>WOS:001139082400009</t>
  </si>
  <si>
    <t>Bringsjord, S; Slowik, J; Govindarajulu, NS; Giancola, M; Oswald, J; Ghosh, R</t>
  </si>
  <si>
    <t>Bringsjord, Selmer; Slowik, John; Govindarajulu, Naveen Sundar; Giancola, Michael; Oswald, James; Ghosh, Rikhiya</t>
  </si>
  <si>
    <t>Affect-based Planning for a Meta-Cognitive Robot Sculptor: First Steps</t>
  </si>
  <si>
    <t>creativity; AI; cognitive robotics; sculpture; logic-based AI</t>
  </si>
  <si>
    <t>EMOTION</t>
  </si>
  <si>
    <t>Today's so-called generative AI is in the minds of some capable of specifically generating genuine visual art; DALLE is an example. While in fact intensely skeptical, we grant for the sake of argument that the likes of DALL-E can in fact generate genuine visual art. However, we observe that fine visual artistry is by no means monolithic; in particular, some forms of fine visual artistry are seemingly harder than others for artificial agents to achieve. In the traditional ontology, perhaps the very hardest type of fine visual artistry for an AI to achieve is literary sculpture, an activity carried out in the human sphere at the very highest level by Rodin. Artificial agents that operate in this sphere must for obvious reasons be cognitive robots. We explain such literary sculpture in broad terms, making clear that it's undertaken by the sculptor in question with the aim of bringing about certain affective states in the mind of the viewer of the sculpture. In short, literary sculpting is affect-driven. We provide a case study of robot sculpting, with help from pre-existing logic-based formalisms and automated-reasoning technology, and the cognitive robot PERI.2, operating as a sculptor. To our knowledge, ours is the very first foray into literary sculpture in AI and cognitive robotics.</t>
  </si>
  <si>
    <t>[Bringsjord, Selmer; Slowik, John; Govindarajulu, Naveen Sundar; Giancola, Michael; Oswald, James] Rensselaer Polytech Inst RPI, Rensselaer AI &amp; Reasoning RAIR Lab, Troy, NY 12180 USA; [Ghosh, Rikhiya] Icahn Sch Med Mt Sinai, Huang Lab, Computat Omics, New York, NY 10029 USA</t>
  </si>
  <si>
    <t>Rensselaer Polytechnic Institute; Icahn School of Medicine at Mount Sinai</t>
  </si>
  <si>
    <t>Bringsjord, S (corresponding author), Rensselaer Polytech Inst RPI, Rensselaer AI &amp; Reasoning RAIR Lab, Troy, NY 12180 USA.</t>
  </si>
  <si>
    <t>selmer.bringsjord@gmail.com; slowij2@rpi.edu; naveensundarg@gmail.com; mike.j.giancola@gmail.com; jamesoswald111@gmail.com; rikrixa@gmail.com</t>
  </si>
  <si>
    <t>ONR AFOSR</t>
  </si>
  <si>
    <t>R&amp;D herein supported by ONR &amp; AFOSR;</t>
  </si>
  <si>
    <t>10.1109/ACIIW59127.2023.10388202</t>
  </si>
  <si>
    <t>WOS:001161364800088</t>
  </si>
  <si>
    <t>Latikka, R; Bergdahl, J; Savela, N; Oksanen, A</t>
  </si>
  <si>
    <t>Latikka, Rita; Bergdahl, Jenna; Savela, Nina; Oksanen, Atte</t>
  </si>
  <si>
    <t>AI as an Artist? A Two-Wave Survey Study on Attitudes Toward Using Artificial Intelligence in Art</t>
  </si>
  <si>
    <t>POETICS</t>
  </si>
  <si>
    <t>artificial intelligence; attitudes; art; culture; self-determination theory; survey study</t>
  </si>
  <si>
    <t>SELF-DETERMINATION THEORY; USER ACCEPTANCE; TECHNOLOGY; INFORMATION; MODEL</t>
  </si>
  <si>
    <t>Artificial intelligence (AI) technologies have developed rapidly, and generative AI in particular challenges human creativity. Therefore, people's perspectives about this transformative change involving creativity and art must be examined. We investigated attitudes toward using AI in art from the perspective of self-determination theory. We used data from a two-wave survey of Finnish respondents aged 18-80 years (n = 828) to analyze within- and between-person effects using hybrid multilevel regression modelling. We measured positive attitudes toward using AI in (a) the art and culture field in general, (b) music, (c) visual arts, (d) detecting forged art, and (e) creating art. The main independent variables were the basic psychological needs (perceived relatedness, autonomy, and competence) in using new technologies. The results showed that participants were less positive toward using AI in the art and culture field in general compared to many other fields, such as medicine and building and real estate technology. Stronger relatedness had within- and between-person effects on positive attitudes on using AI in the art and culture field in general, as well as in music, visual arts, and creating art. Stronger autonomy had withinand between-person effects on positive attitudes on using AI in detecting forged art and creating art. The results indicate that human needs for relatedness and autonomy are important in attitudes toward using AI in art. Hence, positive personal experiences with the use of new technology are likely to affect how people perceive the introduction of AI to the art field, which has been considered the last human frontier in the technological world.</t>
  </si>
  <si>
    <t>[Latikka, Rita; Bergdahl, Jenna; Oksanen, Atte] Tampere Univ, Fac Social Sci, Tampere, Finland; [Savela, Nina] LUT Univ, Dept Social Sci, Lappeenranta, Finland; [Latikka, Rita] Tampere Univ, MSocSci, Kalevantie 4, Tampere 33100, Finland</t>
  </si>
  <si>
    <t>Tampere University; Lappeenranta-Lahti University of Technology LUT; Tampere University</t>
  </si>
  <si>
    <t>Latikka, R (corresponding author), Tampere Univ, MSocSci, Kalevantie 4, Tampere 33100, Finland.</t>
  </si>
  <si>
    <t>rita.latikka@tuni.fi</t>
  </si>
  <si>
    <t>Savela, Nina/AAV-7953-2021</t>
  </si>
  <si>
    <t>Savela, Nina/0000-0002-7042-6889; Latikka, Rita/0000-0003-3798-0017; Bergdahl, Jenna/0009-0006-7217-4159</t>
  </si>
  <si>
    <t>Kone Foundation; [202011325]</t>
  </si>
  <si>
    <t>Kone Foundation;</t>
  </si>
  <si>
    <t>This research received funding from the Kone Foundation (Urban utopias and dystopias: artificial intelligence in art and society [UrbanAI] project 2021-2024, Grant 202011325, PI: Atte Oksanen) . The data that support the findings of this study will be made available in the Finnish Social Science Data Archive after the UrbanAI-project.</t>
  </si>
  <si>
    <t>0304-422X</t>
  </si>
  <si>
    <t>1872-7514</t>
  </si>
  <si>
    <t>Poetics</t>
  </si>
  <si>
    <t>10.1016/j.poetic.2023.101839</t>
  </si>
  <si>
    <t>Literature; Sociology</t>
  </si>
  <si>
    <t>Z0SQ2</t>
  </si>
  <si>
    <t>WOS:001109270900001</t>
  </si>
  <si>
    <t>Semrl, N; Feigl, S; Taumberger, N; Bracic, T; Fluhr, H; Blockeel, C; Kollmann, M</t>
  </si>
  <si>
    <t>Semrl, N.; Feigl, S.; Taumberger, N.; Bracic, T.; Fluhr, H.; Blockeel, C.; Kollmann, M.</t>
  </si>
  <si>
    <t>AI language models in human reproduction research: exploring ChatGPT's potential to assist academic writing</t>
  </si>
  <si>
    <t>HUMAN REPRODUCTION</t>
  </si>
  <si>
    <t>artificial intelligence; language models; ChatGPT; academic writing; reproductive medicine</t>
  </si>
  <si>
    <t>Artificial intelligence (AI)-driven language models have the potential to serve as an educational tool, facilitate clinical decision-making, and support research and academic writing. The benefits of their use are yet to be evaluated and concerns have been raised regarding the accuracy, transparency, and ethical implications of using this AI technology in academic publishing. At the moment, Chat Generative Pre-trained Transformer (ChatGPT) is one of the most powerful and widely debated AI language models. Here, we discuss its feasibility to answer scientific questions, identify relevant literature, and assist writing in the field of human reproduction. With consideration of the scarcity of data on this topic, we assessed the feasibility of ChatGPT in academic writing, using data from six meta-analyses published in a leading journal of human reproduction. The text generated by ChatGPT was evaluated and compared to the original text by blinded reviewers. While ChatGPT can produce high-quality text and summarize information efficiently, its current ability to interpret data and answer scientific questions is limited, and it cannot be relied upon for a literature search or accurate source citation due to the potential spread of incomplete or false information. We advocate for open discussions within the reproductive medicine research community to explore the advantages and disadvantages of implementing this AI technology. Researchers and reviewers should be informed about AI language models, and we encourage authors to transparently disclose their use.</t>
  </si>
  <si>
    <t>[Semrl, N.; Feigl, S.; Taumberger, N.; Bracic, T.; Fluhr, H.; Kollmann, M.] Med Univ Graz, Dept Obstet &amp; Gynecol, Graz, Austria; [Blockeel, C.] Univ Ziekenhuis Brussel UZ Brussel, Ctr Reprod Med, Brussels, Belgium; [Taumberger, N.] Med Univ Graz, Auenbrugger pl 14, A-8036 Graz, Austria</t>
  </si>
  <si>
    <t>Medical University of Graz; University Hospital Brussels; Vrije Universiteit Brussel; Medical University of Graz</t>
  </si>
  <si>
    <t>Taumberger, N (corresponding author), Med Univ Graz, Auenbrugger pl 14, A-8036 Graz, Austria.</t>
  </si>
  <si>
    <t>nadja.taumberger@medunigraz.at</t>
  </si>
  <si>
    <t>Taumberger, Nadja/0000-0002-8969-7064; Semrl, Neli/0000-0003-0199-605X</t>
  </si>
  <si>
    <t>0268-1161</t>
  </si>
  <si>
    <t>1460-2350</t>
  </si>
  <si>
    <t>HUM REPROD</t>
  </si>
  <si>
    <t>Hum. Reprod.</t>
  </si>
  <si>
    <t>10.1093/humrep/dead207</t>
  </si>
  <si>
    <t>GC4E6</t>
  </si>
  <si>
    <t>WOS:001083309500001</t>
  </si>
  <si>
    <t>Hernandez, CA; Gonzalez, AEV; Polianovskaia, A; Sanchez, RA; Arce, VM; Mustafa, A; Vypritskaya, E; Gutierrez, OP; Bashir, M; Sedeh, AE</t>
  </si>
  <si>
    <t>Hernandez, Carlos A.; Gonzalez, Andres E. Vazquez; Polianovskaia, Anastasiia; Sanchez, Rafael Amoro; Arce, Veronica Muyolema; Mustafa, Ahmed; Vypritskaya, Ekaterina; Gutierrez, Oscar Perez; Bashir, Muhammad; Sedeh, Ashkan Eighaei</t>
  </si>
  <si>
    <t>The Future of Patient Education: AI-Driven Guide for Type 2 Diabetes</t>
  </si>
  <si>
    <t>artificial intelligence; type 2 diabetes; patient education; health education; openai; diabetes; chatgpt</t>
  </si>
  <si>
    <t>Introduction and aimThe surging incidence of type 2 diabetes has become a growing concern for the healthcare sector. This chronic ailment, characterized by its complex blend of genetic and lifestyle determinants, has witnessed a notable increase in recent times, exerting substantial pressure on healthcare resources. As more individuals turn to online platforms for health guidance and embrace the utilization of Chat Generative Pre-trained Transformer (ChatGPT; San Francisco, CA: OpenAI), a text-generating AI (TGAI), to get insights into their well-being, evaluating its effectiveness and reliability becomes crucial. This research primarily aimed to evaluate the correctness of TGAI responses to type 2 diabetes (T2DM) inquiries via ChatGPT. Furthermore, this study aimed to examine the consistency of TGAI in addressing common queries on T2DM complications for patient education.Material and methods Questions on T2DM were formulated by experienced physicians and screened by research personnel before querying ChatGPT. Each question was posed thrice, and the collected answers were summarized. Responses were then sorted into three distinct categories as follows: (a) appropriate, (b) inappropriate, and (c) unreliable by two seasoned physicians. In instances of differing opinions, a third physician was consulted to achieve consensus.ResultsFrom the initial set of 110 T2DM questions, 40 were dismissed by experts for relevance, resulting in a final count of 70. An overwhelming 98.5% of the AI's answers were judged as appropriate, thus underscoring its reliability over traditional online search engines. Nonetheless, a 1.5% rate of inappropriate responses underlines the importance of ongoing AI improvements and strict adherence to medical protocols.ConclusionTGAI provides medical information of high quality and reliability. This study underscores TGAI's impressive effectiveness in delivering reliable information about T2DM, with 98.5% of responses aligning with the standard of care. These results hold promise for integrating AI platforms as supplementary tools to enhance patient education and outcomes.</t>
  </si>
  <si>
    <t>[Hernandez, Carlos A.] Ross Univ, Sch Med, Internal Med, Bridgetown, Barbados; [Gonzalez, Andres E. Vazquez; Polianovskaia, Anastasiia; Sanchez, Rafael Amoro; Arce, Veronica Muyolema; Mustafa, Ahmed; Vypritskaya, Ekaterina; Gutierrez, Oscar Perez; Bashir, Muhammad; Sedeh, Ashkan Eighaei] Capital Hlth Syst, Internal Med, Trenton, NJ 08638 USA</t>
  </si>
  <si>
    <t>Sedeh, AE (corresponding author), Capital Hlth Syst, Internal Med, Trenton, NJ 08638 USA.</t>
  </si>
  <si>
    <t>aeighaeisedeh@capitalhealth.org</t>
  </si>
  <si>
    <t>Eighaei Sedeh MD, Ashkan/0000-0002-9849-4082</t>
  </si>
  <si>
    <t>e48919</t>
  </si>
  <si>
    <t>10.7759/cureus.48919</t>
  </si>
  <si>
    <t>Z1KZ7</t>
  </si>
  <si>
    <t>WOS:001109754900025</t>
  </si>
  <si>
    <t>Kao, PY; Yang, YC; Chiang, WY; Hsiao, JY; Cao, YD; Aliper, A; Ren, F; Aspuru-Guzik, A; Zhavoronkov, A; Hsieh, MH; Lin, YC</t>
  </si>
  <si>
    <t>Kao, Po-Yu; Yang, Ya-Chu; Chiang, Wei-Yin; Hsiao, Jen-Yueh; Cao, Yudong; Aliper, Alex; Ren, Feng; Aspuru-Guzik, Alan; Zhavoronkov, Alex; Hsieh, Min-Hsiu; Lin, Yen-Chu</t>
  </si>
  <si>
    <t>Exploring the Advantages of Quantum Generative Adversarial Networks in Generative Chemistry</t>
  </si>
  <si>
    <t>SMALL MOLECULES</t>
  </si>
  <si>
    <t>De novo drug design with desired biological activitiesis crucialfor developing novel therapeutics for patients. The drug developmentprocess is time- and resource-consuming, and it has a low probabilityof success. Recent advances in machine learning and deep learningtechnology have reduced the time and cost of the discovery processand therefore, improved pharmaceutical research and development. Inthis paper, we explore the combination of two rapidly developing fieldswith lead candidate discovery in the drug development process. First,artificial intelligence has already been demonstrated to successfullyaccelerate conventional drug design approaches. Second, quantum computinghas demonstrated promising potential in different applications, suchas quantum chemistry, combinatorial optimizations, and machine learning.This article explores hybrid quantum-classical generative adversarialnetworks (GAN) for small molecule discovery. We substituted each elementof GAN with a variational quantum circuit (VQC) and demonstrated thequantum advantages in the small drug discovery. Utilizing a VQC inthe noise generator of a GAN to generate small molecules achievesbetter physicochemical properties and performance in the goal-directedbenchmark than the classical counterpart. Moreover, we demonstratethe potential of a VQC with only tens of learnable parameters in thegenerator of GAN to generate small molecules. We also demonstratethe quantum advantage of a VQC in the discriminator of GAN. In thishybrid model, the number of learnable parameters is significantlyless than the classical ones, and it can still generate valid molecules.The hybrid model with only tens of training parameters in the quantumdiscriminator outperforms the MLP-based one in terms of both generatedmolecule properties and the achieved KL divergence. However, the hybridquantum-classical GANs still face challenges in generating uniqueand valid molecules compared to their classical counterparts.</t>
  </si>
  <si>
    <t>[Kao, Po-Yu; Yang, Ya-Chu; Lin, Yen-Chu] Insil Med Taiwan Ltd, Taipei 110208, Taiwan; [Chiang, Wei-Yin; Hsiao, Jen-Yueh; Hsieh, Min-Hsiu] Hon Hai Foxconn Res Inst, Taipei 114699, Taiwan; [Cao, Yudong] Zapata Comp Inc, Boston, MA 02110 USA; [Aliper, Alex] Insil Med AI Ltd, Abu Dhabi 145748, U Arab Emirates; [Ren, Feng] Insil Med Shanghai Ltd, Shanghai 201203, Peoples R China; [Aspuru-Guzik, Alan] Univ Toronto, Dept Chem, Toronto, ON M5S 3H6, Canada; [Aspuru-Guzik, Alan] Univ Toronto, Dept Comp Sci, Toronto, ON M5S 2E4, Canada; [Aspuru-Guzik, Alan] Vector Inst Artificial Intelligence, Toronto, ON M5S 1M1, Canada; [Aspuru-Guzik, Alan] Canadian Inst Adv Res, Toronto, ON M5S 1M1, Canada; [Zhavoronkov, Alex] Insil Med Hong Kong Ltd, Hong Kong 999077, Peoples R China; [Lin, Yen-Chu] Natl Yang Ming Chiao Tung Univ, Dept Pharm, Taipei 112304, Taiwan</t>
  </si>
  <si>
    <t>University of Toronto; University of Toronto; Vector Institute for Artificial Intelligence; Canadian Institute for Advanced Research (CIFAR); National Yang Ming Chiao Tung University</t>
  </si>
  <si>
    <t>Lin, YC (corresponding author), Insil Med Taiwan Ltd, Taipei 110208, Taiwan.;Hsieh, MH (corresponding author), Hon Hai Foxconn Res Inst, Taipei 114699, Taiwan.;Zhavoronkov, A (corresponding author), Insil Med Hong Kong Ltd, Hong Kong 999077, Peoples R China.;Lin, YC (corresponding author), Natl Yang Ming Chiao Tung Univ, Dept Pharm, Taipei 112304, Taiwan.</t>
  </si>
  <si>
    <t>alex@insilico.com; min-hsiu.hsieh@foxconn.com; jimmy.lin@isilico.com</t>
  </si>
  <si>
    <t>; Aspuru-Guzik, Alan/A-4984-2008</t>
  </si>
  <si>
    <t>Kao, Po-Yu/0000-0002-9439-8819; Aspuru-Guzik, Alan/0000-0002-8277-4434</t>
  </si>
  <si>
    <t>MAY 12</t>
  </si>
  <si>
    <t>10.1021/acs.jcim.3c00562</t>
  </si>
  <si>
    <t>L1CL7</t>
  </si>
  <si>
    <t>hybrid, Green Published, Green Submitted</t>
  </si>
  <si>
    <t>WOS:001020703700001</t>
  </si>
  <si>
    <t>Zheng, Y; Jin, M; Liu, YX; Chi, LH; Phan, KT; Chen, YPP</t>
  </si>
  <si>
    <t>Zheng, Yu; Jin, Ming; Liu, Yixin; Chi, Lianhua; Phan, Khoa T.; Chen, Yi-Ping Phoebe</t>
  </si>
  <si>
    <t>Generative and Contrastive Self-Supervised Learning for Graph Anomaly Detection</t>
  </si>
  <si>
    <t>IEEE TRANSACTIONS ON KNOWLEDGE AND DATA ENGINEERING</t>
  </si>
  <si>
    <t>Anomaly detection; Task analysis; Social networking (online); Graph neural networks; Decoding; Convolution; Stochastic processes; self-supervised learning; graph neural networks (GNNs); unsupervised learning</t>
  </si>
  <si>
    <t>NETWORKS</t>
  </si>
  <si>
    <t>Anomaly detection from graph data has drawn much attention due to its practical significance in many critical applications including cybersecurity, finance, and social networks. Existing data mining and machine learning methods are either shallow methods that could not effectively capture the complex interdependency of graph data or graph autoencoder methods that could not fully exploit the contextual information as supervision signals for effective anomaly detection. To overcome these challenges, in this paper, we propose a novel method, Self-Supervised Learning for Graph Anomaly Detection (SL-GAD). Our method constructs different contextual subgraphs (views) based on a target node and employs two modules, generative attribute regression and multi-view contrastive learning for anomaly detection. While the generative attribute regressionmodule allows us to capture the anomalies in the attribute space, the multi-view contrastive learning module can exploit richer structure information from multiple subgraphs, thus abling to capture the anomalies in the structure space, mixing of structure, and attribute information. We conduct extensive experiments on six benchmark datasets and the results demonstrate that our method outperforms state-of-the-art methods by a large margin.</t>
  </si>
  <si>
    <t>[Zheng, Yu; Phan, Khoa T.; Chen, Yi-Ping Phoebe] La Trobe Univ, Dept Comp Sci &amp; Informat Technol, Melbourne, Vic 3086, Australia; [Jin, Ming; Liu, Yixin] Monash Univ, Fac IT, Dept Data Sci &amp; AI, Clayton, Vic 3168, Australia</t>
  </si>
  <si>
    <t>La Trobe University; Monash University</t>
  </si>
  <si>
    <t>Jin, M (corresponding author), Monash Univ, Fac IT, Dept Data Sci &amp; AI, Clayton, Vic 3168, Australia.</t>
  </si>
  <si>
    <t>Yu.Zheng@latrobe.edu.au; ming.jin@monash.edu; yixin.liu@monash.edu; l.chi@latrobe.edu.au; K.Phan@latrobe.edu.au; phoebe.chen@latrobe.edu.au</t>
  </si>
  <si>
    <t>Chi, Lianhua/JAC-5202-2023; Liu, Yixin/HPD-6922-2023; Liu, Yixin/ABC-7725-2021; Sun, Jia/JXM-0311-2024; Chen, Yi-Ping Phoebe/B-8844-2008</t>
  </si>
  <si>
    <t>Chi, Lianhua/0000-0002-6851-0731; Chen, Yi-Ping Phoebe/0000-0002-4122-3767; ZHENG, Yu/0000-0003-0757-4210</t>
  </si>
  <si>
    <t>1041-4347</t>
  </si>
  <si>
    <t>1558-2191</t>
  </si>
  <si>
    <t>IEEE T KNOWL DATA EN</t>
  </si>
  <si>
    <t>IEEE Trans. Knowl. Data Eng.</t>
  </si>
  <si>
    <t>10.1109/TKDE.2021.3119326</t>
  </si>
  <si>
    <t>Computer Science, Artificial Intelligence; Computer Science, Information Systems; Engineering, Electrical &amp; Electronic</t>
  </si>
  <si>
    <t>Y4RP0</t>
  </si>
  <si>
    <t>WOS:001105152100066</t>
  </si>
  <si>
    <t>Lawton, T; Grace, K; Ibarrola, F</t>
  </si>
  <si>
    <t>Lawton, Tomas; Grace, Kazjon; Ibarrola, Francisco</t>
  </si>
  <si>
    <t>When is a Tool a Tool? User Perceptions of System Agency in Human-AI Co-Creative Drawing</t>
  </si>
  <si>
    <t>datasets; neural networks; gaze detection; text tagging</t>
  </si>
  <si>
    <t>This paper presents an analysis of the user experience of Reframer, a novel human-AI drawing interface designed with the iterative and refective nature of creativity in mind. Collaboration with Reframer occurs in real time, with the user and the system drawing together concurrently. This approach is inspired by theories of creativity as being more problem-framing than problem-solving, and contrasts with the automated one-shot end-to-end workfows of most generative AI models. A 12-participant qualitative exploratory study of the capabilities of our prototype is detailed, as well as a thematic analysis of user attitudes towards drawing with it. The paper then describes two modifed prototypes and a second 32-participant comparative study revealing how interface variations evoke diferences in user attitudes and experiences. It concludes by proposing a model that characterises the conditions under which users experience co-creative AI as a collaborator, rather than a non-agentive tool.</t>
  </si>
  <si>
    <t>[Lawton, Tomas; Grace, Kazjon; Ibarrola, Francisco] Univ Sydney, Sch Architecture Design &amp; Planning, Sydney, NSW, Australia</t>
  </si>
  <si>
    <t>Lawton, T (corresponding author), Univ Sydney, Sch Architecture Design &amp; Planning, Sydney, NSW, Australia.</t>
  </si>
  <si>
    <t>tlaw8603@uni.sydney.edu.au; kazjon.grace@sydney.edu.au; francisco.ibarrola@sydney.edu.au</t>
  </si>
  <si>
    <t>Ibarrola, Francisco/0000-0003-1146-7071</t>
  </si>
  <si>
    <t>Australian Research Council [DP200101059]; University of Sydney</t>
  </si>
  <si>
    <t>Australian Research Council(Australian Research Council); University of Sydney(University of Sydney)</t>
  </si>
  <si>
    <t>We would like to acknowledge the fnancial support of the Australian Research Council (#DP200101059), as well as the University of Sydney.</t>
  </si>
  <si>
    <t>10.1145/3563657.3595977</t>
  </si>
  <si>
    <t>WOS:001090855700129</t>
  </si>
  <si>
    <t>Vaskevicius, M; Kapociuté-Dzikiené, J; Slepikas, L</t>
  </si>
  <si>
    <t>Vaskevicius, Mantas; Kapociute-Dzikiene, Jurgita; Slepikas, Liudas</t>
  </si>
  <si>
    <t>Generative LLMs in Organic Chemistry: Transforming Esterification Reactions into Natural Language Procedures</t>
  </si>
  <si>
    <t>deep learning; large language model; ChatGPT; LLM; machine learning; esterification; synthesis procedure; organic synthesis; procedure prediction; FLAN-T5</t>
  </si>
  <si>
    <t>This paper presents a novel approach to predicting esterification procedures in organic chemistry by employing generative large language models (LLMs) to interpret and translate SMILES molecular notation into detailed procedural texts of synthesis reactions. Esterification reaction is important in producing various industrial intermediates, fragrances, and flavors. Recognizing the challenges of accurate prediction in complex chemical landscapes, we have compiled and made publicly available a curated dataset of esterification reactions to enhance research collaboration. We systematically compare machine learning algorithms, ranging from the conventional k-nearest neighbors (kNN) to advanced sequence-to-sequence transformer models, including FLAN-T5 and ChatGPT-based variants. Our analysis highlights the FLAN-T5 model as the standout performer with a BLEU score of 51.82, suggesting that the model has significant potential in enhancing reaction planning and chemical synthesis. Our findings contribute to the growing field of AI in chemistry, offering a promising direction for enhancing the efficiency of reaction planning and chemical synthesis.</t>
  </si>
  <si>
    <t>[Vaskevicius, Mantas; Kapociute-Dzikiene, Jurgita] Vytautas Magnus Univ, Dept Appl Informat, LT-44404 Kaunas, Lithuania; [Vaskevicius, Mantas; Slepikas, Liudas] JSC Synhet, Birzu Str 6, LT-44139 Kaunas, Lithuania</t>
  </si>
  <si>
    <t>Vytautas Magnus University</t>
  </si>
  <si>
    <t>Vaskevicius, M (corresponding author), Vytautas Magnus Univ, Dept Appl Informat, LT-44404 Kaunas, Lithuania.;Vaskevicius, M (corresponding author), JSC Synhet, Birzu Str 6, LT-44139 Kaunas, Lithuania.</t>
  </si>
  <si>
    <t>mantas.vaskevicius@vdu.lt; jurgita.kapociute-dzikiene@vdu.lt; liudas@synhet.com</t>
  </si>
  <si>
    <t>10.3390/app132413140</t>
  </si>
  <si>
    <t>DH9X6</t>
  </si>
  <si>
    <t>WOS:001131269000001</t>
  </si>
  <si>
    <t>Oppenlaender, J</t>
  </si>
  <si>
    <t>Oppenlaender, Jonas</t>
  </si>
  <si>
    <t>A taxonomy of prompt modifiers for text-to-image generation</t>
  </si>
  <si>
    <t>BEHAVIOUR &amp; INFORMATION TECHNOLOGY</t>
  </si>
  <si>
    <t>Prompt engineering; text-to-image generation; human-AI interaction; AI generated art</t>
  </si>
  <si>
    <t>Text-guided synthesis of images has become enormously popular and online communities dedicated to text-to-image generation and art generated with Artificial Intelligence (AI) have emerged. While deep generative models can synthesise high-quality images and artworks from simple descriptive text prompts, practitioners of text-to-image generation typically seek to control the generative model's output by adding short key phrases ('modifiers') to the prompt. This paper identifies six types of prompt modifiers used by practitioners in the online text-to-image community based on a 3-month ethnographic study. The novel taxonomy of prompt modifiers provides researchers a conceptual starting point for investigating the practice of text-to-image generation, but may also help practitioners of AI generated art improve their images. We further outline how prompt modifiers are applied in the practice of 'prompt engineering.' and discuss research opportunities of this novel creative practice in the field of Human-Computer Interaction (HCI). The paper concludes with a discussion of broader implications of prompt engineering from the perspective of Human-AI Interaction (HAI) in future applications beyond the use case of text-to-image generation and AI generated art.</t>
  </si>
  <si>
    <t>[Oppenlaender, Jonas] Univ Jyvaskyla, Fac Informat Technol, Jyvaskyla, Finland; [Oppenlaender, Jonas] Univ Jyvaskyla, Fac Informat Technol, Seminaarinkatu 15, Jyvaskyla 40014, Finland</t>
  </si>
  <si>
    <t>University of Jyvaskyla; University of Jyvaskyla</t>
  </si>
  <si>
    <t>Oppenlaender, J (corresponding author), Univ Jyvaskyla, Fac Informat Technol, Seminaarinkatu 15, Jyvaskyla 40014, Finland.</t>
  </si>
  <si>
    <t>jonas.x1.oppenlander@jyu.fi</t>
  </si>
  <si>
    <t>0144-929X</t>
  </si>
  <si>
    <t>1362-3001</t>
  </si>
  <si>
    <t>BEHAV INFORM TECHNOL</t>
  </si>
  <si>
    <t>Behav. Inf. Technol.</t>
  </si>
  <si>
    <t>2023 NOV 25</t>
  </si>
  <si>
    <t>10.1080/0144929X.2023.2286532</t>
  </si>
  <si>
    <t>Z1YU3</t>
  </si>
  <si>
    <t>WOS:001110113900001</t>
  </si>
  <si>
    <t>Bajpai, R; Shukla, A; Kumar, J; Tewari, A</t>
  </si>
  <si>
    <t>Bajpai, Rochan; Shukla, Atharva; Kumar, Janish; Tewari, Abhishek</t>
  </si>
  <si>
    <t>A scalable crystal representation for reverse engineering of novel inorganic materials using deep generative models</t>
  </si>
  <si>
    <t>COMPUTATIONAL MATERIALS SCIENCE</t>
  </si>
  <si>
    <t>Generative Modelling; Crystal structure representation; Inorganic materials; CVAE</t>
  </si>
  <si>
    <t>INVERSE DESIGN</t>
  </si>
  <si>
    <t>The efficient search for crystals with targeted properties is a significant challenge in materials discovery. The rapidly growing field of materials informatics has so far primarily focused on the application of AI/ML models to predict the properties of known crystals from their fundamental and derived properties as descriptors. In the last few years, deep learning-based approaches have spawned a slew of innovative data-driven materials research applications. Materials scientists have used these techniques for the reverse engineering of crystal structures for target applications. However, one of the challenges has been the representation of the crystal structures in the machine readable format. Proposed representations in the literature lack in generality and scalability. In this paper, we train a conditional variational autoencoder with a scalable and invertible representation along with the elemental properties of the constituents as descriptors to inverse-design new crystal structures with specified attributes. When targeting formation energy, we show that our model predicts structures that are not in the complete OQMD database. Finally, we use first-principles density functional theory calculations to validate our findings and show that the developed model is able to generate novel crystal structures for targeted property, i.e. formation energy in this case.</t>
  </si>
  <si>
    <t>[Bajpai, Rochan; Tewari, Abhishek] Indian Inst Technol Roorkee, Dept Met &amp; Mat Engn, Roorkee, India; [Shukla, Atharva; Kumar, Janish] Indian Inst Technol Roorkee, Dept Phys, Roorkee, Uttaranchal, India; [Tewari, Abhishek] Indian Inst Technol Roorkee, Mehta Family Sch Data Sci &amp; Artificial Intelligenc, Roorkee, Uttarakhand, India; [Bajpai, Rochan] Carnegie Mellon Univ, Dept Mat Sci &amp; Engn, Pittsburgh, PA USA</t>
  </si>
  <si>
    <t>Indian Institute of Technology System (IIT System); Indian Institute of Technology (IIT) - Roorkee; Indian Institute of Technology System (IIT System); Indian Institute of Technology (IIT) - Roorkee; Indian Institute of Technology System (IIT System); Indian Institute of Technology (IIT) - Roorkee; Carnegie Mellon University</t>
  </si>
  <si>
    <t>Tewari, A (corresponding author), Indian Inst Technol Roorkee, Dept Met &amp; Mat Engn, Roorkee, India.;Tewari, A (corresponding author), Indian Inst Technol Roorkee, Mehta Family Sch Data Sci &amp; Artificial Intelligenc, Roorkee, Uttarakhand, India.</t>
  </si>
  <si>
    <t>abhishek@mt.iitr.ac.in</t>
  </si>
  <si>
    <t>Tewari, Abhishek/0000-0001-5977-2230</t>
  </si>
  <si>
    <t>Science and Engineering Research Board, India [SRG/2019/000644, CRG/2022/006689]; Department of Science and Technology, India [DST/TMD/IC-MAP/2K20/03]</t>
  </si>
  <si>
    <t>Science and Engineering Research Board, India; Department of Science and Technology, India(Department of Science &amp; Technology (India))</t>
  </si>
  <si>
    <t>Authors would like to thank the funding support from Science and Engineering Research Board, India grant SRG/2019/000644, CRG/2022/006689 and Department of Science and Technology, India grant DST/TMD/IC-MAP/2K20/03 (C) . The HPC facility provided by the institute computer center are also acknowledged.</t>
  </si>
  <si>
    <t>0927-0256</t>
  </si>
  <si>
    <t>1879-0801</t>
  </si>
  <si>
    <t>COMP MATER SCI</t>
  </si>
  <si>
    <t>Comput. Mater. Sci.</t>
  </si>
  <si>
    <t>10.1016/j.commatsci.2023.112525</t>
  </si>
  <si>
    <t>U1IF5</t>
  </si>
  <si>
    <t>WOS:001082402700001</t>
  </si>
  <si>
    <t>Lee, S; Choi, HS; Lee, K</t>
  </si>
  <si>
    <t>Lee, Sungho; Choi, Hyeong-Seok; Lee, Kyogu</t>
  </si>
  <si>
    <t>YET ANOTHER GENERATIVE MODEL FOR ROOM IMPULSE RESPONSE ESTIMATION</t>
  </si>
  <si>
    <t>2023 IEEE WORKSHOP ON APPLICATIONS OF SIGNAL PROCESSING TO AUDIO AND ACOUSTICS, WASPAA</t>
  </si>
  <si>
    <t>IEEE Workshop on Applications of Signal Processing to Audio and Acoustics</t>
  </si>
  <si>
    <t>IEEE Workshop on Applications of Signal Processing to Audio and Acoustics (WASPAA)</t>
  </si>
  <si>
    <t>New Paltz, NY</t>
  </si>
  <si>
    <t>Room impulse response; generative modeling; blind estimation; acoustic matching</t>
  </si>
  <si>
    <t>Recent neural room impulse response (RIR) estimators typically comprise an encoder for reference audio analysis and a generator for RIR synthesis. Especially, it is the performance of the generator that directly influences the overall estimation quality. In this context, we explore an alternate generator architecture for improved performance. We first train an autoencoder with residual quantization to learn a discrete latent token space, where each token represents a small time-frequency patch of the RIR. Then, we cast the RIR estimation problem as a reference-conditioned autoregressive token generation task, employing transformer variants that operate across frequency, time, and quantization depth axes. This way, we address the standard blind estimation task and additional acoustic matching problem, which aims to find an RIR that matches the source signal to the target signal's reverberation characteristics. Experimental results show that our system is preferable to other baselines across various evaluation metrics.</t>
  </si>
  <si>
    <t>[Lee, Sungho; Lee, Kyogu] Seoul Natl Univ, Dept Intelligence &amp; Informat, Seoul, South Korea; [Lee, Kyogu] Seoul Natl Univ, IPAI, Seoul, South Korea; [Lee, Kyogu] Seoul Natl Univ, AI Inst, Seoul, South Korea; [Lee, Sungho; Choi, Hyeong-Seok; Lee, Kyogu] Supertone Inc, Seoul, South Korea</t>
  </si>
  <si>
    <t>Seoul National University (SNU); Seoul National University (SNU); Seoul National University (SNU)</t>
  </si>
  <si>
    <t>Lee, K (corresponding author), Seoul Natl Univ, Dept Intelligence &amp; Informat, Seoul, South Korea.;Lee, K (corresponding author), Seoul Natl Univ, IPAI, Seoul, South Korea.;Lee, K (corresponding author), Seoul Natl Univ, AI Inst, Seoul, South Korea.;Choi, HS; Lee, K (corresponding author), Supertone Inc, Seoul, South Korea.</t>
  </si>
  <si>
    <t>sh-lee@snu.ac.kr; kekepa15@supertone.ai; kglee@snu.ac.kr</t>
  </si>
  <si>
    <t>Institute of Information &amp; Communications Technology Planning &amp; Evaluation (IITP) - Korean government (MSIT)</t>
  </si>
  <si>
    <t>This work was supported by the Institute of Information &amp; Communications Technology Planning &amp; Evaluation (IITP) grant funded by the Korean government (MSIT) (No.2022-0-00641).</t>
  </si>
  <si>
    <t>1931-1168</t>
  </si>
  <si>
    <t>979-8-3503-2372-6</t>
  </si>
  <si>
    <t>IEEE WORK APPL SIG</t>
  </si>
  <si>
    <t>10.1109/WASPAA58266.2023.10248189</t>
  </si>
  <si>
    <t>Acoustics; Engineering, Electrical &amp; Electronic</t>
  </si>
  <si>
    <t>Acoustics; Engineering</t>
  </si>
  <si>
    <t>BV7YE</t>
  </si>
  <si>
    <t>WOS:001073615200081</t>
  </si>
  <si>
    <t>Zhang, YZ; Chen, DZ</t>
  </si>
  <si>
    <t>Zhang, Yizhe; Chen, Danny Z.</t>
  </si>
  <si>
    <t>GPT4MIA: Utilizing Generative Pre-trained Transformer (GPT-3) as a Plug-and-Play Transductive Model for Medical Image Analysis</t>
  </si>
  <si>
    <t>Medical Image Classification; Generative Pre-trained Transformer; GPT-3; Large Language Models; Transductive Inference</t>
  </si>
  <si>
    <t>In this paper, we propose a novel approach (called GPT4MIA) that utilizes Generative Pre-trained Transformer (GPT) as a plug-and-play transductive inference tool for medical image analysis (MIA). We provide theoretical analysis on why a large pre-trained language model such as GPT-3 can be used as a plug-and-play transductive inference model for MIA. At the methodological level, we develop several technical treatments to improve the efficiency and effectiveness of GPT4MIA, including better prompt structure design, sample selection, and prompt ordering of representative samples/features. We present two concrete use cases (with workflow) of GPT4MIA: (1) detecting prediction errors and (2) improving prediction accuracy, working in conjecture with well-established vision-based models for image classification (e.g., ResNet). Experiments validate that our proposed method is effective for these two tasks. We further discuss the opportunities and challenges in utilizing Transformer-based large language models for broader MIA applications.</t>
  </si>
  <si>
    <t>[Zhang, Yizhe] Nanjing Univ Sci &amp; Technol, Sch Comp Sci &amp; Engn, Nanjing 210094, Jiangsu, Peoples R China; [Chen, Danny Z.] Univ Notre Dame, Dept Comp Sci &amp; Engn, Notre Dame, IN 46556 USA</t>
  </si>
  <si>
    <t>Nanjing University of Science &amp; Technology; University of Notre Dame</t>
  </si>
  <si>
    <t>Zhang, YZ (corresponding author), Nanjing Univ Sci &amp; Technol, Sch Comp Sci &amp; Engn, Nanjing 210094, Jiangsu, Peoples R China.</t>
  </si>
  <si>
    <t>yizhe.zhang.cs@gmail.com; dchen@nd.edu</t>
  </si>
  <si>
    <t>National Natural Science Foundation of China [62201263]; Natural Science Foundation of Jiangsu Province [BK20220949]</t>
  </si>
  <si>
    <t>National Natural Science Foundation of China(National Natural Science Foundation of China (NSFC)); Natural Science Foundation of Jiangsu Province(Natural Science Foundation of Jiangsu Province)</t>
  </si>
  <si>
    <t>This work was supported in part by National Natural Science Foundation of China (62201263) and Natural Science Foundation of Jiangsu Province (BK20220949).</t>
  </si>
  <si>
    <t>10.1007/978-3-031-47401-9_15</t>
  </si>
  <si>
    <t>WOS:001160722800015</t>
  </si>
  <si>
    <t>Moon, S; Lee, Y; Hwang, J; Kim, CG; Kim, JW; Yoon, WT; Kim, JH</t>
  </si>
  <si>
    <t>Moon, Sehwan; Lee, Youngsuk; Hwang, Jeongyoung; Kim, Chul Gu; Kim, Jong Woo; Yoon, Won Tae; Kim, Jae Hui</t>
  </si>
  <si>
    <t>Prediction of anti-vascular endothelial growth factor agent-specific treatment outcomes in neovascular age-related macular degeneration using a generative adversarial network</t>
  </si>
  <si>
    <t>INTRAVITREAL AFLIBERCEPT; ARTIFICIAL-INTELLIGENCE; RETINAL FLUID; RANIBIZUMAB; BIOMARKERS; IMPACT</t>
  </si>
  <si>
    <t>To develop an artificial intelligence (AI) model that predicts anti-vascular endothelial growth factor (VEGF) agent-specific anatomical treatment outcomes in neovascular age-related macular degeneration (AMD), thereby assisting clinicians in selecting the most suitable anti-VEGF agent for each patient. This retrospective study included patients diagnosed with neovascular AMD who received three loading injections of either ranibizumab or aflibercept. Training was performed using optical coherence tomography (OCT) images with an attention generative adversarial network (GAN) model. To test the performance of the AI model, the sensitivity and specificity to predict the presence of retinal fluid after treatment were calculated for the AI model, an experienced (Examiner 1), and a less experienced (Examiner 2) human examiners. A total of 1684 OCT images from 842 patients (419 treated with ranibizumab and 423 treated with aflibercept) were used as the training set. Testing was performed using images from 98 patients. In patients treated with ranibizumab, the sensitivity and specificity, respectively, were 0.615 and 0.667 for the AI model, 0.385 and 0.861 for Examiner 1, and 0.231 and 0.806 for Examiner 2. In patients treated with aflibercept, the sensitivity and specificity, respectively, were 0.857 and 0.881 for the AI model, 0.429 and 0.976 for Examiner 1, and 0.429 and 0.857 for Examiner 2. In 18.5% of cases, the fluid status of synthetic posttreatment images differed between ranibizumab and aflibercept. The AI model using GAN might predict anti-VEGF agent-specific short-term treatment outcomes with relatively higher sensitivity than human examiners. Additionally, there was a difference in the efficacy in fluid resolution between the anti-VEGF agents. These results suggest the potential of AI in personalized medicine for patients with neovascular AMD.</t>
  </si>
  <si>
    <t>[Moon, Sehwan] Gwangju Inst Sci &amp; Technol, Sch Elect Engn &amp; Comp Sci, Gwangju, South Korea; [Lee, Youngsuk] INGRADIENT Inc, Seoul, South Korea; [Hwang, Jeongyoung] Gwangju Inst Sci &amp; Technol, AI Graduated Sch, Gwangju, South Korea; [Moon, Sehwan; Lee, Youngsuk; Hwang, Jeongyoung] MODULABS, Seoul, South Korea; [Kim, Chul Gu; Kim, Jong Woo; Yoon, Won Tae; Kim, Jae Hui] Kims Eye Hosp, Dept Ophthalmol, 156 Youngdeungpo Dong 4ga, Seoul 150034, South Korea; [Yoon, Won Tae; Kim, Jae Hui] Kims Eye Hosp Data Ctr, Seoul, South Korea</t>
  </si>
  <si>
    <t>Gwangju Institute of Science &amp; Technology (GIST); Gwangju Institute of Science &amp; Technology (GIST)</t>
  </si>
  <si>
    <t>Yoon, WT; Kim, JH (corresponding author), Kims Eye Hosp, Dept Ophthalmol, 156 Youngdeungpo Dong 4ga, Seoul 150034, South Korea.;Yoon, WT; Kim, JH (corresponding author), Kims Eye Hosp Data Ctr, Seoul, South Korea.</t>
  </si>
  <si>
    <t>gentlewt@gmail.com; kimoph@gmail.com</t>
  </si>
  <si>
    <t>Kim's Eye Hospital Research Center</t>
  </si>
  <si>
    <t>This study was supported by Kim's Eye Hospital Research Center.</t>
  </si>
  <si>
    <t>APR 6</t>
  </si>
  <si>
    <t>10.1038/s41598-023-32398-7</t>
  </si>
  <si>
    <t>N7WF1</t>
  </si>
  <si>
    <t>WOS:001039063700023</t>
  </si>
  <si>
    <t>Latif, S; Shahid, A; Qadir, J</t>
  </si>
  <si>
    <t>Latif, Siddique; Shahid, Abdullah; Qadir, Junaid</t>
  </si>
  <si>
    <t>Generative emotional AI for speech emotion recognition: The case for synthetic emotional speech augmentation</t>
  </si>
  <si>
    <t>APPLIED ACOUSTICS</t>
  </si>
  <si>
    <t>Tacotron; WaveRNN; Speech synthesis; Text-to-speech; Emotional speech synthesis; Speech emotion recognition</t>
  </si>
  <si>
    <t>Despite advances in deep learning, current state-of-the-art speech emotion recognition (SER) systems still have poor performance due to a lack of speech emotion datasets. This paper proposes augmenting SER systems with synthetic emotional speech generated by an end-to-end text-to-speech (TTS) system based on an extended Tacotron 2 architecture. The proposed TTS system includes encoders for speaker and emotion embeddings, a sequence-to-sequence text generator for creating Mel-spectrograms, and a WaveRNN to generate audio from the Mel-spectrograms. Extensive experiments show that the quality of the generated emotional speech can significantly improve SER performance on multiple datasets, as demonstrated by a higher mean opinion score (MOS) compared to the baseline. The generated samples were also effective at augmenting SER performance.(c) 2023 Elsevier Ltd. All rights reserved.</t>
  </si>
  <si>
    <t>[Latif, Siddique] Queensland Univ Technol, Brisbane, Australia; [Shahid, Abdullah] Informat Technol Univ ITU, Lahore, Punjab, Pakistan; [Qadir, Junaid] Qatar Univ, Doha, Qatar</t>
  </si>
  <si>
    <t>Queensland University of Technology (QUT); Qatar University</t>
  </si>
  <si>
    <t>Latif, S (corresponding author), Queensland Univ Technol, Brisbane, Australia.</t>
  </si>
  <si>
    <t>Qadir, Junaid/GQH-4631-2022; Latif, Siddique/X-2811-2019</t>
  </si>
  <si>
    <t>Qadir, Junaid/0000-0001-9466-2475; Latif, Siddique/0000-0001-5662-4777</t>
  </si>
  <si>
    <t>0003-682X</t>
  </si>
  <si>
    <t>1872-910X</t>
  </si>
  <si>
    <t>APPL ACOUST</t>
  </si>
  <si>
    <t>Appl. Acoust.</t>
  </si>
  <si>
    <t>10.1016/j.apacoust.2023.109425</t>
  </si>
  <si>
    <t>Acoustics</t>
  </si>
  <si>
    <t>J7CK0</t>
  </si>
  <si>
    <t>WOS:001011158300001</t>
  </si>
  <si>
    <t>Kumar, A; Jain, M; Dev, S</t>
  </si>
  <si>
    <t>Kumar, Avnish; Jain, Mayank; Dev, Soumyabrata</t>
  </si>
  <si>
    <t>GENERATIVE AUGMENTATION FOR SKY/CLOUD IMAGE SEGMENTATION</t>
  </si>
  <si>
    <t>IGARSS 2023 - 2023 IEEE INTERNATIONAL GEOSCIENCE AND REMOTE SENSING SYMPOSIUM</t>
  </si>
  <si>
    <t>IEEE International Symposium on Geoscience and Remote Sensing IGARSS</t>
  </si>
  <si>
    <t>IEEE International Geoscience and Remote Sensing Symposium (IGARSS)</t>
  </si>
  <si>
    <t>JUL 16-21, 2023</t>
  </si>
  <si>
    <t>Pasadena, CA</t>
  </si>
  <si>
    <t>IEEE,Inst Elect &amp; Elect Engineers, Geoscience &amp; Remote Sensing Soc</t>
  </si>
  <si>
    <t>Ground-based Sky Imagers; Pix2Pix; GANs; Semantic Image Segmentation; Data Augmentation</t>
  </si>
  <si>
    <t>Cloud image segmentation plays a pivotal role in fields such as weather prediction, climate modeling, and renewable energy systems. Although ground-based sky imagers are preferred tools for cloud image analysis, their images present unique challenges for segmention due to noise, sun glare, and other factors. Recent success in cloud image segmentation is attributed to the use of deep learning techniques. However, they require large annotated datasets for improved performance and robustness. This paper(1) introduces a two-step generative framework that simultaneously generates sky/cloud images and their corresponding ground-truth segmentation maps to augment the dataset and demonstrates the performance of the proposed approach over two prominent semantic image segmentation models and sky/cloud patch image datasets.</t>
  </si>
  <si>
    <t>[Kumar, Avnish] Zonda Satellite, Glasgow, Scotland; [Jain, Mayank; Dev, Soumyabrata] ADAPT SFI Res Ctr, Dublin, Ireland; [Jain, Mayank; Dev, Soumyabrata] Univ Coll Dublin, Sch Comp Sci, Dublin, Ireland</t>
  </si>
  <si>
    <t>Dev, S (corresponding author), ADAPT SFI Res Ctr, Dublin, Ireland.;Dev, S (corresponding author), Univ Coll Dublin, Sch Comp Sci, Dublin, Ireland.</t>
  </si>
  <si>
    <t>soumyabrata.dev@ucd.ie</t>
  </si>
  <si>
    <t>Science Foundation Ireland at the ADAPT SFI Research Centre at University College Dublin [13/RC/2106_P2]; Science Foundation Ireland through the SFI Research Centres Programme</t>
  </si>
  <si>
    <t>Science Foundation Ireland at the ADAPT SFI Research Centre at University College Dublin(Science Foundation Ireland); Science Foundation Ireland through the SFI Research Centres Programme(Science Foundation Ireland)</t>
  </si>
  <si>
    <t>This research was conducted with the financial support of Science Foundation Ireland under Grant Agreement No. 13/RC/2106_P2 at the ADAPT SFI Research Centre at University College Dublin. ADAPT, the SFI Research Centre for AI-Driven Digital Content Technology, is funded by Science Foundation Ireland through the SFI Research Centres Programme.</t>
  </si>
  <si>
    <t>2153-6996</t>
  </si>
  <si>
    <t>979-8-3503-2010-7</t>
  </si>
  <si>
    <t>INT GEOSCI REMOTE SE</t>
  </si>
  <si>
    <t>10.1109/IGARSS52108.2023.10283005</t>
  </si>
  <si>
    <t>Geosciences, Multidisciplinary; Instruments &amp; Instrumentation; Remote Sensing</t>
  </si>
  <si>
    <t>Geology; Instruments &amp; Instrumentation; Remote Sensing</t>
  </si>
  <si>
    <t>BW0PF</t>
  </si>
  <si>
    <t>WOS:001098971607087</t>
  </si>
  <si>
    <t>Pérez-Núñez, A</t>
  </si>
  <si>
    <t>Perez-Nunez, Antonio</t>
  </si>
  <si>
    <t>Exploring the Potential of Generative AI (ChatGPT) for Foreign Language Instruction: Applications and Challenges</t>
  </si>
  <si>
    <t>HISPANIA-A JOURNAL DEVOTED TO THE TEACHING OF SPANISH AND PORTUGUESE</t>
  </si>
  <si>
    <t>[Perez-Nunez, Antonio] Coll Charleston, Charleston, SC 29401 USA</t>
  </si>
  <si>
    <t>College of Charleston</t>
  </si>
  <si>
    <t>Pérez-Núñez, A (corresponding author), Coll Charleston, Charleston, SC 29401 USA.</t>
  </si>
  <si>
    <t>JOHNS HOPKINS UNIV PRESS</t>
  </si>
  <si>
    <t>BALTIMORE</t>
  </si>
  <si>
    <t>JOURNALS PUBLISHING DIVISION, 2715 NORTH CHARLES ST, BALTIMORE, MD 21218-4363 USA</t>
  </si>
  <si>
    <t>0018-2133</t>
  </si>
  <si>
    <t>2153-6414</t>
  </si>
  <si>
    <t>HISPANIA-J DEV INTER</t>
  </si>
  <si>
    <t>Hispania-J. Devoted Teach. Span. Port.</t>
  </si>
  <si>
    <t>10.1353/hpn.2023.a906568</t>
  </si>
  <si>
    <t>Linguistics; Language &amp; Linguistics; Literature, Romance</t>
  </si>
  <si>
    <t>Linguistics; Literature</t>
  </si>
  <si>
    <t>GI7B4</t>
  </si>
  <si>
    <t>WOS:001152093200003</t>
  </si>
  <si>
    <t>Azuaje, G; Liew, K; Buening, R; She, WJ; Siriaraya, P; Wakamiya, S; Aramaki, E</t>
  </si>
  <si>
    <t>Azuaje, Gamar; Liew, Kongmeng; Buening, Rebecca; She, Wan Jou; Siriaraya, Panote; Wakamiya, Shoko; Aramaki, Eiji</t>
  </si>
  <si>
    <t>Exploring the use of AI text-to-image generation to downregulate negative emotions in an expressive writing application</t>
  </si>
  <si>
    <t>AI art; image generation; emotion regulation</t>
  </si>
  <si>
    <t>DEPRESSION; DISTRACTION; SELF; BENEFITS; MOOD; CARE</t>
  </si>
  <si>
    <t>Conventional writing therapies are versatile, accessible and easy to facilitate online, but often require participants to self-disclose traumatic experiences. To make expressive writing therapies safer for online, unsupervised environments, we explored the use of text-to-image generation as a means to downregulate negative emotions during a fictional writing exercise. We developed a writing tool, StoryWriter, that uses Generative Adversarial Network models to generate artwork from users' narratives in real time. These images were intended to positively distract users from their negative emotions throughout the writing task. In this paper, we report the outcomes of two user studies: Study 1 (N = 388), which experimentally examined the efficacy of this application via negative versus neutral emotion induction and image generation versus no image generation control groups; and Study 2 (N = 54), which qualitatively examined open-ended feedback. Our results are heterogeneous: both studies suggested that StoryWriter somewhat contributed to improved emotion outcomes for participants with pre-existing negative emotions, but users' open-ended responses indicated that these outcomes may be adversely modulated by the generated images, which could undermine the therapeutic benefits of the writing task itself.</t>
  </si>
  <si>
    <t>[Azuaje, Gamar; Liew, Kongmeng; Buening, Rebecca; She, Wan Jou; Wakamiya, Shoko; Aramaki, Eiji] Nara Inst Sci &amp; Technol, Grad Sch Sci &amp; Technol, 8916-5 Takayama Cho, Ikoma, Japan; [She, Wan Jou] Weill Cornell Med, Ctr Res End Life Care, 1300 York Ave, New York, NY 10065 USA; [Siriaraya, Panote] Kyoto Inst Technol, Fac Informat &amp; Human Sci, Matsugasaki Hashikamicho,Sakyo Ward, Kyoto, Japan</t>
  </si>
  <si>
    <t>Nara Institute of Science &amp; Technology; Cornell University; Weill Cornell Medicine; Kyoto Institute of Technology</t>
  </si>
  <si>
    <t>Liew, K (corresponding author), Nara Inst Sci &amp; Technol, Grad Sch Sci &amp; Technol, 8916-5 Takayama Cho, Ikoma, Japan.</t>
  </si>
  <si>
    <t>liew.kongmeng@is.naist.jp</t>
  </si>
  <si>
    <t>She, Wan Jou/IUM-4909-2023</t>
  </si>
  <si>
    <t>She, Wan Jou/0000-0002-1549-5777; Liew, Kongmeng/0000-0002-0755-7173</t>
  </si>
  <si>
    <t>JAN 4</t>
  </si>
  <si>
    <t>10.1098/rsos.220238</t>
  </si>
  <si>
    <t>7M8LV</t>
  </si>
  <si>
    <t>WOS:000906903800001</t>
  </si>
  <si>
    <t>Ocampo, R; Andres, J; Schmidt, A; Pegram, C; Shave, J; Hill, C; Wright, B; Bown, O</t>
  </si>
  <si>
    <t>Ocampo, Rodolfo; Andres, Josh; Schmidt, Adrian; Pegram, Caroline; Shave, Justin; Hill, Charlton; Wright, Brendan; Bown, Oliver</t>
  </si>
  <si>
    <t>Using GPT-3 to Achieve Semantically Relevant Data Sonificiation for an Art Installation</t>
  </si>
  <si>
    <t>data sonification; machine learning; generative music; generative AI; large language models; word emdeddings</t>
  </si>
  <si>
    <t>Large Language Models such as GPT-3 exhibit generative language capabilities with multiple potential applications in creative practice. In this paper, we present a method for data sonification that employs the GPT-3 model to create semantically relevant mappings between artificial intelligence-generated natural language descriptions of data, and human-generated descriptions of sounds. We implemented this method in a public art installation to generate a soundscape based on data from different systems. While common sonification approaches rely on arbitrary mappings between data values and sonic values, our approach explores the use of language models to achieve a mapping not via values but via meaning. We find our approach is a useful tool for musification practice and demonstrates a new application of generative language models in creative new media arts practice. We show how different prompts influence data to sound mappings, and highlight that matching the embeddings of texts of different lengths produces undesired behavior.</t>
  </si>
  <si>
    <t>[Ocampo, Rodolfo; Wright, Brendan; Bown, Oliver] Univ New South Wales, Kensington, NSW, Australia; [Andres, Josh; Schmidt, Adrian] Australian Natl Univ, Canberra, ACT, Australia; [Pegram, Caroline; Shave, Justin; Hill, Charlton; Wright, Brendan] Uncanny Valley, Canberra, ACT, Australia</t>
  </si>
  <si>
    <t>University of New South Wales Sydney; Australian National University</t>
  </si>
  <si>
    <t>Ocampo, R (corresponding author), Univ New South Wales, Kensington, NSW, Australia.</t>
  </si>
  <si>
    <t>r.ocampo_blanco@unsw.edu.au</t>
  </si>
  <si>
    <t>Australian Research Council [DP200101059]; Australian Research Council [DP200101059] Funding Source: Australian Research Council</t>
  </si>
  <si>
    <t>Australian Research Council(Australian Research Council); Australian Research Council(Australian Research Council)</t>
  </si>
  <si>
    <t>This research was made possible by a commission from the School of Cybernetics at the Australian National University for music studio Uncanny Valley (UV). The development of the novel concept for a semantically relevant sonification using Large Language Models is an original contribution from Rodolfo Ocampo, who also led the technical development of the system, in collaboration with members of the UV team. The artwork uses UV's MEMU generative music system, developed by Justin Shave and Brendan Wright. The design and development of the visual user interface were led by Adrian Schmidt and Josh Andres. Oliver Bown and Rodolfo Ocampo's research is supported by an Australian Research Council Discovery Project (DP200101059).</t>
  </si>
  <si>
    <t>10.1007/978-3-031-29956-8_14</t>
  </si>
  <si>
    <t>WOS:000999872400014</t>
  </si>
  <si>
    <t>Ou, L; Chang, YC; Wang, YK; Lin, CT</t>
  </si>
  <si>
    <t>Ou, Liang; Chang, Yu-Chen; Wang, Yu-Kai; Lin, Chin-Teng</t>
  </si>
  <si>
    <t>Explain Reinforcement Learning Agents Through Fuzzy Rule Reconstruction</t>
  </si>
  <si>
    <t>2023 IEEE INTERNATIONAL CONFERENCE ON FUZZY SYSTEMS, FUZZ</t>
  </si>
  <si>
    <t>IEEE International Fuzzy Systems Conference Proceedings</t>
  </si>
  <si>
    <t>IEEE International Conference on Fuzzy Systems (FUZZ-IEEE)</t>
  </si>
  <si>
    <t>AUG 13-17, 2023</t>
  </si>
  <si>
    <t>Incheon, SOUTH KOREA</t>
  </si>
  <si>
    <t>IEEE,IEEE Computat Intelligence Soc,KIIS,Korea Tourism Org,Incheon Tourism Org</t>
  </si>
  <si>
    <t>Explainable AI; Reinforcement Learning; Fuzzy Neural Network; Generative Model</t>
  </si>
  <si>
    <t>There has been a lot of interest in making reinforcement learning (RL) models more explainable, as their applications become more widespread. Currently, most of the explainable RL (xRL) models focus on improving the transparency of the agent's observations, rather than the relationship between the agent's states and actions. This study introduces the Explainable Fuzzy Reconstruction Net (EFRN), which aims to interpret these relationships in RL. The EFRN utilizes the interpretability of Fuzzy Neural Networks (FNNs) to create IF-THEN rules and a generative model to showcase the learned knowledge. The IF-THEN rules can be expressed in a way that is easily understandable for humans, such as IF A THEN B. The generative model then visualizes the state as patterns that is easy for humans to comprehend. The results of the study shows that the proposed EFRN maintains the same level of performance as traditional RL methods and significantly improves the explainability of the RL agents both globally and locally.</t>
  </si>
  <si>
    <t>[Ou, Liang; Chang, Yu-Chen; Wang, Yu-Kai; Lin, Chin-Teng] Univ Technol Sydney, Sch Comp Sci, Sydney, NSW, Australia</t>
  </si>
  <si>
    <t>University of Technology Sydney</t>
  </si>
  <si>
    <t>Ou, L (corresponding author), Univ Technol Sydney, Sch Comp Sci, Sydney, NSW, Australia.</t>
  </si>
  <si>
    <t>liang.ou-1@student.uts.edu.au; Yu-Cheng.Chang@uts.edu.au; YuKai.Wang@uts.edu.au; chin-teng.lin@uts.edu.au</t>
  </si>
  <si>
    <t>Lin, Chin-Teng (CT)/G-8129-2017</t>
  </si>
  <si>
    <t>Lin, Chin-Teng (CT)/0000-0001-8371-8197; Wang, YuKai/0000-0001-8390-2664; Chang, Yu-Cheng/0000-0001-9244-0318</t>
  </si>
  <si>
    <t>Australian Research Council (ARC) [DP210101093, DP220100803]; UTS Human-Centric AI Centre funding - GrapheneX (2023-2031); Australia Defence Innovation Hub [P18-650825]; Australian Cooperative Research Centres Projects (CRC-P) Round 11 [CRCPXI000007]; US Office of Naval Research Global [ONRG - NICOP - N62909-19-1-2058]; AFOSR - DST Australian Autonomy Initiative [ID10134]; NSW Defence Innovation Network [DINPP2019 S1-03/09, PP21-22.03.02]; NSW State Government of Australia [DINPP2019 S1-03/09, PP21-22.03.02]</t>
  </si>
  <si>
    <t>Australian Research Council (ARC)(Australian Research Council); UTS Human-Centric AI Centre funding - GrapheneX (2023-2031); Australia Defence Innovation Hub; Australian Cooperative Research Centres Projects (CRC-P) Round 11(Australian GovernmentDepartment of Industry, Innovation and ScienceCooperative Research Centres (CRC) Programme); US Office of Naval Research Global(Office of Naval Research); AFOSR - DST Australian Autonomy Initiative; NSW Defence Innovation Network; NSW State Government of Australia</t>
  </si>
  <si>
    <t>This work was supported in part by the Australian Research Council (ARC) under discovery grant DP210101093 and DP220100803, and the UTS Human-Centric AI Centre funding sponsored by GrapheneX (2023-2031). Research was also sponsored in part by the Australia Defence Innovation Hub under Contract No. P18-650825, Australian Cooperative Research Centres Projects (CRC-P) Round 11 CRCPXI000007, US Office of Naval Research Global under Cooperative Agreement Number ONRG - NICOP - N62909-19-1-2058, and AFOSR - DST Australian Autonomy Initiative agreement ID10134. We also thank the NSW Defence Innovation Network and NSW State Government of Australia for financial support in part of this research through grant DINPP2019 S1-03/09 and PP21-22.03.02.</t>
  </si>
  <si>
    <t>1544-5615</t>
  </si>
  <si>
    <t>979-8-3503-3228-5</t>
  </si>
  <si>
    <t>IEEE INT FUZZY SYST</t>
  </si>
  <si>
    <t>10.1109/FUZZ52849.2023.10309670</t>
  </si>
  <si>
    <t>BW1BG</t>
  </si>
  <si>
    <t>WOS:001103277400002</t>
  </si>
  <si>
    <t>Dianova, VG; Schultz, MD</t>
  </si>
  <si>
    <t>Dianova, Vera G.; Schultz, Mario D.</t>
  </si>
  <si>
    <t>Discussing ChatGPT's implications for industry and higher education: The case for transdisciplinarity and digital humanities</t>
  </si>
  <si>
    <t>INDUSTRY AND HIGHER EDUCATION</t>
  </si>
  <si>
    <t>Generative artificial intelligence; chat generative pretrained transformer; transdisciplinary education; digital humanities; digital literacy; higher education; labor market readiness</t>
  </si>
  <si>
    <t>TECHNOLOGY; INNOVATION; AUTOMATION; TASKS</t>
  </si>
  <si>
    <t>This comment builds on the example of chat generative pretrained transformer (ChatGPT) to discuss the implications of generative AI on industry and higher education, underlining the need for more transdisciplinary digital literacy education. The release of ChatGPT has generated significant academic and professional interest and instigated a vibrant discussion on the opportunities offered and challenges posed by powerful and readily accessible generative AI reshaping teaching and learning at universities. ChatGPT has reignited an age-old debate on the impact of disruptive technologies on occupations and the labor market, but recent discussions have paid little attention to how university offerings may need to adapt. We strive to open this discussion arguing that while recent GPT technology has, indeed, made more conceivable the substitution of many tasks of white-collar and knowledge workers, and suggested an acceleration of the labor market shift towards technology-centric occupations, it has simultaneously made a stronger-than-ever case for transdisciplinary competences. Consequently, we emphasize the need to foster more transdisciplinary digital literacy in universities with curricula that provide breadth of knowledge and flexibility of mind, bridging humanities with STEM disciplines. Digital humanities education is in a unique position to promote the responsible use of generative AI, while encouraging critical reflection on its socio-cultural embeddedness.</t>
  </si>
  <si>
    <t>[Dianova, Vera G.; Schultz, Mario D.] Franklin Univ Switzerland, Div Business &amp; Econ, Via Ponte Tresa 29, CH-6924 Sorengo, Switzerland</t>
  </si>
  <si>
    <t>Franklin University Switzerland</t>
  </si>
  <si>
    <t>Dianova, VG (corresponding author), Franklin Univ Switzerland, Div Business &amp; Econ, Via Ponte Tresa 29, CH-6924 Sorengo, Switzerland.</t>
  </si>
  <si>
    <t>vdianova@fus.edu</t>
  </si>
  <si>
    <t>Dianova, Vera/JNT-4131-2023</t>
  </si>
  <si>
    <t>Dianova, Vera G./0000-0001-6856-4257; Schultz, Mario D./0000-0002-5622-3188</t>
  </si>
  <si>
    <t>0950-4222</t>
  </si>
  <si>
    <t>2043-6858</t>
  </si>
  <si>
    <t>IND HIGHER EDUC</t>
  </si>
  <si>
    <t>Ind. Higher Educ.</t>
  </si>
  <si>
    <t>10.1177/09504222231199989</t>
  </si>
  <si>
    <t>W2MZ1</t>
  </si>
  <si>
    <t>WOS:001075331300001</t>
  </si>
  <si>
    <t>Woo, LJ; Henriksen, D; Mishra, P</t>
  </si>
  <si>
    <t>Woo, Lauren J.; Henriksen, Danah; Mishra, Punya</t>
  </si>
  <si>
    <t>Literacy as a Technology: a Conversation with Kyle Jensen about AI, Writing and More</t>
  </si>
  <si>
    <t>Creativity; Writing; Technology; Learning; Education; Instruction; Artificial intelligence; ChatGPT; Wordtune; Literacy; Generative AI</t>
  </si>
  <si>
    <t>[Woo, Lauren J.; Henriksen, Danah; Mishra, Punya] Arizona State Univ, Tempe, AZ 85281 USA</t>
  </si>
  <si>
    <t>Henriksen, D (corresponding author), Arizona State Univ, Tempe, AZ 85281 USA.</t>
  </si>
  <si>
    <t>lauren.woo@asu.edu; danah.henriksen@asu.edu; punya.mishra@asu.edu</t>
  </si>
  <si>
    <t>10.1007/s11528-023-00888-0</t>
  </si>
  <si>
    <t>S4KW2</t>
  </si>
  <si>
    <t>WOS:001064457600001</t>
  </si>
  <si>
    <t>Wan, Q; Lu, ZC</t>
  </si>
  <si>
    <t>Wan, Qian; Lu, Zhicong</t>
  </si>
  <si>
    <t>GANCollage: A GAN-Driven Digital Mood Board to Facilitate Ideation in Creativity Support</t>
  </si>
  <si>
    <t>creativity support; ideation; human-AI interaction; digital mood board</t>
  </si>
  <si>
    <t>During past decades, Artifcial Intelligence (AI) has been consistently used in Creativity Support Tools (CSTs). Recently, with the development of generative AI models, particularly Generative Adversarial Nets (GAN) in Computer Vision, it became possible that AI directly generates visual ideas. However, there were rarely any work in creativity research that harnessed the design ideas generated by such models directly for design space exploration. In this paper, we propose a StyleGAN-driven digital mood board, GANCollage, that integrates AI generated visual ideas into the ideation phase for creativity support. GANCollage supports semantic explorations of StyleGAN generations in an iterative human-in-the-loop manner, using an AI-driven interactive tagging system. Our evaluation involving 10 participants manifests that GANCollage provides more creativity support without compromising the fnal results. It also ofers a more enjoyable, explicit and efective way of exploring AI generated visual ideas for ideation.</t>
  </si>
  <si>
    <t>[Wan, Qian; Lu, Zhicong] City Univ Hong Kong, Hong Kong, Peoples R China</t>
  </si>
  <si>
    <t>City University of Hong Kong</t>
  </si>
  <si>
    <t>Wan, Q (corresponding author), City Univ Hong Kong, Hong Kong, Peoples R China.</t>
  </si>
  <si>
    <t>qianwan3-c@my.cityu.edu.hk; zhiconlu@cityu.edu.hk</t>
  </si>
  <si>
    <t>Lu, Zhicong/JRX-3247-2023</t>
  </si>
  <si>
    <t>Lu, Zhicong/0000-0002-7761-6351</t>
  </si>
  <si>
    <t>2021 CCF-Tencent Rhino-Bird Research Fund; Research Matching Grant Scheme (RMGS) [9229095]; Tencent; China Computer Federation (CCF); Research Grants Council of Hong Kong</t>
  </si>
  <si>
    <t>2021 CCF-Tencent Rhino-Bird Research Fund; Research Matching Grant Scheme (RMGS); Tencent; China Computer Federation (CCF); Research Grants Council of Hong Kong(Hong Kong Research Grants Council)</t>
  </si>
  <si>
    <t>This research was partially supported by the 2021 CCF-Tencent Rhino-Bird Research Fund and the Research Matching Grant Scheme (RMGS, Project No. 9229095). We thank Tencent, China Computer Federation (CCF), and Research Grants Council of Hong Kong for their support and guidance.</t>
  </si>
  <si>
    <t>10.1145/3563657.3596072</t>
  </si>
  <si>
    <t>WOS:001090855700009</t>
  </si>
  <si>
    <t>Crawford, J; Cowling, M; Allen, KA</t>
  </si>
  <si>
    <t>Crawford, Joseph; Cowling, Michael; Allen, Kelly -Ann</t>
  </si>
  <si>
    <t>Leadership is needed for ethical ChatGPT: Character, assessment, and learning using artifiicial intelligence (AI)</t>
  </si>
  <si>
    <t>ChatGPT; OpenAI; artificial intelligence; large language model; student character; academic integrity</t>
  </si>
  <si>
    <t>ARTIFICIAL-INTELLIGENCE; HIGHER-EDUCATION; PREVALENCE; STRESS; HEALTH; STRAIN</t>
  </si>
  <si>
    <t>The OpenAI's ChatGPT-3, or Chat Generative Pre-Trained Transformer was released in November 2022 without significant warning, and has taken higher education by storm since. The artificial intelligence (AI) -powered chatbot has caused alarm for practitioners seeking to detect authenticity of student work. Whereas some educational doomsayers predict the end of education in its current form, we propose an alternate early view. We identify in this commentary a position where educators can leverage AI like ChatGPT to build supportive learning environments for students who have cultivated good character. Such students know how to use ChatGPT for good, and can engage effectively with the ChatGPT application. In building our ChatGPT argument, we acknowledge the existing literature on plagiarism and academic integrity, and consider leadership as a root support mechanism, character development as an antidote, and authentic assessment as an enabler. In doing so, we highlight that while ChatGPT - like papermills, and degree factories before it - can be used to cheat on university exams, it can also be used to support deeper learning and better learning outcomes for students. In doing so, we offer a commentary that offers opportunities for practitioners, and research potential for scholars.</t>
  </si>
  <si>
    <t>[Crawford, Joseph] Univ Tasmania, Hobart, Tas, Australia; [Cowling, Michael] Cent Queensland Univ, Rockhampton, Qld, Australia; [Allen, Kelly -Ann] Monash Univ, Melbourne, Vic, Australia</t>
  </si>
  <si>
    <t>University of Tasmania; Central Queensland University; Monash University</t>
  </si>
  <si>
    <t>Crawford, J (corresponding author), Univ Tasmania, Hobart, Tas, Australia.</t>
  </si>
  <si>
    <t>joseph.crawford@utas.edu.au; m.cowling@cqu.edu.au; kelly-ann.allen@monash.edu</t>
  </si>
  <si>
    <t>Cowling, Michael A./L-7059-2017; Allen, Kelly-Ann/L-4989-2018</t>
  </si>
  <si>
    <t>Cowling, Michael A./0000-0003-1444-1563; Allen, Kelly-Ann/0000-0002-6813-0034; Crawford, Joseph/0000-0002-2191-6216</t>
  </si>
  <si>
    <t>10.53761/1.20.3.02</t>
  </si>
  <si>
    <t>9X9VD</t>
  </si>
  <si>
    <t>WOS:000950113500004</t>
  </si>
  <si>
    <t>Denny, P; Becker, BA; Leinonen, J; Prather, J</t>
  </si>
  <si>
    <t>Denny, Paul; Becker, Brett A.; Leinonen, Juho; Prather, James</t>
  </si>
  <si>
    <t>Chat Overflow: Artificially Intelligent Models for Computing Education - renAIssance or apocAIypse?</t>
  </si>
  <si>
    <t>AI; artificial intelligence; ChatGPT; computer programming; computer science education; computing education; Copilot; deep learning; generative AI; large language models; LLM; machine learning</t>
  </si>
  <si>
    <t>Recent breakthroughs in deep learning have led to the emergence of generative AI models that exhibit extraordinary performance at producing human-like outputs. Using only simple input prompts, it is possible to generate novel text, images, video, music, and source code, as well as tackle tasks such as answering questions and translating and summarising text. However, the potential for these models to impact computing education practice is only just beginning to be explored. For example, novices learning to code can now use free tools that automatically suggest solutions to programming exercises and assignments; yet these tools were not designed with novices in mind and little to nothing is known about how they will impact learning. Furthermore, much attention has focused on the immediate challenges these models present, such as academic integrity concerns. It seems that even in the AI-era a pending apocalypse sells better than a promising renaissance. Generative AI will likely play an increasing role in people's lives in the reasonably foreseeable future. Model performance seems set to continue accelerating while novel uses and new possibilities multiply. Given this, we should devote just as much effort to identifying and exploiting new opportunities as we do to identifying and mitigating challenges. In this talk, we begin by discussing several concrete and researchbacked opportunities for computing educators. Many of these have already shown great promise in positively impacting current practice. We then discuss more short- to medium-term possibilities in areas such as student recruitment, and curricular changes. Finally - against our better judgement - we speculate over the longerterm, including rethinking the very fundamentals of the practice of teaching introductory and advanced computing courses. In these *Randomly ordered by the spin of a roulette wheel, the results of which were eventually confirmed as valid, reliable and replicable by ChatGPT Plus on the fourth attempt (GPT4 March 23, 2023 version). No other artificial intelligence was used in the authoring of this document. discussions we suggest potential research questions and directions. Although making remotely accurate predictions in such a fastchanging landscape is foolhardy, we believe that now is the time to explore and embrace opportunities to help make positive change in as many computing classrooms as possible.</t>
  </si>
  <si>
    <t>[Denny, Paul; Leinonen, Juho] Univ Auckland, Auckland, New Zealand; [Becker, Brett A.] Univ Coll Dublin, Dublin, Ireland; [Prather, James] Abilene Christian Univ, Abilene, TX USA</t>
  </si>
  <si>
    <t>University of Auckland; University College Dublin; Abilene Christian University</t>
  </si>
  <si>
    <t>Denny, P (corresponding author), Univ Auckland, Auckland, New Zealand.</t>
  </si>
  <si>
    <t>paul@cs.auckland.ac.nz; brett.becker@ucd.ie; juho.leinonen@auckland.ac.nz; james.prather@acu.edu</t>
  </si>
  <si>
    <t>Leinonen, Juho/D-2162-2018</t>
  </si>
  <si>
    <t>Leinonen, Juho/0000-0001-6829-9449; Denny, Paul/0000-0002-5150-9806; Prather, James/0000-0003-2807-6042</t>
  </si>
  <si>
    <t>10.1145/3587102.3588773</t>
  </si>
  <si>
    <t>WOS:001051691300002</t>
  </si>
  <si>
    <t>Shavlokhova, V; Vollmer, A; Zouboulis, CC; Vollmer, M; Wollborn, J; Lang, G; Kübler, A; Hartmann, S; Stoll, C; Roider, E; Saravi, B</t>
  </si>
  <si>
    <t>Shavlokhova, Veronika; Vollmer, Andreas; Zouboulis, Christos C.; Vollmer, Michael; Wollborn, Jakob; Lang, Gernot; Kuebler, Alexander; Hartmann, Stefan; Stoll, Christian; Roider, Elisabeth; Saravi, Babak</t>
  </si>
  <si>
    <t>Finetuning of GLIDE stable diffusion model for AI-based text-conditional image synthesis of dermoscopic images</t>
  </si>
  <si>
    <t>GLIDE; text-to-image; stable diffusion; dermoscopy; cancer; dermatology</t>
  </si>
  <si>
    <t>BackgroundThe development of artificial intelligence (AI)-based algorithms and advances in medical domains rely on large datasets. A recent advancement in text-to-image generative AI is GLIDE (Guided Language to Image Diffusion for Generation and Editing). There are a number of representations available in the GLIDE model, but it has not been refined for medical applications.MethodsFor text-conditional image synthesis with classifier-free guidance, we have fine-tuned GLIDE using 10,015 dermoscopic images of seven diagnostic entities, including melanoma and melanocytic nevi. Photorealistic synthetic samples of each diagnostic entity were created by the algorithm. Following this, an experienced dermatologist reviewed 140 images (20 of each entity), with 10 samples originating from artificial intelligence and 10 from original images from the dataset. The dermatologist classified the provided images according to the seven diagnostic entities. Additionally, the dermatologist was asked to indicate whether or not a particular image was created by AI. Further, we trained a deep learning model to compare the diagnostic results of dermatologist versus machine for entity classification.ResultsThe results indicate that the generated images possess varying degrees of quality and realism, with melanocytic nevi and melanoma having higher similarity to real images than other classes. The integration of synthetic images improved the classification performance of the model, resulting in higher accuracy and precision. The AI assessment showed superior classification performance compared to dermatologist.ConclusionOverall, the results highlight the potential of synthetic images for training and improving AI models in dermatology to overcome data scarcity.</t>
  </si>
  <si>
    <t>[Shavlokhova, Veronika; Stoll, Christian] Univ Hosp Ruppin, Maxillofacial Surg, Fehrbelliner Str Neuruppin, Neuruppin, Germany; [Vollmer, Andreas; Kuebler, Alexander; Hartmann, Stefan] Univ Hosp Wurzburg, Dept Oral &amp; Maxillofacial Plast Surg, Wurzburg, Germany; [Zouboulis, Christos C.] Staedt Klinikum Dessau, Med Sch Theodor Fontane, Dept Dermatol Venereol Allergol, Dessau, Germany; [Zouboulis, Christos C.] Staedt Klinikum Dessau, Dept Immunol, Med Sch Theodor Fontane, Dessau, Germany; [Zouboulis, Christos C.] Fac Hlth Sci Brandenburg, Dessau, Germany; [Vollmer, Michael] Tuebingen Univ Hosp, Dept Oral &amp; Maxillofacial Surg, Tubingen, Germany; [Wollborn, Jakob; Saravi, Babak] Harvard Med Sch, Brigham &amp; Womens Hosp, Dept Anesthesiol Perioperat &amp; Pain Med, Boston, MA 02115 USA; [Lang, Gernot; Saravi, Babak] Univ Freiburg, Albert Ludwigs Univ Freiburg, Fac Med, Med Ctr, Freiburg, Germany; [Roider, Elisabeth] Univ Hosp Basel, Dept Dermatol, Basel, Switzerland</t>
  </si>
  <si>
    <t>University of Wurzburg; Eberhard Karls University of Tubingen; Eberhard Karls University Hospital; TUBINGEN UNIVERSITY CHILDRENS HOSPITAL; Harvard University; Brigham &amp; Women's Hospital; Harvard Medical School; University of Freiburg; University of Basel</t>
  </si>
  <si>
    <t>Saravi, B (corresponding author), Harvard Med Sch, Brigham &amp; Womens Hosp, Dept Anesthesiol Perioperat &amp; Pain Med, Boston, MA 02115 USA.;Saravi, B (corresponding author), Univ Freiburg, Albert Ludwigs Univ Freiburg, Fac Med, Med Ctr, Freiburg, Germany.</t>
  </si>
  <si>
    <t>babak.saravi@jupiter.uni-freiburg.de</t>
  </si>
  <si>
    <t>Saravi, Babak/AAV-9666-2020</t>
  </si>
  <si>
    <t>Saravi, Babak/0000-0003-2298-3696</t>
  </si>
  <si>
    <t>The article processing charge was funded by the Baden-Wuerttemberg Ministry of Science, Research and Art, and the University of Freiburg in the funding program Open Access Publishing.; Baden-Wuerttemberg Ministry of Science, Research and Art; University of Freiburg</t>
  </si>
  <si>
    <t>The article processing charge was funded by the Baden-Wuerttemberg Ministry of Science, Research and Art, and the University of Freiburg in the funding program Open Access Publishing.</t>
  </si>
  <si>
    <t>OCT 20</t>
  </si>
  <si>
    <t>10.3389/fmed.2023.1231436</t>
  </si>
  <si>
    <t>W5YJ6</t>
  </si>
  <si>
    <t>WOS:001092377500001</t>
  </si>
  <si>
    <t>Myong, Y; Yoon, D; Kim, BS; Kim, YG; Sim, Y; Lee, S; Yoon, J; Cho, M; Kim, S</t>
  </si>
  <si>
    <t>Myong, Youho; Yoon, Dan; Kim, Byeong Soo; Kim, Young Gyun; Sim, Yongsik; Lee, Suji; Yoon, Jiyoung; Cho, Minwoo; Kim, Sungwan</t>
  </si>
  <si>
    <t>Evaluating diagnostic content of AI-generated chest radiography: A multi-center visual Turing test</t>
  </si>
  <si>
    <t>PLOS ONE</t>
  </si>
  <si>
    <t>X-RAY</t>
  </si>
  <si>
    <t>BackgroundAccurate interpretation of chest radiographs requires years of medical training, and many countries face a shortage of medical professionals to meet such requirements. Recent advancements in artificial intelligence (AI) have aided diagnoses; however, their performance is often limited due to data imbalance. The aim of this study was to augment imbalanced medical data using generative adversarial networks (GANs) and evaluate the clinical quality of the generated images via a multi-center visual Turing test. MethodsUsing six chest radiograph datasets, (MIMIC, CheXPert, CXR8, JSRT, VBD, and OpenI), starGAN v2 generated chest radiographs with specific pathologies. Five board-certified radiologists from three university hospitals, each with at least five years of clinical experience, evaluated the image quality through a visual Turing test. Further evaluations were performed to investigate whether GAN augmentation enhanced the convolutional neural network (CNN) classifier performances. ResultsIn terms of identifying GAN images as artificial, there was no significant difference in the sensitivity between radiologists and random guessing (result of radiologists: 147/275 (53.5%) vs result of random guessing: 137.5/275, (50%); p = .284). GAN augmentation enhanced CNN classifier performance by 11.7%. ConclusionRadiologists effectively classified chest pathologies with synthesized radiographs, suggesting that the images contained adequate clinical information. Furthermore, GAN augmentation enhanced CNN performance, providing a bypass to overcome data imbalance in medical AI training. CNN based methods rely on the amount and quality of training data; the present study showed that GAN augmentation could effectively augment training data for medical AI.</t>
  </si>
  <si>
    <t>[Myong, Youho; Kim, Sungwan] Seoul Natl Univ, Dept Biomed Engn, Coll Med, Seoul, South Korea; [Myong, Youho] Seoul Natl Univ Hosp, Dept Rehabil Med, Seoul, South Korea; [Yoon, Dan; Kim, Byeong Soo; Kim, Young Gyun; Kim, Sungwan] Seoul Natl Univ, Interdisciplinary Program Bioengn, Grad Sch, Seoul, South Korea; [Sim, Yongsik; Lee, Suji] Yonsei Univ, Severance Hosp, Dept Radiol, Coll Med, Seoul, South Korea; [Yoon, Jiyoung] Yonsei Univ, Coll Med, Dept Radiol, Seoul, South Korea; [Yoon, Jiyoung] Yonsei Univ Coll Med, Res Inst Radiol Sci, Coll Med, Seoul, South Korea; [Cho, Minwoo] Seoul Natl Univ Hosp, Transdisciplinary Dept Med &amp; Adv Technol, Seoul, South Korea; [Cho, Minwoo] Seoul Natl Univ, Med Big Data Res Ctr, Coll Med, Seoul, South Korea; [Cho, Minwoo] Seoul Natl Univ Hosp, Biomed Res Inst, Seoul, South Korea; [Kim, Sungwan] Seoul Natl Univ, Inst Bioengn, Seoul, South Korea</t>
  </si>
  <si>
    <t>Seoul National University (SNU); Seoul National University (SNU); Seoul National University Hospital; Seoul National University (SNU); Yonsei University; Yonsei University Health System; Yonsei University; Yonsei University Health System; Yonsei University; Yonsei University Health System; Seoul National University (SNU); Seoul National University Hospital; Seoul National University (SNU); Seoul National University (SNU); Seoul National University Hospital; Seoul National University (SNU)</t>
  </si>
  <si>
    <t>Kim, S (corresponding author), Seoul Natl Univ, Dept Biomed Engn, Coll Med, Seoul, South Korea.;Kim, S (corresponding author), Seoul Natl Univ, Interdisciplinary Program Bioengn, Grad Sch, Seoul, South Korea.;Cho, M (corresponding author), Seoul Natl Univ Hosp, Transdisciplinary Dept Med &amp; Adv Technol, Seoul, South Korea.;Cho, M (corresponding author), Seoul Natl Univ, Med Big Data Res Ctr, Coll Med, Seoul, South Korea.;Cho, M (corresponding author), Seoul Natl Univ Hosp, Biomed Res Inst, Seoul, South Korea.;Kim, S (corresponding author), Seoul Natl Univ, Inst Bioengn, Seoul, South Korea.</t>
  </si>
  <si>
    <t>chovis@snuh.org; sungwan@snu.ac.kr</t>
  </si>
  <si>
    <t>SIM, YONGSIK/HTL-9378-2023</t>
  </si>
  <si>
    <t>SIM, YONGSIK/0000-0003-2711-2793; Lee, Suji/0000-0002-8770-622X; Yoon, Jiyoung/0000-0003-2266-0803; -Kim, Young Gyun/0000-0003-1231-9097; Kim, Sungwan/0000-0002-9318-849X; Yoon, Dan/0000-0002-5657-5984</t>
  </si>
  <si>
    <t>MD-PhD/Medical Scientist Training Program through the Korea Health Industry Development Institute - Korean government (Ministry of Health and Welfare); National Research Foundation of Korea (NRF) - Korean government (Ministry of ICT, Science) [No-2021R1C1C2095529]</t>
  </si>
  <si>
    <t>MD-PhD/Medical Scientist Training Program through the Korea Health Industry Development Institute - Korean government (Ministry of Health and Welfare); National Research Foundation of Korea (NRF) - Korean government (Ministry of ICT, Science)</t>
  </si>
  <si>
    <t>Y.M. received grant from the MD-PhD/Medical Scientist Training Program through the Korea Health Industry Development Institute funded by the Korean government (Ministry of Health and Welfare, http://www.mohw.go.kr/eng/index.jsp). M.C. received grant from National Research Foundation of Korea (NRF) grant funded by the Korean government (Ministry of ICT, Science, and Technology, https://www.msit.go.kr/eng/index.do) (No-2021R1C1C2095529). The funders had no role in study design, data collection and analysis, decision to publish, or preparation of the manuscript.</t>
  </si>
  <si>
    <t>PUBLIC LIBRARY SCIENCE</t>
  </si>
  <si>
    <t>SAN FRANCISCO</t>
  </si>
  <si>
    <t>1160 BATTERY STREET, STE 100, SAN FRANCISCO, CA 94111 USA</t>
  </si>
  <si>
    <t>1932-6203</t>
  </si>
  <si>
    <t>PLoS One</t>
  </si>
  <si>
    <t>e0279349</t>
  </si>
  <si>
    <t>10.1371/journal.pone.0279349</t>
  </si>
  <si>
    <t>D7NJ8</t>
  </si>
  <si>
    <t>WOS:000970555500015</t>
  </si>
  <si>
    <t>Pan, XG; Tewari, A; Leimkühler, T; Liu, LJ; Meka, A; Theobalt, C</t>
  </si>
  <si>
    <t>Pan, Xingang; Tewari, Ayush; Leimkuehler, Thomas; Liu, Lingjie; Meka, Abhimitra; Theobalt, Christian</t>
  </si>
  <si>
    <t>Drag Your GAN: Interactive Point-based Manipulation on the Generative Image Manifold</t>
  </si>
  <si>
    <t>PROCEEDINGS OF SIGGRAPH 2023 CONFERENCE PAPERS, SIGGRAPH 2023</t>
  </si>
  <si>
    <t>ACM SIGGRAPH Conference</t>
  </si>
  <si>
    <t>GANs; interactive image manipulation; point tracking</t>
  </si>
  <si>
    <t>Synthesizing visual content that meets users' needs often requires flexible and precise controllability of the pose, shape, expression, and layout of the generated objects. Existing approaches gain controllability of generative adversarial networks (GANs) via manually annotated training data or a prior 3D model, which often lack flexibility, precision, and generality. In this work, we study a powerful yet much less explored way of controlling GANs, that is, to drag any points of the image to precisely reach target points in a user-interactive manner, as shown in Fig.1. To achieve this, we propose DragGAN, which consists of two main components: 1) a featurebased motion supervision that drives the handle point to move towards the target position, and 2) a new point tracking approach that leverages the discriminative generator features to keep localizing the position of the handle points. Through DragGAN, anyone can deform an image with precise control over where pixels go, thus manipulating the pose, shape, expression, and layout of diverse categories such as animals, cars, humans, landscapes, etc. As these manipulations are performed on the learned generative image manifold of a GAN, they tend to produce realistic outputs even for challenging scenarios such as hallucinating occluded content and deforming shapes that consistently follow the object's rigidity. Both qualitative and quantitative comparisons demonstrate the advantage of DragGAN over prior approaches in the tasks of image manipulation and point tracking. We also showcase the manipulation of real images through GAN inversion.</t>
  </si>
  <si>
    <t>[Pan, Xingang; Leimkuehler, Thomas; Liu, Lingjie; Theobalt, Christian] Max Planck Inst Informat, Saarbrucken, Germany; [Tewari, Ayush] MIT, CSAIL, Cambridge, MA 02139 USA; [Meka, Abhimitra] Google AR VR, Mountain View, CA USA</t>
  </si>
  <si>
    <t>Max Planck Society; Massachusetts Institute of Technology (MIT)</t>
  </si>
  <si>
    <t>Pan, XG (corresponding author), Max Planck Inst Informat, Saarbrucken, Germany.</t>
  </si>
  <si>
    <t>xpan@mpi-inf.mpg.de; ayusht@mit.edu; thomas.leimkuehler@mpi-inf.mpg.de; lingjie.liu@seas.upenn.edu; abhim@google.com; theobalt@mpi-inf.mpg.de</t>
  </si>
  <si>
    <t>Pan, Xingang/HGD-9011-2022</t>
  </si>
  <si>
    <t>Pan, Xingang/0000-0002-5825-9467; Meka, Abhimitra/0000-0001-7906-4004</t>
  </si>
  <si>
    <t>ERC Consolidator Grant [770784]; Lise Meitner Postdoctoral Fellowship; Saarbrucken Research Center for Visual Computing, Interaction and AI</t>
  </si>
  <si>
    <t>ERC Consolidator Grant(European Research Council (ERC)); Lise Meitner Postdoctoral Fellowship; Saarbrucken Research Center for Visual Computing, Interaction and AI</t>
  </si>
  <si>
    <t>Christian Theobalt was supported by ERC Consolidator Grant 4DReply (770784). Lingjie Liu was supported by Lise Meitner Postdoctoral Fellowship. This project was also supported by Saarbrucken Research Center for Visual Computing, Interaction and AI.</t>
  </si>
  <si>
    <t>979-8-4007-0159-7</t>
  </si>
  <si>
    <t>10.1145/3588432.3591500</t>
  </si>
  <si>
    <t>BW2JS</t>
  </si>
  <si>
    <t>WOS:001117690500078</t>
  </si>
  <si>
    <t>Jan, NM; Gwak, J; Pamucar, D</t>
  </si>
  <si>
    <t>Jan, Naeem; Gwak, Jeonghwan; Pamucar, Dragan</t>
  </si>
  <si>
    <t>Mathematical analysis of generative adversarial networks based on complex picture fuzzy soft information</t>
  </si>
  <si>
    <t>APPLIED SOFT COMPUTING</t>
  </si>
  <si>
    <t>Generative adversarial networks; Uncertainty; Deep learning; Machine learning; Complex picture fuzzy soft set; Complex picture fuzzy soft relations</t>
  </si>
  <si>
    <t>SET; LOGIC</t>
  </si>
  <si>
    <t>Generative Adversarial Networks (GANs) are the models that generate data samples from the statistical distribution of the data. It is one of the most well-known branches of machine learning and deep learning. Different techniques are involved in the processing and production of visual data, which sometimes gives rise to misperception uncertainties. Bearing this issue in mind, we define some solid mathematical concepts to model and resolve the stated problem named complex picture fuzzy soft relations (CPFSRs) which is defined by the Cartesian product (CP) of two complex picture fuzzy soft sets (CPFSSs). The major objective of this study is to develop some innovative and useful notions that may be used to handle difficult and inconsistent information in practical situations. The proposed notion is foremost and superior to the prevailing ideas, where the presented idea is the improved technique of two different theories, named picture fuzzy set (PFS) and soft set (SS). Additionally, it presents the picture fuzzy soft set (PFSS) in professional decision-making by reducing complexions. The evaluated CPFSRs are the improved versions of soft relations, fuzzy relations, complex soft relations, and complex fuzzy relations. Therefore, this paper provides modeling methodologies based on CPFSRs which are used for the analysis of electing the best GAN for effective working. In the process, the score functions are also formulated and analyzed. Finally, a comparative study of existing techniques has been done to show the validity of the proposed work. (c) 2023 Elsevier B.V. All rights reserved.</t>
  </si>
  <si>
    <t>[Jan, Naeem; Gwak, Jeonghwan] Korea Natl Univ Transportat, Dept Software, Chungju 27469, South Korea; [Gwak, Jeonghwan] Korea Natl Univ Transportat, Dept Biomed Engn, Chungju 27469, South Korea; [Gwak, Jeonghwan] Korea Natl Univ Transportat, Dept AI Robot Engn, Chungju 27469, South Korea; [Gwak, Jeonghwan] Korea Natl Univ Transportat, Dept IT &amp; Energy Convergence BK21 FOUR, Chungju 27469, South Korea; [Pamucar, Dragan] Univ Belgrade, Fac Org Sci, Dept Operat Res &amp; Stat, Belgrade, Serbia; [Pamucar, Dragan] Yuan Ze Univ, Coll Engn, Taoyuan, Taiwan</t>
  </si>
  <si>
    <t>Korea National University of Transportation; Korea National University of Transportation; Korea National University of Transportation; Korea National University of Transportation; University of Belgrade; Yuan Ze University</t>
  </si>
  <si>
    <t>Pamucar, D (corresponding author), Univ Belgrade, Fac Org Sci, Dept Operat Res &amp; Stat, Belgrade, Serbia.;Pamucar, D (corresponding author), Yuan Ze Univ, Coll Engn, Taoyuan, Taiwan.</t>
  </si>
  <si>
    <t>naeem.jan.7300@gmail.com; jgwak@ut.ac.kr; dragan.pamucar@fon.bg.ac.rs</t>
  </si>
  <si>
    <t>Jan, Naeem/GPF-6338-2022; Pamucar, Dragan/AAG-8288-2019</t>
  </si>
  <si>
    <t>Jan, Naeem/0000-0002-7318-407X; Pamucar, Dragan/0000-0001-8522-1942; Gwak, Jeonghwan/0000-0002-6237-0141</t>
  </si>
  <si>
    <t>Regional Innovation Strategy (RIS) through the National Research Foundation of Korea (NRF) - Ministry of Education (MOE) [2021RIS-001 (1345341783)]; [2022H1D3A2A02060097]</t>
  </si>
  <si>
    <t>Regional Innovation Strategy (RIS) through the National Research Foundation of Korea (NRF) - Ministry of Education (MOE)(Ministry of Education (MOE), Republic of KoreaNational Research Foundation of Korea);</t>
  </si>
  <si>
    <t>This work was supported in part by the Brain Pool program funded by the Ministry of Science and ICT through the National Research Foundation of Korea (2022H1D3A2A02060097) and the Regional Innovation Strategy (RIS) through the National Research Foundation of Korea (NRF) funded by the Ministry of Education (MOE) (2021RIS-001 (1345341783)). Jeonghwan Gwak and Dragan Pamucar are the cocorresponding authors.</t>
  </si>
  <si>
    <t>1568-4946</t>
  </si>
  <si>
    <t>1872-9681</t>
  </si>
  <si>
    <t>APPL SOFT COMPUT</t>
  </si>
  <si>
    <t>Appl. Soft. Comput.</t>
  </si>
  <si>
    <t>10.1016/j.asoc.2023.110088</t>
  </si>
  <si>
    <t>H4SU7</t>
  </si>
  <si>
    <t>WOS:000995886700001</t>
  </si>
  <si>
    <t>Bojesen, TA; Denechaud, C; Malde, K</t>
  </si>
  <si>
    <t>Bojesen, Troels Arnfred; Denechaud, Come; Malde, Ketil</t>
  </si>
  <si>
    <t>Annotating otoliths with a deep generative model</t>
  </si>
  <si>
    <t>ICES JOURNAL OF MARINE SCIENCE</t>
  </si>
  <si>
    <t>deep learning; explainable AI; fish age estimation</t>
  </si>
  <si>
    <t>AGE-DETERMINATION; FISH</t>
  </si>
  <si>
    <t>Otoliths are a central information source for fish ecology and stock management, conveying important data about age and other life history for individual fish. Traditionally, interpretation of otoliths has required skilled expert readers, but recently deep learning classification and regression models have been trained to extract fish age from images of otoliths from a variety of species. Despite high accuracy in many cases, the adoption of such models in fisheries management has been slow. One reason may be that the underlying mechanisms the model uses to derive its results from the data are opaque, and this lack of legibility makes it challenging to build sufficient trust in the results. Here, we implement a deep learning model that instead of age predicts the location of annotation marks for each of the annuli. This allows an expert to evaluate the model's performance in detail. The quality of the annotations was judged by a panel of four expert otolith readers in a double-blinded randomized survey. Using a scale from 1 to 5, the generated marks received an average quality score of 4.22, whereas expert annotations received an average score of 4.33. By counting the marks to determine fish age, we obtained an agreement between expert and model annotations of 64% on our test set, which running the model stochastically increased to 69%. Stochastic sampling yields further benefits, including an explicit measure of the model's uncertainty, the post hoc likelihood of the different age classes for each otolith, and a set of alternative annotation sequences that highlight the structure of the annuli.</t>
  </si>
  <si>
    <t>[Bojesen, Troels Arnfred; Malde, Ketil] Univ Bergen, Dept Informat, N-5005 Bergen, Norway; [Denechaud, Come; Malde, Ketil] Inst Marine Res, N-5005 Bergen, Norway</t>
  </si>
  <si>
    <t>University of Bergen; Institute of Marine Research - Norway</t>
  </si>
  <si>
    <t>Malde, K (corresponding author), Univ Bergen, Dept Informat, N-5005 Bergen, Norway.</t>
  </si>
  <si>
    <t>ketil.malde@imr.no</t>
  </si>
  <si>
    <t>Denechaud, Come/0000-0002-8298-4423</t>
  </si>
  <si>
    <t>1054-3139</t>
  </si>
  <si>
    <t>1095-9289</t>
  </si>
  <si>
    <t>ICES J MAR SCI</t>
  </si>
  <si>
    <t>ICES J. Mar. Sci.</t>
  </si>
  <si>
    <t>JAN 22</t>
  </si>
  <si>
    <t>10.1093/icesjms/fsad170</t>
  </si>
  <si>
    <t>Fisheries; Marine &amp; Freshwater Biology; Oceanography</t>
  </si>
  <si>
    <t>FQ5U9</t>
  </si>
  <si>
    <t>WOS:001097836800001</t>
  </si>
  <si>
    <t>Herzog, B; Casier, B; Lebègue, S; Rocca, D</t>
  </si>
  <si>
    <t>Herzog, Basile; Casier, Bastien; Lebegue, Sebastin; Rocca, Dario</t>
  </si>
  <si>
    <t>Solving the Schro?dinger Equation in the Configuration Space with Generative Machine Learning</t>
  </si>
  <si>
    <t>JOURNAL OF CHEMICAL THEORY AND COMPUTATION</t>
  </si>
  <si>
    <t>RESTRICTED BOLTZMANN MACHINES</t>
  </si>
  <si>
    <t>The configuration interaction approach provides a concep-tually simple and powerful approach to solve the Schro''dinger equation for realistic molecules and materials but is characterized by an unfavorable scaling, which strongly limits its practical applicability. Effectively selecting only the configurations that actually contribute to the wave function is a fundamental step toward practical applications. We propose a machine learning approach that iteratively trains a generative model to preferentially generate the important configurations. By considering molecular applications it is shown that convergence to chemical accuracy can be achieved much more rapidly with respect to random sampling or the Monte Carlo configuration interaction method. This work paves the way to a broader use of generative models to solve the electronic structure problem.</t>
  </si>
  <si>
    <t>[Herzog, Basile; Casier, Bastien; Lebegue, Sebastin; Rocca, Dario] Univ Lorraine, F-54000 Nancy, France; [Herzog, Basile; Casier, Bastien; Lebegue, Sebastin; Rocca, Dario] CNRS, LPCT UMR 7019, F-54000 Nancy, France</t>
  </si>
  <si>
    <t>Universite de Lorraine; Centre National de la Recherche Scientifique (CNRS)</t>
  </si>
  <si>
    <t>Rocca, D (corresponding author), Univ Lorraine, F-54000 Nancy, France.;Rocca, D (corresponding author), CNRS, LPCT UMR 7019, F-54000 Nancy, France.</t>
  </si>
  <si>
    <t>dario.rocca@univ-lorraine.fr</t>
  </si>
  <si>
    <t>Rocca, Dario/C-3177-2012</t>
  </si>
  <si>
    <t>Rocca, Dario/0000-0003-2122-6933; Herzog, Basile/0000-0003-2525-4173</t>
  </si>
  <si>
    <t>COMETE project (COnception in silico de Materiaux pour l'EnvironnemenT et l'Energie); European Union; Agence Nationale de la Recherche under the Lorraine Artificial Intelligence (LOR-AI) [ANR-20-THIA-0010-01]; Agence Nationale de la Recherche (ANR) [ANR-20-THIA-0010] Funding Source: Agence Nationale de la Recherche (ANR)</t>
  </si>
  <si>
    <t>COMETE project (COnception in silico de Materiaux pour l'EnvironnemenT et l'Energie); European Union(European Union (EU)); Agence Nationale de la Recherche under the Lorraine Artificial Intelligence (LOR-AI)(Agence Nationale de la Recherche (ANR)); Agence Nationale de la Recherche (ANR)(Agence Nationale de la Recherche (ANR))</t>
  </si>
  <si>
    <t>This work was supported through the COMETE project (COnception in silico de Materiaux pour l'EnvironnemenT et l'Energie) cofunded by the European Union under the program FEDER-FSE Lorraine et Massif des Vosges 2014-2020. B.H., S.L., and D.R. acknowledge the financial support of the Agence Nationale de la Recherche under the Lorraine Artificial Intelligence (LOR-AI) project (Grant Number ANR-20-THIA-0010-01).</t>
  </si>
  <si>
    <t>1549-9618</t>
  </si>
  <si>
    <t>1549-9626</t>
  </si>
  <si>
    <t>J CHEM THEORY COMPUT</t>
  </si>
  <si>
    <t>J. Chem. Theory Comput.</t>
  </si>
  <si>
    <t>MAY 9</t>
  </si>
  <si>
    <t>10.1021/acs.jctc.2c01216</t>
  </si>
  <si>
    <t>Chemistry, Physical; Physics, Atomic, Molecular &amp; Chemical</t>
  </si>
  <si>
    <t>Chemistry; Physics</t>
  </si>
  <si>
    <t>F7RU6</t>
  </si>
  <si>
    <t>WOS:000973223200001</t>
  </si>
  <si>
    <t>Tang, YB; Zhang, RQ; Guo, JF; de Rijke, M</t>
  </si>
  <si>
    <t>Tang, Yubao; Zhang, Ruqing; Guo, Jiafeng; de Rijke, Maarten</t>
  </si>
  <si>
    <t>Recent Advances in Generative Information Retrieval</t>
  </si>
  <si>
    <t>ANNUAL INTERNATIONAL ACM SIGIR CONFERENCE ON RESEARCH AND DEVELOPMENT IN INFORMATION RETRIEVAL IN THE ASIA PACIFIC REGION, SIGIR-AP 2023</t>
  </si>
  <si>
    <t>1st Annual International ACM SIGIR Conference on Research and Development in Information Retrieval in the Asia Pacific Region (SIGIR-AP)</t>
  </si>
  <si>
    <t>NOV 26-28, 2023</t>
  </si>
  <si>
    <t>Beijing, PEOPLES R CHINA</t>
  </si>
  <si>
    <t>Assoc Comp Machinery,ACM SIGIR,Xiaohongshu,Zhipu AI,Kuaishou</t>
  </si>
  <si>
    <t>Generative retrieval (GR) has become a highly active area of information retrieval (IR) that has witnessed significant growth recently. Compared to the traditional index-retrieve-then-rank pipeline, the GR paradigm aims to consolidate all information within a corpus into a single model. Typically, a sequence-to-sequence model is trained to directly map a query to its relevant document identifiers (i.e., docids). This tutorial offers an introduction to the core concepts of the GR paradigm and a comprehensive overview of recent advances in its foundations and applications. We start by providing preliminary information covering foundational aspects and problem formulations of GR. Then, our focus shifts towards recent progress in docid design, training approaches, inference strategies, and the applications of GR. We end by outlining remaining challenges and issuing a call for future GR research. This tutorial is intended to be beneficial to both researchers and industry practitioners interested in developing novel GR solutions or applying them in real-world scenarios.</t>
  </si>
  <si>
    <t>[Tang, Yubao; Zhang, Ruqing; Guo, Jiafeng] Chinese Acad Sci, CAS Key Lab Network Data Sci &amp; Technol, ICT, Univ Chinese Acad Sci, Beijing, Peoples R China; [de Rijke, Maarten] Univ Amsterdam, Amsterdam, Netherlands</t>
  </si>
  <si>
    <t>Chinese Academy of Sciences; University of Chinese Academy of Sciences, CAS; University of Amsterdam</t>
  </si>
  <si>
    <t>Tang, YB (corresponding author), Chinese Acad Sci, CAS Key Lab Network Data Sci &amp; Technol, ICT, Univ Chinese Acad Sci, Beijing, Peoples R China.</t>
  </si>
  <si>
    <t>tangyubao@ict.ac.cn; zhangruqing@ict.ac.cn; guojiafeng@ict.ac.cn; m.derijke@uva.nl</t>
  </si>
  <si>
    <t>de Rijke, Maarten/0000-0002-1086-0202</t>
  </si>
  <si>
    <t>National Natural Science Foundation of China (NSFC) [62006218]; Lenovo-CAS Joint Lab Youth Scientist Project [JCKY2022130C039]; Dutch Ministry of Education, Culture and Science through the Netherlands Organisation for Scientific Research; Dutch Research Council (NWO) [NWA.1389.20.183, NWA ORC 2020/21]</t>
  </si>
  <si>
    <t>National Natural Science Foundation of China (NSFC)(National Natural Science Foundation of China (NSFC)); Lenovo-CAS Joint Lab Youth Scientist Project; Dutch Ministry of Education, Culture and Science through the Netherlands Organisation for Scientific Research; Dutch Research Council (NWO)(Netherlands Organization for Scientific Research (NWO))</t>
  </si>
  <si>
    <t>This work was funded by the National Natural Science Foundation of China (NSFC) under Grants No. 62006218, the Lenovo-CAS Joint Lab Youth Scientist Project, and the project under Grants No. JCKY2022130C039. This work was also (partially) funded by the Hybrid Intelligence Center, a 10-year program funded by the Dutch Ministry of Education, Culture and Science through the Netherlands Organisation for Scientific Research, https://hybrid-intelligence-centre.nl, and project LESSEN with project number NWA.1389.20.183 of the research program NWA ORC 2020/21, which is (partly) financed by the Dutch Research Council (NWO). All content represents the opinion of the authors, which is not necessarily shared or endorsed by their respective employers and/or sponsors.</t>
  </si>
  <si>
    <t>979-8-4007-0408-6</t>
  </si>
  <si>
    <t>10.1145/3624918.3629547</t>
  </si>
  <si>
    <t>BW2NW</t>
  </si>
  <si>
    <t>WOS:001122582700033</t>
  </si>
  <si>
    <t>Park, M; Kim, HI; Song, HJ; Kang, DO</t>
  </si>
  <si>
    <t>Park, Minho; Kim, Hyung-Il; Song, Hwa Jeon; Kang, Dong-Oh</t>
  </si>
  <si>
    <t>Augmenting Features via Contrastive Learning-based Generative Model for Long-Tailed Classification</t>
  </si>
  <si>
    <t>Thanks to the advances in deep learning-based computer vision, image classification has shown great achievements. However, it has faced a heavy class imbalance issue which is one of the characteristics of real-world datasets. The severe class imbalance makes the classifier easily biased toward majority classes and overfitting to minority classes. To address this issue, supplementing minority classes with artificially generated samples has proven effective. In addition, contrastive learning has been introduced to improve image classification performance recently. Motivated by recent works, we propose feature augmentation via a contrastive learning-based generative model for long-tailed classification. Specifically, features are augmented using the feature dictionary obtained by real samples and the generated convex weights, which are used for learning an image classification model. Here, the model for the feature augmentation is trained based on generative adversarial learning and contrastive learning in an end-to-end manner. The generative adversarial learning helps to generate real-like features, and the contrastive learning improves the feature's discrimination power. Through extensive experiments with various long-tailed classification datasets, we verify the effectiveness of the proposed method.</t>
  </si>
  <si>
    <t>[Park, Minho; Kim, Hyung-Il; Song, Hwa Jeon; Kang, Dong-Oh] Elect &amp; Telecommun Res Inst ETRI, Daejeon, South Korea</t>
  </si>
  <si>
    <t>Electronics &amp; Telecommunications Research Institute - Korea (ETRI)</t>
  </si>
  <si>
    <t>Park, M (corresponding author), Elect &amp; Telecommun Res Inst ETRI, Daejeon, South Korea.</t>
  </si>
  <si>
    <t>roger618@etri.re.kr; hikim@etri.re.kr; songhj@etri.re.kr; dongoh@etri.re.kr</t>
  </si>
  <si>
    <t>Electronics and Telecommunications Research Institute (ETRI) - Korean government [23ZS1100]; Institute of Information &amp; communications Technology Planning &amp; Evaluation (IITP) - Korea government (MSIT) [2022-0-00907]</t>
  </si>
  <si>
    <t>Electronics and Telecommunications Research Institute (ETRI) - Korean government; Institute of Information &amp; communications Technology Planning &amp; Evaluation (IITP) - Korea government (MSIT)(Institute for Information &amp; Communication Technology Planning &amp; Evaluation (IITP), Republic of KoreaMinistry of Science &amp; ICT (MSIT), Republic of Korea)</t>
  </si>
  <si>
    <t>This work was partly supported by Electronics and Telecommunications Research Institute (ETRI) grant funded by the Korean government (No.23ZS1100, Core Technology Research for Self-Improving Integrated Artificial Intelligence System, 70%) and Institute of Information &amp; communications Technology Planning &amp; Evaluation (IITP) grant funded by the Korea government (MSIT) (No.2022-0-00907, Development of AI Bots Collaboration Platform and Self-organizing AI, 30%).</t>
  </si>
  <si>
    <t>10.1109/ICCVW60793.2023.00108</t>
  </si>
  <si>
    <t>WOS:001156680301010</t>
  </si>
  <si>
    <t>Harfoush, A; Tabei, A; Haapala, KR; Ghamarian, I</t>
  </si>
  <si>
    <t>Harfoush, Asmaa; Tabei, Ali; Haapala, Karl R.; Ghamarian, Iman</t>
  </si>
  <si>
    <t>A Framework for Predicting Grain Morphology during Incremental Sheet Metal Forming using Generative Adversarial Networks</t>
  </si>
  <si>
    <t>MANUFACTURING LETTERS</t>
  </si>
  <si>
    <t>51st SME North American Manufacturing Research Conference (NAMRC)</t>
  </si>
  <si>
    <t>JUN 12-16, 2023</t>
  </si>
  <si>
    <t>Rutgers Univ, New Brunswick, NJ</t>
  </si>
  <si>
    <t>SME</t>
  </si>
  <si>
    <t>Rutgers Univ</t>
  </si>
  <si>
    <t>Incremental Sheet Forming; Microstructural analysis; Artificial intelligence; Mechanical properties</t>
  </si>
  <si>
    <t>CLASSIFICATION</t>
  </si>
  <si>
    <t>Properties and service performance of parts and components depend upon microstructural characteristics including grain morphology, size and size distribution, and crystallographic orientation. Microstructure itself is dictated by manufacturing process parameters. Microstructural analysis is often necessary for evaluating product quality. Past research has attempted to map product/process characteristics using analytical, numerical, and experimental approaches. To address the limitations of conventional modeling approaches, researchers have begun to explore the application of artificial intelligence (AI) techniques in correlating and predicting the effect of process parameters on material microstructure and mechanical properties. For instance, AI-based approaches have been used to model the influence of process parameters on forming force, formability, geometric accuracy, tool path, and surface quality in incremental sheet forming (ISF), a flexible forming process suitable for low-volume and custom product manufacturing. The research reported herein introduces a framework to map ISF process parameters to microstructural images using Generative Adversarial Networks (GAN). This approach can reduce the experimental and analytical effort and costs typically necessary to evaluate the effects of ISF process settings on material microstructure and mechanical properties. (c) 2023 The Authors. Published by ELSEVIER Ltd. This is an open access article under the CC BY-NC-ND license (https://creativecommons.org/licenses/by-nc-nd/4.0)</t>
  </si>
  <si>
    <t>[Harfoush, Asmaa; Tabei, Ali; Haapala, Karl R.] Oregon State Univ, Coll Engn, Sch Mech Ind &amp; Mfg Engn, Corvallis, OR 97331 USA; [Harfoush, Asmaa] Alexandria Univ, Prod Engn Dept, Fac Engn, Alexandria 21544, Egypt; [Ghamarian, Iman] Univ Oklahoma, Sch Aerosp &amp; Mech Engn, Norman, OK 73019 USA</t>
  </si>
  <si>
    <t>Oregon State University; Egyptian Knowledge Bank (EKB); Alexandria University; University of Oklahoma System; University of Oklahoma - Norman</t>
  </si>
  <si>
    <t>Harfoush, A (corresponding author), Oregon State Univ, Coll Engn, Sch Mech Ind &amp; Mfg Engn, Corvallis, OR 97331 USA.;Harfoush, A (corresponding author), Alexandria Univ, Prod Engn Dept, Fac Engn, Alexandria 21544, Egypt.</t>
  </si>
  <si>
    <t>harfousa@oregonstate.edu</t>
  </si>
  <si>
    <t>Haapala, Karl/L-6262-2019</t>
  </si>
  <si>
    <t>Haapala, Karl/0000-0002-9100-4001</t>
  </si>
  <si>
    <t>School of Mechanical, Industrial and Manufacturing Engineering at Oregon State University</t>
  </si>
  <si>
    <t>The authors would like to thank the School of Mechanical, Industrial and Manufacturing Engineering at Oregon State University for its support of this research, as well as Mr. Scott Campbell and Dr. Peter Eschbach for their assistance with material testing and analysis.</t>
  </si>
  <si>
    <t>2213-8463</t>
  </si>
  <si>
    <t>MANUF LETT</t>
  </si>
  <si>
    <t>Manuf. Lett.</t>
  </si>
  <si>
    <t>S</t>
  </si>
  <si>
    <t>10.1016/j.mfglet.2023.08.083</t>
  </si>
  <si>
    <t>Engineering, Manufacturing; Materials Science, Multidisciplinary</t>
  </si>
  <si>
    <t>W1AD4</t>
  </si>
  <si>
    <t>WOS:001089014800126</t>
  </si>
  <si>
    <t>Bai, YP; Fan, YB; Wang, X; Zhang, Y; Sun, JX; Yuan, C; Shan, Y</t>
  </si>
  <si>
    <t>Bai, Yunpeng; Fan, Yanbo; Wang, Xuan; Zhang, Yong; Sun, Jingxiang; Yuan, Chun; Shan, Ying</t>
  </si>
  <si>
    <t>High-fidelity Facial Avatar Reconstruction from Monocular Video with Generative Priors</t>
  </si>
  <si>
    <t>High-fidelity facial avatar reconstruction from a monocular video is a significant research problem in computer graphics and computer vision. Recently, Neural Radiance Field (NeRF) has shown impressive novel view rendering results and has been considered for facial avatar reconstruction. However, the complex facial dynamics and missing 3D information in monocular videos raise significant challenges for faithful facial reconstruction. In this work, we propose a new method for NeRF-based facial avatar reconstruction that utilizes 3D-aware generative prior. Different from existing works that depend on a conditional deformation field for dynamic modeling, we propose to learn a personalized generative prior, which is formulated as a local and low dimensional subspace in the latent space of 3D-GAN. We propose an efficient method to construct the personalized generative prior based on a small set of facial images of a given individual. After learning, it allows for photo-realistic rendering with novel views, and the face reenactment can be realized by performing navigation in the latent space. Our proposed method is applicable for different driven signals, including RGB images, 3DMM coefficients, and audio. Compared with existing works, we obtain superior novel view synthesis results and faithfully face reenactment performance. The code is available here https://github.com/bbaaii/HFA-GP.</t>
  </si>
  <si>
    <t>[Bai, Yunpeng; Yuan, Chun] Tsinghua Shenzhen Int Grad Sch, Shenzhen, Peoples R China; [Fan, Yanbo; Zhang, Yong; Shan, Ying] Tencent AI Lab, Shenzhen, Peoples R China; [Wang, Xuan] Ant Grp, Hangzhou, Peoples R China; [Sun, Jingxiang] Tsinghua Univ, Beijing, Peoples R China; [Yuan, Chun] Peng Cheng Lab, Shenzhen, Peoples R China</t>
  </si>
  <si>
    <t>Tsinghua Shenzhen International Graduate School; Tencent; Tsinghua University; Peng Cheng Laboratory</t>
  </si>
  <si>
    <t>Yuan, C (corresponding author), Tsinghua Shenzhen Int Grad Sch, Shenzhen, Peoples R China.;Yuan, C (corresponding author), Peng Cheng Lab, Shenzhen, Peoples R China.</t>
  </si>
  <si>
    <t>Bai, Cloud/GNP-0607-2022</t>
  </si>
  <si>
    <t>Bai, Cloud/0000-0002-6923-672X</t>
  </si>
  <si>
    <t>National Key R&amp;D Program of China [2022YFB4701400/4701402, JCYJ201908 09172201639, WDZC20200820200655001]; Shenzhen Key Laboratory [ZDSYS20210623092001004]</t>
  </si>
  <si>
    <t>National Key R&amp;D Program of China; Shenzhen Key Laboratory</t>
  </si>
  <si>
    <t>This work was supported by the National Key R&amp;D Program of China (2022YFB4701400/4701402), SZSTC Grant (JCYJ201908 09172201639, WDZC20200820200655001), and Shenzhen Key Laboratory (ZDSYS20210623092001004).</t>
  </si>
  <si>
    <t>10.1109/CVPR52729.2023.00441</t>
  </si>
  <si>
    <t>WOS:001058542604084</t>
  </si>
  <si>
    <t>Ivanenkov, Y; Zagribelnyy, B; Malyshev, A; Evteev, S; Terentiev, V; Kamya, P; Bezrukov, D; Aliper, A; Ren, F; Zhavoronkov, A</t>
  </si>
  <si>
    <t>Ivanenkov, Yan; Zagribelnyy, Bogdan; Malyshev, Alex; Evteev, Sergei; Terentiev, Victor; Kamya, Petrina; Bezrukov, Dmitry; Aliper, Alex; Ren, Feng; Zhavoronkov, Alex</t>
  </si>
  <si>
    <t>The Hitchhiker's Guide to Deep Learning Driven Generative Chemistry</t>
  </si>
  <si>
    <t>Artificial intelligence; Drug design; Deeplearning</t>
  </si>
  <si>
    <t>RAPID IDENTIFICATION; KINASE INHIBITORS; GENETIC ALGORITHM; FRAGMENT LINKING; DESIGN; METRONIDAZOLE; DISCOVERY; DERIVATIVES; POTENT; MODEL</t>
  </si>
  <si>
    <t>This microperspectivecovers the most recent research outcomesof artificial intelligence (AI) generated molecular structures fromthe point of view of the medicinal chemist. The main focus is on studiesthat include synthesis and experimental in vitro validationin biochemical assays of the generated molecular structures, wherewe analyze the reported structures' relevance in modern medicinalchemistry and their novelty. The authors believe that this reviewwould be appreciated by medicinal chemistry and AI-driven drug design(AIDD) communities and can be adopted as a comprehensive approachfor qualifying different research outcomes in AIDD.</t>
  </si>
  <si>
    <t>[Ivanenkov, Yan; Malyshev, Alex; Evteev, Sergei; Terentiev, Victor; Bezrukov, Dmitry; Zhavoronkov, Alex] Insilico Med Hong Kong Ltd, Pak Shek Kok, Hong Kong, Peoples R China; [Zagribelnyy, Bogdan; Aliper, Alex] Insilico Med AI Ltd, Abu Dhabi, U Arab Emirates; [Kamya, Petrina] Insilico Med Canada Inc, Montreal, PQ H3B 4W8, Canada; [Ren, Feng] Insilico Med Shanghai Ltd, Shanghai 201203, Peoples R China</t>
  </si>
  <si>
    <t>Zhavoronkov, A (corresponding author), Insilico Med Hong Kong Ltd, Pak Shek Kok, Hong Kong, Peoples R China.</t>
  </si>
  <si>
    <t>alex@insilico.com</t>
  </si>
  <si>
    <t>ding, xiao/KAM-4458-2024; Zhavoronkov, Alex/E-7141-2014</t>
  </si>
  <si>
    <t>Zhavoronkov, Alex/0000-0001-7067-8966</t>
  </si>
  <si>
    <t>JUN 30</t>
  </si>
  <si>
    <t>10.1021/acsmedchemlett.3c00041</t>
  </si>
  <si>
    <t>L5KG2</t>
  </si>
  <si>
    <t>WOS:001020627700001</t>
  </si>
  <si>
    <t>McKnight, L; Gannon, S</t>
  </si>
  <si>
    <t>McKnight, Lucinda; Gannon, Susanne</t>
  </si>
  <si>
    <t>Hive writing: a post-pandemic, audience and AI-aware manifesto for writing pedagogies</t>
  </si>
  <si>
    <t>ENGLISH IN EDUCATION</t>
  </si>
  <si>
    <t>Writing; pedagogy; wellbeing; resilience; artificial intelligence; audience</t>
  </si>
  <si>
    <t>This article brings together data from two complementary studies of the teaching of writing in Australia. Mobilising motifs of the hum and the hive to think together how our projects resonate, the authors highlight a key concern that emerges across both studies: the absence of real-world audiences for student writing in contemporary pedagogy. Specifically, we refer to the limited extent to which teachers have freedom to craft writing opportunities with real audiences through their chosen or conscripted pedagogies. Responding to this, and taking into account the impacts of both the pandemic and the rise of generative AI, we offer a manifesto for an audience-focused approach to writing that foregrounds resilience, agency and sociality. This manifesto offers an alternative and holistic approach for developing students as communicators, in a lively, humming world of words, feelings and people.</t>
  </si>
  <si>
    <t>[McKnight, Lucinda] Deakin Univ, Fac Arts &amp; Educ, Sch Educ, Melbourne, Australia; [Gannon, Susanne] Western Sydney Univ, Sch Educ, Kingswood, NSW, Australia; [McKnight, Lucinda] Deakin Univ, Fac Arts &amp; Educ, Sch Educ, 221 Burwood Highway, Burwood 3125, Australia</t>
  </si>
  <si>
    <t>Deakin University; Western Sydney University; Deakin University</t>
  </si>
  <si>
    <t>McKnight, L (corresponding author), Deakin Univ, Fac Arts &amp; Educ, Sch Educ, 221 Burwood Highway, Burwood 3125, Australia.</t>
  </si>
  <si>
    <t>l.mcknight@deakin.edu.au</t>
  </si>
  <si>
    <t>Gannon, Susanne/M-3944-2019</t>
  </si>
  <si>
    <t>Gannon, Susanne/0000-0003-2182-3615</t>
  </si>
  <si>
    <t>The authors would like to thank reviewers for their valuable feedback and advice in revising this article.</t>
  </si>
  <si>
    <t>0425-0494</t>
  </si>
  <si>
    <t>1754-8845</t>
  </si>
  <si>
    <t>ENGL EDUC-UK</t>
  </si>
  <si>
    <t>Engl. Educ.</t>
  </si>
  <si>
    <t>10.1080/04250494.2023.2271971</t>
  </si>
  <si>
    <t>LF0U6</t>
  </si>
  <si>
    <t>WOS:001092281400001</t>
  </si>
  <si>
    <t>Annadurai, C; Nelson, I; Devi, KN; Manikandan, R; Gandomi, AH</t>
  </si>
  <si>
    <t>Annadurai, C.; Nelson, I.; Devi, K. Nirmala; Manikandan, R.; Gandomi, Amir H.</t>
  </si>
  <si>
    <t>Image Watermarking Based Data Hiding by Discrete Wavelet Transform Quantization Model with Convolutional Generative Adversarial Architectures</t>
  </si>
  <si>
    <t>digital watermarking; data hiding; segmentation; classification; deep learning</t>
  </si>
  <si>
    <t>SINGULAR-VALUE DECOMPOSITION; FUSION</t>
  </si>
  <si>
    <t>Traditional watermarking methods can remove a watermark from an image, making it possible to see the copyright information about the image owner or to estimate similarities using techniques such as bit error rate and normalized correlation. Deep learning is another examination field in AI, and is utilized to develop a deep network to extract objective elements and afterwards distinguish the general environment. To assure the robustness and security of computerized image watermarking, we propose a novel algorithm using convolutional generative adversarial neural networks. This research proposed a novel technique in digital watermarking, with data hiding based on segmentation and classification, using deep learning techniques. The used input images are medical images, including Magnetic Resonance Images (MRI) and Computed Tomography (CT) images, which have been processed for noise removal, smoothening and normalization. The processed image has been watermarked using the Singular Value Decomposition-based discrete wavelet transform quantization model, being segmented and classified using convolutional generative adversarial neural networks. The experimental analysis has been carried out in terms of bit error rate, Structural Similarity Index Measure (SSIM), Normalized Cross-Correlation (NCC), training accuracy, and validation accuracy. This achieved an attained bit error rate of 71%, an SSIM of 56%, a Normalized Cross-Correlation of 71%, a training accuracy of 98%, and a validation accuracy of 95%.</t>
  </si>
  <si>
    <t>[Annadurai, C.; Nelson, I.] Sri Sivasubramaniya Nadar Coll Engn, Dept ECE, Chennai 603110, Tamilnadu, India; [Devi, K. Nirmala] Kongu Engn Coll, Dept CSE, Erode 638060, Tamilnadu, India; [Manikandan, R.] SASTRA Univ, Sch Comp, Thanjavur 613401, Tamilnadu, India; [Gandomi, Amir H.] Univ Technol Sydney, Fac Engn &amp; Informat Syst, Data Sci Inst, Ultimo, NSW 2007, Australia; [Gandomi, Amir H.] Obuda Univ, Univ Res &amp; Innovat Ctr EKIK, H-1034 Budapest, Hungary</t>
  </si>
  <si>
    <t>SSN College of Engineering; Kongu Engineering College; Shanmugha Arts, Science, Technology &amp; Research Academy (SASTRA); University of Technology Sydney; Obuda University</t>
  </si>
  <si>
    <t>Manikandan, R (corresponding author), SASTRA Univ, Sch Comp, Thanjavur 613401, Tamilnadu, India.;Gandomi, AH (corresponding author), Univ Technol Sydney, Fac Engn &amp; Informat Syst, Data Sci Inst, Ultimo, NSW 2007, Australia.;Gandomi, AH (corresponding author), Obuda Univ, Univ Res &amp; Innovat Ctr EKIK, H-1034 Budapest, Hungary.</t>
  </si>
  <si>
    <t>srmanimt75@gmail.com; gandomi@uts.edu.au</t>
  </si>
  <si>
    <t>Ramachandran, Manikandan/B-2783-2014; Gandomi, Amir H/J-7595-2013; Chinnamuthu, Annadurai/AFT-7460-2022</t>
  </si>
  <si>
    <t>Ramachandran, Manikandan/0000-0001-6116-2132; Gandomi, Amir H/0000-0002-2798-0104; Chinnamuthu, Annadurai/0000-0001-8382-8281</t>
  </si>
  <si>
    <t>10.3390/app13020804</t>
  </si>
  <si>
    <t>7X7VA</t>
  </si>
  <si>
    <t>WOS:000914404000001</t>
  </si>
  <si>
    <t>Bouman, PM; Noteboom, S; Santos, FAN; Beck, ES; Bliault, G; Castellaro, M; Calabrese, M; Chard, DT; Eichinger, P; Filippi, M; Inglese, M; Lapucci, C; Marciniak, A; Moraal, B; Pinzon, AM; Mühlau, M; Preziosa, P; Reich, DS; Rocca, MA; Schoonheim, M; Twisk, JWR; Wiestler, B; Jonkman, LE; Guttmann, CRG; Geurts, JJG; Steenwijk, MD</t>
  </si>
  <si>
    <t>Bouman, Piet M.; Noteboom, Samantha; Santos, Fernando A. Nobrega; Beck, Erin S.; Bliault, Gregory; Castellaro, Marco; Calabrese, Massimiliano; Chard, Declan T.; Eichinger, Paul; Filippi, Massimo; Inglese, Matilde; Lapucci, Caterina; Marciniak, Andrzej; Moraal, Bastiaan; Pinzon, Alfredo Morales; Muehlau, Mark; Preziosa, Paolo; Reich, Daniel S.; Rocca, Maria A.; Schoonheim, MennoM.; Twisk, Jos W. R.; Wiestler, Benedict; Jonkman, Laura E.; Guttmann, Charles R. G.; Geurts, Jeroen J. G.; Steenwijk, Martijn D.</t>
  </si>
  <si>
    <t>Multicenter Evaluation of AI-generated DIR and PSIR for Cortical and Juxtacortical Multiple Sclerosis Lesion Detection</t>
  </si>
  <si>
    <t>GREY-MATTER PATHOLOGY; INTRACORTICAL LESIONS; DIAGNOSTIC-CRITERIA; MRI; VISUALIZATION; IMPAIRMENT; GUIDELINES; DISABILITY; RELEVANCE; PLAQUES</t>
  </si>
  <si>
    <t>Background: Cortical multiple sclerosis lesions are clinically relevant but inconspicuous at conventional clinical MRI. Double inversion recovery (DIR) and phase-sensitive inversion recovery (PSIR) are more sensitive but often unavailable. In the past 2 years, artificial intelligence (AI) was used to generate DIR and PSIR from standard clinical sequences (eg, T1-weighted, T2-weighted, and fluid-attenuated inversion-recovery sequences), but multicenter validation is crucial for further implementation.Purpose: To evaluate cortical and juxtacortical multiple sclerosis lesion detection for diagnostic and disease monitoring purposes on AI-generated DIR and PSIR images compared with MRI-acquired DIR and PSIR images in a multicenter setting.Materials and Methods: Generative adversarial networks were used to generate AI-based DIR (n = 50) and PSIR (n = 43) images. The number of detected lesions between AI-generated images and MRI-acquired (reference) images was compared by randomized blinded scoring by seven readers (all with &gt;10 years of experience in lesion assessment). Reliability was expressed as the intraclass correlation coefficient (ICC). Differences in lesion subtype were determined using Wilcoxon signed-rank tests. Results: MRI scans of 202 patients with multiple sclerosis (mean age, 46 years +/- 11 [SD]; 127 women) were retrospectively col-lected from seven centers (February 2020 to January 2021). In total, 1154 lesions were detected on AI-generated DIR images versus 855 on MRI-acquired DIR images (mean difference per reader, 35.0% +/- 22.8; P &lt; .001). On AI-generated PSIR images, 803 le-sions were detected versus 814 on MRI-acquired PSIR images (98.9% +/- 19.4; P = .87). Reliability was good for both DIR (ICC, 0.81) and PSIR (ICC, 0.75) across centers. Regionally, more juxtacortical lesions were detected on AI-generated DIR images than on MRI-acquired DIR images (495 [42.9%] vs 338 [39.5%]; P &lt; .001). On AI-generated PSIR images, fewer juxtacortical lesions were detected than on MRI-acquired PSIR images (232 [28.9%] vs 282 [34.6%]; P = .02).Conclusion: Artificial intelligence-generated double inversion-recovery and phase-sensitive inversion-recovery images performed well compared with their MRI-acquired counterparts and can be considered reliable in a multicenter setting, with good between-reader and between-center interpretative agreement.Published under a CC BY 4.0 license.</t>
  </si>
  <si>
    <t>[Bouman, Piet M.; Noteboom, Samantha; Santos, Fernando A. Nobrega; Schoonheim, MennoM.; Geurts, Jeroen J. G.; Steenwijk, Martijn D.] Vrije Univ Amsterdam, MS Ctr Amsterdam, Anat &amp; Neurosci, Amsterdam Neurosci,Amsterdam UMC, De Boelelaan 1117, Amsterdam, Netherlands; [Beck, Erin S.; Reich, Daniel S.] NINDS, Translat Neuroradiol Sect, NIH, Bethesda, MD USA; [Beck, Erin S.] Icahn Sch Med Mt Sinai, Dept Neurol, New York, NY USA; [Bliault, Gregory] Univ Bordeaux, Bioimaging Inst, Bordeaux, France; [Castellaro, Marco; Calabrese, Massimiliano] Univ Verona, Dept Neurosci Biomed &amp; Movement Sci, Neurol Sect, Verona, Italy; [Castellaro, Marco] Univ Padua, Dept Informat Engn, Padua, Italy; [Chard, Declan T.] UCL, UCL Queen Sq Inst Neurol, Fac Brain Sci, Queen Sq MS Ctr,NMR Res Unit,Dept Neuroimflammat, London, England; [Chard, Declan T.] Natl Inst Hlth Res Univ Coll London Hosp, Biomed Res Ctr, London, England; [Eichinger, Paul; Wiestler, Benedict] Tech Univ Munich, Sch Med, Dept Neuroradiol, Klinikum Rechts Isar, Munich, Germany; [Muehlau, Mark] Tech Univ Munich, Sch Med, Klinikum Rechts Isar, Dept Neurol, Munich, Germany; [Filippi, Massimo; Preziosa, Paolo; Rocca, Maria A.] Univ Vita Salute San Raffaele, IRCCS San Raffaele Sci Inst, Div Neurosci, Neuroimaging Res Unit,Neurol Unit, Milan, Italy; [Inglese, Matilde; Lapucci, Caterina] Univ Genoa, Dept Neurosci Rehabil Ophthalmol Genet Maternal &amp;, Genoa, Italy; [Inglese, Matilde; Lapucci, Caterina] IRCCS Osped Policlin San Martino, Genoa, Italy; [Marciniak, Andrzej; Pinzon, Alfredo Morales; Guttmann, Charles R. G.] Harvard Med Sch, Brigham &amp; Womens Hosp, Ctr Neurol Imaging, Dept Radiol, Boston, MA USA; [Moraal, Bastiaan] Vrije Univ Amsterdam, MS Ctr Amsterdam, Dept Radiol &amp; Nucl Med, Amsterdam Neurosci,Amsterdam UMC, Amsterdam, Netherlands; [Twisk, Jos W. R.] Amsterdam Univ Med Ctr, Dept Epidemiol &amp; Data Sci, Amsterdam, Netherlands; [Jonkman, Laura E.] Vrije Univ Amsterdam, Anat &amp; Neurosci, Amsterdam UMC, Amsterdam, Netherlands; [Jonkman, Laura E.] Amsterdam Neurosci Brain Imaging &amp; Neurodegenerat, Amsterdam, Netherlands</t>
  </si>
  <si>
    <t>Vrije Universiteit Amsterdam; National Institutes of Health (NIH) - USA; NIH National Institute of Neurological Disorders &amp; Stroke (NINDS); Icahn School of Medicine at Mount Sinai; Universite de Bordeaux; University of Verona; University of Padua; University of London; University College London; Technical University of Munich; Technical University of Munich; Vita-Salute San Raffaele University; IRCCS Ospedale San Raffaele; University of Genoa; Harvard University; Brigham &amp; Women's Hospital; Harvard Medical School; Vrije Universiteit Amsterdam; University of Amsterdam; Vrije Universiteit Amsterdam; University of Amsterdam</t>
  </si>
  <si>
    <t>Bouman, PM (corresponding author), Vrije Univ Amsterdam, MS Ctr Amsterdam, Anat &amp; Neurosci, Amsterdam Neurosci,Amsterdam UMC, De Boelelaan 1117, Amsterdam, Netherlands.</t>
  </si>
  <si>
    <t>p.bouman@amsterdamumc.nl</t>
  </si>
  <si>
    <t>Filippi, Massimo/K-1755-2018; Lapucci, Caterina/AAA-6723-2021; Preziosa, Paolo/J-9980-2016; Rocca, Maria Assunta/K-1619-2018</t>
  </si>
  <si>
    <t>Filippi, Massimo/0000-0002-5485-0479; Lapucci, Caterina/0000-0002-3527-6520; Preziosa, Paolo/0000-0002-7826-0019; Rocca, Maria Assunta/0000-0003-2358-4320; Castellaro, Marco/0000-0002-1203-2670; Muhlau, Mark/0000-0002-9545-2709; Beck, Erin/0000-0001-7839-7958; Chard, Declan/0000-0003-3076-2682; Noteboom, Samantha/0000-0003-4796-8636; Bliault, Gregory/0000-0002-1193-2941; Bouman, Piet/0000-0003-2698-4004</t>
  </si>
  <si>
    <t>Stichting MS Research (Dutch MS Research Foundation) [19-049]; International Progressive MS Alliance [PA-1603-08175]; Bordeaux University Foundation</t>
  </si>
  <si>
    <t>Stichting MS Research (Dutch MS Research Foundation); International Progressive MS Alliance; Bordeaux University Foundation</t>
  </si>
  <si>
    <t>Supported by Stichting MS Research (Dutch MS Research Foundation) (grant 19-049). Development of the SPINE platform was supported in part by the International Progressive MS Alliance (award reference number PA-1603-08175), as well as the Bordeaux University Foundation through donations from Roche Pharmaceuticals and Talan.</t>
  </si>
  <si>
    <t>RADIOLOGICAL SOC NORTH AMERICA (RSNA)</t>
  </si>
  <si>
    <t>OAK BROOK</t>
  </si>
  <si>
    <t>820 JORIE BLVD, SUITE 200, OAK BROOK, ILLINOIS, UNITED STATES</t>
  </si>
  <si>
    <t>0033-8419</t>
  </si>
  <si>
    <t>Radiology</t>
  </si>
  <si>
    <t>10.1148/radiol.221425</t>
  </si>
  <si>
    <t>G5PO4</t>
  </si>
  <si>
    <t>WOS:000989675600018</t>
  </si>
  <si>
    <t>Li, YH; Wang, SF; Ding, H; Chen, H</t>
  </si>
  <si>
    <t>Li, Yinheng; Wang, Shaofei; Ding, Han; Chen, Hang</t>
  </si>
  <si>
    <t>Large Language Models in Finance: A Survey</t>
  </si>
  <si>
    <t>Large Language Models; Generative AI; Natural Language Processing; Finance</t>
  </si>
  <si>
    <t>Recent advances in large language models (LLMs) have opened new possibilities for artificial intelligence applications in finance. In this paper, we provide a practical survey focused on two key aspects of utilizing LLMs for financial tasks: existing solutions and guidance for adoption. First, we review current approaches employing LLMs in finance, including leveraging pretrained models via zero-shot or few-shot learning, fine-tuning on domain-specific data, and training custom LLMs from scratch. We summarize key models and evaluate their performance improvements on financial natural language processing tasks. Second, we propose a decision framework to guide financial professionals in selecting the appropriate LLM solution based on their use case constraints around data, compute, and performance needs. The framework provides a pathway from lightweight experimentation to heavy investment in customized LLMs. Lastly, we discuss limitations and challenges around leveraging LLMs in financial applications. Overall, this survey aims to synthesize the state-of-the-art and provide a roadmap for responsibly applying LLMs to advance financial AI.</t>
  </si>
  <si>
    <t>[Li, Yinheng; Wang, Shaofei; Ding, Han] Columbia Univ, New York, NY 10025 USA; [Chen, Hang] NYU, New York, NY USA</t>
  </si>
  <si>
    <t>Columbia University; New York University</t>
  </si>
  <si>
    <t>Li, YH (corresponding author), Columbia Univ, New York, NY 10025 USA.</t>
  </si>
  <si>
    <t>yl4039@columbia.edu; sw3316@columbia.edu; hd2412@columbia.edu; hc2798@nyu.edu</t>
  </si>
  <si>
    <t>10.1145/3604237.3626869</t>
  </si>
  <si>
    <t>WOS:001124982700044</t>
  </si>
  <si>
    <t>Ai, DM; Zhang, R</t>
  </si>
  <si>
    <t>Ai, Demi; Zhang, Rui</t>
  </si>
  <si>
    <t>Deep learning of electromechanical admittance data augmented by generative adversarial networks for flexural performance evaluation of RC beam structure</t>
  </si>
  <si>
    <t>ENGINEERING STRUCTURES</t>
  </si>
  <si>
    <t>Electromechanical admittance; PZT transducer; Admittance generative adversarial network (AdmiGAN); Data augmentation; Performance evaluation; Deep learning; RC structure</t>
  </si>
  <si>
    <t>DAMAGE DETECTION; CONCRETE STRUCTURES; NEURAL-NETWORK; SENSITIVITY; STRESS; LOAD; IDENTIFICATION; TRANSDUCERS; DIAGNOSIS; SENSORS</t>
  </si>
  <si>
    <t>Deep learning networks facilitate automated damage identification and performance evaluation for concrete structures using electromechanical impedance/admittance (EMI/EMA) technique, while data quantity and quality limit the performance of such a data driven network. For the first time, this paper proposed a data augmentation approach using deep-convolutional admittance generative adversarial networks (AdmiGAN) to solve data deficiency and measurement inefficiency for deep learning-based flexural performance evaluation of reinforced concrete (RC) structures. In the approach, a new data normalization procedure was developed to collaboratively foster AdmiGAN-based EMA data synthesis, and synthetic datasets were fed into an adaptive convolutional neural network (CNN) for deep learning. Proof-of-concept experiment was conducted on a four point bending RC beam structure, which was continuously monitored from initial loading to final failure by three surface-bonded piezoelectric ceramic lead zirconate titanate (PZT) patches. Qualitative detection of stress and damage was performed by traditional feature analysis of EMA signatures, automated performance evaluation was attempted by using CNN approach. Results demonstrated that the AdmiGAN required merely 5 groups of EMA signatures to generate high-accuracy dataset with 174 times of speed faster than conventional measurement method, and the AdmiGAN cooperated with CNN provided a new paradigm of data driven structural performance evaluation with high accuracy, efficiency, and intelligence.</t>
  </si>
  <si>
    <t>[Ai, Demi; Zhang, Rui] Huazhong Univ Sci &amp; Technol, Sch Civil &amp; Hydraul Engn, 1037 Luoyu Rd, Wuhan 430074, Hubei, Peoples R China; [Ai, Demi; Zhang, Rui] Huazhong Univ Sci &amp; Technol, Hubei Key Lab Control Struct, Wuhan 430074, Hubei, Peoples R China</t>
  </si>
  <si>
    <t>Huazhong University of Science &amp; Technology; Huazhong University of Science &amp; Technology</t>
  </si>
  <si>
    <t>Ai, DM (corresponding author), Huazhong Univ Sci &amp; Technol, Sch Civil &amp; Hydraul Engn, 1037 Luoyu Rd, Wuhan 430074, Hubei, Peoples R China.</t>
  </si>
  <si>
    <t>aidemi@hust.edu.cn</t>
  </si>
  <si>
    <t>0141-0296</t>
  </si>
  <si>
    <t>1873-7323</t>
  </si>
  <si>
    <t>ENG STRUCT</t>
  </si>
  <si>
    <t>Eng. Struct.</t>
  </si>
  <si>
    <t>10.1016/j.engstruct.2023.116891</t>
  </si>
  <si>
    <t>Engineering, Civil</t>
  </si>
  <si>
    <t>EH3H3</t>
  </si>
  <si>
    <t>WOS:001137986400001</t>
  </si>
  <si>
    <t>Houlihan, SD; Kleiman-Weiner, M; Hewitt, LB; Tenenbaum, JB; Saxe, R</t>
  </si>
  <si>
    <t>Houlihan, Sean Dae; Kleiman-Weiner, Max; Hewitt, Luke B.; Tenenbaum, Joshua B.; Saxe, Rebecca</t>
  </si>
  <si>
    <t>Emotion prediction as computation over a generative theory of mind</t>
  </si>
  <si>
    <t>PHILOSOPHICAL TRANSACTIONS OF THE ROYAL SOCIETY A-MATHEMATICAL PHYSICAL AND ENGINEERING SCIENCES</t>
  </si>
  <si>
    <t>emotion; inverse planning; theory of mind; social intelligence; affective computing; probabilistic generative model</t>
  </si>
  <si>
    <t>PROSPECT-THEORY; COUNTERFACTUAL THINKING; APPRAISAL THEORIES; INFERENCE; DECISION; MODEL; RECIPROCITY; FAIRNESS; REPRESENTATION; EXPRESSIONS</t>
  </si>
  <si>
    <t>From sparse descriptions of events, observers can make systematic and nuanced predictions of what emotions the people involved will experience. We propose a formal model of emotion prediction in the context of a public high-stakes social dilemma. This model uses inverse planning to infer a person's beliefs and preferences, including social preferences for equity and for maintaining a good reputation. The model then combines these inferred mental contents with the event to compute 'appraisals': whether the situation conformed to the expectations and fulfilled the preferences. We learn functions mapping computed appraisals to emotion labels, allowing the model to match human observers' quantitative predictions of 20 emotions, including joy, relief, guilt and envy. Model comparison indicates that inferred monetary preferences are not sufficient to explain observers' emotion predictions; inferred social preferences are factored into predictions for nearly every emotion. Human observers and the model both use minimal individualizing information to adjust predictions of how different people will respond to the same event. Thus, our framework integrates inverse planning, event appraisals and emotion concepts in a single computational model to reverse-engineer people's intuitive theory of emotions.This article is part of a discussion meeting issue 'Cognitive artificial intelligence'.</t>
  </si>
  <si>
    <t>[Houlihan, Sean Dae; Kleiman-Weiner, Max; Hewitt, Luke B.; Tenenbaum, Joshua B.; Saxe, Rebecca] MIT, Dept Brain &amp; Cognit Sci, Cambridge, MA 02139 USA; [Kleiman-Weiner, Max] Harvard Univ, Dept Psychol, Cambridge, MA USA</t>
  </si>
  <si>
    <t>Massachusetts Institute of Technology (MIT); Harvard University</t>
  </si>
  <si>
    <t>Houlihan, SD (corresponding author), MIT, Dept Brain &amp; Cognit Sci, Cambridge, MA 02139 USA.</t>
  </si>
  <si>
    <t>daeda@mit.edu</t>
  </si>
  <si>
    <t>Houlihan, Sean Dae/GQI-4381-2022; Kleiman-Weiner, Max/KEE-7541-2024</t>
  </si>
  <si>
    <t>Houlihan, Sean Dae/0000-0001-5003-9278; /0000-0003-2377-1791; Tenenbaum, Joshua/0000-0002-1925-2035</t>
  </si>
  <si>
    <t>McGovern Institute; Paul E; Lilah Newton Brain Science Award; Center for Brains, Minds and Machines (CBMM); NSF STC [CCF-1231216]; MIT-IBM Watson AI Lab; Multidisciplinary University Research Initiative (MURI)</t>
  </si>
  <si>
    <t>McGovern Institute; Paul E; Lilah Newton Brain Science Award; Center for Brains, Minds and Machines (CBMM); NSF STC(National Science Foundation (NSF)); MIT-IBM Watson AI Lab(International Business Machines (IBM)); Multidisciplinary University Research Initiative (MURI)(MURI)</t>
  </si>
  <si>
    <t>This work was supported by the McGovern Institute, the Paul E. and Lilah Newton Brain Science Award, the Center for Brains, Minds and Machines (CBMM; funded by NSF STC award CCF-1231216), MIT-IBM Watson AI Lab, and the Multidisciplinary University Research Initiative (MURI).</t>
  </si>
  <si>
    <t>1364-503X</t>
  </si>
  <si>
    <t>1471-2962</t>
  </si>
  <si>
    <t>PHILOS T R SOC A</t>
  </si>
  <si>
    <t>Philos. Trans. R. Soc. A-Math. Phys. Eng. Sci.</t>
  </si>
  <si>
    <t>JUL 24</t>
  </si>
  <si>
    <t>10.1098/rsta.2022.0047</t>
  </si>
  <si>
    <t>I1QQ4</t>
  </si>
  <si>
    <t>WOS:001000603200009</t>
  </si>
  <si>
    <t>Minutti-Martinez, C; Escalante-Ramírez, B; Olveres-Montiel, J</t>
  </si>
  <si>
    <t>Minutti-Martinez, Carlos; Escalante-Ramirez, Boris; Olveres-Montiel, Jimena</t>
  </si>
  <si>
    <t>PumaMedNet-CXR: An Explainable Generative Artificial Intelligence for the Analysis and Classification of Chest X-Ray Images</t>
  </si>
  <si>
    <t>COMPUTACION Y SISTEMAS</t>
  </si>
  <si>
    <t>. Medical image analysis; autoencoder; explainable artificial intelligence; chest X-Ray</t>
  </si>
  <si>
    <t>In this paper, we introduce PumaMedNet-CXR, a generative AI designed for medical image classification, with a specific emphasis on Chest X-ray (CXR) images. The model effectively corrects common defects in CXR images, offers improved explainability, enabling a deeper understanding of its decision-making process. By analyzing its latent space, we can identify and mitigate biases, ensuring a more reliable and transparent model. Notably, PumaMedNet-CXR achieves comparable performance to larger pre-trained models through transfer learning, making it a promising tool for medical image analysis. The model's highly efficient autoencoder-based architecture, along with its explainability and bias mitigation capabilities, contribute to its significant potential in advancing medical image understanding and analysis.</t>
  </si>
  <si>
    <t>[Minutti-Martinez, Carlos; Escalante-Ramirez, Boris; Olveres-Montiel, Jimena] Univ Nacl Autonoma Mexico, Ctr Estudios Comp Avanzada CECAv UNAM, Mexico City, Mexico; [Escalante-Ramirez, Boris; Olveres-Montiel, Jimena] Univ Nacl Autonoma Mexico, Lab Avanzado Proc Imagenes LaPI UNAM, Mexico City, Mexico</t>
  </si>
  <si>
    <t>Universidad Nacional Autonoma de Mexico; Universidad Nacional Autonoma de Mexico</t>
  </si>
  <si>
    <t>Minutti-Martinez, C (corresponding author), Univ Nacl Autonoma Mexico, Ctr Estudios Comp Avanzada CECAv UNAM, Mexico City, Mexico.</t>
  </si>
  <si>
    <t>carlos.minutti@iimas.unam.mx; boris@cecav.unam.mx; jolveres@cecav.unam.mx</t>
  </si>
  <si>
    <t>DGAPA's postdoctoral fellowship program (programa de becas posdoctorales) at UNAM; PAPIIT-DGAPA-UNAM [IV100420]</t>
  </si>
  <si>
    <t>DGAPA's postdoctoral fellowship program (programa de becas posdoctorales) at UNAM; PAPIIT-DGAPA-UNAM(Programa de Apoyo a Proyectos de Investigacion e Innovacion Tecnologica (PAPIIT)Universidad Nacional Autonoma de Mexico)</t>
  </si>
  <si>
    <t>This work was supported by the DGAPA's postdoctoral fellowship program (programa de becas posdoctorales) at UNAM and the PAPIIT-DGAPA-UNAM grant IV100420.</t>
  </si>
  <si>
    <t>INSTITUTO POLITECNICO NACIONAL (IPN) CENTRO DE INVESTIGACION EN COMPUTACION</t>
  </si>
  <si>
    <t>MEXICO CITY</t>
  </si>
  <si>
    <t>AV JUAN DIOS BATIZ, S N ESQ M OTHON MENDIZABAL, UP ADOLFO LOPEZ MATEOS ZACATENCO, MEXICO CITY, 07738, MEXICO</t>
  </si>
  <si>
    <t>1405-5546</t>
  </si>
  <si>
    <t>2007-9737</t>
  </si>
  <si>
    <t>COMPUT SIST</t>
  </si>
  <si>
    <t>Comput. Sist.</t>
  </si>
  <si>
    <t>10.13053/CyS-27-4-4777</t>
  </si>
  <si>
    <t>DX7C9</t>
  </si>
  <si>
    <t>WOS:001135440800019</t>
  </si>
  <si>
    <t>Cho, JH; Yi, Y; Choi, J; Ahn, J; Yoon, HI; Yilmaz, B</t>
  </si>
  <si>
    <t>Cho, Jun-Ho; Yi, Yuseung; Choi, Jinhyeok; Ahn, Junseong; Yoon, Hyung-In; Yilmaz, Burak</t>
  </si>
  <si>
    <t>Time efficiency, occlusal morphology, and internal fit of anatomic contour crowns designed by dental software powered by generative adversarial network: A comparative study</t>
  </si>
  <si>
    <t>JOURNAL OF DENTISTRY</t>
  </si>
  <si>
    <t>Deep learning; Computer aided design; Dental crown; Time efficiency; Occlusal morphology; Internal fit</t>
  </si>
  <si>
    <t>Objectives: To evaluate the time efficiency, occlusal morphology, and internal fit of dental crowns designed using generative adversarial network (GAN)-based dental software compared to conventional dental software.Methods: Thirty datasets of partial arch scans for prepared posterior teeth were analyzed. Each crown was designed on each abutment using GAN-based software (AI) and conventional dental software (non-AI). The AI and non-AI groups were compared in terms of time efficiency by measuring the elapsed work time. The difference in the occlusal morphology of the crowns before and after design optimization and the internal fit of the crown to the prepared abutment were also evaluated by superimposition for each software. Data were analyzed using independent t tests or Mann-Whitney test with statistical significance (alpha=.05).Results: The working time was significantly less for the AI group than the non-AI group at T1, T5, and T6 (P &lt;=.043). The working time with AI was significantly shorter at T1, T3, T5, and T6 for the intraoral scan (P &lt;=.036). Only at T2 (P &lt;=.001) did the cast scan show a significant difference between the two groups. The crowns in the AI group showed less deviation in occlusal morphology and significantly better internal fit to the abutment than those in the non-AI group (both P &lt;=.001).Conclusions: Crowns designed by AI software showed improved outcomes than that designed by non-AI software, in terms of time efficiency, difference in occlusal morphology, and internal fit.Clinical significance: The GAN-based software showed better time efficiency and less deviation in occlusal morphology during the design process than the conventional software, suggesting a higher probability of optimized outcomes of crown design.</t>
  </si>
  <si>
    <t>[Cho, Jun-Ho; Yoon, Hyung-In] Seoul Natl Univ, Sch Dent, Dept Prosthodont, Seoul, South Korea; [Cho, Jun-Ho; Yoon, Hyung-In] Seoul Natl Univ, Dent Res Inst, Seoul, South Korea; [Yi, Yuseung] Seoul Natl Univ Dent Hosp, Dept Prosthodont, Seoul, South Korea; [Choi, Jinhyeok] Seoul Natl Univ, Dept Biomed Sci, Seoul, South Korea; [Ahn, Junseong] Korea Univ, Dept Comp Sci, Seoul, South Korea; [Yoon, Hyung-In; Yilmaz, Burak] Univ Bern, Sch Dent Med, Dept Reconstruct Dent &amp; Gerodontol, Bern, Switzerland; [Yilmaz, Burak] Univ Bern, Sch Dent Med, Dept Restorat Prevent &amp; Pediat Dent, Bern, Switzerland; [Yilmaz, Burak] Ohio State Univ, Div Restorat &amp; Prosthet Dent, Columbus, OH USA</t>
  </si>
  <si>
    <t>Seoul National University (SNU); Seoul National University (SNU); Seoul National University (SNU); Seoul National University Hospital; Seoul National University (SNU); Korea University; University of Bern; University of Bern; University System of Ohio; Ohio State University</t>
  </si>
  <si>
    <t>Yoon, HI (corresponding author), Seoul Natl Univ, Sch Dent, Dept Prosthodont, Seoul, South Korea.;Yoon, HI (corresponding author), Seoul Natl Univ, Dent Res Inst, Seoul, South Korea.</t>
  </si>
  <si>
    <t>drhiy226@snu.ac.kr</t>
  </si>
  <si>
    <t>Yoon, Hyung-In/L-6707-2013</t>
  </si>
  <si>
    <t>Yoon, Hyung-In/0000-0002-9597-6342; Cho, Jun-Ho/0000-0002-1416-7915</t>
  </si>
  <si>
    <t>Creative-Pioneering Researchers Program through Seoul National University (SNU); Korea Medical Device Development Fund - Korea Government (Ministry of Science and ICT); Ministry of Health Welfare; Ministry of Food and Drug Safety [KMDF_PR_20200901_0002]; National Research Foundation of Korea (NRF) - Korea government (the Ministry of Science and ICT) [RS-2023-00239879]; Ministry of Trade, Industry and Energy</t>
  </si>
  <si>
    <t>Creative-Pioneering Researchers Program through Seoul National University (SNU); Korea Medical Device Development Fund - Korea Government (Ministry of Science and ICT)(Ministry of Science, ICT &amp; Future Planning, Republic of Korea); Ministry of Health Welfare; Ministry of Food and Drug Safety(Ministry of Food &amp; Drug Safety (MFDS), Republic of Korea); National Research Foundation of Korea (NRF) - Korea government (the Ministry of Science and ICT)(National Research Foundation of KoreaMinistry of Science, ICT &amp; Future Planning, Republic of Korea); Ministry of Trade, Industry and Energy</t>
  </si>
  <si>
    <t>This research was supported by the Creative-Pioneering Researchers Program through Seoul National University (SNU) , the Korea Medical Device Development Fund grant funded by the Korea Government (the Ministry of Science and ICT, the Ministry of Trade, Industry and Energy, the Ministry of Health &amp; Welfare, the Ministry of Food and Drug Safety) (KMDF_PR_20200901_0002) , and the National Research Foundation of Korea (NRF) grant funded by the Korea government (the Ministry of Science and ICT) (RS-2023-00239879) . The authors are sincerely grateful to Moon-Hee Cho, a certified dental technician, for her invaluable contribution to virtual design and data quality control for this analysis.</t>
  </si>
  <si>
    <t>0300-5712</t>
  </si>
  <si>
    <t>1879-176X</t>
  </si>
  <si>
    <t>J DENT</t>
  </si>
  <si>
    <t>J. Dent.</t>
  </si>
  <si>
    <t>10.1016/j.jdent.2023.104739</t>
  </si>
  <si>
    <t>Dentistry, Oral Surgery &amp; Medicine</t>
  </si>
  <si>
    <t>X9WE9</t>
  </si>
  <si>
    <t>WOS:001101870500001</t>
  </si>
  <si>
    <t>Bocii, LS; Ursua, N</t>
  </si>
  <si>
    <t>Bocii, Liviu-Sevastian; Ursua, Nicanor</t>
  </si>
  <si>
    <t>Artificial Intelligence and its impact on the smart world of work</t>
  </si>
  <si>
    <t>EIKASIA-REVISTA DE FILOSOFIA</t>
  </si>
  <si>
    <t>AI; Machine learning; Smart factory; New jobs; Privacy; Need for AI training</t>
  </si>
  <si>
    <t>This essay analyzes the impact of Artificial Intelligence (AI) and the recent appearance of ChatGPT-4 (Generative Pre-trained Transformer) in the world of work. This impact is also having an impact on people's self-esteem as they are replaced by robots, although this new revolution is also creating the opportunity for new jobs and boosting creativity. Privacy can be compromised by the large collection of personal data that these devices store. At the end of this essay, some proposals are presented to improve inclusive prosperity and the need for good training in AI.</t>
  </si>
  <si>
    <t>[Bocii, Liviu-Sevastian] Aurel Vlaicu Univ Arad, Arad, Romania; [Ursua, Nicanor] Euskal Herriko Unibertsitatea, Univ Pais Vasco, Leioa, Spain</t>
  </si>
  <si>
    <t>Aurel Vlaicu University of Arad; University of Basque Country</t>
  </si>
  <si>
    <t>Bocii, LS (corresponding author), Aurel Vlaicu Univ Arad, Arad, Romania.</t>
  </si>
  <si>
    <t>EIKASIA EDICIONES S L</t>
  </si>
  <si>
    <t>OVIEDO</t>
  </si>
  <si>
    <t>BERMUDEZ CASTRO 14 BAJO C2, OVIEDO, 33011, SPAIN</t>
  </si>
  <si>
    <t>1885-5679</t>
  </si>
  <si>
    <t>EIKASIA</t>
  </si>
  <si>
    <t>Eikasia</t>
  </si>
  <si>
    <t>NOV-DEC</t>
  </si>
  <si>
    <t>X6XA0</t>
  </si>
  <si>
    <t>WOS:001099844600010</t>
  </si>
  <si>
    <t>Urbina, F; Lentzos, F; Invernizzi, C; Ekins, S</t>
  </si>
  <si>
    <t>Urbina, Fabio; Lentzos, Filippa; Invernizzi, Cedric; Ekins, Sean</t>
  </si>
  <si>
    <t>Preventing AI From Creating Biochemical Threats</t>
  </si>
  <si>
    <t>We have previously applied our machine learning models for bioactivity and toxicity along with a generative algorithm to develop VX and tens of thousands of analogues. The publication brought attention to the ease of designing chemical warfare agents. In this Viewpoint, we discuss 10 recommendations to prevent future biochemical threats.</t>
  </si>
  <si>
    <t>[Urbina, Fabio; Ekins, Sean] Collaborat Pharmaceut Inc, Raleigh, NC 27606 USA; [Lentzos, Filippa] Kings Coll London, Dept War Studies, London WC2R2LS, England; [Lentzos, Filippa] Kings Coll London, Dept Global Hlth &amp; Social Med, London WC2R2LS, England; [Invernizzi, Cedric] Fed Dept Def Civil Protect &amp; Sports, Spiez Lab, CH-3700 Spiez, Switzerland</t>
  </si>
  <si>
    <t>Ekins, S (corresponding author), Collaborat Pharmaceut Inc, Raleigh, NC 27606 USA.</t>
  </si>
  <si>
    <t>sean@collaborationspharma.com</t>
  </si>
  <si>
    <t>Invernizzi, Cedric/0000-0002-9807-5195</t>
  </si>
  <si>
    <t>NIH from NIGMS [R44GM122196-02A1]; NIEHS [1R43ES031038-01, 1R43ES033855-01]; National Institute of Environmental Health Sciences of the National Institutes of Health [1R43ES033855-01, R43ES031038]</t>
  </si>
  <si>
    <t>NIH from NIGMS; NIEHS(United States Department of Health &amp; Human ServicesNational Institutes of Health (NIH) - USANIH National Institute of Environmental Health Sciences (NIEHS)); National Institute of Environmental Health Sciences of the National Institutes of Health(United States Department of Health &amp; Human ServicesNational Institutes of Health (NIH) - USANIH National Institute of Environmental Health Sciences (NIEHS))</t>
  </si>
  <si>
    <t>We kindly acknowledge NIH funding from R44GM122196-02A1 from NIGMS and 1R43ES031038-01 and 1R43ES033855-01 from NIEHS for our machine learning software development and applications. Research reported in this publication was supported by the National Institute of Environmental Health Sciences of the National Institutes of Health under Award Number R43ES031038 and 1R43ES033855-01. The content is solely the responsibility of the authors and does not necessarily represent the official views of the National Institutes of Health.</t>
  </si>
  <si>
    <t>10.1021/acs.jcim.2c01616</t>
  </si>
  <si>
    <t>8N7TZ</t>
  </si>
  <si>
    <t>WOS:000925351200001</t>
  </si>
  <si>
    <t>Singh, M</t>
  </si>
  <si>
    <t>Singh, M.</t>
  </si>
  <si>
    <t>MAINTAINING THE INTEGRITY OF THE SOUTH AFRICAN UNIVERSITY: THE IMPACT OF CHATGPT ON PLAGIARISM AND SCHOLARLY WRITING</t>
  </si>
  <si>
    <t>SOUTH AFRICAN JOURNAL OF HIGHER EDUCATION</t>
  </si>
  <si>
    <t>ChatGPT; artificial intelligence; teaching and learning; higher education; plagiarism; scholarly writing; connectivism; generative AI</t>
  </si>
  <si>
    <t>Recent advancements in artificial intelligence (AI) have reignited discussions about the value of the university and its role in producing and facilitating knowledge. The invention of ChatGPT has led to differing responses in the academy, with some welcoming its abilities and others fearing that it may undermine what schools and universities do, calling it apocalyptic (Green 2022). These aspects impact the integrity of the academy and are therefore a fundamental contribution to the debate. The impact, as well as the perceived impact, of AI on teaching and learning in higher education has been consistently documented in popular media. Therefore, the aim of this article is to understand the impact of ChatGPT on plagiarism and scholarly writing. It contributes to the under-researched academic discourse of generative artificial intelligence and teaching and learning by garnering the views of three established professors in South Africa. The findings from this qualitative endeavour demonstrate that, for these professors, these kinds of technology are welcome, and students need to be taught how to engage with them rather than vilifying them. Much of the responsibility rests on the lecturers and the university to create a teaching and learning environment that allows for these technologies to enter the classroom, especially in the way we assess.</t>
  </si>
  <si>
    <t>[Singh, M.] Univ Johannesburg, Fac Educ, Johannesburg, South Africa</t>
  </si>
  <si>
    <t>University of Johannesburg</t>
  </si>
  <si>
    <t>Singh, M (corresponding author), Univ Johannesburg, Fac Educ, Johannesburg, South Africa.</t>
  </si>
  <si>
    <t>SUNJOURNALS</t>
  </si>
  <si>
    <t>STELLENBOSCH</t>
  </si>
  <si>
    <t>STELLENBOSCH UNIV LIB &amp; INFORMATION SERV, PRIVATE BAG X5036, STELLENBOSCH, 7599, SOUTH AFRICA</t>
  </si>
  <si>
    <t>1011-3487</t>
  </si>
  <si>
    <t>1753-5913</t>
  </si>
  <si>
    <t>S AFR J HIGH EDUC</t>
  </si>
  <si>
    <t>S. Afr. J. High, Educ.</t>
  </si>
  <si>
    <t>10.20853/37-5-5941</t>
  </si>
  <si>
    <t>CC9L7</t>
  </si>
  <si>
    <t>WOS:001123168000011</t>
  </si>
  <si>
    <t>Kang, HYJ; Batbaatar, E; Choi, DW; Choi, KS; Ko, MS; Ryu, KS</t>
  </si>
  <si>
    <t>Kang, Ha Ye Jin; Batbaatar, Erdenebileg; Choi, Dong-Woo; Choi, Kui Son; Ko, Minsam; Ryu, Kwang Sun</t>
  </si>
  <si>
    <t>Synthetic Tabular Data Based on Generative Adversarial Networks in Health Care: Generation and Validation Using the Divide-and-Conquer Strategy</t>
  </si>
  <si>
    <t>JMIR MEDICAL INFORMATICS</t>
  </si>
  <si>
    <t>generative adversarial networks; GAN; synthetic data generation; synthetic tabular data; lung cancer; machine learning; mortality prediction</t>
  </si>
  <si>
    <t>Background: Synthetic data generation (SDG) based on generative adversarial networks (GANs) is used in health care, but research on preserving data with logical relationships with synthetic tabular data (STD) remains challenging. Filtering methods for SDG can lead to the loss of important information.Objective: This study proposed a divide-and-conquer (DC) method to generate STD based on the GAN algorithm, while preserving data with logical relationships.Methods: The proposed method was evaluated on data from the Korea Association for Lung Cancer Registry (KALC-R) and 2 benchmark data sets (breast cancer and diabetes). The DC-based SDG strategy comprises 3 steps: (1) We used 2 different partitioning methods (the class-specific criterion distinguished between survival and death groups, while the Cramer V criterion identified the highest correlation between columns in the original data); (2) the entire data set was divided into a number of subsets, which were then used as input for the conditional tabular generative adversarial network and the copula generative adversarial network to generate synthetic data; and (3) the generated synthetic data were consolidated into a single entity. For validation, we compared DC-based SDG and conditional sampling (CS)-based SDG through the performances of machine learning models. In addition, we generated imbalanced and balanced synthetic data for each of the 3 data sets and compared their performance using 4 classifiers: decision tree (DT), random forest (RF), Extreme Gradient Boosting (XGBoost), and light gradient-boosting machine (LGBM) models.Results: The synthetic data of the 3 diseases (non-small cell lung cancer [NSCLC], breast cancer, and diabetes) generated by our proposed model outperformed the 4 classifiers (DT, RF, XGBoost, and LGBM). The CS-versus DC-based model performances were compared using the mean area under the curve (SD) values: 74.87 (SD 0.77) versus 63.87 (SD 2.02) for NSCLC, 73.31 (SD 1.11) versus 67.96 (SD 2.15) for breast cancer, and 61.57 (SD 0.09) versus 60.08 (SD 0.17) for diabetes (DT); 85.61 (SD 0.29) versus 79.01 (SD 1.20) for NSCLC, 78.05 (SD 1.59) versus 73.48 (SD 4.73) for breast cancer, and 59.98 (SD 0.24) versus 58.55 (SD 0.17) for diabetes (RF); 85.20 (SD 0.82) versus 76.42 (SD 0.93) for NSCLC, 77.86 (SD 2.27) versus 68.32 (SD 2.37) for breast cancer, and 60.18 (SD 0.20) versus 58.98 (SD 0.29) for diabetes (XGBoost); and 85.14 (SD 0.77) versus 77.62 (SD 1.85)for NSCLC, 78.16 (SD 1.52) versus 70.02 (SD 2.17) for breast cancer, and 61.75 (SD 0.13) versus 61.12 (SD 0.23) for diabetes (LGBM). In addition, we found that balanced synthetic data performed better. Conclusions: This study is the first attempt to generate and validate STD based on a DC approach and shows improved performance using STD. The necessity for balanced SDG was also demonstrated.</t>
  </si>
  <si>
    <t>[Kang, Ha Ye Jin] Hanyang Univ, Dept Appl Artificial Intelligence, Ansan, South Korea; [Kang, Ha Ye Jin; Ryu, Kwang Sun] Natl Canc Ctr, Grad Sch Canc Sci &amp; Policy, Dept Canc AI &amp; Digital Hlth, Goyang, Gyeonggi Do, South Korea; [Batbaatar, Erdenebileg; Choi, Dong-Woo; Choi, Kui Son; Ryu, Kwang Sun] Natl Canc Ctr, Natl Canc Control Inst, Natl Canc Data Ctr, Goyang 10408, Gyeonggi Do, South Korea; [Choi, Kui Son] Natl Canc Ctr, Grad Sch Canc Sci &amp; Policy, Dept Canc Control &amp; Policy, Goyang 10408, Gyeonggi Do, South Korea; [Ko, Minsam] Hanyang Univ, Dept Human Comp Interact, Ansan, South Korea; [Ryu, Kwang Sun] Natl Canc Ctr, Natl Canc Control Inst, Natl Canc Data Ctr, 323 Ilsan ro, Goyang 10408, Gyeonggi Do, South Korea</t>
  </si>
  <si>
    <t>Hanyang University; National Cancer Center - Korea (NCC); National Cancer Center - Korea (NCC); National Cancer Center - Korea (NCC); Hanyang University; National Cancer Center - Korea (NCC)</t>
  </si>
  <si>
    <t>Ryu, KS (corresponding author), Natl Canc Ctr, Natl Canc Control Inst, Natl Canc Data Ctr, 323 Ilsan ro, Goyang 10408, Gyeonggi Do, South Korea.</t>
  </si>
  <si>
    <t>niceplay13@ncc.re.kr</t>
  </si>
  <si>
    <t>Choi, Kui Son/0000-0001-5336-3874; Choi, Dong-Woo/0000-0001-5307-8133; Kang, Ha Ye Jin/0000-0003-0234-1872; Ryu, Kwang Sun/0000-0002-1492-6635</t>
  </si>
  <si>
    <t>National Cancer Center of Korea, Basic Science Research Program through the National Research Foundation of Korea (NRF) - Ministry of Education [2310440-1, HI21C0974, NRF-2022R1F1A1075041]; Korea Health Technology R&amp;D Project through the Korea Health Industry Development Institute - Ministry of Health &amp; Welfare, Republic of Korea [HI21C0974]</t>
  </si>
  <si>
    <t>National Cancer Center of Korea, Basic Science Research Program through the National Research Foundation of Korea (NRF) - Ministry of Education; Korea Health Technology R&amp;D Project through the Korea Health Industry Development Institute - Ministry of Health &amp; Welfare, Republic of Korea</t>
  </si>
  <si>
    <t>This study was supported by a grant (no: 2310440-1) offered by the National Cancer Center of Korea, Basic Science Research Program through the National Research Foundation of Korea (NRF) funded by the Ministry of Education (no: NRF-2022R1F1A1075041) , and the Korea Health Technology R &amp; D Project through the Korea Health Industry Development Institute, funded by the Ministry of Health &amp; Welfare, Republic of Korea (no: HI21C0974) .</t>
  </si>
  <si>
    <t>2291-9694</t>
  </si>
  <si>
    <t>JMIR MED INF</t>
  </si>
  <si>
    <t>JMIR Med. Inf.</t>
  </si>
  <si>
    <t>e47859</t>
  </si>
  <si>
    <t>10.2196/47859</t>
  </si>
  <si>
    <t>Medical Informatics</t>
  </si>
  <si>
    <t>Z8TR5</t>
  </si>
  <si>
    <t>WOS:001114749800001</t>
  </si>
  <si>
    <t>Tjoa, E; Khok, HJ; Chouhan, T; Guan, CT</t>
  </si>
  <si>
    <t>Tjoa, Erico; Khok, Hong Jing; Chouhan, Tushar; Guan, Cuntai</t>
  </si>
  <si>
    <t>Enhancing the confidence of deep learning classifiers via interpretable saliency maps</t>
  </si>
  <si>
    <t>NEUROCOMPUTING</t>
  </si>
  <si>
    <t>Explainable artificial intelligence; Interpretability; Medical AI; Image processing</t>
  </si>
  <si>
    <t>BLACK-BOX</t>
  </si>
  <si>
    <t>This paper quantifies the quality of heatmap-based eXplainable AI (XAI) methods w.r.t image classification problem. Here, a heatmap is considered desirable if it improves the probability of predicting the correct classes. Different XAI heatmap-based methods are empirically shown to improve classification confidence to different extents depending on the datasets, e.g. Saliency works best on ImageNet and Deconvolution on Chest X-ray Pneumonia dataset. The novelty includes a new gap distribution that shows a stark difference between correct and wrong predictions. Finally, the generative augmentative explanation is introduced, a method to generate heatmaps capable of improving predictive confidence to a high level.</t>
  </si>
  <si>
    <t>[Tjoa, Erico; Khok, Hong Jing; Chouhan, Tushar; Guan, Cuntai] Nanyang Technol Univ, 50 Nanyang Ave, Singapore 639798, Singapore; [Tjoa, Erico; Khok, Hong Jing] Alibaba Inc, Singapore, Singapore; [Chouhan, Tushar; Guan, Cuntai] Nanyang Technol Univ, Sch Comp Sci &amp; Engn SCSE, Singapore, Singapore</t>
  </si>
  <si>
    <t>Nanyang Technological University; Nanyang Technological University</t>
  </si>
  <si>
    <t>Tjoa, E (corresponding author), Alibaba Inc, Singapore, Singapore.</t>
  </si>
  <si>
    <t>ericotjo001@e.ntu.edu.sg</t>
  </si>
  <si>
    <t>Guan, Cuntai/G-7835-2016</t>
  </si>
  <si>
    <t>Guan, Cuntai/0000-0002-0872-3276</t>
  </si>
  <si>
    <t>Alibaba Group Holding Limited; DAMO Academy, Health-AI division under Alibaba-NTU Talent Program, Alibaba JRI; RIE2020 AME Programmatic Fund, Singapore [A20G8b0102]</t>
  </si>
  <si>
    <t>Alibaba Group Holding Limited; DAMO Academy, Health-AI division under Alibaba-NTU Talent Program, Alibaba JRI; RIE2020 AME Programmatic Fund, Singapore</t>
  </si>
  <si>
    <t>This research was supported by Alibaba Group Holding Limited, DAMO Academy, Health-AI division under Alibaba-NTU Talent Program, Alibaba JRI. The program is the collaboration between Alibaba and Nanyang Technological university, Singapore. This work was also supported by the RIE2020 AME Programmatic Fund, Singapore (No. A20G8b0102) .</t>
  </si>
  <si>
    <t>0925-2312</t>
  </si>
  <si>
    <t>1872-8286</t>
  </si>
  <si>
    <t>Neurocomputing</t>
  </si>
  <si>
    <t>10.1016/j.neucom.2023.126825</t>
  </si>
  <si>
    <t>Y2WP3</t>
  </si>
  <si>
    <t>WOS:001103924100001</t>
  </si>
  <si>
    <t>Norum, SB</t>
  </si>
  <si>
    <t>Norum, Sam Bates</t>
  </si>
  <si>
    <t>CHANGING ALL THE TIME: AI'S IMPACT ON HUMANITY'S ROLE IN COMMON LAW DEVELOPMENT AND INTERPRETATION</t>
  </si>
  <si>
    <t>BOSTON UNIVERSITY LAW REVIEW</t>
  </si>
  <si>
    <t>There is an AI boom happening right now and, with it, a boom of legal scholarship concerning its impact on the legal profession. Most of this scholarship narrows in on balancing the efficiency gains with the ethical considerations. This Note takes a different tact and considers how vigorous adoption of generative AI engines like ChatGPT might impact the continued development of the common law. It goes deeper than the practical applications or superficial changes that might accompany such tools and weighs the threat AI might forever sever humanity's connection to the law, ceding control of its development to these complex algorithms. The legal profession cannot rely on private companies to consider this important aspect, nor can it rely on the slothful legislature to spring into action. Lawyers, jurists, and scholars carry a responsibility to maintain the human connection-or at least be mindful of it in their practice. It is no longer something taken for granted. This Note, which stretches into metaphysical understanding of our connection to the common law and the effects legal interpretation has on both the present and past, might serve as a launching point for scholarly discussion of humanity and the law in the face of the AI revolution. This Note proposes a modest starting point: amending our codes of professional responsibility to place that human connection at the moral and ethical center of our field. This Note does not claim to have the perfect fix, but it serves as an urgent call to act fast and act soon.</t>
  </si>
  <si>
    <t>BOSTON UNIV LAW REVIEW</t>
  </si>
  <si>
    <t>BOSTON</t>
  </si>
  <si>
    <t>765 COMMONWEALTH AVE, BOSTON, MA 02215 USA</t>
  </si>
  <si>
    <t>0006-8047</t>
  </si>
  <si>
    <t>BOSTON U LAW REV</t>
  </si>
  <si>
    <t>Boston Univ. Law Rev.</t>
  </si>
  <si>
    <t>IH8K0</t>
  </si>
  <si>
    <t>WOS:001165525400010</t>
  </si>
  <si>
    <t>Mayrhofer-Hufnagl, I; Ennemoser, B</t>
  </si>
  <si>
    <t>Mayrhofer-Hufnagl, Ingrid; Ennemoser, Benjamin</t>
  </si>
  <si>
    <t>Advancing justice in a city's complex systems using designs enabled by space</t>
  </si>
  <si>
    <t>remote sensing; generative deep learning; urban design; generative adversarial networks; feature visualization</t>
  </si>
  <si>
    <t>Understanding the importance of data is crucial for realizing the full potential of AI in architectural design. Satellite images are extremely numerous, continuous, high resolution, and accessible, allowing nuanced experimentation through dataset curation. Combining deep learning with remote-sensing technologies, this study poses the following questions. Do newly available datasets uncover ideas about the city previously hidden because urban theory is predominantly Eurocentric? Do extensive and continuous datasets promise a more refined examination of datasets' effects on outcomes? Generative adversarial networks can endlessly generate new designs based on a curated dataset, but architectural evaluation has been questionable. We employ quantitative and qualitative assessment metrics to investigate human collaboration with AI, producing results that contribute to understanding AI-based urban design models and the significance of dataset curation.</t>
  </si>
  <si>
    <t>[Mayrhofer-Hufnagl, Ingrid] Univ Innsbruck, Innsbruck, Austria; [Ennemoser, Benjamin] Texas A&amp;M Univ, College Stn, TX USA; [Mayrhofer-Hufnagl, Ingrid] Univ Innsbruck, Technikerstr 21, A-6020 Innsbruck, Austria</t>
  </si>
  <si>
    <t>University of Innsbruck; Texas A&amp;M University System; Texas A&amp;M University College Station; University of Innsbruck</t>
  </si>
  <si>
    <t>Mayrhofer-Hufnagl, I (corresponding author), Univ Innsbruck, Technikerstr 21, A-6020 Innsbruck, Austria.</t>
  </si>
  <si>
    <t>ingrid.mayrhofer-hufnagl@uibk.ac.at</t>
  </si>
  <si>
    <t>Ennemoser, Benjamin/0000-0003-1091-5805; Mayrhofer-Hufnagl, Ingrid/0000-0001-6436-4629</t>
  </si>
  <si>
    <t>10.1177/14780771231168223</t>
  </si>
  <si>
    <t>WOS:000960963400001</t>
  </si>
  <si>
    <t>Kostygina, G; Kim, Y; Seeskin, Z; Leclere, F; Emery, S</t>
  </si>
  <si>
    <t>Kostygina, Ganna; Kim, Yoonsang; Seeskin, Zachary; Leclere, Felicia; Emery, Sherry</t>
  </si>
  <si>
    <t>Disclosure Standards for Social Media and Generative Artificial Intelligence Research: Toward Transparency and Replicability</t>
  </si>
  <si>
    <t>SOCIAL MEDIA + SOCIETY</t>
  </si>
  <si>
    <t>social data quality; reproducibility; reporting standards; scientific transparency; disclosure</t>
  </si>
  <si>
    <t>BIG DATA; SCIENCE</t>
  </si>
  <si>
    <t>Social media dominate today's information ecosystem and provide valuable information for social research. Market researchers, social scientists, policymakers, government entities, public health researchers, and practitioners recognize the potential for social data to inspire innovation, support products and services, characterize public opinion, and guide decisions. The appeal of mining these rich datasets is clear. However, there is potential risk of data misuse, underscoring an equally huge and fundamental flaw in the research: there are no procedural standards and little transparency. Transparency across the processes of collecting and analyzing social media data is often limited due to proprietary algorithms. Spurious findings and biases introduced by artificial intelligence (AI) demonstrate the challenges this lack of transparency poses for research. Social media research remains a virtual wild west, with no clear standards for reporting regarding data retrieval, preprocessing steps, analytic methods, or interpretation. Use of emerging generative AI technologies to augment social media analytics can undermine validity and replicability of findings, potentially turning this research into a black box enterprise. Clear guidance for social media analyses and reporting is needed to assure the quality of the resulting research. In this article, we propose criteria for evaluating the quality of studies using social media data, grounded in established scientific practice. We offer clear documentation guidelines to ensure that social data are used properly and transparently in research and applications. A checklist of disclosure elements to meet minimal reporting standards is proposed. These criteria will make it possible for scholars and practitioners to assess the quality, credibility, and comparability of research findings using digital data.</t>
  </si>
  <si>
    <t>[Kostygina, Ganna; Kim, Yoonsang; Seeskin, Zachary; Leclere, Felicia; Emery, Sherry] NORC Univ Chicago, Chicago, IL USA; [Kostygina, Ganna] NORC Univ Chicago, Social Data Collaboratory, 55 East Monroe St,3165, Chicago, IL 60603 USA</t>
  </si>
  <si>
    <t>Kostygina, G (corresponding author), NORC Univ Chicago, Social Data Collaboratory, 55 East Monroe St,3165, Chicago, IL 60603 USA.</t>
  </si>
  <si>
    <t>kostygina-anna@norc.org</t>
  </si>
  <si>
    <t>Seeskin, Zachary/0000-0002-8005-4521</t>
  </si>
  <si>
    <t>National Cancer Institute of the National Institutes of Health [R01CA248871, R01CA234082]; National Institute on Drug Abuse of the National Institutes of Health [R01DA051000]</t>
  </si>
  <si>
    <t>National Cancer Institute of the National Institutes of Health(United States Department of Health &amp; Human ServicesNational Institutes of Health (NIH) - USANIH National Cancer Institute (NCI)); National Institute on Drug Abuse of the National Institutes of Health(United States Department of Health &amp; Human ServicesNational Institutes of Health (NIH) - USANIH National Institute on Drug Abuse (NIDA))</t>
  </si>
  <si>
    <t>The author(s) disclosed receipt of the following financial support for the research, authorship, and/or publication of this article: Research reported in this publication was supported by the National Cancer Institute of the National Institutes of Health under Awards Nos. R01CA248871 and R01CA234082 and the National Institute on Drug Abuse of the National Institutes of Health under Award No. R01DA051000.</t>
  </si>
  <si>
    <t>2056-3051</t>
  </si>
  <si>
    <t>SOC MEDIA SOC</t>
  </si>
  <si>
    <t>Soc. Med. Soc.</t>
  </si>
  <si>
    <t>10.1177/20563051231216947</t>
  </si>
  <si>
    <t>CR7S1</t>
  </si>
  <si>
    <t>WOS:001127040900001</t>
  </si>
  <si>
    <t>Merow, C; Serra-Diaz, JM; Enquist, BJ; Wilson, AM</t>
  </si>
  <si>
    <t>Merow, Cory; Serra-Diaz, Josep M.; Enquist, Brian J.; Wilson, Adam M.</t>
  </si>
  <si>
    <t>AI chatbots can boost scientific coding</t>
  </si>
  <si>
    <t>NATURE ECOLOGY &amp; EVOLUTION</t>
  </si>
  <si>
    <t>Chatbots powered by artificial intelligence, such as ChatGPT, are ready to speed up monotonous coding tasks and teach you new skills. We highlight, with worked examples, some advantages and limitations of using generative artificial intelligence for scientific coding and argue that if you are willing to debug, you can get a head start on more challenging tasks.</t>
  </si>
  <si>
    <t>[Merow, Cory; Serra-Diaz, Josep M.] Univ Connecticut, Dept Ecol &amp; Evolutionary Biol, Storrs, CT 06269 USA; [Merow, Cory; Serra-Diaz, Josep M.] Univ Connecticut, Eversource Energy Ctr, Storrs, CT 06269 USA; [Serra-Diaz, Josep M.] Univ Lorraine, AgroParisTech, INRAE, Silva, Nancy, France; [Enquist, Brian J.] Univ Arizona, Dept Ecol &amp; Evolutionary Biol, Tucson, AZ USA; [Wilson, Adam M.] Univ Buffalo, Dept Geog, Buffalo, NY USA</t>
  </si>
  <si>
    <t>University of Connecticut; University of Connecticut; AgroParisTech; INRAE; Universite de Lorraine; University of Arizona; State University of New York (SUNY) System; State University of New York (SUNY) Buffalo</t>
  </si>
  <si>
    <t>Merow, C (corresponding author), Univ Connecticut, Dept Ecol &amp; Evolutionary Biol, Storrs, CT 06269 USA.;Merow, C (corresponding author), Univ Connecticut, Eversource Energy Ctr, Storrs, CT 06269 USA.</t>
  </si>
  <si>
    <t>cory.merow@gmail.com</t>
  </si>
  <si>
    <t>Enquist, Brian J/B-6436-2008; Serra-Diaz, JM/F-7973-2011; Serra-Diaz, Josep M/C-3614-2015; Wilson, Adam/C-6731-2009</t>
  </si>
  <si>
    <t>Enquist, Brian J/0000-0002-6124-7096; Serra-Diaz, Josep M/0000-0003-1988-1154; Wilson, Adam/0000-0003-3362-7806</t>
  </si>
  <si>
    <t>NASA award [ANR-21-CE32-0003]; NSF [80NSSC21K1183, 80NSSC21K0086]; [2225078]; [2225076]; [80NSSC22K0883]</t>
  </si>
  <si>
    <t>NASA award; NSF(National Science Foundation (NSF)); ; ;</t>
  </si>
  <si>
    <t>C.M. and J.M.S.-D. were supported by NASA award 80NSSC22K0883. C.M. and B.J.E. were supported by NSF awards 2225078 and 2225076. A.M.W. was supported by NASA awards 80NSSC21K1183 and 80NSSC21K0086. J.M.S.-D. acknowledges funding from ANR-21-CE32-0003</t>
  </si>
  <si>
    <t>2397-334X</t>
  </si>
  <si>
    <t>NAT ECOL EVOL</t>
  </si>
  <si>
    <t>Nat. Ecol. Evol.</t>
  </si>
  <si>
    <t>10.1038/s41559-023-02063-3</t>
  </si>
  <si>
    <t>Ecology; Evolutionary Biology</t>
  </si>
  <si>
    <t>Environmental Sciences &amp; Ecology; Evolutionary Biology</t>
  </si>
  <si>
    <t>M0HA3</t>
  </si>
  <si>
    <t>WOS:000976829200001</t>
  </si>
  <si>
    <t>Suárez, A; Jiménez, J; de Pedro, ML; Andreu-Vázquez, C; García, VDF; Sánchez, MG; Freire, Y</t>
  </si>
  <si>
    <t>Suarez, Ana; Jimenez, Jaime; de Pedro, Maria Llorente; Andreu-Vazquez, Cristina; Garcia, Victor Diaz-Flores; Sanchez, Margarita Gomez; Freire, Yolanda</t>
  </si>
  <si>
    <t>Beyond the Scalpel: Assessing ChatGPT's potential as an auxiliary intelligent virtual assistant in oral surgery</t>
  </si>
  <si>
    <t>Oral surgery; Artificial Intelligence; ChatGPT; Open AI; Chatbot; Dentistry; Large language models; Natural generative language</t>
  </si>
  <si>
    <t>HALLUCINATIONS; PERFORMANCE; QUESTIONS; ACCURACY</t>
  </si>
  <si>
    <t>AI has revolutionized the way we interact with technology. Noteworthy advances in AI algorithms and large language models (LLM) have led to the development of natural generative language (NGL) systems such as ChatGPT. Although these LLM can simulate human conversations and generate content in real time, they face challenges related to the topicality and accuracy of the information they generate. This study aimed to assess whether ChatGPT-4 could provide accurate and reliable answers to general dentists in the field of oral surgery, and thus explore its potential as an intelligent virtual assistant in clinical decision making in oral surgery.Thirty questions related to oral surgery were posed to ChatGPT4, each question repeated 30 times. Subse-quently, a total of 900 responses were obtained. Two surgeons graded the answers according to the guidelines of the Spanish Society of Oral Surgery, using a three-point Likert scale (correct, partially correct/incomplete, and incorrect). Disagreements were arbitrated by an experienced oral surgeon, who provided the final grade Accu-racy was found to be 71.7%, and consistency of the experts' grading across iterations, ranged from moderate to almost perfect.ChatGPT-4, with its potential capabilities, will inevitably be integrated into dental disciplines, including oral surgery. In the future, it could be considered as an auxiliary intelligent virtual assistant, though it would never replace oral surgery experts. Proper training and verified information by experts will remain vital to the implementation of the technology. More comprehensive research is needed to ensure the safe and successful application of AI in oral surgery.</t>
  </si>
  <si>
    <t>[Suarez, Ana; Garcia, Victor Diaz-Flores; Sanchez, Margarita Gomez; Freire, Yolanda] Univ Europea Madrid, Fac Biomed &amp; Hlth Sci, Dept Pre Clin Dent, Calle Tajo s-n,Villaviciosa Odon, Madrid 28670, Spain; [Jimenez, Jaime] Univ Europea Madrid, Fac Biomed &amp; Hlth Sci, Dept Clin Dent, Calle Tajo S-N, Villaviciosa De Odon 28670, Madrid, Spain; [Andreu-Vazquez, Cristina] Univ Europea Madrid, Fac Biomed &amp; Hlth Sci, Dept Vet Med, Calle Tajo S-N, Villaviciosa De Odon 28670, Madrid, Spain</t>
  </si>
  <si>
    <t>European University of Madrid; European University of Madrid; European University of Madrid</t>
  </si>
  <si>
    <t>García, VDF (corresponding author), Univ Europea Madrid, Fac Biomed &amp; Hlth Sci, Dept Pre Clin Dent, Calle Tajo s-n,Villaviciosa Odon, Madrid 28670, Spain.</t>
  </si>
  <si>
    <t>Diaz-Flores García, Victor/Z-5187-2019; Suarez, Ana/ABB-2464-2021</t>
  </si>
  <si>
    <t>Diaz-Flores García, Victor/0000-0001-6141-0546; Suarez, Ana/0000-0003-2448-6669; Freire, Yolanda/0000-0002-0727-777X</t>
  </si>
  <si>
    <t>10.1016/j.csbj.2023.11.058</t>
  </si>
  <si>
    <t>DX5B9</t>
  </si>
  <si>
    <t>WOS:001135385900001</t>
  </si>
  <si>
    <t>Garcia-Lara, L; Bugueño-Cordova, I</t>
  </si>
  <si>
    <t>Garcia-Lara, Luis; Bugueno-Cordova, Ignacio</t>
  </si>
  <si>
    <t>Ethical aspects of integrating AI expert models in the process of retrieval and use of ICH registry material</t>
  </si>
  <si>
    <t>INTERNATIONAL JOURNAL OF PERFORMANCE ARTS AND DIGITAL MEDIA</t>
  </si>
  <si>
    <t>Digital humanities; ICH; AI models; ethics; native communities</t>
  </si>
  <si>
    <t>This work arises in the context of the interdisciplinary research group hosted at the Laboratory of Innovation and Territory of the Department of Design of the Catholic University of Temuco. In this research, we delve into protecting indigenous cultural rights by proposing an experimental methodology from developing prototypes defining various approaches and attempting to create new cultural-based proposals. They all comprise the body of our method of approach to the digital humanities on the Intangible Cultural Heritage of the original peoples that inhabited the current Chilean territory. We highlight the use of digital prototyping platforms, some of them based on expert models in artificial intelligence and others based on the development of generative and parametric algorithms, making a distinction between these two technologies that in their combination offer a panorama of infinite interactions, possibilities, allowing us to configure a transcultural language where the elements are translated into a generic programming language, where we can change the category of the original information, these categories are image, text, and sound. In this process, we declare our research problem: how to use the records of the intangible cultural heritage of the native peoples to design new artistic interpretations without falling into cultural appropriation.</t>
  </si>
  <si>
    <t>[Garcia-Lara, Luis] Catholic Univ Temuco, Design Dept, Temuco, Chile; [Bugueno-Cordova, Ignacio] Chile Univ, Engn Dept, Santiago, Chile</t>
  </si>
  <si>
    <t>Universidad Catolica de Temuco</t>
  </si>
  <si>
    <t>Garcia-Lara, L (corresponding author), Rudecindo Ortega 2950, Temuco, Araucania, Chile.</t>
  </si>
  <si>
    <t>lgarcia@uct.cl</t>
  </si>
  <si>
    <t>Bugueno-Cordova, Ignacio/JDN-1552-2023</t>
  </si>
  <si>
    <t>Bugueno-Cordova, Ignacio/0000-0002-0133-0330; Garcia, Luis/0000-0003-0723-809X</t>
  </si>
  <si>
    <t>1479-4713</t>
  </si>
  <si>
    <t>2040-0934</t>
  </si>
  <si>
    <t>INT J PERF ART DIGIT</t>
  </si>
  <si>
    <t>Int. J. Perform. Arts Digit. Media</t>
  </si>
  <si>
    <t>SEP 2</t>
  </si>
  <si>
    <t>10.1080/14794713.2023.2215162</t>
  </si>
  <si>
    <t>Theater</t>
  </si>
  <si>
    <t>LG6N9</t>
  </si>
  <si>
    <t>WOS:000994695800001</t>
  </si>
  <si>
    <t>Wu, TT; Shiri, F; Kang, JQ; Qi, GL; Haffari, G; Li, YF</t>
  </si>
  <si>
    <t>Wu, Tongtong; Shiri, Fatemeh; Kang, Jingqi; Qi, Guilin; Haffari, Gholamreza; Li, Yuan-Fang</t>
  </si>
  <si>
    <t>KC-GEE: knowledge-based conditioning for generative event extraction</t>
  </si>
  <si>
    <t>WORLD WIDE WEB-INTERNET AND WEB INFORMATION SYSTEMS</t>
  </si>
  <si>
    <t>Event extraction; Information extraction; Zero-shot learning; Document-level event extraction</t>
  </si>
  <si>
    <t>Event extraction is an important, but challenging task. Many existing techniques decompose it into event and argument detection/classification subtasks, which are complex structured prediction problems. Generation-based extraction techniques lessen the complexity of the problem formulation and are able to leverage the reasoning capabilities of large pretrained language models. However, they still suffer from poor zero-shot generalizability and are ineffective in handling long contexts such as documents. We propose a generative event extraction model, KC-GEE, that addresses these limitations. A key contribution of KC-GEE is a novel knowledge-based conditioning technique that injects the schema of candidate event types as the prefix into each layer of an encoder-decoder language model. This enables effective zero-shot learning and improves supervised learning. Our experiments on two benchmark datasets demonstrate the strong performance of our KC-GEE model. It achieves particularly strong results in the challenging document-level extraction task and in the zero-shot learning setting, outperforming state-of-the-art models by up to 5.4 absolute F1 points.</t>
  </si>
  <si>
    <t>[Wu, Tongtong; Kang, Jingqi; Qi, Guilin] Southeast Univ, Sch Comp Sci &amp; Engn, Nanjing 211189, Jiangsu, Peoples R China; [Wu, Tongtong; Shiri, Fatemeh; Haffari, Gholamreza; Li, Yuan-Fang] Monash Univ, Fac IT, Dept DS &amp;AI, Melbourne, Vic 3800, Australia</t>
  </si>
  <si>
    <t>Southeast University - China; Monash University</t>
  </si>
  <si>
    <t>Li, YF (corresponding author), Monash Univ, Fac IT, Dept DS &amp;AI, Melbourne, Vic 3800, Australia.</t>
  </si>
  <si>
    <t>wutong8023@seu.edu.cn; fatemeh.shiri@monash.edu; kjq@seu.edu.cn; gqi@seu.edu.cn; gholamreza.haffari@monash.edu; yuanfang.li@monash.edu</t>
  </si>
  <si>
    <t>wang, zhiwen/JDV-9990-2023; Zhang, Han/JMR-0670-2023</t>
  </si>
  <si>
    <t>CAUL; Air Force Research Laboratory; DARPA [FA8750-19-2-0501, HR001122C0029]</t>
  </si>
  <si>
    <t>CAUL; Air Force Research Laboratory; DARPA(United States Department of DefenseDefense Advanced Research Projects Agency (DARPA))</t>
  </si>
  <si>
    <t>Open Access funding enabled and organized by CAUL and its Member Institutions. This materialis based on research sponsored by Air Force Research Laboratory and DARPA under agreement number FA8750-19-2-0501 and HR001122C0029. The U.S. Government is authorized to reproduce and distribute reprints for Governmental purposes notwithstanding any copyright notation thereon.</t>
  </si>
  <si>
    <t>1386-145X</t>
  </si>
  <si>
    <t>1573-1413</t>
  </si>
  <si>
    <t>WORLD WIDE WEB</t>
  </si>
  <si>
    <t>World Wide Web</t>
  </si>
  <si>
    <t>10.1007/s11280-023-01216-5</t>
  </si>
  <si>
    <t>Computer Science, Information Systems; Computer Science, Software Engineering</t>
  </si>
  <si>
    <t>DD0P3</t>
  </si>
  <si>
    <t>WOS:001086848200001</t>
  </si>
  <si>
    <t>Bearman, M; Ajjawi, R</t>
  </si>
  <si>
    <t>Bearman, Margaret; Ajjawi, Rola</t>
  </si>
  <si>
    <t>Learning to work with the black box: Pedagogy for a world with artificial intelligence</t>
  </si>
  <si>
    <t>BRITISH JOURNAL OF EDUCATIONAL TECHNOLOGY</t>
  </si>
  <si>
    <t>artificial intelligence; generative AI; higher education; evaluative judgement; relational epistemology</t>
  </si>
  <si>
    <t>TRAINEES</t>
  </si>
  <si>
    <t>Artificial intelligence (AI) is increasingly integrating into our society. University education needs to maintain its relevance in an AI-mediated world, but the higher education sector is only beginning to engage deeply with the implications of AI within society. We define AI according to a relational epistemology, where, in the context of a particular interaction, a computational artefact provides a judgement about an optimal course of action and that this judgement cannot be traced. Therefore, by definition, AI must always act as a 'black box'. Rather than seeking to explain 'black boxes', we argue that a pedagogy for an AI-mediated world involves learning to work with opaque, partial and ambiguous situations, which reflect the entangled relationships between people and technologies. Such a pedagogy asks learners locate AI as socially bounded, where AI is always understood within the contexts of its use. We outline two particular approaches to achieve this: (a) orienting students to quality standards that surround AIs, what might be called the tacit and explicit 'rules of the game'; and (b) providing meaningful interactions with AI systems.</t>
  </si>
  <si>
    <t>[Bearman, Margaret; Ajjawi, Rola] Deakin Univ, Ctr Res Assessment &amp; Digital Learning CRADLE, Docklands, Vic, Australia</t>
  </si>
  <si>
    <t>Deakin University</t>
  </si>
  <si>
    <t>Bearman, M (corresponding author), Deakin Univ, Ctr Res Assessment &amp; Digital Learning CRADLE, Tower 2,Level 12,727 Collins St, Docklands, Vic 3008, Australia.</t>
  </si>
  <si>
    <t>margaret.bearman@deakin.edu.au</t>
  </si>
  <si>
    <t>Bearman, Margaret/0000-0002-6862-9871; Ajjawi, Rola/0000-0003-0651-3870</t>
  </si>
  <si>
    <t>0007-1013</t>
  </si>
  <si>
    <t>1467-8535</t>
  </si>
  <si>
    <t>BRIT J EDUC TECHNOL</t>
  </si>
  <si>
    <t>Br. J. Educ. Technol.</t>
  </si>
  <si>
    <t>2023 MAY 22</t>
  </si>
  <si>
    <t>10.1111/bjet.13337</t>
  </si>
  <si>
    <t>H1KK4</t>
  </si>
  <si>
    <t>WOS:000993618700001</t>
  </si>
  <si>
    <t>Yang, XZ; Wang, QQ; Lyu, JY</t>
  </si>
  <si>
    <t>Yang, Xiaozhe; Wang, Qingqing; Lyu, Jiyue</t>
  </si>
  <si>
    <t>Assessing ChatGPT's Educational Capabilities and Application Potential</t>
  </si>
  <si>
    <t>Capabilities assessment; ChatGPT; educational applications; generative artificial intelligence</t>
  </si>
  <si>
    <t>Purpose ChatGPT is a generative artificial intelligence (AI) technology that can solve multiple complex tasks. ChatGPT-4 can facilitate educational empowerment in China through technology to understand and generate Chinese text. Although ChatGPT's benefits have been widely discussed, its educational capabilities have not been systematically assessed. This study provides evidence of and insights into the educational applications of AI tools in China.Design/Approach/Methods This study uses various tests to systematically assess the latest iteration of the AI chatbot ChatGPT-4, including the Watson-Glaser Critical Thinking Appraisal (WGCTA), Five Core Competencies Questionnaire, and written test of China's 2022 National Teacher Certificate Examination (NTCE).Findings The WGCTA results suggest that ChatGPT requires strong critical thinking. Compared with the other four competencies, the tool showed a lower aptitude for creativity. Regarding its educational applications, ChatGPT performed well on the 2022 NTCE written test. As technology enhances, ChatGPT and similar AI tools have potential applications in China for lesson planning, student self-learning, classroom interaction, and checking assignments.Originality/Value This study systematically tested ChatGPT at a logical level and assessed its core competencies and educational applications. The study innovatively used 2022 NTCE data to test ChatGPT, with results providing support for the application of generative AI in future curricula and instruction in China.</t>
  </si>
  <si>
    <t>[Yang, Xiaozhe; Wang, Qingqing] East China Normal Univ, Inst Curriculum &amp; Instruct, Shanghai, Peoples R China; [Lyu, Jiyue] South China Normal Univ, Inst Int &amp; Comparat Educ, 55 West Zhongshan Ave, Guangzhou, Peoples R China</t>
  </si>
  <si>
    <t>East China Normal University; South China Normal University</t>
  </si>
  <si>
    <t>Lyu, JY (corresponding author), South China Normal Univ, Inst Int &amp; Comparat Educ, 55 West Zhongshan Ave, Guangzhou, Peoples R China.</t>
  </si>
  <si>
    <t>jue_lyu@163.com</t>
  </si>
  <si>
    <t>Department of Social Science Research of the Ministry of Education of the People's Republic of China [22JHQ085]</t>
  </si>
  <si>
    <t>Department of Social Science Research of the Ministry of Education of the People's Republic of China</t>
  </si>
  <si>
    <t>The authors disclosed receipt of the following financial support for the research, authorship, and/or publicationof this article: The Department of Social Science Research of the Ministry of Education of the People's Republic of China (Grant number 22JHQ085)</t>
  </si>
  <si>
    <t>2023 NOV 5</t>
  </si>
  <si>
    <t>10.1177/20965311231210006</t>
  </si>
  <si>
    <t>X3ZI9</t>
  </si>
  <si>
    <t>WOS:001097866600001</t>
  </si>
  <si>
    <t>Adewole, KS; Torra, V</t>
  </si>
  <si>
    <t>DiVimercati, SD; Samarati, P</t>
  </si>
  <si>
    <t>Adewole, Kayode S.; Torra, Vicenc</t>
  </si>
  <si>
    <t>Privacy Protection of Synthetic Smart Grid Data Simulated via Generative Adversarial Networks</t>
  </si>
  <si>
    <t>PROCEEDINGS OF THE 20TH INTERNATIONAL CONFERENCE ON SECURITY AND CRYPTOGRAPHY, SECRYPT 2023</t>
  </si>
  <si>
    <t>SECRYPT</t>
  </si>
  <si>
    <t>20th International Conference on Security and Cryptography (SECRYPT)</t>
  </si>
  <si>
    <t>JUL 10-12, 2023</t>
  </si>
  <si>
    <t>Rome, ITALY</t>
  </si>
  <si>
    <t>Smart Grid; Non-Intrusive Load Monitoring; Generative Adversarial Networks; Data Privacy; Microaggregation; Discrete Fourier Transform</t>
  </si>
  <si>
    <t>The development in smart meter technology has made grid operations more efficient based on fine-grained electricity usage data generated at different levels of time granularity. Consequently, machine learning algorithms have benefited from these data to produce useful models for important grid operations. Although machine learning algorithms need historical data to improve predictive performance, these data are not readily available for public utilization due to privacy issues. The existing smart grid data simulation frameworks generate grid data with implicit privacy concerns since the data are simulated from a few real energy consumptions that are publicly available. This paper addresses two issues in smart grid. First, it assesses the level of privacy violation with the individual household appliances based on synthetic household aggregate loads consumption. Second, based on the findings, it proposes two privacy-preserving mechanisms to reduce this risk. Three inference attacks are simulated and the results obtained confirm the efficacy of the proposed privacy-preserving mechanisms.</t>
  </si>
  <si>
    <t>[Adewole, Kayode S.] Malmo Univ, Dept Comp Sci &amp; Media Technol, Malmo, Sweden; [Adewole, Kayode S.; Torra, Vicenc] Umea Univ, Dept Comp Sci, Umea, Sweden; [Adewole, Kayode S.] Univ Ilorin, Dept Comp Sci, Ilorin, Nigeria</t>
  </si>
  <si>
    <t>Malmo University; Umea University; University of Ilorin</t>
  </si>
  <si>
    <t>Adewole, KS (corresponding author), Malmo Univ, Dept Comp Sci &amp; Media Technol, Malmo, Sweden.;Adewole, KS (corresponding author), Umea Univ, Dept Comp Sci, Umea, Sweden.;Adewole, KS (corresponding author), Univ Ilorin, Dept Comp Sci, Ilorin, Nigeria.</t>
  </si>
  <si>
    <t>Adewole, Kayode/0000-0002-0155-7949; Torra, Vicenc/0000-0002-0368-8037</t>
  </si>
  <si>
    <t>Wallenberg AI, Autonomous Systems and Software Program (WASP) - Knut and Alice Wallenberg Foundation; Kempe foundation</t>
  </si>
  <si>
    <t>This work was partially supported by the Wallenberg AI, Autonomous Systems and Software Program (WASP) funded by the Knut and Alice Wallenberg Foundation. The first author is supported by the Kempe foundation.</t>
  </si>
  <si>
    <t>SCITEPRESS</t>
  </si>
  <si>
    <t>SETUBAL</t>
  </si>
  <si>
    <t>AV D MANUELL, 27A 2 ESQ, SETUBAL, 2910-595, PORTUGAL</t>
  </si>
  <si>
    <t>2184-7711</t>
  </si>
  <si>
    <t>978-989-758-666-8</t>
  </si>
  <si>
    <t>10.5220/0011956800003555</t>
  </si>
  <si>
    <t>BV7WS</t>
  </si>
  <si>
    <t>WOS:001072829100023</t>
  </si>
  <si>
    <t>Wu, LR; Lin, HT; Tan, C; Gao, ZY; Li, SZ</t>
  </si>
  <si>
    <t>Wu, Lirong; Lin, Haitao; Tan, Cheng; Gao, Zhangyang; Li, Stan Z.</t>
  </si>
  <si>
    <t>Self-Supervised Learning on Graphs: Contrastive, Generative, or Predictive</t>
  </si>
  <si>
    <t>Deep learning; self-supervised learning; graph neural networks; unsupervised learning; survey</t>
  </si>
  <si>
    <t>CONVOLUTIONAL NETWORKS</t>
  </si>
  <si>
    <t>Deep learning on graphs has recently achieved remarkable success on a variety of tasks, while such success relies heavily on the massive and carefully labeled data. However, precise annotations are generally very expensive and time-consuming. To address this problem, self-supervised learning (SSL) is emerging as a new paradigm for extracting informative knowledge through well-designed pretext tasks without relying on manual labels. In this survey, we extend the concept of SSL, which first emerged in the fields of computer vision and natural language processing, to present a timely and comprehensive review of existing SSL techniques for graph data. Specifically, we divide existing graph SSL methods into three categories: contrastive, generative, and predictive. More importantly, unlike other surveys that only provide a high-level description of published research, we present an additional mathematical summary of existing works in a unified framework. Furthermore, to facilitate methodological development and empirical comparisons, we also summarize the commonly used datasets, evaluation metrics, downstream tasks, open-source implementations, and experimental study of various algorithms. Finally, we discuss the technical challenges and potential future directions for improving graph self-supervised learning. Latest advances in graph SSL are summarized in a GitHub repository https://github.com/LirongWu/awesome-graph-self-supervised-learning.</t>
  </si>
  <si>
    <t>[Wu, Lirong; Lin, Haitao; Tan, Cheng; Gao, Zhangyang; Li, Stan Z.] Westlake Univ, Sch Engn, AI Lab, Hangzhou 310000, Peoples R China</t>
  </si>
  <si>
    <t>Westlake University</t>
  </si>
  <si>
    <t>Li, SZ (corresponding author), Westlake Univ, Sch Engn, AI Lab, Hangzhou 310000, Peoples R China.</t>
  </si>
  <si>
    <t>wulirong@westlake.edu.cn; linhaitao@westlake.edu.cn; tancheng@westlake.edu.cn; gaozhangyang@westlake.edu.cn; stan.zq.li@westlake.edu.cn</t>
  </si>
  <si>
    <t>Li, SY/JPK-3839-2023; Huang, Yu/KDM-9182-2024</t>
  </si>
  <si>
    <t>Li, SY/0009-0000-9254-7115; WU, Lirong/0000-0001-5551-3194</t>
  </si>
  <si>
    <t>10.1109/TKDE.2021.3131584</t>
  </si>
  <si>
    <t>C9NV3</t>
  </si>
  <si>
    <t>WOS:000965111500001</t>
  </si>
  <si>
    <t>Zhang, WY; Zhang, KY; Huang, J</t>
  </si>
  <si>
    <t>Zhang, Wenyi; Zhang, Kaiyue; Huang, Jing</t>
  </si>
  <si>
    <t>A Simple Way to Incorporate Target Structural Information in Molecular Generative Models</t>
  </si>
  <si>
    <t>CHEMICAL SPACE; DRUG DESIGN; DOCKING; CHEMBL</t>
  </si>
  <si>
    <t>Deep learning generative models arenow being appliedin variousfields including drug discovery. In this work, we propose a novelapproach to include target 3D structural information in moleculargenerative models for structure-based drug design. The method combinesa message-passing neural network model that predicts docking scoreswith a generative neural network model as its reward function to navigatethe chemical space searching for molecules that bind favorably witha specific target. A key feature of the method is the constructionof target-specific molecular sets for training, designed to overcomepotential transferability issues of surrogate docking models througha two-round training process. Consequently, this enables accurateguided exploration of the chemical space without reliance on the collectionof prior knowledge about active and inactive compounds for the specifictarget. Tests on eight target proteins showed a 100-fold increasein hit generation compared to conventional docking calculations andthe ability to generate molecules similar to approved drugs or knownactive ligands for specific targets without prior knowledge. Thismethod provides a general and highly efficient solution for structure-basedmolecular generation.</t>
  </si>
  <si>
    <t>[Zhang, Wenyi; Zhang, Kaiyue; Huang, Jing] Westlake Lab Life Sci &amp; Biomed, Westlake AI Therapeut Lab, Hangzhou 310024, Zhejiang, Peoples R China; [Zhang, Wenyi; Zhang, Kaiyue; Huang, Jing] Westlake Univ, Sch Life Sci, Key Lab Struct Biol Zhejiang Prov, Hangzhou 310024, Zhejiang, Peoples R China; [Zhang, Wenyi; Huang, Jing] Westlake Inst Adv Study, Inst Biol, Hangzhou 310024, Zhejiang, Peoples R China</t>
  </si>
  <si>
    <t>Westlake Laboratory; Westlake University; Westlake University</t>
  </si>
  <si>
    <t>Huang, J (corresponding author), Westlake Lab Life Sci &amp; Biomed, Westlake AI Therapeut Lab, Hangzhou 310024, Zhejiang, Peoples R China.;Huang, J (corresponding author), Westlake Univ, Sch Life Sci, Key Lab Struct Biol Zhejiang Prov, Hangzhou 310024, Zhejiang, Peoples R China.;Huang, J (corresponding author), Westlake Inst Adv Study, Inst Biol, Hangzhou 310024, Zhejiang, Peoples R China.</t>
  </si>
  <si>
    <t>huangjing@westlake.edu.cn</t>
  </si>
  <si>
    <t>Zhang, Kaiyue/AAH-3665-2021; Huang, Jing/G-5320-2011</t>
  </si>
  <si>
    <t>Zhang, Kaiyue/0000-0003-3291-2015; Huang, Jing/0000-0001-9639-2907</t>
  </si>
  <si>
    <t>Pioneer and Leading Goose R&amp;D Program of Zhejiang [2023C03109]; National Natural Science Foundation of China [32171247, 21803057]; Zhejiang Provincial Natural Science Foundation of China [LQ23F020011, LR19B030001]; Central Guidance on Local Science and Technology Development Fund of Zhejiang Province [2022ZY1006]; Westlake Education Foundation</t>
  </si>
  <si>
    <t>Pioneer and Leading Goose R&amp;D Program of Zhejiang; National Natural Science Foundation of China(National Natural Science Foundation of China (NSFC)); Zhejiang Provincial Natural Science Foundation of China(Natural Science Foundation of Zhejiang Province); Central Guidance on Local Science and Technology Development Fund of Zhejiang Province; Westlake Education Foundation</t>
  </si>
  <si>
    <t>This work is supported by the Pioneer and Leading Goose R&amp;D Program of Zhejiang (2023C03109), the National Natural Science Foundation of China (32171247, 21803057), the Zhejiang Provincial Natural Science Foundation of China (LQ23F020011, LR19B030001), the Central Guidance on Local Science and Technology Development Fund of Zhejiang Province (2022ZY1006), and the Westlake Education Foundation. We thank the Westlake University Supercomputer Center for computational resources and related assistance.</t>
  </si>
  <si>
    <t>2023 JUN 15</t>
  </si>
  <si>
    <t>10.1021/acs.jcim.3c00293</t>
  </si>
  <si>
    <t>L1ND3</t>
  </si>
  <si>
    <t>WOS:001020984200001</t>
  </si>
  <si>
    <t>Asimopoulos, DC; Radoglou-Grammatikis, P; Makris, I; Mladenov, V; Psannis, KE; Goudos, S; Sarigiannidis, P</t>
  </si>
  <si>
    <t>Asimopoulos, Dimitrios Christos; Radoglou-Grammatikis, Panagiotis; Makris, Ioannis; Mladenov, Valeri; Psannis, Konstantinos E.; Goudos, Sotirios; Sarigiannidis, Panagiotis</t>
  </si>
  <si>
    <t>Breaching the Defense: Investigating FGSM and CTGAN Adversarial Attacks on IEC 60870-5-104 AI-enabled Intrusion Detection Systems</t>
  </si>
  <si>
    <t>18TH INTERNATIONAL CONFERENCE ON AVAILABILITY, RELIABILITY &amp; SECURITY, ARES 2023</t>
  </si>
  <si>
    <t>18th International Conference on Availability, Reliability and Security (ARES)</t>
  </si>
  <si>
    <t>AUG 29-SEP 01, 2023</t>
  </si>
  <si>
    <t>Benevento, ITALY</t>
  </si>
  <si>
    <t>SBA Res</t>
  </si>
  <si>
    <t>Adversarial Attacks; Artificial Intelligence; Cybersecurity; Genera-tive Adversarial Networks; Intrusion Detection</t>
  </si>
  <si>
    <t>THREATS</t>
  </si>
  <si>
    <t>In the digital age of the hyper-connected Critical Infrastructures (CIs), the role of the smart electrical grid is crucial, providing several benefits, such as improved grid resilience, effcient energy distribu-tion and smart load and response management. However, despite the several advantages, the rapid evolution of the heterogeneous technologies involved in the smart electrical grid increases the attack surface. In this paper, we focus first our attention on how Artificial Intelligence (AI) can be used to protect the smart electri-cal grid in terms of detecting effciently potential cyberattacks and anomalies. Secondly, we investigate how AI can be used to trick AI-enabled detection services, thus resulting in false alarms. In particular, we emphasise on cyberattacks against IEC 60870-5-104, an industrial communication protocol which is widely used in the energy domain. Therefore, a relevant AI-powered Intrusion Detec-tion System (IDS) is provided, utilising strong Machine Learning (ML)/Deep Learning (DL) methods, such as Decision Tree, Random Forest, XGBOOST and deep MultiLayer Perceptron (MLP). On the other hand, we investigate how adversarial attacks can affect the de-tection performance of the previous IDS. For this purpose, the Fast Gradient Signed Method (FGSM) is examined, and a Conditional Tabular Generative Adversarial Network (CTGAN) adversarial at-tack generator is implemented. The evaluation results demonstrate the effciency of the proposed IDS and the aforementioned adver-sarial attacks. (c) 2023 Copyright held by the owner/author(s).</t>
  </si>
  <si>
    <t>[Asimopoulos, Dimitrios Christos; Makris, Ioannis] MetaMind Innovat PC, Kozani, Greece; [Radoglou-Grammatikis, Panagiotis; Sarigiannidis, Panagiotis] Univ Western Macedonia, Kozani, Greece; [Mladenov, Valeri] Tech Univ Sofia, Sofia, Bulgaria; [Psannis, Konstantinos E.] Univ Macedonia, Thessaloniki, Greece; [Goudos, Sotirios] Aristotle Univ Thessaloniki, Thessaloniki, Greece</t>
  </si>
  <si>
    <t>University of Western Macedonia; Technical University Sofia; University of Macedonia; Aristotle University of Thessaloniki</t>
  </si>
  <si>
    <t>Asimopoulos, DC (corresponding author), MetaMind Innovat PC, Kozani, Greece.</t>
  </si>
  <si>
    <t>dasimopoulos@metamind.gr; pradoglou@uowm.gr; imakris@metamind.gr; valerim@tu-sofia.bg; kpsannis@uom.edu.gr; sgoudo@physics.auth.gr; psarigiannidis@uowm.gr</t>
  </si>
  <si>
    <t>Radoglou-Grammatikis, Panagiotis/AAF-4162-2021; Mladenov, Valeri/N-1589-2016; Goudos, Sotirios K./HJA-6146-2022; Sarigiannidis, Panagiotis/O-5246-2017; Psannis, Kostas/C-8760-2017</t>
  </si>
  <si>
    <t>Radoglou-Grammatikis, Panagiotis/0000-0003-1605-9413; Mladenov, Valeri/0000-0002-6372-8192; Goudos, Sotirios K./0000-0001-5981-5683; Sarigiannidis, Panagiotis/0000-0001-6042-0355; Psannis, Kostas/0000-0003-0020-6394</t>
  </si>
  <si>
    <t>European Union [101070450]</t>
  </si>
  <si>
    <t>This project has received funding from the European Union's Hori-zon Europe research and innovation programme under grant agree-ment No 101070450 (AI4CYBER). Disclaimer: Funded by the Eu-ropean Union. Views and opinions expressed are however those of the author(s) only and do not necessarily reflect those of the European Union or European Commission. Neither the European Union nor the European Commission can be held responsible for them.</t>
  </si>
  <si>
    <t>979-8-4007-0772-8</t>
  </si>
  <si>
    <t>10.1145/3600160.3605163</t>
  </si>
  <si>
    <t>BW2OC</t>
  </si>
  <si>
    <t>WOS:001122662500051</t>
  </si>
  <si>
    <t>Mooney, P; Cui, WC; Guan, BY; Juhász, L</t>
  </si>
  <si>
    <t>Newsam, S; Yang, L; Mai, G; Martins, B; Lunga, D; Gao, S</t>
  </si>
  <si>
    <t>Mooney, Peter; Cui, Wencong; Guan, Boyuan; Juhasz, Levente</t>
  </si>
  <si>
    <t>Towards Understanding the Geospatial Skills of ChatGPT Taking a Geographic Information Systems (GIS) Exam</t>
  </si>
  <si>
    <t>PROCEEDINGS OF THE 6TH ACM SIGSPATIAL INTERNATIONAL WORKSHOP ON AI FOR GEOGRAPHIC KNOWLEDGE DISCOVERY, GEOAI 2023</t>
  </si>
  <si>
    <t>6th ACM SIGSPATIAL International Workshop on AI for Geographic Knowledge Discovery (GeoAI)</t>
  </si>
  <si>
    <t>NOV 13, 2023</t>
  </si>
  <si>
    <t>ACM SIGSPATIAL,Apple,ESRI,Oracle,North Io</t>
  </si>
  <si>
    <t>GIS; education; ChatGPT; Large Language Models; Generative AI; geospatial; foundation model</t>
  </si>
  <si>
    <t>This paper examines the performance of ChatGPT, a large language model (LLM), in a geographic information systems (GIS) exam. As LLMs like ChatGPT become increasingly prevalent in various domains, including education, it is important to understand their capabilities and limitations in specialized subject areas such as GIS. Human learning of spatial concepts significantly differs from LLM training methodologies. Therefore, this study aims to assess ChatGPT's performance and ability to grasp geospatial concepts by challenging it with a real GIS exam. By analyzing ChatGPT's responses and evaluating its understanding of GIS principles, we gain insights into the potential applications and challenges of LLMs in spatially-oriented fields. We conduct our evaluation with two models, GPT-3.5 and GPT-4, to understand whether general improvements of an LLM translate to improvements in answering questions related to the spatial domain. We find that both GPT variants can pass a balanced, introductory GIS exam, scoring 63.3% (GPT-3.5) and 88.3% (GPT-4), which correspond to grades D and B+ respectively in standard US letter grading scale. In addition, we also identify specific questions and topics where the LLMs struggle to grasp spatial concepts, highlighting the challenges in teaching such topics to these models. Finally, we assess ChatGPT's performance in specific aspects of GIS, including spatial analysis, basic concepts of mapping, and data management. This granular analysis provides further insights into the strengths and weaknesses of ChatGPT's GIS literacy. This research contributes to the ongoing dialogue on the integration of AI models in education and can provide guidance for educators, researchers, and practitioners seeking to leverage LLMs in GIS. By focusing on specific questions or concepts that pose difficulties for the LLM, this study addresses the nuances of teaching spatial concepts to AI models and offers potential avenues for improvement in spatial literacy within future iterations of LLMs.</t>
  </si>
  <si>
    <t>[Mooney, Peter] Maynooth Univ, Dept Comp Sci, Maynooth, Kildare, Ireland; [Cui, Wencong; Guan, Boyuan; Juhasz, Levente] Florida Int Univ, GIS Ctr, Miami, FL 33199 USA</t>
  </si>
  <si>
    <t>Maynooth University; State University System of Florida; Florida International University</t>
  </si>
  <si>
    <t>Mooney, P (corresponding author), Maynooth Univ, Dept Comp Sci, Maynooth, Kildare, Ireland.</t>
  </si>
  <si>
    <t>peter.mooney@mu.ie; wecui@fiu.edu; bguan@fiu.edu; fiuhasz@fiu.edu</t>
  </si>
  <si>
    <t>979-8-4007-0348-5</t>
  </si>
  <si>
    <t>10.1145/3615886.3627745</t>
  </si>
  <si>
    <t>Computer Science, Artificial Intelligence; Computer Science, Interdisciplinary Applications; Remote Sensing</t>
  </si>
  <si>
    <t>BW4PF</t>
  </si>
  <si>
    <t>WOS:001152316700015</t>
  </si>
  <si>
    <t>James, JK; Norland, K; Johar, AS; Kullo, IJ</t>
  </si>
  <si>
    <t>James, Jose K.; Norland, Kristjan; Johar, Angad S.; Kullo, Iftikhar J.</t>
  </si>
  <si>
    <t>Deep generative models of LDLR protein structure to predict variant pathogenicity</t>
  </si>
  <si>
    <t>JOURNAL OF LIPID RESEARCH</t>
  </si>
  <si>
    <t>SEQUENCE; MUTATION; IMPACT; POLYMORPHISMS; RELEASE; SERVER</t>
  </si>
  <si>
    <t>The complex structure and function of low density lipoprotein receptor (LDLR) makes classification of protein-coding missense variants challenging. Deep generative models, including Evolutionary model of Variant Effect (EVE), Evolutionary Scale Modeling (ESM), and AlphaFold 2 (AF2), have enabled significant progress in the prediction of protein structure and function. ESM and EVE directly estimate the likelihood of a variant sequence but are purely data-driven and challenging to interpret. AF2 predicts LDLR structures, but variant effects are explicitly modeled by estimating changes in stability. We tested the effectiveness of these models for predicting variant pathogenicity compared to established methods. AF2 produced two distinct conformations based on a novel hinge mechanism. Within ESM's hidden space, benign and pathogenic variants had different distributions. In EVE, these distributions were similar. EVE and ESM were comparable to Polyphen-2, SIFT, REVEL, and Primate AI for predicting binary classifications in ClinVar. However, they were more strongly correlated with experimental measures of LDL uptake. AF2 poorly per-formed in these tasks. Using the UK Biobank to compare association with clinical phenotypes, ESM and EVE were more strongly associated with serum LDL-C than Polyphen-2. ESM was able to identify variants with more extreme LDL-C levels than EVE and had a significantly stronger association with atherosclerotic cardiovascular disease. In conclusion, AF2 predicted LDLR structures do not accurately model variant pathogenicity. ESM and EVE are competitive with prior scoring methods for prediction based on binary classifications in ClinVar but are superior based on correlations with experimental as-says and clinical phenotypes.</t>
  </si>
  <si>
    <t>[James, Jose K.; Norland, Kristjan; Johar, Angad S.; Kullo, Iftikhar J.] Mayo Clin, Dept Cardiovasc Med, Rochester, MN 55905 USA; [Kullo, Iftikhar J.] Mayo Clin, Gonda Vasc Ctr, Rochester, MN 55901 USA</t>
  </si>
  <si>
    <t>Mayo Clinic; Mayo Clinic</t>
  </si>
  <si>
    <t>Kullo, IJ (corresponding author), Mayo Clin, Dept Cardiovasc Med, Rochester, MN 55905 USA.;Kullo, IJ (corresponding author), Mayo Clin, Gonda Vasc Ctr, Rochester, MN 55901 USA.</t>
  </si>
  <si>
    <t>kullo.iftikhar@mayo.edu</t>
  </si>
  <si>
    <t>Johar, Angad/0000-0001-9698-3352; Kullo, Iftikhar/0000-0002-6524-3471</t>
  </si>
  <si>
    <t>National Human Genome Research Institute [HG09650]; National Heart, Lung, and Blood Institute [K24 HL137010]</t>
  </si>
  <si>
    <t>National Human Genome Research Institute(United States Department of Health &amp; Human ServicesNational Institutes of Health (NIH) - USANIH National Human Genome Research Institute (NHGRI)); National Heart, Lung, and Blood Institute(United States Department of Health &amp; Human ServicesNational Institutes of Health (NIH) - USANIH National Heart Lung &amp; Blood Institute (NHLBI))</t>
  </si>
  <si>
    <t>This work was supported by a grant from the National Human Genome Research Institute: the Clinical Genome Resource (ClinGEN) grant HG09650 and a National Heart, Lung, and Blood Institute grant K24 HL137010.</t>
  </si>
  <si>
    <t>0022-2275</t>
  </si>
  <si>
    <t>1539-7262</t>
  </si>
  <si>
    <t>J LIPID RES</t>
  </si>
  <si>
    <t>J. Lipid Res.</t>
  </si>
  <si>
    <t>10.1016/j.jlr.2023.100455</t>
  </si>
  <si>
    <t>Biochemistry &amp; Molecular Biology</t>
  </si>
  <si>
    <t>AZ6F9</t>
  </si>
  <si>
    <t>WOS:001122300300001</t>
  </si>
  <si>
    <t>Chou, CB; Lee, CH</t>
  </si>
  <si>
    <t>Chou, Chuan-Bi; Lee, Ching-Hung</t>
  </si>
  <si>
    <t>Generative Neural Network-Based Online Domain Adaptation (GNN-ODA) Approach for Incomplete Target Domain Data</t>
  </si>
  <si>
    <t>IEEE TRANSACTIONS ON INSTRUMENTATION AND MEASUREMENT</t>
  </si>
  <si>
    <t>Monitoring; Adaptation models; Training; Artificial intelligence; Vibrations; Data models; Convolutional neural networks; Bearing fault diagnosis; domain adaptation; machine health monitoring; tool wear; transfer learning</t>
  </si>
  <si>
    <t>FAULT-DIAGNOSIS</t>
  </si>
  <si>
    <t>Recently, monitoring machine health with artificial intelligence (AI) models becomes more efficient using either vibration or audio signals. However, the vibration signals of machines with different tool materials or under different operating conditions are not consistent. Hence, the transfer learning algorithm used in this study is presented for domain adaptation to improve the inference accuracy. Herein, we introduce a domain adaptation technique to solve domain shift problems during machine health monitoring. Additionally, most existing articles are assumed to have obtained complete target data. However, these data are continuously acquired; that is, the target data are incomplete during the monitoring phase. Thus, a generative neural network-based online domain adaptation model (GNN-ODA) is proposed. This will improve the test accuracy by generating complete target data and further training the classifier using the complete source data. The experiments indicate that the proposed method outperforms other domain adaptation methods wherein target data were incomplete. The average accuracy on both the tool wear and bearing datasets exceeded 90% when the source and target domains were under similar operating conditions.</t>
  </si>
  <si>
    <t>[Chou, Chuan-Bi; Lee, Ching-Hung] Natl Yang Ming Chiao Tung Univ, Inst Elect &amp; Control Engn, Hsinchu 30010, Taiwan</t>
  </si>
  <si>
    <t>National Yang Ming Chiao Tung University</t>
  </si>
  <si>
    <t>Lee, CH (corresponding author), Natl Yang Ming Chiao Tung Univ, Inst Elect &amp; Control Engn, Hsinchu 30010, Taiwan.</t>
  </si>
  <si>
    <t>chl@nycu.edu.tw</t>
  </si>
  <si>
    <t>Lee, Ching-Hung/0000-0003-3081-362X</t>
  </si>
  <si>
    <t>Ministry of Science and Technology, Taiwan [MOST-110-2634-F-009-024, 110-2221-E-A49-121-MY2, 110-2221-E-224-026, 110-2622-E-224-012, 110-2634-F-007-027]</t>
  </si>
  <si>
    <t>Ministry of Science and Technology, Taiwan(Ministry of Science and Technology, Taiwan)</t>
  </si>
  <si>
    <t>This work was supported in part by the Ministry of Science and Technology, Taiwan, under Contract MOST-110-2634-F-009-024, Contract 110-2221-E-A49-121-MY2, Contract 110-2221-E-224-026, Contract 110-2622-E-224-012, and Contract 110-2634-F-007-027.</t>
  </si>
  <si>
    <t>0018-9456</t>
  </si>
  <si>
    <t>1557-9662</t>
  </si>
  <si>
    <t>IEEE T INSTRUM MEAS</t>
  </si>
  <si>
    <t>IEEE Trans. Instrum. Meas.</t>
  </si>
  <si>
    <t>10.1109/TIM.2023.3246495</t>
  </si>
  <si>
    <t>Engineering, Electrical &amp; Electronic; Instruments &amp; Instrumentation</t>
  </si>
  <si>
    <t>Engineering; Instruments &amp; Instrumentation</t>
  </si>
  <si>
    <t>A5YF9</t>
  </si>
  <si>
    <t>WOS:000955869800011</t>
  </si>
  <si>
    <t>Sanchez, T</t>
  </si>
  <si>
    <t>Sanchez, Teo</t>
  </si>
  <si>
    <t>Examining the Text-to-Image Community of Practice: Why and How do People Prompt Generative AIs?</t>
  </si>
  <si>
    <t>text-to-image generation; community of practice</t>
  </si>
  <si>
    <t>Image generation gained popularity with machine learning (ML) models generating images from text, fuelling new online communities of practices. This work explores the sociology, motivations, and usages of AI art hobbyists. We analyzed an online questionnaire answered by 64 practitioners and a dataset of user prompts sent to the Stable Diffusion generative model. Our findings suggest that TTI generation is a recreational activity mainly conducted by narrow socio-demographic groups who use auxiliary techniques across platforms and beyond request-response interactions. Inherent model limitations and finding suitable prompt formulation are the main obstacles practitioners face. A taxonomy and a corresponding ML model capable of recognizing the semantic content of unseen prompts were created to conduct the user prompt analysis. The prompt analysis revealed that artist names are the main specifier used beside the main subject, often in sequences. We finally discuss the design and socio-technical implications of our work for creativity support.</t>
  </si>
  <si>
    <t>[Sanchez, Teo] Selas Studio, Paris, France</t>
  </si>
  <si>
    <t>Sanchez, T (corresponding author), Selas Studio, Paris, France.</t>
  </si>
  <si>
    <t>teo.eoures@gmail.com</t>
  </si>
  <si>
    <t>Banque Publique d'Investissement (BPI) France</t>
  </si>
  <si>
    <t>We would like to thank C&amp;C chairs and anonymous reviewers for their efforts in reviewing this paper and their constructive comments. We gratefully acknowledge the Banque Publique d'Investissement (BPI) France for funding this research through the deep tech development aid funding, particularly Mortimer Pignon for his support in the project. I thank the Selas Studio members for their interest and assistance through the research process: Leonard Strouk, Alexandre Lavallee, Benjamin Trom, Romeo Incardona, and Antoine Aparicio. Their collaboration was instrumental in the success of this research. Thank you to Baptiste Caramiaux for his proofreading efforts and insightful advice during the early stage of the paper.</t>
  </si>
  <si>
    <t>10.1145/3591196.3593051</t>
  </si>
  <si>
    <t>WOS:001119074200009</t>
  </si>
  <si>
    <t>Fowler, AM</t>
  </si>
  <si>
    <t>Fowler, Anne-Marie</t>
  </si>
  <si>
    <t>Dialogue Set Free? Goldschmidt's Reading of Leviticus 19:18 Encounters ChatGPT</t>
  </si>
  <si>
    <t>PHILOSOPHY TODAY</t>
  </si>
  <si>
    <t>Leviticus 19:18; love your neighbor; messianic temporality; dialogue; dialectic; particularity; algorithm; ChatGPT; generative AI; technophilosophy</t>
  </si>
  <si>
    <t>Goldschmidt's evocation of Leviticus 19:18 in Contradiction Set Free accomplishes heavy lifting within the distinction of the dialogic from the dialectic. Analogized to a necessary recognition of each particular and unique fulfillment of the immediate command to love your neighbor as yourself, dialogue is temporalized within an already near, yet not ever complete, messianic infinite. As an ongoing, active and unfinished composition of unique nows, dialogue's structure is likewise epistemically distinct from the structure of dialectical synthesis. How might this distinction's lens of Leviticus 19:18 illumine opportunities-and obstacles-for dialogue between humans and artificial systems? Does examining the specific case of OpenAI's ChatGPT under the lens of Goldschmidt's text suggest that certain questions about generative AI learning capacity might actually be questions of time?</t>
  </si>
  <si>
    <t>[Fowler, Anne-Marie] Univ Toronto, Toronto, ON, Canada</t>
  </si>
  <si>
    <t>University of Toronto</t>
  </si>
  <si>
    <t>Fowler, AM (corresponding author), Univ Toronto, Toronto, ON, Canada.</t>
  </si>
  <si>
    <t>PHILOSOPHY TODAY DEPAUL UNIV</t>
  </si>
  <si>
    <t>2352 N VLIFTON AVENUE, CHICAGO, IL 60614-3208 USA</t>
  </si>
  <si>
    <t>0031-8256</t>
  </si>
  <si>
    <t>2329-8596</t>
  </si>
  <si>
    <t>PHILOS TODAY</t>
  </si>
  <si>
    <t>Philos. Today</t>
  </si>
  <si>
    <t>SUM</t>
  </si>
  <si>
    <t>10.5840/philtoday2023629491</t>
  </si>
  <si>
    <t>GX7E8</t>
  </si>
  <si>
    <t>WOS:001156030000005</t>
  </si>
  <si>
    <t>Wang, ZR; Lim, G; Ng, WY; Tan, TE; Lim, J; Lim, SH; Foo, V; Lim, J; Sinisterra, LG; Zheng, FH; Liu, N; Tan, GSW; Cheng, CY; Cheung, GCM; Wong, TY; Ting, DSW</t>
  </si>
  <si>
    <t>Wang, Zhaoran; Lim, Gilbert; Ng, Wei Yan; Tan, Tien-En; Lim, Jane; Lim, Sing Hui; Foo, Valencia; Lim, Joshua; Sinisterra, Laura Gutierrez; Zheng, Feihui; Liu, Nan; Tan, Gavin Siew Wei; Cheng, Ching-Yu; Cheung, Gemmy Chui Ming; Wong, Tien Yin; Ting, Daniel Shu Wei</t>
  </si>
  <si>
    <t>Synthetic artificial intelligence using generative adversarial network for retinal imaging in detection of age-related macular degeneration</t>
  </si>
  <si>
    <t>synthetic artificial intelligence; generative adversarial network (GANs); age-related macular degeneration; fundus image; deep learning; human-in-the-loop (HITL); realism assessment</t>
  </si>
  <si>
    <t>DEEP LEARNING-SYSTEM; DIABETIC-RETINOPATHY; IMAGES; VALIDATION</t>
  </si>
  <si>
    <t>IntroductionAge-related macular degeneration (AMD) is one of the leading causes of vision impairment globally and early detection is crucial to prevent vision loss. However, the screening of AMD is resource dependent and demands experienced healthcare providers. Recently, deep learning (DL) systems have shown the potential for effective detection of various eye diseases from retinal fundus images, but the development of such robust systems requires a large amount of datasets, which could be limited by prevalence of the disease and privacy of patient. As in the case of AMD, the advanced phenotype is often scarce for conducting DL analysis, which may be tackled via generating synthetic images using Generative Adversarial Networks (GANs). This study aims to develop GAN-synthesized fundus photos with AMD lesions, and to assess the realness of these images with an objective scale. MethodsTo build our GAN models, a total of 125,012 fundus photos were used from a real-world non-AMD phenotypical dataset. StyleGAN2 and human-in-the-loop (HITL) method were then applied to synthesize fundus images with AMD features. To objectively assess the quality of the synthesized images, we proposed a novel realness scale based on the frequency of the broken vessels observed in the fundus photos. Four residents conducted two rounds of gradings on 300 images to distinguish real from synthetic images, based on their subjective impression and the objective scale respectively. Results and discussionThe introduction of HITL training increased the percentage of synthetic images with AMD lesions, despite the limited number of AMD images in the initial training dataset. Qualitatively, the synthesized images have been proven to be robust in that our residents had limited ability to distinguish real from synthetic ones, as evidenced by an overall accuracy of 0.66 (95% CI: 0.61-0.66) and Cohen's kappa of 0.320. For the non-referable AMD classes (no or early AMD), the accuracy was only 0.51. With the objective scale, the overall accuracy improved to 0.72. In conclusion, GAN models built with HITL training are capable of producing realistic-looking fundus images that could fool human experts, while our objective realness scale based on broken vessels can help identifying the synthetic fundus photos.</t>
  </si>
  <si>
    <t>[Wang, Zhaoran; Lim, Gilbert; Liu, Nan; Tan, Gavin Siew Wei; Cheng, Ching-Yu; Cheung, Gemmy Chui Ming; Ting, Daniel Shu Wei] Natl Univ Singapore, Duke NUS Med Sch, Singapore, Singapore; [Lim, Gilbert; Ng, Wei Yan; Tan, Tien-En; Lim, Jane; Lim, Sing Hui; Foo, Valencia; Lim, Joshua; Sinisterra, Laura Gutierrez; Zheng, Feihui; Liu, Nan; Tan, Gavin Siew Wei; Cheng, Ching-Yu; Cheung, Gemmy Chui Ming; Ting, Daniel Shu Wei] Singapore Eye Res Inst, Singapore, Singapore; [Ng, Wei Yan; Tan, Tien-En; Lim, Jane; Lim, Sing Hui; Foo, Valencia; Lim, Joshua; Tan, Gavin Siew Wei; Cheng, Ching-Yu; Cheung, Gemmy Chui Ming; Wong, Tien Yin; Ting, Daniel Shu Wei] Singapore Natl Eye Ctr, Singapore, Singapore; [Wong, Tien Yin] Tsinghua Univ, Sch Med, Beijing, Peoples R China</t>
  </si>
  <si>
    <t>National University of Singapore; Singapore National Eye Center; National University of Singapore; Singapore National Eye Center; Tsinghua University</t>
  </si>
  <si>
    <t>Ting, DSW (corresponding author), Natl Univ Singapore, Duke NUS Med Sch, Singapore, Singapore.;Ting, DSW (corresponding author), Singapore Eye Res Inst, Singapore, Singapore.;Ting, DSW (corresponding author), Singapore Natl Eye Ctr, Singapore, Singapore.</t>
  </si>
  <si>
    <t>daniel.ting.s.w@singhealth.com.sg</t>
  </si>
  <si>
    <t>Liu, Nan/HCS-2632-2022; Cheng, Chingyu/ADB-9835-2022</t>
  </si>
  <si>
    <t>Liu, Nan/0000-0003-3610-4883; Cheng, Chingyu/0000-0002-1872-0896; Gutierrez-Sinisterra, Laura/0000-0001-7416-2350</t>
  </si>
  <si>
    <t>National Medical Research Council, Singapore [NMRC/HSRG/0087/2018, MOH-000655-00, MOH-001014-00]; Duke-NUS Medical School [NUS/RSF/2021/0018, 05/FY2020/EX/15-A58]; Agency for Science, Technology and Research [A20H4g2141, H20C6a0032]</t>
  </si>
  <si>
    <t>National Medical Research Council, Singapore(National Medical Research Council, SingaporeUK Research &amp; Innovation (UKRI)Medical Research Council UK (MRC)); Duke-NUS Medical School; Agency for Science, Technology and Research(Agency for Science Technology &amp; Research (A*STAR))</t>
  </si>
  <si>
    <t>This study was funded by the National Medical Research Council, Singapore - NMRC/HSRG/0087/2018 (till 30 April 2023): AI in ophthalmology, retina, DR, AMD, Glaucoma-suspect, SiDRP, SELENA, with the use of fundus photos - MOH-000655-00: Multimodal AI in retina, fundus photo, DR prediction, triaging; Explainable AI and MOH-001014-00: AI in retina, fundus photo, CVD, stroke, cognitive impairment, Alzheimer, dementia, etc. Duke-NUS Medical School - Duke-NUS/RSF/2021/0018, 05/FY2020/EX/15-A58: Everything AI. Agency for Science, Technology and Research - A20H4g2141: AI in retina, fundus, OCT, DR, DME, AMD, glaucoma - H20C6a0032: AI in retina, fundus, OCT, chest-X ray, CT, CVD, triage disease severity.</t>
  </si>
  <si>
    <t>10.3389/fmed.2023.1184892</t>
  </si>
  <si>
    <t>L5YC7</t>
  </si>
  <si>
    <t>WOS:001024009800001</t>
  </si>
  <si>
    <t>Boelts, J; Harth, P; Gao, RC; Udvary, D; Yanez, F; Baum, D; Hege, HC; Oberlaender, M; Macke, JH</t>
  </si>
  <si>
    <t>Boelts, Jan; Harth, Philipp; Gao, Richard; Udvary, Daniel; Yanez, Felipe; Baum, Daniel; Hege, Hans-Christian; Oberlaender, Marcel; Macke, Jakob</t>
  </si>
  <si>
    <t>Simulation-based inference for efficient identification of generative models in computational connectomics</t>
  </si>
  <si>
    <t>PLOS COMPUTATIONAL BIOLOGY</t>
  </si>
  <si>
    <t>LIKELIHOOD-FREE INFERENCE; MONTE-CARLO; VOLUME; RECONSTRUCTION; PROJECTION; NEUROPIL; CORTEX</t>
  </si>
  <si>
    <t>Recent advances in connectomics research enable the acquisition of increasing amounts of data about the connectivity patterns of neurons. How can we use this wealth of data to efficiently derive and test hypotheses about the principles underlying these patterns? A common approach is to simulate neuronal networks using a hypothesized wiring rule in a generative model and to compare the resulting synthetic data with empirical data. However, most wiring rules have at least some free parameters, and identifying parameters that reproduce empirical data can be challenging as it often requires manual parameter tuning. Here, we propose to use simulation-based Bayesian inference (SBI) to address this challenge. Rather than optimizing a fixed wiring rule to fit the empirical data, SBI considers many parametrizations of a rule and performs Bayesian inference to identify the parameters that are compatible with the data. It uses simulated data from multiple candidate wiring rule parameters and relies on machine learning methods to estimate a probability distribution (the 'posterior distribution over parameters conditioned on the data') that characterizes all data-compatible parameters. We demonstrate how to apply SBI in computational connectomics by inferring the parameters of wiring rules in an in silico model of the rat barrel cortex, given in vivo connectivity measurements. SBI identifies a wide range of wiring rule parameters that reproduce the measurements. We show how access to the posterior distribution over all data-compatible parameters allows us to analyze their relationship, revealing biologically plausible parameter interactions and enabling experimentally testable predictions. We further show how SBI can be applied to wiring rules at different spatial scales to quantitatively rule out invalid wiring hypotheses. Our approach is applicable to a wide range of generative models used in connectomics, providing a quantitative and efficient way to constrain model parameters with empirical connectivity data. The brain is composed of an intricately connected network of cells-what are the principles that contribute to constructing these patterns of connectivity, and how? To answer these questions, amassing connectivity data alone is not enough. We must also be able to efficiently develop and test our ideas about the underlying connectivity principles. For example, we could simulate a hypothetical wiring rule like neurons near each other are more likely to form connections in a computational model and generate corresponding synthetic data. If the synthetic, simulated data resembles the real, measured data, then we have some confidence that our hypotheses might be correct. However, the proposed wiring rules usually have unknown parameters that we need to tune such that simulated data matches the measurements. The central challenge thus lies in finding all the potential parametrizations of a wiring rule that can reproduce the measured data, as this process is often idiosyncratic and labor-intensive. To tackle this challenge, we introduce an approach combining computational modeling in connectomics, deep learning, and Bayesian statistical inference to automatically infer a probability distribution over the model parameters likely to explain the data. We demonstrate our approach by inferring the parameters of a wiring rule in a detailed model of the rat barrel cortex and find that the inferred distribution identifies multiple data-compatible model parameters, reveals biologically plausible parameter interactions, and allows us to make experimentally testable predictions.</t>
  </si>
  <si>
    <t>[Boelts, Jan; Gao, Richard; Macke, Jakob] Univ Tubingen, Machine Learning Sci, Tubingen, Germany; [Boelts, Jan; Gao, Richard; Macke, Jakob] Univ Tubingen, Tubingen AI Ctr, Tubingen, Germany; [Harth, Philipp; Baum, Daniel; Hege, Hans-Christian] Zuse Inst Berlin, Dept Visual &amp; Data Centr Comp, Berlin, Germany; [Udvary, Daniel; Yanez, Felipe; Oberlaender, Marcel] Max Planck Inst Neurobiol Behav Caesar, Max Planck Inst Neurobiol Behav Caesar, D-53175 Bonn, Germany; [Oberlaender, Marcel] Free Univ Amsterdam, Ctr Neurogenom &amp; Cognit Res, Dept Integrat Neurophysiol, Amsterdam, Netherlands; [Macke, Jakob] Max Planck Inst Intelligent Syst, Dept Empir Inference, Tubingen, Germany</t>
  </si>
  <si>
    <t>Eberhard Karls University of Tubingen; Eberhard Karls University of Tubingen; Zuse Institute Berlin; Vrije Universiteit Amsterdam; Max Planck Society</t>
  </si>
  <si>
    <t>Boelts, J (corresponding author), Univ Tubingen, Machine Learning Sci, Tubingen, Germany.;Boelts, J (corresponding author), Univ Tubingen, Tubingen AI Ctr, Tubingen, Germany.</t>
  </si>
  <si>
    <t>jan.boelts@mainbox.org</t>
  </si>
  <si>
    <t>Baum, Daniel/0000-0003-1550-7245; Harth, Philipp/0000-0001-8831-3893; Udvary, Daniel/0000-0002-8697-3975; Boelts, Jan/0000-0003-4979-7092</t>
  </si>
  <si>
    <t>Deutsche Forschungsgemeinschaft; German Research Foundation (DFG) [34721065]; Germany's Excellence Strategy [390727645]; German Federal Ministry of Education and Research (BMBF) [FKZ 01IS21055A]; Tubingen AI Center [FKZ 01IS18039A]; BMBF [01GQ1002, 01IS18052]; European Union [633428]; Marie Sklodowska-Curie grant [101030918]</t>
  </si>
  <si>
    <t>Deutsche Forschungsgemeinschaft(German Research Foundation (DFG)); German Research Foundation (DFG)(German Research Foundation (DFG)); Germany's Excellence Strategy; German Federal Ministry of Education and Research (BMBF)(Federal Ministry of Education &amp; Research (BMBF)); Tubingen AI Center; BMBF(Federal Ministry of Education &amp; Research (BMBF)); European Union(European Union (EU)); Marie Sklodowska-Curie grant</t>
  </si>
  <si>
    <t>This work was supported by the German Research Foundation (DFG; SPP 2041 PN 34721065; Germany's Excellence Strategy MLCoE-EXC number 2064/1 PN 390727645 to J.H.M.; SFB 1089 to M.O.), the German Federal Ministry of Education and Research (BMBF; project SiMaLeSAM, FKZ 01IS21055A and Tubingen AI Center, FKZ 01IS18039A to J.H.M.; grants BMBF/FKZ 01GQ1002 and 01IS18052 to M.O.), and the European Union's Horizon 2020 research and innovation program (grant agreement 633428 to M.O.; Marie Sklodowska-Curie grant agreement No. 101030918 to R.G.). The funders had no role in study design, data collection and analysis, decision to publish, or preparation of the manuscript.</t>
  </si>
  <si>
    <t>1553-734X</t>
  </si>
  <si>
    <t>1553-7358</t>
  </si>
  <si>
    <t>PLOS COMPUT BIOL</t>
  </si>
  <si>
    <t>PLoS Comput. Biol.</t>
  </si>
  <si>
    <t>e1011406</t>
  </si>
  <si>
    <t>10.1371/journal.pcbi.1011406</t>
  </si>
  <si>
    <t>Biochemical Research Methods; Mathematical &amp; Computational Biology</t>
  </si>
  <si>
    <t>Biochemistry &amp; Molecular Biology; Mathematical &amp; Computational Biology</t>
  </si>
  <si>
    <t>AO0V2</t>
  </si>
  <si>
    <t>gold, Green Published, Green Submitted</t>
  </si>
  <si>
    <t>WOS:001119298000002</t>
  </si>
  <si>
    <t>Zhang, CM; Yang, YW; Tang, SJ; Aihara, K; Zhang, CC; Chen, LA</t>
  </si>
  <si>
    <t>Zhang, Chengming; Yang, Yiwen; Tang, Shijie; Aihara, Kazuyuki; Zhang, Chuanchao; Chen, Luonan</t>
  </si>
  <si>
    <t>Contrastively generative self-expression model for single-cell and spatial multimodal data</t>
  </si>
  <si>
    <t>BRIEFINGS IN BIOINFORMATICS</t>
  </si>
  <si>
    <t>single cell; self-expressive network; multimodal data; integrative analysis; contrast learning</t>
  </si>
  <si>
    <t>INTEGRATION</t>
  </si>
  <si>
    <t>Advances in single-cell multi-omics technology provide an unprecedented opportunity to fully understand cellular heterogeneity. However, integrating omics data from multiple modalities is challenging due to the individual characteristics of each measurement. Here, to solve such a problem, we propose a contrastive and generative deep self-expression model, called single-cell multimodal self-expressive integration (scMSI), which integrates the heterogeneous multimodal data into a unified manifold space. Specifically, scMSI first learns each omics-specific latent representation and self-expression relationship to consider the characteristics of different omics data by deep self-expressive generative model. Then, scMSI combines these omics-specific self-expression relations through contrastive learning. In such a way, scMSI provides a paradigm to integrate multiple omics data even with weak relation, which effectively achieves the representation learning and data integration into a unified framework. We demonstrate that scMSI provides a cohesive solution for a variety of analysis tasks, such as integration analysis, data denoising, batch correction and spatial domain detection. We have applied scMSI on various single-cell and spatial multimodal datasets to validate its high effectiveness and robustness in diverse data types and application scenarios.</t>
  </si>
  <si>
    <t>[Chen, Luonan] Chinese Acad Sci, Shanghai Inst Biochem &amp; Cell Biol, Ctr Excellencein Mol Cell Sci, Key Lab Syst Biol, Shanghai 200031, Peoples R China; [Zhang, Chengming; Aihara, Kazuyuki] Univ Tokyo, Inst Adv Study, Int Res Ctr Neurointelligence, Tokyo 1130033, Japan; [Zhang, Chuanchao] Chinese Acad Sci, Univ Chinese Acad Sci, Key Lab Syst Hlth Sci Zhejiang Prov, Sch Life Sci,Hangzhou Inst Adv Study, Hangzhou 310024, Peoples R China; [Yang, Yiwen] ShanghaiTech Univ, Sch Life Sci &amp; Technol, Shanghai, Peoples R China; [Tang, Shijie] Chinese Acad Sci, CAS Ctr Excellence Mol Cell Sci, Shanghai, Peoples R China; [Aihara, Kazuyuki] UTokyo, Tokyo, Japan; [Aihara, Kazuyuki] UTokyo, Int Res Ctr Neurointelligence IRCN, Tokyo, Japan; [Zhang, Chuanchao] Chinese Acad Sci, Univ Chinese Acad Sci, Hangzhou Inst Adv Study, Key Lab Syst Hlth Sci Zhejiang Prov, Hangzhou, Peoples R China; [Chen, Luonan] Osaka Sangyo Univ, Osaka, Japan</t>
  </si>
  <si>
    <t>Chinese Academy of Sciences; Center for Excellence in Molecular Cell Science, CAS; University of Tokyo; Chinese Academy of Sciences; University of Chinese Academy of Sciences, CAS; ShanghaiTech University; Chinese Academy of Sciences; Center for Excellence in Molecular Cell Science, CAS; Chinese Academy of Sciences; University of Chinese Academy of Sciences, CAS</t>
  </si>
  <si>
    <t>Chen, LA (corresponding author), Chinese Acad Sci, Shanghai Inst Biochem &amp; Cell Biol, Ctr Excellencein Mol Cell Sci, Key Lab Syst Biol, Shanghai 200031, Peoples R China.;Aihara, K (corresponding author), Univ Tokyo, Inst Adv Study, Int Res Ctr Neurointelligence, Tokyo 1130033, Japan.;Zhang, CC (corresponding author), Chinese Acad Sci, Univ Chinese Acad Sci, Key Lab Syst Hlth Sci Zhejiang Prov, Sch Life Sci,Hangzhou Inst Adv Study, Hangzhou 310024, Peoples R China.</t>
  </si>
  <si>
    <t>zhangchengming@g.ecc.u-tokyo.ac.jp; yangyw1@shanghaitech.edu.cn; tangshijie6@sibcb.ac.cn; kaihara@g.ecc.u-tokyo.ac.jp; chuanchaozhang@ucas.ac.cn; lnchen@sibs.ac.cn</t>
  </si>
  <si>
    <t>Zhang, Chuanchao/0000-0003-0690-613X; Chen, Luonan/0000-0002-3960-0068; Zhang, Chengming/0000-0001-8764-2521</t>
  </si>
  <si>
    <t>National Basic Research Program of China [2022YFA1004800]; Strategic Priority Research Program of the Chinese Academy~of Sciences [XDB38040400]; National Natural Science Foundation of China [T2341007, T2350003, 31930022, 12131020]; Special Fund for Science and Technology Innovation Strategy of Guangdong Province [2021B0909050004, 2021B0909060002]; JST (Japan Science and Technology Agency) Moonshot Ramp;D [JPMJMS2021]; AMED [JP23dm0307009]; Institute of AI and Beyond of the University of Tokyo; International Research Center for Neurointelligence (WPI-IRCN) at the University of Tokyo Institutes for Advanced Study (UTIAS); JSPS KAKENHI [JP20H05921]</t>
  </si>
  <si>
    <t>National Basic Research Program of China(National Basic Research Program of China); Strategic Priority Research Program of the Chinese Academy~of Sciences(Chinese Academy of Sciences); National Natural Science Foundation of China(National Natural Science Foundation of China (NSFC)); Special Fund for Science and Technology Innovation Strategy of Guangdong Province; JST (Japan Science and Technology Agency) Moonshot Ramp;D; AMED; Institute of AI and Beyond of the University of Tokyo; International Research Center for Neurointelligence (WPI-IRCN) at the University of Tokyo Institutes for Advanced Study (UTIAS); JSPS KAKENHI(Ministry of Education, Culture, Sports, Science and Technology, Japan (MEXT)Japan Society for the Promotion of ScienceGrants-in-Aid for Scientific Research (KAKENHI))</t>
  </si>
  <si>
    <t>National Basic Research Program of China (No. 2022YFA1004800); Strategic Priority Research Program of the Chinese Academy &amp; nbsp;of Sciences 418 (No. XDB38040400); National Natural Science Foundation of China (Nos. T2341007, T2350003, 31930022 and 12131020); Special Fund for Science and Technology Innovation Strategy of Guangdong Province (Nos. 2021B0909050004 and 2021B0909060002); JST (Japan Science and Technology Agency) Moonshot R &amp; D (No. JPMJMS2021); AMED under Grant Number JP23dm0307009; Institute of AI and Beyond of the University of Tokyo; International Research Center for Neurointelligence (WPI-IRCN) at the University of Tokyo Institutes for Advanced Study (UTIAS); JSPS KAKENHI Grant Number JP20H05921.</t>
  </si>
  <si>
    <t>1467-5463</t>
  </si>
  <si>
    <t>1477-4054</t>
  </si>
  <si>
    <t>BRIEF BIOINFORM</t>
  </si>
  <si>
    <t>Brief. Bioinform.</t>
  </si>
  <si>
    <t>10.1093/bib/bbad265</t>
  </si>
  <si>
    <t>T6RS6</t>
  </si>
  <si>
    <t>WOS:001038722300001</t>
  </si>
  <si>
    <t>Iwata, H; Nakai, T; Koyama, T; Matsumoto, S; Kojima, R; Okuno, Y</t>
  </si>
  <si>
    <t>Iwata, Hiroaki; Nakai, Taichi; Koyama, Takuto; Matsumoto, Shigeyuki; Kojima, Ryosuke; Okuno, Yasushi</t>
  </si>
  <si>
    <t>VGAE-MCTS: A New Molecular Generative Model Combining the Variational Graph Auto-Encoder and Monte Carlo Tree Search</t>
  </si>
  <si>
    <t>ANTIBACTERIAL ACTIVITY; DRUG DISCOVERY; DESIGN; POTENT</t>
  </si>
  <si>
    <t>Molecular generation is crucial for advancing drug discovery, materials science, and chemical exploration. It expedites the search for new drug candidates, facilitates tailored material creation, and enhances our understanding of molecular diversity. By employing artificial intelligence techniques such as molecular generative models based on molecular graphs, researchers have tackled the challenge of identifying efficient molecules with desired properties. Here, we propose a new molecular generative model combining a graph-based deep neural network and a reinforcement learning technique. We evaluated the validity, novelty, and optimized physicochemical properties of the generated molecules. Importantly, the model explored uncharted regions of chemical space, allowing for the efficient discovery and design of new molecules. This innovative approach has considerable potential to revolutionize drug discovery, materials science, and chemical research for accelerating scientific innovation. By leveraging advanced techniques and exploring previously unexplored chemical spaces, this study offers promising prospects for the efficient discovery and design of new molecules in the field of drug development.</t>
  </si>
  <si>
    <t>[Iwata, Hiroaki; Nakai, Taichi; Koyama, Takuto; Matsumoto, Shigeyuki; Kojima, Ryosuke; Okuno, Yasushi] Kyoto Univ, Grad Sch Med, Kyoto, Kyoto 6068507, Japan; [Okuno, Yasushi] RIKEN Ctr Computat Sci, HPC and AI driven Drug Dev Platform Div, Kobe, Hyogo 6500047, Japan</t>
  </si>
  <si>
    <t>Kyoto University; RIKEN</t>
  </si>
  <si>
    <t>Kojima, R; Okuno, Y (corresponding author), Kyoto Univ, Grad Sch Med, Kyoto, Kyoto 6068507, Japan.;Okuno, Y (corresponding author), RIKEN Ctr Computat Sci, HPC and AI driven Drug Dev Platform Div, Kobe, Hyogo 6500047, Japan.</t>
  </si>
  <si>
    <t>kojima.ryosuke.8e@kyoto-u.ac.jp; okuno.yasushi.4c@kyoto-u.ac.jp</t>
  </si>
  <si>
    <t>Kojima, Ryosuke/JDW-1244-2023</t>
  </si>
  <si>
    <t>Kojima, Ryosuke/0000-0003-1095-8864; Iwata, Hiroaki/0000-0001-9791-0008; Koyama, Takuto/0000-0002-9569-8370</t>
  </si>
  <si>
    <t>Japan Agency for Medical Research and Development (AMED) [JP22nk0101111]; JSPS KAKENHI [JP20K12063, JP21H05207, JP21H05221]; JST Moonshot RD [JPMJMS2021]</t>
  </si>
  <si>
    <t>Japan Agency for Medical Research and Development (AMED)(Japan Agency for Medical Research and Development (AMED)); JSPS KAKENHI(Ministry of Education, Culture, Sports, Science and Technology, Japan (MEXT)Japan Society for the Promotion of ScienceGrants-in-Aid for Scientific Research (KAKENHI)); JST Moonshot RD</t>
  </si>
  <si>
    <t>This research was conducted in Development of a Next-generation Drug Discovery AI through Industry-academia Collaboration (DAIIA) supported by the Japan Agency for Medical Research and Development (AMED; Grant Number JP22nk0101111), JSPS KAKENHI (Grant Numbers JP20K12063, JP21H05207, and JP21H05221), and JST Moonshot R &amp; D (Grant Number JPMJMS2021).</t>
  </si>
  <si>
    <t>10.1021/acs.jcim.3c01220</t>
  </si>
  <si>
    <t>CF3Z4</t>
  </si>
  <si>
    <t>WOS:001123809900001</t>
  </si>
  <si>
    <t>Zhao, JN; Wang, XR</t>
  </si>
  <si>
    <t>Zhao, Joanna (Jingwen); Wang, Xinruo</t>
  </si>
  <si>
    <t>Unleashing efficiency and insights: Exploring the potential applications and challenges of ChatGPT in accounting</t>
  </si>
  <si>
    <t>JOURNAL OF CORPORATE ACCOUNTING AND FINANCE</t>
  </si>
  <si>
    <t>AI in accounting; artificial intelligence; ChatGPT; generative AI; NLP; NLP in accounting</t>
  </si>
  <si>
    <t>ARTIFICIAL-INTELLIGENCE; AUTOMATION</t>
  </si>
  <si>
    <t>ChatGPT, an advanced natural language processing (NLP) model based on GPT-4 architecture, demonstrates exceptional ability in comprehending, interpreting, and generating human-like writings. Our study explores ChatGPT's potential applications and challenges in the accounting field. With cutting-edge NLP capabilities, ChatGPT has the prospect of reshaping various accounting processes by automating repetitive tasks, enhancing financial and managerial reporting and analysis, improving auditing and tax practices, and simplifying client interactions. Meanwhile, recognizing and mitigating possible limitations are vital to ensure the ethical and reliable utilization of AI and NLP techniques in the accounting and business sectors. Our study provides practical insights for accounting professionals, policymakers, investors, and other stakeholders to leverage this cutting-edge technology to revolutionize the accounting profession, echoing society's ideal blueprint for a promising AI-empowered economy.</t>
  </si>
  <si>
    <t>[Zhao, Joanna (Jingwen)] Calif State Univ Los Angeles, Coll Business &amp; Econ, Dept Accounting, Los Angeles, CA 90032 USA; [Wang, Xinruo] Univ Wisconsin Eau Claire, Coll Business, Dept Accounting &amp; Finance, Eau Claire, WI USA</t>
  </si>
  <si>
    <t>California State University System; California State University Los Angeles; University of Wisconsin System; University of Wisconsin Eau Claire</t>
  </si>
  <si>
    <t>Zhao, JN (corresponding author), Calif State Univ Los Angeles, Coll Business &amp; Econ, Dept Accounting, Los Angeles, CA 90032 USA.</t>
  </si>
  <si>
    <t>jzhao@calstatela.edu</t>
  </si>
  <si>
    <t>WILEY PERIODICALS, INC</t>
  </si>
  <si>
    <t>ONE MONTGOMERY ST, SUITE 1200, SAN FRANCISCO, CA 94104 USA</t>
  </si>
  <si>
    <t>1044-8136</t>
  </si>
  <si>
    <t>1097-0053</t>
  </si>
  <si>
    <t>J CORP ACCOUNT FINAN</t>
  </si>
  <si>
    <t>J. Corp. Account. Financ.</t>
  </si>
  <si>
    <t>10.1002/jcaf.22663</t>
  </si>
  <si>
    <t>Business, Finance</t>
  </si>
  <si>
    <t>EJ4E3</t>
  </si>
  <si>
    <t>WOS:001075288200001</t>
  </si>
  <si>
    <t>Xu, MR; Niyato, D; Zhang, HL; Kang, JW; Xiong, ZH; Mao, SW; Han, Z</t>
  </si>
  <si>
    <t>Xu, Minrui; Niyato, Dusit; Zhang, Hongliang; Kang, Jiawen; Xiong, Zehui; Mao, Shiwen; Han, Zhu</t>
  </si>
  <si>
    <t>Sparks of Generative Pretrained Transformers in Edge Intelligence for the Metaverse: Caching and Inference for Mobile Artificial Intelligence-Generated Content Services</t>
  </si>
  <si>
    <t>Task analysis; Servers; Metaverse; Artificial neural networks; Artificial intelligence; Adaptation models; Biological system modeling</t>
  </si>
  <si>
    <t>Aiming at achieving artificial general intelligence (AGI) for the metaverse, pretrained foundation models (PFMs), e.g., generative pretrained transformers (GPTs), can effectively provide various artificial intelligence (AI) services, such as autonomous driving, digital twins (DTs), and AI-generated content (AIGC) for extended reality (XR). With the advantages of low latency and privacy-preserving, serving PFMs of mobile AI services in edge intelligence is a viable solution for caching and executing PFMs on edge servers with limited computing resources and GPU memory. However, PFMs typically consist of billions of parameters that are computation- and memory-intensive for edge servers during loading and execution. In this article, we investigate edge PFM serving problems for mobile AIGC services of the metaverse. First, we introduce the fundamentals of PFMs and discuss their characteristic fine-tuning and inference methods in edge intelligence. Then, we propose a novel framework of joint model caching and inference for managing models and allocating resources to satisfy users' requests efficiently. Furthermore, considering the in-context learning ability of PFMs, we propose a new metric to evaluate the freshness and relevance between examples in demonstrations and executing tasks, namely the Age of Context (AoC). Finally, we propose a least-context (LC) algorithm for managing cached models at edge servers by balancing the tradeoff among latency, energy consumption, and accuracy.</t>
  </si>
  <si>
    <t>[Xu, Minrui; Niyato, Dusit] Nanyang Technol Univ, Sch Comp Sci &amp; Engn, Singapore 639798, Singapore; [Zhang, Hongliang] Peking Univ, Sch Elect, Beijing 100084, Peoples R China; [Kang, Jiawen] Guangdong Univ Technol, Guangzhou 510006, Guangdong, Peoples R China; [Xiong, Zehui] Singapore Univ Technol &amp; Design, Singapore 487372, Singapore; [Mao, Shiwen] Auburn Univ, Wireless Engn Res &amp; Educ Ctr, Auburn, AL 36849 USA; [Han, Zhu] Univ Houston, Elect &amp; Comp Engn Dept, Houston, TX 77204 USA</t>
  </si>
  <si>
    <t>Nanyang Technological University; Peking University; Guangdong University of Technology; Singapore University of Technology &amp; Design; Auburn University System; Auburn University; University of Houston System; University of Houston</t>
  </si>
  <si>
    <t>Xu, MR (corresponding author), Nanyang Technol Univ, Sch Comp Sci &amp; Engn, Singapore 639798, Singapore.</t>
  </si>
  <si>
    <t>minrui001@e.ntu.edu.sg; dniyato@ntu.edu.sg; hongliang.zhang92@gmail.com; kjwx886@163.com; zehui_xiong@sutd.edu.sg; smao@ieee.org; zhuhan22@gmail.com</t>
  </si>
  <si>
    <t>Xu, Minrui/AAB-4314-2019; Zhang, Hongliang/GYJ-3991-2022; Kang, Jiawen/I-9044-2019; Xiong, Zehui/B-9792-2019; XU, MINRUI/AFH-5904-2022; Mao, Shiwen/AAY-4471-2020; zhang, hongliang/AAC-6827-2021</t>
  </si>
  <si>
    <t>Xu, Minrui/0000-0002-9775-0312; Zhang, Hongliang/0000-0001-7973-7141; Kang, Jiawen/0000-0002-8218-3490; Xiong, Zehui/0000-0002-4440-941X; Xu, Minrui/0000-0002-8203-8146; Mao, Shiwen/0000-0002-7052-0007</t>
  </si>
  <si>
    <t>National Science Foundation of China [62102099, U22A2054, 62101594]; Pearl River Talent Recruitment Program [2021QN02S643]; Guangzhou Basic Research Program [2023A04J1699]; National Research Foundation, Singapore; Infocomm Media Development Authority under its Future Communications Research &amp; Development Programme; DSO National Laboratories under the Artificial Intelligence Singapore Programme (AISG) [AISG2-RP-2020-019]; Energy Research Test-Bed and Industry Partnership Funding Initiative; Energy Grid 2.0 Programme; DesCartes; Campus for Research Excellence and Technological Enterprise (CREATE) Programme; Ministry of Education Tier 1 [RG87/22]; National Science Foundation [CNS-2107216, CNS-2128368, CMMI-2222810, ECCS-2302469, CNS-2148382]; U.S. Department of Transportation; Toyota</t>
  </si>
  <si>
    <t>National Science Foundation of China(National Natural Science Foundation of China (NSFC)); Pearl River Talent Recruitment Program; Guangzhou Basic Research Program; National Research Foundation, Singapore(National Research Foundation, Singapore); Infocomm Media Development Authority under its Future Communications Research &amp; Development Programme; DSO National Laboratories under the Artificial Intelligence Singapore Programme (AISG); Energy Research Test-Bed and Industry Partnership Funding Initiative; Energy Grid 2.0 Programme; DesCartes; Campus for Research Excellence and Technological Enterprise (CREATE) Programme; Ministry of Education Tier 1; National Science Foundation(National Science Foundation (NSF)); U.S. Department of Transportation; Toyota</t>
  </si>
  <si>
    <t>This work is supported by the National Science Foundation of China under Grants 62102099, U22A2054, and 62101594; the Pearl River Talent Recruitment Program under Grant 2021QN02S643; the Guangzhou Basic Research Program under Grant 2023A04J1699; the National Research Foundation, Singapore; Infocomm Media Development Authority under its Future Communications Research &amp; Development Programme; DSO National Laboratories under the Artificial Intelligence Singapore Programme (AISG Award AISG2-RP-2020-019); the Energy Research Test-Bed and Industry Partnership Funding Initiative; Energy Grid 2.0 Programme; DesCartes and the Campus for Research Excellence and Technological Enterprise (CREATE) Programme; and Ministry of Education Tier 1 (RG87/22). This work is partially supported by National Science Foundation CNS-2107216, CNS-2128368, CMMI-2222810, ECCS-2302469; the U.S. Department of Transportation; Toyota; and Amazon. S. Mao's work is supported in part by National Science Foundation Grant CNS-2148382. Jiawen Kang is the corresponding author of this article</t>
  </si>
  <si>
    <t>10.1109/MVT.2023.3323757</t>
  </si>
  <si>
    <t>HY2W1</t>
  </si>
  <si>
    <t>WOS:001107528200001</t>
  </si>
  <si>
    <t>Dai, Y; Lai, SC; Lim, CP; Liu, A</t>
  </si>
  <si>
    <t>Dai, Yun; Lai, Sichen; Lim, Cher Ping; Liu, Ang</t>
  </si>
  <si>
    <t>ChatGPT and its impact on research supervision: Insights from Australian postgraduate research students</t>
  </si>
  <si>
    <t>ChatGPT; generative artificial intelligence; research supervision; postgraduate students; qualitative</t>
  </si>
  <si>
    <t>DOCTORAL SUPERVISION; CHALLENGES</t>
  </si>
  <si>
    <t>As artificial intelligence (AI) continues to evolve, its impact on academic environments, especially in postgraduate research supervision, becomes increasingly significant. This study explored the impact of ChatGPT, an advanced AI conversational model, on five dimensions of research supervision: functional, enculturation, critical thinking, emancipation and relationship development. Using a qualitative approach, we examined the practices and perspectives of 20 postgraduate research students with at least 4 months' experience of using ChatGPT in research activities in Australia. The study revealed several areas of impact, including accelerated research progress, enhanced research quality, improved scholarly development and professional skills, enhanced critical thinking, increased student confidence and autonomy, and a deeper supervisory relationship. The findings suggest a shift in the roles and responsibilities of supervisors and students: the former provides strategic direction and high-level guidance, while the latter transits from apprentices to autonomous researchers due to the independence fostered by ChatGPT. This shift suggests an evolving model of postgraduate research supervision, with educational technology acting as epistemic tools to enhance the supervisory process. The study also considers the ethical implications of AI-enabled support.Implications for practice or policy: center dot Postgraduate students can be facilitated by ChatGPT in self-directed research for enhanced independence and autonomy. center dot Supervisors can deploy supervisory meetings for high-level guidance and personalized feedback in an AI-enhanced supervision model. center dot Postgraduate programmes can leverage generative AI tools for an AI-enhanced research supervision model. center dot Universities need to develop AI literacy curricula and protocols to guide students towards responsible use of generative AI tools while addressing potential challenges.</t>
  </si>
  <si>
    <t>[Dai, Yun; Lai, Sichen] Chinese Univ Hong Kong, Dept Curriculum &amp; Instruct, Hong Kong, Peoples R China; [Lim, Cher Ping] Educ Univ Hong Kong, Fac Educ &amp; Human Dev, Hong Kong, Peoples R China; [Liu, Ang] Univ New South Wales, Sch Mech &amp; Mfg Engn, Sydney, Australia</t>
  </si>
  <si>
    <t>Chinese University of Hong Kong; Education University of Hong Kong (EdUHK); University of New South Wales Sydney</t>
  </si>
  <si>
    <t>Dai, Y (corresponding author), Chinese Univ Hong Kong, Dept Curriculum &amp; Instruct, Hong Kong, Peoples R China.</t>
  </si>
  <si>
    <t>yundai@cuhk.edu.hk</t>
  </si>
  <si>
    <t>; Lim, Cher Ping/O-6068-2016</t>
  </si>
  <si>
    <t>Dai, Yun/0000-0002-1199-9855; Lim, Cher Ping/0000-0002-4797-1870</t>
  </si>
  <si>
    <t>10.14742/ajet.8843</t>
  </si>
  <si>
    <t>Z9TI2</t>
  </si>
  <si>
    <t>WOS:001115427000008</t>
  </si>
  <si>
    <t>Ray, AT; Bhat, AP; White, RT; Nguyen, VM; Fischer, OJP; Mavris, DN</t>
  </si>
  <si>
    <t>Tikayat Ray, Archana; Bhat, Anirudh Prabhakara; White, Ryan T.; Nguyen, Van Minh; Pinon Fischer, Olivia J.; Mavris, Dimitri N.</t>
  </si>
  <si>
    <t>Examining the Potential of Generative Language Models for Aviation Safety Analysis: Case Study and Insights Using the Aviation Safety Reporting System (ASRS)</t>
  </si>
  <si>
    <t>AEROSPACE</t>
  </si>
  <si>
    <t>Aviation Safety Reporting System; ASRS; aviation safety; human factors; large language models; LLM; ChatGPT; generative language models; GPT-3.5; aeroBERT; BERT; InstructGPT; prompt engineering; NLP</t>
  </si>
  <si>
    <t>This research investigates the potential application of generative language models, especially ChatGPT, in aviation safety analysis as a means to enhance the efficiency of safety analyses and accelerate the time it takes to process incident reports. In particular, ChatGPT was leveraged to generate incident synopses from narratives, which were subsequently compared with ground-truth synopses from the Aviation Safety Reporting System (ASRS) dataset. The comparison was facilitated by using embeddings from Large Language Models (LLMs), with aeroBERT demonstrating the highest similarity due to its aerospace-specific fine-tuning. A positive correlation was observed between the synopsis length and its cosine similarity. In a subsequent phase, human factors issues involved in incidents, as identified by ChatGPT, were compared to human factors issues identified by safety analysts. The precision was found to be 0.61, with ChatGPT demonstrating a cautious approach toward attributing human factors issues. Finally, the model was utilized to execute an evaluation of accountability. As no dedicated ground-truth column existed for this task, a manual evaluation was conducted to compare the quality of outputs provided by ChatGPT to the ground truths provided by safety analysts. This study discusses the advantages and pitfalls of generative language models in the context of aviation safety analysis and proposes a human-in-the-loop system to ensure responsible and effective utilization of such models, leading to continuous improvement and fostering a collaborative approach in the aviation safety domain.</t>
  </si>
  <si>
    <t>[Tikayat Ray, Archana; Pinon Fischer, Olivia J.; Mavris, Dimitri N.] Georgia Inst Technol, Sch Aerosp Engn, Aerosp Syst Design Lab, Atlanta, GA 30332 USA; [Bhat, Anirudh Prabhakara] AI Fus Technol, Toronto, ON M5V 3Z5, Canada; [White, Ryan T.; Nguyen, Van Minh] Florida Inst Technol, Dept Math &amp; Syst Engn, NEural TransmissionS Lab, Melbourne, FL 32901 USA</t>
  </si>
  <si>
    <t>University System of Georgia; Georgia Institute of Technology; Florida Institute of Technology</t>
  </si>
  <si>
    <t>Ray, AT; Fischer, OJP (corresponding author), Georgia Inst Technol, Sch Aerosp Engn, Aerosp Syst Design Lab, Atlanta, GA 30332 USA.</t>
  </si>
  <si>
    <t>archanatikayatray@gmail.com; olivia.pinon@asdl.gatech.edu</t>
  </si>
  <si>
    <t>Nguyen, Van Minh/0000-0002-2479-2503; Tikayat Ray, Archana/0000-0003-3400-9014; White, Ryan/0000-0002-5524-629X; Bhat, Anirudh Prabhakara/0009-0001-2754-2745; Fischer, Olivia/0000-0002-2233-1391</t>
  </si>
  <si>
    <t>2226-4310</t>
  </si>
  <si>
    <t>AEROSPACE-BASEL</t>
  </si>
  <si>
    <t>Aerospace</t>
  </si>
  <si>
    <t>10.3390/aerospace10090770</t>
  </si>
  <si>
    <t>Engineering, Aerospace</t>
  </si>
  <si>
    <t>HK0F4</t>
  </si>
  <si>
    <t>WOS:001159270500001</t>
  </si>
  <si>
    <t>Tan, TF; Thirunavukarasu, AJ; Campbell, JP; Keane, PA; Pasquale, LR; Abramoff, MD; Kalpathy-Cramer, J; Lum, F; Kim, JE; Baxter, SL; Ting, DSW</t>
  </si>
  <si>
    <t>Tan, Ting Fang; Thirunavukarasu, Arun James; Campbell, J. Peter; Keane, Pearse A.; Pasquale, Louis R.; Abramoff, Michael D.; Kalpathy-Cramer, Jayashree; Lum, Flora; Kim, Judy E.; Baxter, Sally L.; Ting, Daniel Shu Wei</t>
  </si>
  <si>
    <t>Generative Artificial Intelligence Through ChatGPT and Other Large Language Models in Ophthalmology Clinical Applications and Challenges</t>
  </si>
  <si>
    <t>OPHTHALMOLOGY SCIENCE</t>
  </si>
  <si>
    <t>The rapid progress of large language models (LLMs) driving generative artificial intelligence applications heralds the potential of opportunities in health care. We conducted a review up to April 2023 on Google Scholar, Embase, MEDLINE, and Scopus using the following terms: large language models, generative artificial intelligence, ophthalmology, ChatGPT, and eye, based on relevance to this review. From a clinical viewpoint specific to ophthalmologists, we explore from the different stakeholders' perspectivesdincluding patients, physicians, and policymakersdthe potential LLM applications in education, research, and clinical domains specific to ophthal-mology. We also highlight the foreseeable challenges of LLM implementation into clinical practice, including the concerns of accuracy, interpretability, perpetuating bias, and data security. As LLMs continue to mature, it is essential for stakeholders to jointly establish standards for best practices to safeguard patient safety.</t>
  </si>
  <si>
    <t>[Tan, Ting Fang; Ting, Daniel Shu Wei] Singapore Natl Eye Ctr, Singapore Eye Res Inst, Singapore, Singapore; [Thirunavukarasu, Arun James] Univ Cambridge, Sch Clin Med, Cambridge, England; [Thirunavukarasu, Arun James] Univ Cambridge, Corpus Christi Coll, Cambridge, England; [Campbell, J. Peter] Oregon Hlth &amp; Sci Univ, Casey Eye Inst, Dept Ophthalmol, Portland, OR USA; [Keane, Pearse A.] UCL, Moorfields Eye Hosp, London, England; [Pasquale, Louis R.] Icahn Sch Med Mt Sinai, Dept Ophthalmol, New York, NY USA; [Abramoff, Michael D.] Amer Med Assoc, Digital Med Payment Advisory Grp DMPAG Artificial, Chicago, IL USA; [Abramoff, Michael D.] Univ Iowa, Dept Ophthalmol, Iowa City, IA USA; [Abramoff, Michael D.] Digital Diagnost Inc, Coralville, IA USA; [Kalpathy-Cramer, Jayashree] Univ Colorado, Dept Ophthalmol, Anschutz Med Campus, Aurora, CO USA; [Lum, Flora] Amer Acad Ophthalmol, San Francisco, CA USA; [Kim, Judy E.] Med Coll Wisconsin, Dept Ophthalmol, Milwaukee, WI USA; [Baxter, Sally L.] Shiley Eye Inst, Viterbi Family Dept Ophthalmol, Div Ophthalmol Informat &amp; Data Sci, La Jolla, CA USA; [Baxter, Sally L.] Univ Calif San Diego, Hlth Dept Biomed Informat, La Jolla, CA USA; [Ting, Daniel Shu Wei] Stanford Univ, Byers Eye Inst, Stanford, CA USA; [Ting, Daniel Shu Wei] Singapore Eye Res Inst SERI, Singapore Eye Res Inst, Duke NUS Med Sch AI &amp; Digital Innovat, 20 Coll Rd,Level 6,Discovery Tower, Singapore 169856, Singapore</t>
  </si>
  <si>
    <t>Singapore National Eye Center; National University of Singapore; University of Cambridge; University of Cambridge; Oregon Health &amp; Science University; University of London; University College London; Moorfields Eye Hospital NHS Foundation Trust; Icahn School of Medicine at Mount Sinai; American Medical Association; University of Iowa; University of Colorado System; University of Colorado Anschutz Medical Campus; Medical College of Wisconsin; University of California System; University of California San Diego; Stanford University; National University of Singapore; Singapore National Eye Center</t>
  </si>
  <si>
    <t>Ting, DSW (corresponding author), Singapore Eye Res Inst SERI, Singapore Eye Res Inst, Duke NUS Med Sch AI &amp; Digital Innovat, 20 Coll Rd,Level 6,Discovery Tower, Singapore 169856, Singapore.</t>
  </si>
  <si>
    <t>daniel.ting@duke-nus.edu.sg</t>
  </si>
  <si>
    <t>Keane, Pearse/AAE-5709-2019; Thirunavukarasu, Arun/ABC-0806-2022</t>
  </si>
  <si>
    <t>Keane, Pearse/0000-0002-9239-745X; Thirunavukarasu, Arun/0000-0001-8968-4768</t>
  </si>
  <si>
    <t>Research &amp; Innovation Future Leaders Fellowship [MR/T019050/1]; Research to Prevent Blindness (RPB); Glaucoma Foundation (New York); Topcon [NMRC/HSRG/0087/2018, MOH-000655-00, MOH-001014-00]; Duke-NUS Medical School, Singapore [Duke-NUS/RSF/2021/0018, 05/FY2020/EX/15-A58]; Agency for Sci-ence, Technology and Research, Singapore [A20H4g2141, H20C6a0032]</t>
  </si>
  <si>
    <t>Research &amp; Innovation Future Leaders Fellowship; Research to Prevent Blindness (RPB)(Research to Prevent Blindness (RPB)); Glaucoma Foundation (New York); Topcon; Duke-NUS Medical School, Singapore(National University of Singapore); Agency for Sci-ence, Technology and Research, Singapore(Agency for Science Technology &amp; Research (A*STAR))</t>
  </si>
  <si>
    <t>Research &amp; Innovation Future Leaders Fellowship (MR/T019050/1) . L.R.P.: Consultant-Twenty-Twenty, Character Bio; Grant support-National Eye Institute (NEI) , Research to Prevent Blindness (RPB) , The Glaucoma Foundation (New York) . M.D.A.: Investor, director, and consultant-Digital Diagnostics Inc, Coralville, Iowa; Patents and patent applications assigned to the University of Iowa and Digital Diagnostics that are relevant to the subject matter of this manuscript; Chair of Healthcare-AI Coalition, Washington DC, Foundational Principles of AI CCOI Workgroup; Member of the American Academy of Ophthalmology (Academy) Committee on Artificial Intelligence, AI Workgroup Digital Medicine Payment Advisory Group (DMPAG) , Collaborative Community for Ophthalmic Imaging (CCOI) , Washington DC. S.L.B.: Consulting fees-VoxelCloud; Speaking fees-iVista Medical Education; Equipment support-Optomed, Topcon. D.S.W.T.: Patent-a deep-learning system for the detection of retinal diseases; Supported by grants-National Medical Research Council, Singapore, (NMRC/HSRG/0087/2018; MOH-000655-00; MOH-001014-00) , Duke-NUS Medical School, Singapore, (Duke-NUS/RSF/2021/0018; 05/FY2020/EX/15-A58) , Agency for Sci-ence, Technology and Research, Singapore, (A20H4g2141; H20C6a0032) , for research in artificial intelligence.</t>
  </si>
  <si>
    <t>2666-9145</t>
  </si>
  <si>
    <t>OPHTHALMOL SCI</t>
  </si>
  <si>
    <t>Ophthalmol. Sci.</t>
  </si>
  <si>
    <t>10.1016/j.xops.2023.100394</t>
  </si>
  <si>
    <t>X9OY8</t>
  </si>
  <si>
    <t>WOS:001101673900001</t>
  </si>
  <si>
    <t>Luleci, F; Catbas, FN; Avci, O</t>
  </si>
  <si>
    <t>Luleci, Furkan; Catbas, F. Necati; Avci, Onur</t>
  </si>
  <si>
    <t>CycleGAN for undamaged-to-damaged domain translation for structural health monitoring and damage detection</t>
  </si>
  <si>
    <t>MECHANICAL SYSTEMS AND SIGNAL PROCESSING</t>
  </si>
  <si>
    <t>Structural Health Monitoring (SHM); Structural Damage Detection; Generative Adversarial Networks (GAN); Cycle -Consistent GAN (CycleGAN); Machine Learning</t>
  </si>
  <si>
    <t>USEFUL LIFE PREDICTION; GENERATIVE ADVERSARIAL NETWORKS; NEURAL-NETWORKS; LEARNING ALGORITHMS; FAULT-DIAGNOSIS; IDENTIFICATION</t>
  </si>
  <si>
    <t>The advances in data science in the last few decades have benefitted many other fields, including Structural Health Monitoring (SHM). Artificial Intelligence (AI), such as Machine Learning (ML) methods for vibration-based damage diagnostics of civil structures, have been utilized extensively due to the observed high performances in learning from complex data structures. AI-based datadriven techniques used for damage diagnostics and prognostics applications are centered on historical data of the structures and require a substantial amount of data for data-driven prediction models. Although some of these methods are generative-based models, they are used to perform typical ML tasks such as classification, regression, or clustering after learning the data domain. In this study, a variant of Generative Adversarial Networks (GAN), a generative model, Cycle-Consistent Wasserstein Deep Convolutional GAN with Gradient Penalty (CycleWDCGANGP) is developed to investigate the domain translation between undamaged and damaged acceleration data (1-D) from one element to the same element as well as to other elements. The outcomes of this study demonstrate that the proposed methodology could be used to generate possible responses of a structure for potentially damaged conditions. In other words, with the proposed methodology, it will be possible to understand and generate the damaged condition while the structure is still healthy.</t>
  </si>
  <si>
    <t>[Luleci, Furkan; Catbas, F. Necati] Univ Cent Florida, Dept Civil Environm &amp; Construct Engn, Orlando, FL 32816 USA; [Avci, Onur] West Virginia Univ, Wadsworth Dept Civil &amp; Environm Engn, 1306 Evansdale Dr, Morgantown, WV 26506 USA</t>
  </si>
  <si>
    <t>State University System of Florida; University of Central Florida; West Virginia University</t>
  </si>
  <si>
    <t>Catbas, FN (corresponding author), Univ Cent Florida, Dept Civil Environm &amp; Construct Engn, Orlando, FL 32816 USA.</t>
  </si>
  <si>
    <t>furkanluleci@knights.ucf.edu; catbas@ucf.edu; onur.avci@mail.wvu.edu</t>
  </si>
  <si>
    <t>Luleci, Furkan/JJF-2758-2023; Avci, Onur/L-9803-2015</t>
  </si>
  <si>
    <t>Luleci, Furkan/0000-0001-5265-6771; Avci, Onur/0000-0003-0221-7126</t>
  </si>
  <si>
    <t>National Aeronautics and Space Administration (NASA) [80NSSC20K0326]</t>
  </si>
  <si>
    <t>National Aeronautics and Space Administration (NASA)(National Aeronautics &amp; Space Administration (NASA))</t>
  </si>
  <si>
    <t>The authors would like to thank members of the CITRS (Civil Infrastructure Technologies for Resilience and Safety) Research Initiative at the University of Central Florida. The second author would like to acknowledge the support of the National Aeronautics and Space Administration (NASA) Award No. 80NSSC20K0326.</t>
  </si>
  <si>
    <t>0888-3270</t>
  </si>
  <si>
    <t>1096-1216</t>
  </si>
  <si>
    <t>MECH SYST SIGNAL PR</t>
  </si>
  <si>
    <t>Mech. Syst. Signal Proc.</t>
  </si>
  <si>
    <t>10.1016/j.ymssp.2023.110370</t>
  </si>
  <si>
    <t>G4BX1</t>
  </si>
  <si>
    <t>WOS:000988640000001</t>
  </si>
  <si>
    <t>Sass, S; Höfer, M; Schmidt, M; Schmidt, S</t>
  </si>
  <si>
    <t>Sass, Stefan; Hoefer, Markus; Schmidt, Michael; Schmidt, Stephan</t>
  </si>
  <si>
    <t>Autonomous Cargo Bike Fleets - Approaches for AI-Based Trajectory Forecasts of Road Users</t>
  </si>
  <si>
    <t>TRANSPORT AND TELECOMMUNICATION JOURNAL</t>
  </si>
  <si>
    <t>Autonomous driving; Cargo bike; Urban mobility; Trajectory prediction; Neural networks; Deep learning</t>
  </si>
  <si>
    <t>Automated cargo bikes are intended to complement public transportation in a sharing concept and provide an alternative transportation option for people and goods. In highly automated driving without a seated user, real-time trajectory prediction of other road users is crucial for collision avoidance with other motor vehicles or vulnerable road users (VRU). For this purpose, moving obstacles are detected by environmental sensors and classified and tracked using object detection and tracking algorithms. The current and past position data as well as environmental information are used to predict future positions. In this paper, we present several AI-based trajectory prediction models that are specifically suited for this use case. Our focus is not only on the accuracy of trajectory prediction, but additionally on a robust, real-time and practical application. We consider models that can predict the trajectories with position estimation or distributions for position estimation for each time step in the future. For this aim, we present generative network structures based on Conditional Variational Autoencoder (CVAE) in different variants. After training, the models are integrated into our production system and their computation time is determined on the hardware we use.</t>
  </si>
  <si>
    <t>[Sass, Stefan; Hoefer, Markus; Schmidt, Michael; Schmidt, Stephan] Otto von Guericke Univ, Univ Pl 2, D-39106 Magdeburg, Germany</t>
  </si>
  <si>
    <t>Otto von Guericke University</t>
  </si>
  <si>
    <t>Sass, S (corresponding author), Otto von Guericke Univ, Univ Pl 2, D-39106 Magdeburg, Germany.</t>
  </si>
  <si>
    <t>stefan.sass@ovgu.de; markus.hoefer@ovgu.de; michael1.schmidt@ovgu.de; stephan.schmidt@ovgu.de</t>
  </si>
  <si>
    <t>federal state Saxony-Anhalt; European Regional Development Funds (EFRE) [19-15003/004]</t>
  </si>
  <si>
    <t>federal state Saxony-Anhalt; European Regional Development Funds (EFRE)(European Union (EU))</t>
  </si>
  <si>
    <t>The project Aura is funded by the federal state Saxony-Anhalt and the European Regional Development Funds (EFRE, 2014-2020), project number 19-15003/004.</t>
  </si>
  <si>
    <t>1407-6160</t>
  </si>
  <si>
    <t>1407-6179</t>
  </si>
  <si>
    <t>TRANSP TELECOMMUN J</t>
  </si>
  <si>
    <t>Transp. Telecommun. J.</t>
  </si>
  <si>
    <t>10.2478/ttj-2023-0006</t>
  </si>
  <si>
    <t>Transportation Science &amp; Technology</t>
  </si>
  <si>
    <t>Transportation</t>
  </si>
  <si>
    <t>9N5WH</t>
  </si>
  <si>
    <t>WOS:000942983100006</t>
  </si>
  <si>
    <t>Hou, XX; Shen, LL; Ming, Z; Qiu, GP</t>
  </si>
  <si>
    <t>Hou, Xianxu; Shen, Linlin; Ming, Zhong; Qiu, Guoping</t>
  </si>
  <si>
    <t>Deep generative image priors for semantic face manipulation</t>
  </si>
  <si>
    <t>PATTERN RECOGNITION</t>
  </si>
  <si>
    <t>GANs; Face attribute prediction; Semantic face manipulation</t>
  </si>
  <si>
    <t>AGE; GENDER</t>
  </si>
  <si>
    <t>Previous works on generative adversarial networks (GANs) mainly focus on how to synthesize highfidelity images. In this paper, we present a framework to leverage the knowledge learned by GANs for semantic face manipulation. In particular, we propose to control the semantics of synthesized faces by adapting the latent codes with an attribute prediction model. Moreover, in order to achieve a more accurate estimation of different facial attributes, we propose to pretrain the attribute prediction model by inverting the synthesized face images back to the GAN latent space. As a result, our method explicitly considers the semantics encoded in the latent space of a pretrained GAN and is able to faithfully edit various attributes like eyeglasses, smiling, bald, age, mustache and gender for high-resolution face images. Extensive experiments show that our method has superior performance compared to state of the art for both face attribute prediction and semantic face manipulation. (c) 2023 Elsevier Ltd. All rights reserved.</t>
  </si>
  <si>
    <t>[Hou, Xianxu; Shen, Linlin] Shenzhen Univ, Natl Engn Lab Big Data Syst Comp Technol, Shenzhen, Peoples R China; [Hou, Xianxu; Shen, Linlin; Ming, Zhong] Shenzhen Univ, Coll Comp Sci &amp; Software Engn, Shenzhen, Peoples R China; [Hou, Xianxu; Shen, Linlin] Shenzhen Inst Artificial Intelligence &amp; Robot Soc, Shenzhen, Peoples R China; [Hou, Xianxu] Xian Jiaotong Liverpool Univ, Sch AI &amp; Adv Comp, Suzhou, Peoples R China; [Qiu, Guoping] Shenzhen Univ, Coll Elect &amp; Informat Engn, Shenzhen, Peoples R China; [Qiu, Guoping] Univ Nottingham, Sch Comp Sci, Nottingham, England</t>
  </si>
  <si>
    <t>Shenzhen University; Shenzhen University; Shenzhen Institute of Artificial Intelligence &amp; Robotics for Society; Xi'an Jiaotong-Liverpool University; Shenzhen University; University of Nottingham</t>
  </si>
  <si>
    <t>Shen, LL (corresponding author), Shenzhen Univ, Natl Engn Lab Big Data Syst Comp Technol, Shenzhen, Peoples R China.;Shen, LL (corresponding author), Shenzhen Univ, Coll Comp Sci &amp; Software Engn, Shenzhen, Peoples R China.;Shen, LL (corresponding author), Shenzhen Inst Artificial Intelligence &amp; Robot Soc, Shenzhen, Peoples R China.</t>
  </si>
  <si>
    <t>llshen@szu.edu.cn</t>
  </si>
  <si>
    <t>Shen, Linlin/AEX-9392-2022</t>
  </si>
  <si>
    <t>Shen, Linlin/0000-0003-1420-0815</t>
  </si>
  <si>
    <t>National Natural Science Foundation of China [62206180, 82261138629]; Guangdong Basic and Applied Basic Research Foundation [2023A1515010688, 2020A1515111199, 2022A1515011018]; Shenzhen Municipal Science and Technology Innovation Council [JCYJ20220531101412030]</t>
  </si>
  <si>
    <t>National Natural Science Foundation of China(National Natural Science Foundation of China (NSFC)); Guangdong Basic and Applied Basic Research Foundation; Shenzhen Municipal Science and Technology Innovation Council</t>
  </si>
  <si>
    <t>This work was supported by the National Natural Science Foundation of China under Grant 62206180, 82261138629; Guangdong Basic and Applied Basic Research Foundation under Grant 2023A1515010688, 2020A1515111199 and 2022A1515011018; and Shenzhen Municipal Science and Technology Innovation Council under Grant JCYJ20220531101412030.</t>
  </si>
  <si>
    <t>0031-3203</t>
  </si>
  <si>
    <t>1873-5142</t>
  </si>
  <si>
    <t>PATTERN RECOGN</t>
  </si>
  <si>
    <t>Pattern Recognit.</t>
  </si>
  <si>
    <t>10.1016/j.patcog.2023.109477</t>
  </si>
  <si>
    <t>A4JC3</t>
  </si>
  <si>
    <t>WOS:000954796400001</t>
  </si>
  <si>
    <t>Ni, B; Kaplan, DL; Buehler, MJ</t>
  </si>
  <si>
    <t>Ni, Bo; Kaplan, David L.; Buehler, Markus J.</t>
  </si>
  <si>
    <t>Generative design of de novo proteins based on secondary-structure constraints using an attention-based diffusion model</t>
  </si>
  <si>
    <t>CHEM</t>
  </si>
  <si>
    <t>SILK; SEQUENCE; NANOMECHANICS; RECOGNITION; PREDICTION; MECHANICS; STRENGTH; PORTER; DOMAIN</t>
  </si>
  <si>
    <t>We report two generative deep-learning models that predict amino acid sequences and 3D protein structures on the basis of secondary -structure design objectives via either the overall content or the per-residue structure. Both models are robust regarding imperfect inputs and offer de novo design capacity because they can discover new protein sequences not yet discovered from natural mechanisms or systems. The residue-level secondary-structure design model generally yields higher accuracy and more diverse sequences. These findings suggest unexplored opportunities for protein designs and functional outcomes within the vast amino acid sequences beyond known proteins. Our models, based on an attention-based diffusion model and trained on a dataset extracted from experimentally known 3D protein structures, offer numerous downstream applica-tions in the conditional generative design of various biological or engineering systems. Future work could include additional condi-tioning and an exploration of other functional properties of the generated proteins for various properties beyond structural objectives.</t>
  </si>
  <si>
    <t>[Ni, Bo; Buehler, Markus J.] MIT, Lab Atomist &amp; Mol Mech LAMM, 77 Massachusetts Ave, Cambridge, MA 02139 USA; [Kaplan, David L.] Tufts Univ, Dept Biomed Engn, Medford, MA 02155 USA; [Buehler, Markus J.] MIT, Schwarzman Coll Comp, Ctr Computat Sci &amp; Engn, 77 Massachusetts Ave, Cambridge, MA 02139 USA</t>
  </si>
  <si>
    <t>Massachusetts Institute of Technology (MIT); Tufts University; Massachusetts Institute of Technology (MIT)</t>
  </si>
  <si>
    <t>Buehler, MJ (corresponding author), MIT, Lab Atomist &amp; Mol Mech LAMM, 77 Massachusetts Ave, Cambridge, MA 02139 USA.;Buehler, MJ (corresponding author), MIT, Schwarzman Coll Comp, Ctr Computat Sci &amp; Engn, 77 Massachusetts Ave, Cambridge, MA 02139 USA.</t>
  </si>
  <si>
    <t>Buehler, Markus/0000-0002-4173-9659</t>
  </si>
  <si>
    <t>USDA [2021-69012-35978]; DOE-SERDP [WP22-S1-3475]; ARO [79058LSCSB, W911NF-22-2-0213, W911NF2120130]; NIH [U01EB014976, R01AR077793]; ONR [N00014-19-1-2375, N00014-20-1-2189]; MIT-IBM Watson AI lab</t>
  </si>
  <si>
    <t>USDA(United States Department of Agriculture (USDA)); DOE-SERDP; ARO; NIH(United States Department of Health &amp; Human ServicesNational Institutes of Health (NIH) - USA); ONR(Office of Naval Research); MIT-IBM Watson AI lab(International Business Machines (IBM))</t>
  </si>
  <si>
    <t>We acknowledge support from the MIT-IBM Watson AI lab, USDA (2021-69012-35978), DOE-SERDP (WP22-S1-3475), ARO (79058LSCSB, W911NF-22-2-0213, and W911NF2120130), NIH (U01EB014976 and R01AR077793), and ONR (N00014-19-1-2375 and N00014-20-1-2189).</t>
  </si>
  <si>
    <t>2451-9294</t>
  </si>
  <si>
    <t>CHEM-US</t>
  </si>
  <si>
    <t>Chem</t>
  </si>
  <si>
    <t>JUL 13</t>
  </si>
  <si>
    <t>10.1016/j.chempr.2023.03.020</t>
  </si>
  <si>
    <t>O5LA7</t>
  </si>
  <si>
    <t>WOS:001044211600001</t>
  </si>
  <si>
    <t>Maalek, R; Maalek, S</t>
  </si>
  <si>
    <t>Maalek, Reza; Maalek, Shahrokh</t>
  </si>
  <si>
    <t>Repurposing existing skeletal spatial structure (SkS) system designs using the Field Information Modeling (FIM) framework for generative decision-support in future construction projects</t>
  </si>
  <si>
    <t>NONDOMINATED SORTING APPROACH; POINT CLOUDS; GENETIC ALGORITHM; EXTRACTION; ACCURACY; SEGMENTATION; FEATURES; MOEA/D; RANSAC</t>
  </si>
  <si>
    <t>Skeletal spatial structure (SkS) systems are modular systems which have shown promise to support mass customization, and sustainability in construction. SkS have been used extensively in the reconstruction efforts since World War II, particularly to build geometrically flexible and free-form structures. By employing advanced digital engineering and construction practices, the existing SkS designs may be repurposed to generate new optimal designs that satisfy current construction demands of contemporary societies. To this end, this study investigated the application of point cloud processing using the Field Information Modeling (FIM) framework for the digital documentation and generative redesign of existing SkS systems. Three new algorithms were proposed to (i) expand FIM to include generative decision-support; (ii) generate as-built building information modeling (BIM) for SkS; and (iii) modularize SkS designs with repeating patterns for optimal production and supply chain management. These algorithms incorporated a host of new AI-inspired methods, including support vector machine (SVM) for decision support; Bayesian optimization for neighborhood definition; Bayesian Gaussian mixture clustering for modularization; and Monte Carlo stochastic multi-criteria decision making (MCDM) for selection of the top Pareto front solutions obtained by the non-dominant sorting Genetic Algorithm (NSGA II). The algorithms were tested and validated on four real-world point cloud datasets to solve two generative modeling problems, namely, engineering design optimization and facility location optimization. It was observed that the proposed Bayesian neighborhood definition outperformed particle swarm and uniform sampling by 34% and 27%, respectively. The proposed SVM-based linear feature detection outperformed k-means and spectral clustering by 56% and 9%, respectively. Finally, the NSGA II algorithm combined with the stochastic MCDM produced diverse top four solutions based on project-specific criteria. The results indicate promise for future utilization of the framework to produce training datasets for generative adversarial networks that generate new designs based only on stakeholder requirements.</t>
  </si>
  <si>
    <t>[Maalek, Reza] Karlsruhe Inst Technol, Endowed Chair Digital Engn &amp; Construct, D-76131 Karlsruhe, Germany; [Maalek, Shahrokh] Digital Innovat Construct Engn DICE Technol, Calgary, AB T2N 0B3, Canada</t>
  </si>
  <si>
    <t>Helmholtz Association; Karlsruhe Institute of Technology</t>
  </si>
  <si>
    <t>Maalek, R (corresponding author), Karlsruhe Inst Technol, Endowed Chair Digital Engn &amp; Construct, D-76131 Karlsruhe, Germany.</t>
  </si>
  <si>
    <t>reza.maalek@kit.edu</t>
  </si>
  <si>
    <t>10.1038/s41598-023-46523-z</t>
  </si>
  <si>
    <t>EB6V2</t>
  </si>
  <si>
    <t>WOS:001136497000045</t>
  </si>
  <si>
    <t>Kim, J; Kim, JH</t>
  </si>
  <si>
    <t>Kim, Joohyun; Kim, Jae-Hoon</t>
  </si>
  <si>
    <t>Generative Service Provisioning for IoT Devices Using Line Graph Structure</t>
  </si>
  <si>
    <t>Internet of Things; Quality of service; Sensors; Reinforcement learning; Random variables; Convergence; Actuators; line graph; reinforcement learning; service provisioning; subgraph</t>
  </si>
  <si>
    <t>A service subgraph helps Internet-of-Things devices access resources in a dynamic Internet-of-Things device network. We propose a service subgraph generation method for Internet-of-Things device networks. Service subgraph generation aims to find more capable neighboring Internet-of-Things devices for service provisioning. We apply a line graph structure for an adequate representation of device resources. The line graph structure effectively represents the resources in the generated service subgraph. A general node classification problem constituting the generated service subgraph identifies the appropriate resource binding for service provisioning. A node in the service subgraph corresponds to a unique relationship between devices. Service provisioning is guaranteed by reinforcement learning based on the resource binding identified by node classification. The proposed line graph structure and resource binding significantly enhance the traditional intelligent resource allocation method. In addition, the proposed scheme can effectively attain service subgraphs with very low computational complexity. The proposed generative service provisioning generally has a significantly lower occupation probability than the swarm intelligence-based algorithm. The average value of the occupation probability is 0.49 with the proposed method. It is 0.12 lower than that of swarm intelligence-based algorithm.</t>
  </si>
  <si>
    <t>[Kim, Joohyun; Kim, Jae-Hoon] Ajou Univ, Dept Ind Engn, Suwon, South Korea; [Kim, Jae-Hoon] Ajou Univ, Dept AI Convergence Network, Suwon 16499, South Korea</t>
  </si>
  <si>
    <t>Ajou University; Ajou University</t>
  </si>
  <si>
    <t>Kim, JH (corresponding author), Ajou Univ, Dept Ind Engn, Suwon, South Korea.;Kim, JH (corresponding author), Ajou Univ, Dept AI Convergence Network, Suwon 16499, South Korea.</t>
  </si>
  <si>
    <t>jayhoon@ajou.ac.kr</t>
  </si>
  <si>
    <t>Kim, Jae-Hoon/0000-0002-4512-5275</t>
  </si>
  <si>
    <t>Institute for Information and Communications Technology Promotion (IITP) funded by the Korean Government (Ministry of Science and Information Technology) (Manufacturing Software (S/W) Platform Based on Digital Twin and Robotic Process Automation) [2021000292]; National Research Foundation of Korea (NRF) from the Korean Government (Ministry of Science and Information Technology) [2020R1F1A1049553]</t>
  </si>
  <si>
    <t>Institute for Information and Communications Technology Promotion (IITP) funded by the Korean Government (Ministry of Science and Information Technology) (Manufacturing Software (S/W) Platform Based on Digital Twin and Robotic Process Automation); National Research Foundation of Korea (NRF) from the Korean Government (Ministry of Science and Information Technology)</t>
  </si>
  <si>
    <t>This work was supported in part by the Institute for Information and Communications Technology Promotion (IITP) funded by the Korean Government (Ministry of Science and Information Technology) (Manufacturing Software (S/W) Platform Based on Digital Twin and Robotic Process Automation) under Grant 2021000292, and in part by the National Research Foundation of Korea (NRF) from the Korean Government (Ministry of Science and Information Technology) under Grant 2020R1F1A1049553.</t>
  </si>
  <si>
    <t>10.1109/ACCESS.2023.3244890</t>
  </si>
  <si>
    <t>9F0BV</t>
  </si>
  <si>
    <t>WOS:000937142900001</t>
  </si>
  <si>
    <t>Chang, M; Druga, S; Fiannaca, A; Vergani, P; Kulkarni, C; Cai, C; Terry, M</t>
  </si>
  <si>
    <t>Chang, Minsuk; Druga, Stefania; Fiannaca, Alex; Vergani, Pedro; Kulkarni, Chinmay; Cai, Carrie; Terry, Michael</t>
  </si>
  <si>
    <t>The Prompt Artists</t>
  </si>
  <si>
    <t>AI art; Artists using AI; Text-to-Image models</t>
  </si>
  <si>
    <t>This paper examines the art practices, artwork, and motivations of prolific users of the latest generation of text-to-image models. Through interviews, observations, and a user survey, we present a sampling of the artistic styles and describe the developed community of practice around generative AI. We find that: 1) artists hold the text prompt and the resulting image can be considered collectively as a form of artistic expression (prompts as art), and 2) prompt templates (prompts with slots for others to fill in with their own words) are developed to create generative art styles. We discover that the value placed by this community on unique outputs leads to artists seeking specialized vocabulary to produce distinctive art pieces (e.g., by reading architectural blogs to find phrases to describe images). We also find that some artists use glitches in the model that can be turned into artistic styles of their own right. From these findings, we outline specific implications for design regarding future prompting and image editing options.</t>
  </si>
  <si>
    <t>[Chang, Minsuk; Fiannaca, Alex; Terry, Michael] Google Inc, Seattle, WA 98103 USA; [Druga, Stefania; Cai, Carrie] Google Inc, Mountain View, CA USA; [Vergani, Pedro] Google Inc, London, England; [Kulkarni, Chinmay] Google Inc, Atlanta, GA USA</t>
  </si>
  <si>
    <t>Google Incorporated; Google Incorporated; Google Incorporated; Google Incorporated</t>
  </si>
  <si>
    <t>Chang, M (corresponding author), Google Inc, Seattle, WA 98103 USA.</t>
  </si>
  <si>
    <t>minsukchang@google.com; druga@google.com; afiannaca@google.com; pvergani@google.com; ckulkarni@google.com; druga@google.com; michaelterry@google.com</t>
  </si>
  <si>
    <t>10.1145/3591196.3593515</t>
  </si>
  <si>
    <t>WOS:001119074200011</t>
  </si>
  <si>
    <t>Ajevski, M; Barker, K; Gilbert, A; Hardie, L; Ryan, F</t>
  </si>
  <si>
    <t>Ajevski, Marjan; Barker, Kim; Gilbert, Andrew; Hardie, Liz; Ryan, Francine</t>
  </si>
  <si>
    <t>ChatGPT and the future of legal education and practice</t>
  </si>
  <si>
    <t>LAW TEACHER</t>
  </si>
  <si>
    <t>ChatGPT; artificial intelligence (AI); legal education; legal practice; technology</t>
  </si>
  <si>
    <t>The launch of ChatGPT, a natural language open-source AI platform, in November 2022 has taken the world by storm and artificial intelligence appears to be at a watershed moment in technological advancement. This article explores the emergence of ChatGPT and considers the implications for legal education and practice. It will examine how law schools can develop strategies for assessments to make them more challenging for generative AI while educating students on its potential in the workplace. All legal educators are now on a journey to navigate the complexities of open-source AI technology and comprehend its implications. We should not ignore or underestimate the potential impact on both legal education and legal practice, and we must consider new methods to incorporate AI technology into our teaching.</t>
  </si>
  <si>
    <t>[Ajevski, Marjan; Barker, Kim; Gilbert, Andrew; Hardie, Liz; Ryan, Francine] Open Univ, Law Sch, Milton Keynes, England; [Gilbert, Andrew] Open Univ, Law Sch, Michael Young Bldg,Walton Hall, Milton Keynes MK7 6AA, England</t>
  </si>
  <si>
    <t>Open University - UK; Open University - UK</t>
  </si>
  <si>
    <t>Gilbert, A (corresponding author), Open Univ, Law Sch, Michael Young Bldg,Walton Hall, Milton Keynes MK7 6AA, England.</t>
  </si>
  <si>
    <t>andrew.gilbert@open.ac.uk</t>
  </si>
  <si>
    <t>Ajevski, Marjan/0000-0002-9584-1368; Hardie, Elizabeth/0000-0001-5884-5688; Ryan, Francine/0000-0003-2890-1778</t>
  </si>
  <si>
    <t>0306-9400</t>
  </si>
  <si>
    <t>1943-0353</t>
  </si>
  <si>
    <t>LAW TEACH</t>
  </si>
  <si>
    <t>Law Teach.</t>
  </si>
  <si>
    <t>10.1080/03069400.2023.2207426</t>
  </si>
  <si>
    <t>S2KF9</t>
  </si>
  <si>
    <t>WOS:000994135100001</t>
  </si>
  <si>
    <t>Gayoso, A; Weiler, P; Lotfollahi, M; Klein, D; Hong, JS; Streets, A; Theis, FJ; Yosef, N</t>
  </si>
  <si>
    <t>Gayoso, Adam; Weiler, Philipp; Lotfollahi, Mohammad; Klein, Dominik; Hong, Justin; Streets, Aaron; Theis, Fabian J.; Yosef, Nir</t>
  </si>
  <si>
    <t>Deep generative modeling of transcriptional dynamics for RNA velocity analysis in single cells</t>
  </si>
  <si>
    <t>NATURE METHODS</t>
  </si>
  <si>
    <t>RNA velocity has been rapidly adopted to guide interpretation of transcriptional dynamics in snapshot single-cell data; however, current approaches for estimating RNA velocity lack effective strategies for quantifying uncertainty and determining the overall applicability to the system of interest. Here, we present veloVI (velocity variational inference), a deep generative modeling framework for estimating RNA velocity. veloVI learns a gene-specific dynamical model of RNA metabolism and provides a transcriptome-wide quantification of velocity uncertainty. We show that veloVI compares favorably to previous approaches with respect to goodness of fit, consistency across transcriptionally similar cells and stability across preprocessing pipelines for quantifying RNA abundance. Further, we demonstrate that veloVI's posterior velocity uncertainty can be used to assess whether velocity analysis is appropriate for a given dataset. Finally, we highlight veloVI as a flexible framework for modeling transcriptional dynamics by adapting the underlying dynamical model to use time-dependent transcription rates. veloVI enhances RNA velocity analysis with uncertainty quantification and extensibility by deep generative modeling of gene-specific transcriptional dynamics.</t>
  </si>
  <si>
    <t>[Gayoso, Adam; Hong, Justin; Streets, Aaron; Yosef, Nir] Univ Calif Berkeley, Ctr Computat Biol, Berkeley, CA 94720 USA; [Weiler, Philipp; Lotfollahi, Mohammad; Klein, Dominik; Theis, Fabian J.] Helmholtz Ctr Munich, Inst Computat Biol, Munich, Germany; [Weiler, Philipp; Klein, Dominik; Theis, Fabian J.] Tech Univ Munich, Dept Math, Munich, Germany; [Lotfollahi, Mohammad] Wellcome Sanger Inst, Cambridge, England; [Streets, Aaron] Univ Calif Berkeley, Dept Bioengn, Berkeley, CA USA; [Streets, Aaron] Chan Zuckerberg Biohub, San Francisco, CA USA; [Theis, Fabian J.] Tech Univ Munich, TUM Sch Life Sci Weihenstephan, Munich, Germany; [Yosef, Nir] Univ Calif Berkeley, Dept Elect Engn &amp; Comp Sci, Berkeley, CA 94720 USA; [Hong, Justin] Columbia Univ, Dept Comp Sci, New York, NY USA</t>
  </si>
  <si>
    <t>University of California System; University of California Berkeley; Helmholtz Association; Helmholtz-Center Munich - German Research Center for Environmental Health; Technical University of Munich; Wellcome Trust Sanger Institute; University of California System; University of California Berkeley; Technical University of Munich; University of California System; University of California Berkeley; Columbia University</t>
  </si>
  <si>
    <t>Yosef, N (corresponding author), Univ Calif Berkeley, Ctr Computat Biol, Berkeley, CA 94720 USA.;Theis, FJ (corresponding author), Helmholtz Ctr Munich, Inst Computat Biol, Munich, Germany.;Theis, FJ (corresponding author), Tech Univ Munich, Dept Math, Munich, Germany.;Theis, FJ (corresponding author), Tech Univ Munich, TUM Sch Life Sci Weihenstephan, Munich, Germany.;Yosef, N (corresponding author), Univ Calif Berkeley, Dept Elect Engn &amp; Comp Sci, Berkeley, CA 94720 USA.</t>
  </si>
  <si>
    <t>fabian.theis@helmholtz-munich.de; niryosef@berkeley.edu</t>
  </si>
  <si>
    <t>Theis, Fabian J/ABD-5212-2021</t>
  </si>
  <si>
    <t>Theis, Fabian J/0000-0002-2419-1943</t>
  </si>
  <si>
    <t>We thank R. Lopez and M. Jones for feedback on the concepts and benchmarking of veloVI. We acknowledge members of the Streets, Theis and Yosef laboratories for general feedback. A.S. is a Chan Zuckerberg Biohub investigator. A.G. and N.Y. were supported by [EOSS4-0000000121]; Zuckerberg Initiative Essential Open Source Software Cycle 4 grant; Joachim Herz Stiftung via Add-on Fellowships for Interdisciplinary Life Science [R35GM124916]; National Institute of General Medical Sciences of the National Institutes of Health [01IS18036B, 01IS18053A]; BMBF [ZT-I-PF-5-01]; Helmholtz Associations Initiative and Networking Fund through Helmholtz AI</t>
  </si>
  <si>
    <t>We thank R. Lopez and M. Jones for feedback on the concepts and benchmarking of veloVI. We acknowledge members of the Streets, Theis and Yosef laboratories for general feedback. A.S. is a Chan Zuckerberg Biohub investigator. A.G. and N.Y. were supported by; Zuckerberg Initiative Essential Open Source Software Cycle 4 grant; Joachim Herz Stiftung via Add-on Fellowships for Interdisciplinary Life Science; National Institute of General Medical Sciences of the National Institutes of Health(United States Department of Health &amp; Human ServicesNational Institutes of Health (NIH) - USANIH National Institute of General Medical Sciences (NIGMS)); BMBF(Federal Ministry of Education &amp; Research (BMBF)); Helmholtz Associations Initiative and Networking Fund through Helmholtz AI</t>
  </si>
  <si>
    <t>We thank R. Lopez and M. Jones for feedback on the concepts and benchmarking of veloVI. We acknowledge members of the Streets, Theis and Yosef laboratories for general feedback. A.S. is a Chan Zuckerberg Biohub investigator. A.G. and N.Y. were supported by the Chan Zuckerberg Initiative Essential Open Source Software Cycle 4 grant (EOSS4-0000000121) for scvi-tools. M.L. acknowledges financial support from the Joachim Herz Stiftung via Add-on Fellowships for Interdisciplinary Life Science. A.S. is a Chan Zuckerberg Biohub investigator and is supported by the National Institute of General Medical Sciences of the National Institutes of Health under award number R35GM124916. F.J.T. acknowledges support by the BMBF (grant nos. 01IS18036B and 01IS18053A) and by the Helmholtz Associations Initiative and Networking Fund through Helmholtz AI (grant no. ZT-I-PF-5-01).</t>
  </si>
  <si>
    <t>1548-7091</t>
  </si>
  <si>
    <t>1548-7105</t>
  </si>
  <si>
    <t>NAT METHODS</t>
  </si>
  <si>
    <t>Nat. Methods</t>
  </si>
  <si>
    <t>2023 SEP 21</t>
  </si>
  <si>
    <t>10.1038/s41592-023-01994</t>
  </si>
  <si>
    <t>Biochemical Research Methods</t>
  </si>
  <si>
    <t>S8EB7</t>
  </si>
  <si>
    <t>WOS:001073433300001</t>
  </si>
  <si>
    <t>Xie, QC; He, TX</t>
  </si>
  <si>
    <t>Xie, Qingchuan; He, Tianxiang</t>
  </si>
  <si>
    <t>Battle between 'Long' and 'Short' Videos: Fragmented Uses, Diversified Purposes, and the Evolution of China's Copyright Limitation Rules in the AI Era</t>
  </si>
  <si>
    <t>CHINESE JOURNAL OF COMPARATIVE LAW</t>
  </si>
  <si>
    <t>copyright; fair use; transformative use; short video; artificial intelligence</t>
  </si>
  <si>
    <t>FAIR-USE DOCTRINE</t>
  </si>
  <si>
    <t>The rapid proliferation of artificial intelligence (AI) technology, particularly the deployment of generative AI in the creation of short videos, has exposed the anachronistic and incomplete nature of the copyright limitations and exceptions (L&amp;E) within the Copyright Law of China. The US jurisprudential approach, characterized by the four-factor fair use analysis and the doctrine of transformative use, has been embraced in China by courts as 'general legal principles'. These principles have been localized within the restrictive framework of the Berne Convention's three-step test. However, the application of these principles to China's burgeoning AI and AI-generated content industry, exemplified by the short video sector, reveals a complex landscape. The purposes behind the utilization of copyrighted works are multifaceted, and the intense rivalry between 'long' and 'short' videos that represent established and emerging giant Internet platform enterprises further muddies the waters in the application of the American 'purpose transformation' concept. A better alternative would be to seek guidance from the Copyright Law of Japan. By grounding decisions in pre-existing, enumerated copyright exceptions, systematically categorizing L&amp;E scenarios, and delineating key considerations for various categories, the judiciary can be steered towards a more nuanced and equitable resolution of individual cases and strike a balance between the interest of copyright holders, Internet users, and the emerging Internet platform enterprises.</t>
  </si>
  <si>
    <t>[Xie, Qingchuan] Wuhan Univ, Inst Intellectual Property &amp; Competit Law, Law Sch, Wuhan, Hubei, Peoples R China; [He, Tianxiang] City Univ Hong Kong, Sch Law, Kowloon Tong, Hong Kong, Peoples R China</t>
  </si>
  <si>
    <t>Wuhan University; City University of Hong Kong</t>
  </si>
  <si>
    <t>He, TX (corresponding author), City Univ Hong Kong, Sch Law, Kowloon Tong, Hong Kong, Peoples R China.</t>
  </si>
  <si>
    <t>tianxiang.he@cityu.edu.hk</t>
  </si>
  <si>
    <t>Sumitomo Foundation Research; Sumitomo Foundation Research Grant for Japan-Related Research Projects [208009]; China'</t>
  </si>
  <si>
    <t>Sumitomo Foundation Research; Sumitomo Foundation Research Grant for Japan-Related Research Projects; China'</t>
  </si>
  <si>
    <t>The authors acknowledge the support of the Sumitomo Foundation Research Grant for Japan-Related Research Projects 2020: 'The Challenge of Artificial Intelligence to the Copyright Law and the Legislative Response: A Comparative Study Between Japan and China' (Reg no. 208009)</t>
  </si>
  <si>
    <t>2050-4802</t>
  </si>
  <si>
    <t>2050-4810</t>
  </si>
  <si>
    <t>CHIN J COMP LAW</t>
  </si>
  <si>
    <t>Chin. J. Comp. Law</t>
  </si>
  <si>
    <t>OCT 1</t>
  </si>
  <si>
    <t>cxae001</t>
  </si>
  <si>
    <t>10.1093/cjcl/cxae001</t>
  </si>
  <si>
    <t>KE2Q2</t>
  </si>
  <si>
    <t>WOS:001178220400001</t>
  </si>
  <si>
    <t>Sohail, SS; Farhat, F; Himeur, Y; Nadeem, M; Madsen, DO; Singh, Y; Atalla, S; Mansoor, W</t>
  </si>
  <si>
    <t>Sohail, Shahab Saquib; Farhat, Faiza; Himeur, Yassine; Nadeem, Mohammad; Madsen, Dag Oivind; Singh, Yashbir; Atalla, Shadi; Mansoor, Wathiq</t>
  </si>
  <si>
    <t>Decoding ChatGPT: A taxonomy of existing research, current challenges, and possible future directions</t>
  </si>
  <si>
    <t>JOURNAL OF KING SAUD UNIVERSITY-COMPUTER AND INFORMATION SCIENCES</t>
  </si>
  <si>
    <t>ChatGPT; Large language models (LLMs); Generative Pre-trained Transformer (GPT); AI Generated Content (AIGC); Systematic review; Trustworthy AI</t>
  </si>
  <si>
    <t>Chat Generative Pre-trained Transformer (ChatGPT) has gained significant interest and attention since its launch in November 2022. It has shown impressive performance in various domains, including passing exams and creative writing. However, challenges and concerns related to biases and trust persist. In this work, we present a comprehensive review of over 100 Scopus-indexed publications on ChatGPT, aiming to provide a taxonomy of ChatGPT research and explore its applications. We critically analyze the existing literature, identifying common approaches employed in the studies. Additionally, we investigate diverse application areas where ChatGPT has found utility, such as healthcare, marketing and financial services, software engineering, academic and scientific writing, research and education, environmental science, and natural language processing. Through examining these applications, we gain valuable insights into the potential of ChatGPT in addressing real-world challenges. We also discuss crucial issues related to ChatGPT, including biases and trustworthiness, emphasizing the need for further research and development in these areas. Furthermore, we identify potential future directions for ChatGPT research, proposing solutions to current challenges and speculating on expected advancements. By fully leveraging the capabilities of ChatGPT, we can unlock its potential across various domains, leading to advancements in conversational AI and transformative impacts in society.(c) 2023 The Author(s). Published by Elsevier B.V. on behalf of King Saud University. This is an open access article under the CC BY license (http://creativecommons.org/licenses/by/4.0/).</t>
  </si>
  <si>
    <t>[Sohail, Shahab Saquib] Jamia Hamdard, Sch Engn Sci &amp; Technol, Dept Comp Sci &amp; Engn, New Delhi 110062, India; [Farhat, Faiza] Aligarh Muslim Univ, Dept Zool, Aligarh, Uttar Pradesh, India; [Himeur, Yassine; Atalla, Shadi; Mansoor, Wathiq] Univ Dubai, Coll Engn &amp; Informat Technol, Dubai, U Arab Emirates; [Nadeem, Mohammad] Aligarh Muslim Univ, Dept Comp Sci, Aligarh, Uttar Pradesh, India; [Madsen, Dag Oivind] Univ South Eastern Norway, Notodden, Norway; [Singh, Yashbir] Mayo Clin, Dept Radiol, Rochester, MN USA</t>
  </si>
  <si>
    <t>Jamia Hamdard University; Aligarh Muslim University; University of Dubai; Aligarh Muslim University; University College of Southeast Norway; Mayo Clinic</t>
  </si>
  <si>
    <t>Farhat, F (corresponding author), Aligarh Muslim Univ, Dept Zool, Aligarh, Uttar Pradesh, India.;Madsen, DO (corresponding author), Univ South Eastern Norway, Notodden, Norway.</t>
  </si>
  <si>
    <t>shahabssohail@jamiahamdard.ac.in; faizahaque16@gmail.com; yhimeur@ud.ac.ae; nadeem.amu@gmail.com; dag.oivind.madsen@usn.no; Singh.Yashbir@mayo.edu; satalla@ud.ac.ae; wathiq.mansoor@ud.ac.ae</t>
  </si>
  <si>
    <t>sohail, shahab/O-3263-2019; Atalla, Shadi/KAO-2626-2024; Madsen, Dag Øivind/I-1587-2016</t>
  </si>
  <si>
    <t>sohail, shahab/0000-0002-5944-7371; Madsen, Dag Øivind/0000-0001-8735-3332</t>
  </si>
  <si>
    <t>1319-1578</t>
  </si>
  <si>
    <t>2213-1248</t>
  </si>
  <si>
    <t>J KING SAUD UNIV-COM</t>
  </si>
  <si>
    <t>J. King Saud Univ.-Comput. Inf. Sci.</t>
  </si>
  <si>
    <t>10.1016/j.jksuci.2023.101675</t>
  </si>
  <si>
    <t>GA8T2</t>
  </si>
  <si>
    <t>WOS:001150035400001</t>
  </si>
  <si>
    <t>Zwanka, RJ; Zondag, MM</t>
  </si>
  <si>
    <t>Zwanka, Russell J.; Zondag, Marcel M.</t>
  </si>
  <si>
    <t>Tired or Inspired: A Conceptual Model for Using Regenerative Artificial Intelligence to Create Context, User, and Time-Aware Individualized Shopping Guidance</t>
  </si>
  <si>
    <t>JOURNAL OF INTERNATIONAL CONSUMER MARKETING</t>
  </si>
  <si>
    <t>Artificial intelligence; regenerative AI; shopper marketing; consumer marketing; retail operations; recommender systems; nudging; grocery; shoppers</t>
  </si>
  <si>
    <t>This paper conceptualizes a consumer-centric, regenerative artificial intelligence (ReGenAI) model for the Fast-Moving Consumer Goods (FMCG) retailing channel. The system uses its awareness of context, time, and users to (re)generate customer touchpoints and other marketing communications. Its output provides deep insights into regular and altered FMCG customer journeys, such as shopping behaviors under stressors like lifestyle choices or cataclysmic socio-economic and weather events. The recursive model advances from current, generative AI systems. It uses tired or inspired as a simplified bifurcated grocery shopper taxonomy to operationalize customers' purchasing and consumption behaviors into actionable data for demand planning and retail operations.</t>
  </si>
  <si>
    <t>[Zwanka, Russell J.; Zondag, Marcel M.] Western Michigan Univ, Food Ind Res &amp; Educ Ctr, Dept Mkt, Kalamazoo, MI 49008 USA</t>
  </si>
  <si>
    <t>Western Michigan University</t>
  </si>
  <si>
    <t>Zwanka, RJ (corresponding author), Western Michigan Univ, Food Ind Res &amp; Educ Ctr, Dept Mkt, Kalamazoo, MI 49008 USA.</t>
  </si>
  <si>
    <t>russell.zwanka@wmich.edu</t>
  </si>
  <si>
    <t>0896-1530</t>
  </si>
  <si>
    <t>1528-7068</t>
  </si>
  <si>
    <t>J INT CONSUM MARK</t>
  </si>
  <si>
    <t>J. Int. Consum. Mark.</t>
  </si>
  <si>
    <t>10.1080/08961530.2023.2266897</t>
  </si>
  <si>
    <t>W1HA8</t>
  </si>
  <si>
    <t>WOS:001089195100001</t>
  </si>
  <si>
    <t>AI v copyright: how could public interest theory shift the discourse?</t>
  </si>
  <si>
    <t>FAIR-USE; LIMITATIONS; PROTECTION</t>
  </si>
  <si>
    <t>To achieve a balance between rightsholders and the public in the age of generative AI (GenAI), it is necessary to redefine the concept of public interest in copyright law. This equilibrium is critical because it guarantees that rightsholders are rewarded for their work while also allowing for the dissemination and access of knowledge along with cultural expression. Additionally, redefining the concept of public interest in copyright could address emerging issues such as fair use, open access and the democratization of information in the digital age. The article examines how public interest in copyright would look in the development of GenAI by using Virginia Held's typology of public interest theory as the sole compass to address the question. The article finds that public interest in copyright could be adjusted to protect rightsholders, sustain cultural production and simultaneously accommodate the development of GenAI by first balancing the preponderance of individual interest or being supported by the preponderance of numbers and empirical terms; second, by making it consistent with individuals' overall interests and being agreed upon by the polity; and third, by judging the public interest in copyright on 'valid judgment' and normative content, where the judgment is based. While different typologies may be used to conceptualize public interest, the article suggests that it is important to explicitly identify what copyright law seeks to achieve and to balance the rights of creators with the public's interest in accessing creative works. This could be achieved through evidence-based analysis, agreement among individuals without conflicts and normative content based on the morality of society.</t>
  </si>
  <si>
    <t>[Dermawan, Artha] Univ Lapland, Rovaniemi, Finland</t>
  </si>
  <si>
    <t>Dermawan, A (corresponding author), Univ Lapland, Rovaniemi, Finland.</t>
  </si>
  <si>
    <t>Artha.dermawan@ip.mpg.de</t>
  </si>
  <si>
    <t>10.1093/jiplp/jpad111</t>
  </si>
  <si>
    <t>WOS:001134211900001</t>
  </si>
  <si>
    <t>Kang, GC; Kim, S; Kim, JH; Kwak, D; Zhang, BT</t>
  </si>
  <si>
    <t>Kang, Gi-Cheon; Kim, Sungdong; Kim, Jin-Hwa; Kwak, Donghyun; Zhang, Byoung-Tak</t>
  </si>
  <si>
    <t>The Dialog Must Go On: Improving Visual Dialog via Generative Self-Training</t>
  </si>
  <si>
    <t>Visual dialog (VisDial) is a task of answering a sequence of questions grounded in an image, using the dialog history as context. Prior work has trained the dialog agents solely on VisDial data via supervised learning or leveraged pre-training on related vision-and-language datasets. This paper presents a semi-supervised learning approach for visually-grounded dialog, called Generative Self-Training (GST), to leverage unlabeled images on the Web. Specifically, GST first retrieves in-domain images through out-of-distribution detection and generates synthetic dialogs regarding the images via multimodal conditional text generation. GST then trains a dialog agent on the synthetic and the original VisDial data. As a result, GST scales the amount of training data up to an order of magnitude that of VisDial (1.2M. 12.9M QA data). For robust training of the synthetic dialogs, we also propose perplexity-based data selection and multimodal consistency regularization. Evaluation on VisDial v1.0 and v0.9 datasets shows that GST achieves new state-of-the-art results on both datasets. We further observe the robustness of GST against both visual and textual adversarial attacks. Finally, GST yields strong performance gains in the low-data regime. Code is available at https: //github.com/gicheonkang/gst-visdial.</t>
  </si>
  <si>
    <t>[Kang, Gi-Cheon; Zhang, Byoung-Tak] Seoul Natl Univ, IPAI, Seoul, South Korea; [Kang, Gi-Cheon; Kim, Jin-Hwa; Zhang, Byoung-Tak] AIIS, Seoul, South Korea; [Kim, Sungdong; Kim, Jin-Hwa] NAVER AI Lab, Seongnam, South Korea; [Kwak, Donghyun] NAVER Cloud CLOVA, Seongnam, South Korea</t>
  </si>
  <si>
    <t>Seoul National University (SNU); Naver</t>
  </si>
  <si>
    <t>Kang, GC (corresponding author), Seoul Natl Univ, IPAI, Seoul, South Korea.;Kang, GC (corresponding author), AIIS, Seoul, South Korea.</t>
  </si>
  <si>
    <t>chonkang@snu.ac.kr; sungdong.kim@navercorp.com; j1nhwa.kim@navercorp.com; donghyun.kwak@navercorp.com; btzhang@snu.ac.kr</t>
  </si>
  <si>
    <t>Institute of Information &amp; Communications Technology Planning &amp; Evaluation (IITP) - Korean government [2021-0-01343-GSAI/40%, 2022-000953-PICA/30%, 2022-0-00951-LBA/20%, 2021-0-02068-AIHub/10%]</t>
  </si>
  <si>
    <t>Institute of Information &amp; Communications Technology Planning &amp; Evaluation (IITP) - Korean government(Institute for Information &amp; Communication Technology Planning &amp; Evaluation (IITP), Republic of Korea)</t>
  </si>
  <si>
    <t>This work was supported by the SNU-NAVER Hyperscale AI Center and the Institute of Information &amp; Communications Technology Planning &amp; Evaluation (IITP) (2021-0-01343-GSAI/40%, 2022-000953-PICA/30%, 2022-0-00951-LBA/20%, 2021-0-02068-AIHub/10%) grant funded by the Korean government.</t>
  </si>
  <si>
    <t>10.1109/CVPR52729.2023.00652</t>
  </si>
  <si>
    <t>WOS:001058542607010</t>
  </si>
  <si>
    <t>Jovanovic, M; Campbell, M</t>
  </si>
  <si>
    <t>Jovanovic, Mladan; Campbell, Mark</t>
  </si>
  <si>
    <t>Connecting AI: Merging Large Language Models and Knowledge Graph</t>
  </si>
  <si>
    <t>COMPUTER</t>
  </si>
  <si>
    <t>Artificial intelligence; Knowledge graphs; Linguistics</t>
  </si>
  <si>
    <t>Combining the generative abilities of large language models with the logical and factual coherence of knowledge graphs using a connected artificial intelligence architecture minimizes each system's shortcomings and amplifies their strengths across many real-world domains.</t>
  </si>
  <si>
    <t>[Jovanovic, Mladan] Singidunum Univ, Belgrade 11000, Serbia; [Campbell, Mark] EVOTEK, San Diego, CA 92121 USA</t>
  </si>
  <si>
    <t>Jovanovic, M (corresponding author), Singidunum Univ, Belgrade 11000, Serbia.</t>
  </si>
  <si>
    <t>mjovanovic@singidunum.ac.rs; mark@evotek.com</t>
  </si>
  <si>
    <t>Jovanovic, Mladjan/0000-0003-2355-9424; Campbell, Mark/0000-0001-5415-6631</t>
  </si>
  <si>
    <t>0018-9162</t>
  </si>
  <si>
    <t>1558-0814</t>
  </si>
  <si>
    <t>Computer</t>
  </si>
  <si>
    <t>10.1109/MC.2023.3305206</t>
  </si>
  <si>
    <t>Computer Science, Hardware &amp; Architecture; Computer Science, Software Engineering</t>
  </si>
  <si>
    <t>CF0R2</t>
  </si>
  <si>
    <t>WOS:001123723300013</t>
  </si>
  <si>
    <t>Zhao, YZ; Po, LM; Lin, TY; Yan, Q; Liu, W; Xian, PF</t>
  </si>
  <si>
    <t>Zhao, Yuzhi; Po, Lai-Man; Lin, Tingyu; Yan, Qiong; Liu, Wei; Xian, Pengfei</t>
  </si>
  <si>
    <t>HSGAN: Hyperspectral Reconstruction From RGB Images With Generative Adversarial Network</t>
  </si>
  <si>
    <t>Index Terms-Generative adversarial network (GAN); hyper-spectral (HS) reconstruction; spatial-spectral attention</t>
  </si>
  <si>
    <t>SPECTRAL-SPATIAL CLASSIFICATION; TOMOGRAPHY IMAGING SPECTROMETER; PRINCIPAL COMPONENTS; REFLECTANCE; RECOVERY; FLUORESCENCE; SPACE</t>
  </si>
  <si>
    <t>Hyperspectral (HS) reconstruction from RGB images denotes the recovery of whole-scene HS information, which has attracted much attention recently. State-of-the-art approaches often adopt convolutional neural networks to learn the mapping for HS reconstruction from RGB images. However, they often do not achieve high HS reconstruction performance across different scenes consistently. In addition, their performance in recovering HS images from clean and real-world noisy RGB images is not consistent. To improve the HS reconstruction accuracy and robustness across different scenes and from different input images, we present an effective HSGAN framework with a two-stage adversarial training strategy. The generator is a four-level top-down architecture that extracts and combines features on multiple scales. To generalize well to real-world noisy images, we further propose a spatial-spectral attention block (SSAB) to learn both spatial-wise and channel-wise relations. We conduct the HS reconstruction experiments from both clean and real-world noisy RGB images on five well-known HS datasets. The results demonstrate that HSGAN achieves superior performance to existing methods. Please visit https://github.com/zhaoyuzhi/HSGAN to try our codes.</t>
  </si>
  <si>
    <t>[Zhao, Yuzhi; Po, Lai-Man; Lin, Tingyu; Xian, Pengfei] City Univ Hong Kong, Dept Elect Engn, Hong Kong, Peoples R China; [Yan, Qiong] SenseTime Res &amp; Tetras AI, Hong Kong, Peoples R China; [Liu, Wei] ByteDance, Beijing 100086, Peoples R China</t>
  </si>
  <si>
    <t>Zhao, YZ (corresponding author), City Univ Hong Kong, Dept Elect Engn, Hong Kong, Peoples R China.</t>
  </si>
  <si>
    <t>yzzhao2-c@my.cityu.edu.hk; eelmpo@cityu.edu.hk; tingyulin3-c@my.cityu.edu.hk; sophie.yanqiong@gmail.com; liujikun63@gmail.com; xian.pf@my.cityu.edu.hk</t>
  </si>
  <si>
    <t>Zhao, Yuzhi/HJH-8107-2023</t>
  </si>
  <si>
    <t>Lin, Tingyu/0009-0008-9825-686X</t>
  </si>
  <si>
    <t>2023 AUG 10</t>
  </si>
  <si>
    <t>10.1109/TNNLS.2023.3300099</t>
  </si>
  <si>
    <t>P0JG1</t>
  </si>
  <si>
    <t>WOS:001047582200001</t>
  </si>
  <si>
    <t>Antonius, F; Ramu, J; Sasikala, P; Sekhar, JC; Mary, SSC</t>
  </si>
  <si>
    <t>Antonius, Franciskus; Ramu, Jarubula; Sasikala, P.; Sekhar, J. C.; Mary, S. Suma Christal</t>
  </si>
  <si>
    <t>DeepCyberDetect: Hybrid AI for Counterfeit Currency Detection with GAN-CNN-RNN using African Buffalo Optimization</t>
  </si>
  <si>
    <t>Fake currency; convolutional neural network; generative adversarial networks; recurrent neural network; African Buffalo Optimization</t>
  </si>
  <si>
    <t>modern technology has made a big contribution to the distribution of counterfeit money and the valuation of it. This paper recommends a deep learning-based methodology for currency recognition in order to extract attributes and identify money values; machine learning's binary classification task of fake currency detection. One can train a model that can distinguish between real and fake banknotes if one has enough information about actual and fake notes. The vast majority of older systems relied on hardware and techniques for image processing. Using such strategies renders identifying fake currency more challenging and inefficient. The proposed system has suggested deploying a deep convolution neural network to figure out fake currency in order to solve the aforementioned issue. By analyzing the images of the currency, our technique finds counterfeit notes. The transfer-learned convolutional neural network is trained using data sets that represent 2000 different currency notes in order to learn the unique characteristics map of the currencies. After becoming familiar with the feature map, the network is capable of real-time phoney cash detection. It is surprising how well deep learning models perform in photo classification tasks. The Deep CNN model that has been created in the proposed approach helps in the detection of the fake note without really manually extracting the properties of photographs. The model trains from the data set produced during training, letting us to identify fake currency. In multiple instances, techniques for deep learning have been shown to be more effective. Thus, deep learning is used to boost currency recognition accuracy. Among the techniques used are the African Buffalo Optimization Approach (ABO), recurrent neural networks (RNN), convolutional neural networks, generative adversarial networks (GAN) for identifying bogus notes, and classical neural networks.</t>
  </si>
  <si>
    <t>[Antonius, Franciskus] STMIK LIKMI, Sch Business &amp; Informat Technol, Bandung, Indonesia; [Ramu, Jarubula] NRI Inst Technol, Dept CSE, Guntur, India; [Sasikala, P.] Nrupathunga Univ, Govt Sci Coll, Comp Sci, Bangalore, Karnataka, India; [Sekhar, J. C.] NRI Inst Technol, CSE, Guntur, India; [Mary, S. Suma Christal] Panimalar Engn Coll, Dept Informat Technol, Chennai, India</t>
  </si>
  <si>
    <t>Antonius, F (corresponding author), STMIK LIKMI, Sch Business &amp; Informat Technol, Bandung, Indonesia.</t>
  </si>
  <si>
    <t>Sundararajan, Suma Christal Mary/CAF-9496-2022; Jampani, Chandra Sekhar/JRX-5308-2023</t>
  </si>
  <si>
    <t>Sundararajan, Suma Christal Mary/0000-0001-7929-1194; Jampani, Chandra Sekhar/0000-0001-8697-1841</t>
  </si>
  <si>
    <t>O9UT0</t>
  </si>
  <si>
    <t>WOS:001047202300001</t>
  </si>
  <si>
    <t>Agapiou, A; Lysandrou, V</t>
  </si>
  <si>
    <t>Agapiou, Athos; Lysandrou, Vasiliki</t>
  </si>
  <si>
    <t>Interacting with the Artificial Intelligence (AI) Language Model ChatGPT: A Synopsis of Earth Observation and Remote Sensing in Archaeology</t>
  </si>
  <si>
    <t>HERITAGE</t>
  </si>
  <si>
    <t>review; Earth observation archaeology; cropmarks; satellite archaeology; programming model; ChatGPT</t>
  </si>
  <si>
    <t>In this communication we aim to provide an overview of Earth observation and remote sensing in archaeology following a non-traditional literature review approach, that is, investigating recent developments in artificial intelligence (AI) and language models. Towards this direction, the generative pre-trained transformer (ChatGPT) language model was used to extract relevant information. The ChatGPT language model-recently released by OpenAI-appears to provide an alternative way for retrieving comprehensive information for various thematic topics. ChatGPT is currently operated on a beta version by millions of users worldwide, free of access for a limited period. In this study, specific queries related to Earth observation and remote sensing in archaeology were made by the authors to the ChatGPT. Innovations and limitations are discussed, while a comparison with traditional bibliographic analysis is performed.</t>
  </si>
  <si>
    <t>[Agapiou, Athos; Lysandrou, Vasiliki] Cyprus Univ Technol, Fac Engn &amp; Technol, Dept Civil Engn &amp; Geomat, Earth Observat Cultural Heritage Res Lab, CY-3036 Limassol, Cyprus</t>
  </si>
  <si>
    <t>Cyprus University of Technology</t>
  </si>
  <si>
    <t>Agapiou, A (corresponding author), Cyprus Univ Technol, Fac Engn &amp; Technol, Dept Civil Engn &amp; Geomat, Earth Observat Cultural Heritage Res Lab, CY-3036 Limassol, Cyprus.</t>
  </si>
  <si>
    <t>athos.agapiou@cut.ac.cy; vasiliki.lysandrou@cut.ac.cy</t>
  </si>
  <si>
    <t>Agapiou, Athos/J-3960-2015</t>
  </si>
  <si>
    <t>Agapiou, Athos/0000-0001-9106-6766</t>
  </si>
  <si>
    <t>European Union [101079377]; UKRI [10050486]; Horizon Europe - Horizontal Pillar [101079377] Funding Source: Horizon Europe - Horizontal Pillar</t>
  </si>
  <si>
    <t>European Union(European Union (EU)); UKRI(UK Research &amp; Innovation (UKRI)); Horizon Europe - Horizontal Pillar(European Union (EU)Horizon Europe Horizontal Pillar)</t>
  </si>
  <si>
    <t>This project has received funding from the European Union's Horizon Europe Framework Programme (HORIZON-WIDERA-2021-ACCESS-03, Twinning Call) under the grant agreement no. 101079377 and the UKRI under project number 10050486.</t>
  </si>
  <si>
    <t>2571-9408</t>
  </si>
  <si>
    <t>HERITAGE-BASEL</t>
  </si>
  <si>
    <t>Heritage</t>
  </si>
  <si>
    <t>APR 30</t>
  </si>
  <si>
    <t>10.3390/heritage6050214</t>
  </si>
  <si>
    <t>Humanities, Multidisciplinary; Multidisciplinary Sciences</t>
  </si>
  <si>
    <t>Arts &amp; Humanities - Other Topics; Science &amp; Technology - Other Topics</t>
  </si>
  <si>
    <t>L0PS8</t>
  </si>
  <si>
    <t>WOS:001020367900001</t>
  </si>
  <si>
    <t>Bai, JQ; Guo, HC; Liu, JH; Yang, J; Liang, XN; Yan, Z; Li, ZJ</t>
  </si>
  <si>
    <t>Bai, Jiaqi; Guo, Hongcheng; Liu, Jiaheng; Yang, Jian; Liang, Xinnian; Yan, Zhao; Li, Zhoujun</t>
  </si>
  <si>
    <t>GRIPRANK: Bridging the Gap between Retrieval and Generation via the Generative Knowledge Improved Passage Ranking</t>
  </si>
  <si>
    <t>Knowledge-intensive language tasks; Retrieval-enhanced text generation; Passage ranking; Knowledge distillation</t>
  </si>
  <si>
    <t>Retrieval-enhanced text generation has shown remarkable progress on knowledge-intensive language tasks, such as open-domain question answering and knowledge-enhanced dialogue generation, by leveraging passages retrieved from a large passage corpus for delivering a proper answer given the input query. However, the retrieved passages are not ideal for guiding answer generation because of the discrepancy between retrieval and generation, i.e., the candidate passages are all treated equally during the retrieval procedure without considering their potential to generate a proper answer. This discrepancy makes a passage retriever deliver a sub-optimal collection of candidate passages to generate the answer. In this paper, we propose the GeneRative Knowledge Improved Passage Ranking (GRIPRANK) approach, addressing the above challenge by distilling knowledge from a generative passage estimator (GPE) to a passage ranker, where the GPE is a generative language model used to measure how likely the candidate passages can generate the proper answer. We realize the distillation procedure by teaching the passage ranker learning to rank the passages ordered by the GPE. Furthermore, we improve the distillation quality by devising a curriculum knowledge distillation mechanism, which allows the knowledge provided by the GPE can be progressively distilled to the ranker through an easy-to-hard curriculum, enabling the passage ranker to correctly recognize the provenance of the answer from many plausible candidates. We conduct extensive experiments on four datasets across three knowledge-intensive language tasks. Experimental results show advantages over the state-of-the-art methods for both passage ranking and answer generation on the KILT benchmark.</t>
  </si>
  <si>
    <t>[Bai, Jiaqi] Beihang Univ, Sch Cyber Sci &amp; Technol, Beijing, Peoples R China; [Guo, Hongcheng; Liu, Jiaheng; Liang, Xinnian; Li, Zhoujun] Beihang Univ, State Key Lab Software Dev Environm, Beijing, Peoples R China; [Yang, Jian] Alibaba Grp, DAMO Acad, Beijing, Peoples R China; [Yan, Zhao] Tencent Cloud AI, Beijing, Peoples R China</t>
  </si>
  <si>
    <t>Beihang University; Beihang University; Alibaba Group</t>
  </si>
  <si>
    <t>Li, ZJ (corresponding author), Beihang Univ, State Key Lab Software Dev Environm, Beijing, Peoples R China.</t>
  </si>
  <si>
    <t>bjq@buaa.edu.cn; hongchengguo@buaa.edu.cn; liujiaheng@buaa.edu.cn; jiaya@buaa.edu.cn; xnliang@buaa.edu.cn; zhaoyan@tencent.com; lizj@buaa.edu.cn</t>
  </si>
  <si>
    <t>National Natural Science Foundation of China [62276017, U1636211, 61672081]; 2022 Tencent Big Travel Rhino-Bird Special Research Program; Fund of the State Key Laboratory of Software Development Environment [SKLSDE-2021ZX-18]</t>
  </si>
  <si>
    <t>National Natural Science Foundation of China(National Natural Science Foundation of China (NSFC)); 2022 Tencent Big Travel Rhino-Bird Special Research Program; Fund of the State Key Laboratory of Software Development Environment</t>
  </si>
  <si>
    <t>We thank all the anonymous reviewers for their insightful comments. This work was supported in part by the National Natural Science Foundation of China (Grant Nos. 62276017, U1636211, 61672081), the 2022 Tencent Big Travel Rhino-Bird Special Research Program, and the Fund of the State Key Laboratory of Software Development Environment (Grant No. SKLSDE-2021ZX-18).</t>
  </si>
  <si>
    <t>10.1145/3583780.3614901</t>
  </si>
  <si>
    <t>WOS:001161549500007</t>
  </si>
  <si>
    <t>Ahn, KU; Kim, DW; Cho, HM; Chae, CU</t>
  </si>
  <si>
    <t>Ahn, Ki Uhn; Kim, Deuk-Woo; Cho, Hyun Mi; Chae, Chang-U</t>
  </si>
  <si>
    <t>Alternative Approaches to HVAC Control of Chat Generative Pre-Trained Transformer (ChatGPT) for Autonomous Building System Operations</t>
  </si>
  <si>
    <t>BUILDINGS</t>
  </si>
  <si>
    <t>ChatGPT; large language model; deep Q-network; reinforcement learning; artificial intelligence; autonomous building</t>
  </si>
  <si>
    <t>ENERGY; OPTIMIZATION; PREDICTION; COMFORT</t>
  </si>
  <si>
    <t>Artificial intelligence (AI) technology has rapidly advanced and transformed the nature of scientific inquiry. The recent release of the large language model Chat Generative Pre-Trained Transformer (ChatGPT) has attracted significant attention from the public and various industries. This study applied ChatGPT to autonomous building system operations, specifically coupling it with an EnergyPlus reference office building simulation model. The operational objective was to minimize the energy use of the building systems, including four air-handling units, two chillers, a cooling tower, and two pumps, while ensuring that indoor CO2 concentrations remain below 1000 ppm. The performance of ChatGPT in an autonomous operation was compared with control results based on a deep Q-network (DQN), which is a reinforcement learning method. The ChatGPT and DQN lowered the total energy use by 16.8% and 24.1%, respectively, compared with the baseline operation, while maintaining an indoor CO2 concentration below 1000 ppm. Notably, compared with the DQN, ChatGPT-based control does not require a learning process to develop intelligence for building control. In real-world applications, the high generalization capabilities of the ChatGPT-based control, resulting from its extensive training on vast and diverse data, could potentially make it more effective.</t>
  </si>
  <si>
    <t>[Ahn, Ki Uhn; Cho, Hyun Mi] Korea Inst Civil Engn &amp; Bldg Technol, Dept Bldg Res, Goyang Si 10223, South Korea; [Kim, Deuk-Woo] Korea Inst Civil Engn &amp; Bldg Technol, Dept Bldg Energy Res, Goyang Si 10223, South Korea; [Chae, Chang-U] Korea Inst Civil Engn &amp; Bldg Technol, Res Strateg Planning Dept, Goyang Si 10223, South Korea</t>
  </si>
  <si>
    <t>Korea Institute of Civil Engineering &amp; Building Technology (KICT); Korea Institute of Civil Engineering &amp; Building Technology (KICT); Korea Institute of Civil Engineering &amp; Building Technology (KICT)</t>
  </si>
  <si>
    <t>Ahn, KU (corresponding author), Korea Inst Civil Engn &amp; Bldg Technol, Dept Bldg Res, Goyang Si 10223, South Korea.</t>
  </si>
  <si>
    <t>ahnkiuhn@kict.re.kr; deukwookim@kict.re.kr; chohyunmi@kict.re.kr; cuchae@kict.re.kr</t>
  </si>
  <si>
    <t>Kim, Deuk-Woo/0000-0002-9304-0372</t>
  </si>
  <si>
    <t>Ministry of Land, Infrastructure, and Transport</t>
  </si>
  <si>
    <t>Ministry of Land, Infrastructure, and Transport(Ministry of Land, Infrastructure &amp; Transport (MOLIT), Republic of Korea)</t>
  </si>
  <si>
    <t>2075-5309</t>
  </si>
  <si>
    <t>BUILDINGS-BASEL</t>
  </si>
  <si>
    <t>10.3390/buildings13112680</t>
  </si>
  <si>
    <t>Construction &amp; Building Technology; Engineering, Civil</t>
  </si>
  <si>
    <t>Construction &amp; Building Technology; Engineering</t>
  </si>
  <si>
    <t>AK6T4</t>
  </si>
  <si>
    <t>WOS:001118406000001</t>
  </si>
  <si>
    <t>Bendel, O</t>
  </si>
  <si>
    <t>Bendel, Oliver</t>
  </si>
  <si>
    <t>Image synthesis from an ethical perspective</t>
  </si>
  <si>
    <t>Image synthesis; Image generators; Artificial intelligence; Machine learning; Deep learning; Information ethics; Machine ethics</t>
  </si>
  <si>
    <t>Generative AI has gained a lot of attention in society, business, and science. This trend has increased since 2018, and the big breakthrough came in 2022. In particular, AI-based text and image generators are now widely used. This raises a variety of ethical issues. The present paper first gives an introduction to generative AI and then to applied ethics in this context. Three specific image generators are presented: DALL-E 2, Stable Diffusion, and Midjourney. The author goes into technical details and basic principles, and compares their similarities and differences. This is followed by an ethical discussion. The paper addresses not only risks, but opportunities for generative AI. A summary with an outlook rounds off the article.</t>
  </si>
  <si>
    <t>[Bendel, Oliver] Univ Appl Sci &amp; Arts Northwestern Switzerland, Sch Business, Bahnhofstr 6, CH-5210 Windisch, Switzerland</t>
  </si>
  <si>
    <t>FHNW University of Applied Sciences &amp; Arts Northwestern Switzerland</t>
  </si>
  <si>
    <t>Bendel, O (corresponding author), Univ Appl Sci &amp; Arts Northwestern Switzerland, Sch Business, Bahnhofstr 6, CH-5210 Windisch, Switzerland.</t>
  </si>
  <si>
    <t>oliver.bendel@fhnw.ch</t>
  </si>
  <si>
    <t>FHNW University of Applied Sciences and Arts Northwestern Switzerland</t>
  </si>
  <si>
    <t>Open access funding provided by FHNW University of Applied Sciences and Arts Northwestern Switzerland.</t>
  </si>
  <si>
    <t>2023 SEP 27</t>
  </si>
  <si>
    <t>10.1007/s00146-023-01780-4</t>
  </si>
  <si>
    <t>T0BE6</t>
  </si>
  <si>
    <t>WOS:001074720000001</t>
  </si>
  <si>
    <t>Hamad, F; Nakamura-Sakai, S; Obitayo, S; Potluru, VK</t>
  </si>
  <si>
    <t>Hamad, Fadi; Nakamura-Sakai, Shinpei; Obitayo, Saheed; Potluru, Vamsi K.</t>
  </si>
  <si>
    <t>A supervised generative optimization approach for tabular data</t>
  </si>
  <si>
    <t>Synthetic data generation; Bayesian Optimisation; Meta-Learning; Fraud Detection</t>
  </si>
  <si>
    <t>Synthetic data generation has emerged as a crucial topic for financial institutions, driven by multiple factors, such as privacy protection and data augmentation. Many algorithms have been proposed for synthetic data generation but reaching the consensus on which method we should use for the specific data sets and use cases remains challenging. Moreover, the majority of existing approaches are unsupervised in the sense that they do not take into account the downstream task. To address these issues, this work presents a novel synthetic data generation framework. The framework integrates a supervised component tailored to the specific downstream task and employs a meta-learning approach to learn the optimal mixture distribution of existing synthetic distributions.</t>
  </si>
  <si>
    <t>[Hamad, Fadi] Univ Pittsburgh, Pittsburgh, PA 15260 USA; [Nakamura-Sakai, Shinpei] Yale Univ, New Haven, CT USA; [Obitayo, Saheed; Potluru, Vamsi K.] JP Morgan AI Res, New York, NY USA</t>
  </si>
  <si>
    <t>Pennsylvania Commonwealth System of Higher Education (PCSHE); University of Pittsburgh; Yale University</t>
  </si>
  <si>
    <t>Hamad, F (corresponding author), Univ Pittsburgh, Pittsburgh, PA 15260 USA.</t>
  </si>
  <si>
    <t>fah33@pitt.edu; s.nakamura.sakai@yale.edu; saheed.o.obitayo@jpmorgan.com; vamsi.k.potluru@jpmchase.com</t>
  </si>
  <si>
    <t>Hamad, Fadi/KFB-1885-2024</t>
  </si>
  <si>
    <t>Hamad, Fadi/0000-0002-2427-9734</t>
  </si>
  <si>
    <t>10.1145/3604237.3626907</t>
  </si>
  <si>
    <t>WOS:001124982700002</t>
  </si>
  <si>
    <t>Delcourt, CG; Jin, ZX; Kobayashi, S; Gu, Q; Bassem, C</t>
  </si>
  <si>
    <t>Delcourt, Catherine Grevet; Jin, ZhiXin; Kobayashi, Sofa; Gu, Quan; Bassem, Christine</t>
  </si>
  <si>
    <t>Demonstration of A Figma Plugin to Simulate A Large-Scale Network for Prototyping Social Systems</t>
  </si>
  <si>
    <t>social computing; prototyping; network simulation; generative AI</t>
  </si>
  <si>
    <t>Prototyping novel social computing systems is a challenge in the feld of Social Computing. Rapid experimentation with novel social network sites can ofer valuable insights into their pro-social benefts before their public release to a large audience. In this demo, we present SocialSketch, a Figma Plugin to simulate a crowd in a social network. This demo introduces a plugin for Figma, a no-code interactive prototyping tool, enabling the creation of profle frames and prototype links for large crowds based on realistic network models. Privacy-protective profle content is generated using AI. The plugin aids UX designers, researchers, and students in prototyping social apps and exploring social system design.</t>
  </si>
  <si>
    <t>[Delcourt, Catherine Grevet; Bassem, Christine] Wellesley Coll, Comp Sci Dept, Wellesley, MA 02181 USA; [Jin, ZhiXin; Kobayashi, Sofa; Gu, Quan] Wellesley Coll, Wellesley, MA 02181 USA</t>
  </si>
  <si>
    <t>Delcourt, CG (corresponding author), Wellesley Coll, Comp Sci Dept, Wellesley, MA 02181 USA.</t>
  </si>
  <si>
    <t>cdelcourt@wellesley.edu; zj102@wellesley.edu; sk109@wellesley.edu; qg100@wellesley.edu; cbassem@wellesley.edu</t>
  </si>
  <si>
    <t>Gu, Quan/0000-0002-1098-9065; Bassem, Christine/0000-0002-6684-2097</t>
  </si>
  <si>
    <t>Wellesley College Brachman-Hofman small grant</t>
  </si>
  <si>
    <t>This research was funded in part by a Wellesley College Brachman-Hofman small grant.</t>
  </si>
  <si>
    <t>10.1145/3586182.3615780</t>
  </si>
  <si>
    <t>WOS:001125107000068</t>
  </si>
  <si>
    <t>Lin, L; Yang, BB</t>
  </si>
  <si>
    <t>Lin Liang; Yang Binbin</t>
  </si>
  <si>
    <t>From Perception to Creation: Exploring Frontier of Image and Video Generation Methods</t>
  </si>
  <si>
    <t>ACTA OPTICA SINICA</t>
  </si>
  <si>
    <t>Chinese</t>
  </si>
  <si>
    <t>artificial intelligent model; visual generative modeling; diffusion model; image and video generation</t>
  </si>
  <si>
    <t>DIFFUSION</t>
  </si>
  <si>
    <t>Significance In recent years, advancements in computing software and hardware have led to artificial intelligent (AI) models achieving performance levels approaching or surpassing human capabilities in perceptive tasks. However, in order to develop mature AI systems that can comprehensively understand the world, models must be capable of generating visual concepts, rather than simply recognizing them because creation and customization require a thorough understanding of high-level semantics and full details of each generated object. From an applied perspective, when AI models obtain the capability of visual understanding and generation, they will significantly promote progress and development across diverse aspects of the industry. For example, visual generative models can be applied to the following aspects: colorizing and restoring old black and white photos and films; enhancing and remastering old videos in high definition; synthesizing real-time virtual anchors, talking faces, and AI avatars; incorporating special effects into personalized video shooting on short video platforms; stylizing users' portraits and input images; compositing movie special effects and scene rendering, and so on. Therefore, research on the theories and methods of image and video generation models holds significant theoretical significance and industrial application value. Progress In this paper, we first provide a comprehensive overview of existing generative frameworks, including generative adversarial networks (GAN), variational autoencoders (VAE), flow models, and diffusion models, which can be summarized in Fig. 5. GAN is trained in an adversarial manner to obtain an ideal generator, with the mutual competition of a generator and a discriminator. VAE is composed of an encoder and a decoder, and it is trained via variational inference to make the decoded distribution approximate the real distribution. The flow model uses a family of invertible mappings and simple priors to construct an invertible transformation between real data distribution and the prior distribution. Different from GANs and VAEs, flow models are trained by the estimation of maximum likelihood. Recently, diffusion models emerge as a class of powerful visual generative models with state-of-the-art synthesis results on visual data. The diffusion model decomposes the image generation process into a sequence of denoising processes from a Gaussian prior. Its training procedure is more stable by avoiding the use of an adversarial training strategy and can be successfully deployed in a large-scale pre-trained generation system. We then review recent state-of-the-art advances in image and video generation and discuss their merits and limitations. Fig. 6 shows the overview of image and video generation models and their classifications. Works on pre-trained text-to-image generation models study how to pre-train a text-to-image foundation model on large-scale datasets. Among those T2I foundation models, stable diffusion becomes a widely-used backbone for the tasks of image/video customization and editing, due to its impressive performance and scalability. Prompt-based image editing methods aim to use the pre-trained text-to-image foundation model, e. g., stable diffusion, to edit a generated/natural image according to input text prompts. Due to the difficulty of collecting large-scale and high-quality video datasets and the expensive computational cost, the research on video generation still lags behind image generation. To learn from the success of text-to-image diffusion models, some works, e. g., video diffusion model, imagen video, VIDM, and PVDM, have tried to use enormous video data to train a video diffusion model from scratch and obtain a video generation foundation model similar to stable diffusion. Another line of work aims to resort to pre-trained image generators, e. g., stable diffusion, to provide content prior to video generation and only learn the temporal dynamics from video, which significantly improves the training efficiency. Finally, we discuss the drawbacks of existing image and video generative modeling methods, such as misalignment between input prompts and generated images/videos, further propose feasible strategies to improve those visual generative models, and outline potential and promising future research directions. These contributions are crucial for advancing the field of visual generative modeling and realizing the full potential of AI systems in generating visual concepts. Conclusions and Prospects Under the rapid evolution of diffusion models, artificial intelligence has undergone a significant transformation from perception to creation. AI can now generate perceptually realistic and harmonious data, even allowing visual customization and editing based on input conditions. In light of this progress in generative models, here we provide prospects for the potential future forms of AI: with both perception and cognitive abilities, AI models can establish their own open world, enabling people to realize the concept of what they think is what they get without being constrained by real-life conditions. For example, in this open environment, the training of AI models is no longer restricted by data collection, leading to a reformation of many existing paradigms in machine learning. Techniques like transfer learning (domain adaptation) and active learning may diminish in importance. AI might be able to achieve self-interaction, self-learning, and self-improvement within the open world it creates, ultimately attaining higher levels of intelligence and profoundly transforming humans' lifestyles.</t>
  </si>
  <si>
    <t>[Lin Liang; Yang Binbin] Sun Yat Sen Univ, Sch Comp Sci &amp; Engn, Guangzhou 510006, Guangdong, Peoples R China</t>
  </si>
  <si>
    <t>Sun Yat Sen University</t>
  </si>
  <si>
    <t>Yang, BB (corresponding author), Sun Yat Sen Univ, Sch Comp Sci &amp; Engn, Guangzhou 510006, Guangdong, Peoples R China.</t>
  </si>
  <si>
    <t>yangbb3@mail2.sysu.edu.cn</t>
  </si>
  <si>
    <t>CHINESE LASER PRESS</t>
  </si>
  <si>
    <t>SHANGHAI</t>
  </si>
  <si>
    <t>PO BOX 800-211, SHANGHAI, 201800, PEOPLES R CHINA</t>
  </si>
  <si>
    <t>0253-2239</t>
  </si>
  <si>
    <t>ACTA OPT SIN</t>
  </si>
  <si>
    <t>Acta Opt. Sin.</t>
  </si>
  <si>
    <t>10.3788/AOS230758</t>
  </si>
  <si>
    <t>GO9G5</t>
  </si>
  <si>
    <t>WOS:001153722700005</t>
  </si>
  <si>
    <t>Lou, YX; Kumar, A; Xiang, JW</t>
  </si>
  <si>
    <t>Lou, Yunxia; Kumar, Anil; Xiang, Jiawei</t>
  </si>
  <si>
    <t>Machinery fault diagnostic method based on numerical simulation driving partial transfer learning</t>
  </si>
  <si>
    <t>SCIENCE CHINA-TECHNOLOGICAL SCIENCES</t>
  </si>
  <si>
    <t>finite element method; generative adversarial network; fault diagnosis; partial transfer learning; bearing; gear</t>
  </si>
  <si>
    <t>GENERATIVE ADVERSARIAL NETWORKS; DATA AUGMENTATION; MODEL</t>
  </si>
  <si>
    <t>Artificial intelligence (AI), which has recently gained popularity, is being extensively employed in modern fault diagnostic research to preserve the reliability and productivity of machines. The effectiveness of AI is influenced by the quality of the labeled training data. However, in engineering scenarios, available data on mechanical equipment are scarce, and collecting massive amounts of well-annotated fault data to train AI models is expensive and difficult. In response to the inadequacy of training samples, a numerical simulation-based partial transfer learning method for machinery fault diagnosis is proposed. First, a suitable simulation model of critical components in a mechanical system is developed using the finite element method (FEM), and numerical simulation is performed to acquire FEM simulation samples containing different fault types. Second, several synthetic simulation samples are generated to form complete source domain training samples using a generative adversarial network. Subsequently, the partial transfer learning network is trained to extract shared fault characteristics between the simulation and measured samples in the case of class imbalance. Finally, the resulting model is used to diagnose unknown samples from real-world mechanical systems in operation. The proposed method is tested on actual fault samples of bearings and gears obtained from a public dataset and experimental test rig available in our laboratory, achieving average classification accuracy of 99.54% and 99.64%, respectively. Comparison investigations reveal that the proposed method has superior classification and generalization ability when detecting faults in real mechanical systems.</t>
  </si>
  <si>
    <t>[Lou, Yunxia; Kumar, Anil; Xiang, Jiawei] Wenzhou Univ, Coll Mech &amp; Elect Engn, Wenzhou 325035, Peoples R China</t>
  </si>
  <si>
    <t>Wenzhou University</t>
  </si>
  <si>
    <t>Xiang, JW (corresponding author), Wenzhou Univ, Coll Mech &amp; Elect Engn, Wenzhou 325035, Peoples R China.</t>
  </si>
  <si>
    <t>jwxiang@wzu.edu.cn</t>
  </si>
  <si>
    <t>Kumar, Anil/O-3741-2017</t>
  </si>
  <si>
    <t>Kumar, Anil/0000-0001-6675-1657</t>
  </si>
  <si>
    <t>National Natural Science Foundation of China [U1909217]; Zhejiang Natural Science Foundation of China [LD21E050001]; Wenzhou Major Science and Technology Innovation Project of China [ZG2020051]</t>
  </si>
  <si>
    <t>National Natural Science Foundation of China(National Natural Science Foundation of China (NSFC)); Zhejiang Natural Science Foundation of China; Wenzhou Major Science and Technology Innovation Project of China</t>
  </si>
  <si>
    <t>This work was supported by the National Natural Science Foundation of China (Grant No. U1909217), the Zhejiang Natural Science Foundation of China (Grant No. LD21E050001), and the Wenzhou Major Science and Technology Innovation Project of China (Grant No. ZG2020051)</t>
  </si>
  <si>
    <t>SCIENCE PRESS</t>
  </si>
  <si>
    <t>16 DONGHUANGCHENGGEN NORTH ST, BEIJING 100717, PEOPLES R CHINA</t>
  </si>
  <si>
    <t>1674-7321</t>
  </si>
  <si>
    <t>1869-1900</t>
  </si>
  <si>
    <t>SCI CHINA TECHNOL SC</t>
  </si>
  <si>
    <t>Sci. China-Technol. Sci.</t>
  </si>
  <si>
    <t>10.1007/s11431-023-2496-6</t>
  </si>
  <si>
    <t>Engineering, Multidisciplinary; Materials Science, Multidisciplinary</t>
  </si>
  <si>
    <t>ES7K5</t>
  </si>
  <si>
    <t>WOS:001104880600001</t>
  </si>
  <si>
    <t>Tomaszewska, R</t>
  </si>
  <si>
    <t>Pedrycz, W; Wang, J; He, Y; Dinh, TN; Grant, C; Qiu, M</t>
  </si>
  <si>
    <t>Tomaszewska, Renata</t>
  </si>
  <si>
    <t>Andragogy Meets ChatGPT in Lifelong Learning: Exploring Opportunities and Challenges</t>
  </si>
  <si>
    <t>2023 23RD IEEE INTERNATIONAL CONFERENCE ON DATA MINING WORKSHOPS, ICDMW 2023</t>
  </si>
  <si>
    <t>International Conference on Data Mining Workshops</t>
  </si>
  <si>
    <t>23rd IEEE International Conference on Data Mining (IEEE ICDM)</t>
  </si>
  <si>
    <t>DEC 01-04, 2023</t>
  </si>
  <si>
    <t>Shanghai, PEOPLES R CHINA</t>
  </si>
  <si>
    <t>IEEE,IEEE Comp Soc,US National Science Foundation,Technology Innovation Institute,TWO SIGMA</t>
  </si>
  <si>
    <t>andragogy; Artificial Intelligence; AI Pedagogy; ChatGTP; Lifelong Learning</t>
  </si>
  <si>
    <t>This paper delves into the confluence of Lifelong Learning (LLL) and progressive pedagogical methodologies, specifically investigating the integration of Generative Pretraining Transformer - ChatGPT. Examining LLL's significance in the digital proficiency context and the evolving educational landscape, the paper highlights the potential benefits of ChatGPT in LLL. Simultaneously, it scrutinizes challenges tied to its assimilation. Envisioning AI's central role in LLL, the study underscores ChatGPT's transformative potential. Recommendations are offered for responsible ChatGPT integration in LLL. The interplay between lifelong learning and advanced AI-driven tools presents opportunities and responsibilities, necessitating a balanced approach to harnessing ChatGPT's potential for enriching lifelong learning.</t>
  </si>
  <si>
    <t>[Tomaszewska, Renata] Kazimierz Wielki Univ, Dept Pedag, Bydgoszcz, Poland</t>
  </si>
  <si>
    <t>Kazimierz Wielki University</t>
  </si>
  <si>
    <t>Tomaszewska, R (corresponding author), Kazimierz Wielki Univ, Dept Pedag, Bydgoszcz, Poland.</t>
  </si>
  <si>
    <t>renatatl@ukw.edu.pl</t>
  </si>
  <si>
    <t>2375-9232</t>
  </si>
  <si>
    <t>979-8-3503-8164-1</t>
  </si>
  <si>
    <t>INT CONF DAT MIN WOR</t>
  </si>
  <si>
    <t>10.1109/ICDMW60847.2023.00117</t>
  </si>
  <si>
    <t>BW5OA</t>
  </si>
  <si>
    <t>WOS:001164077500109</t>
  </si>
  <si>
    <t>Luu, RK; Buehler, MJ</t>
  </si>
  <si>
    <t>Luu, Rachel K.; Buehler, Markus J.</t>
  </si>
  <si>
    <t>BioinspiredLLM: Conversational Large Language Model for the Mechanics of Biological and Bio-Inspired Materials</t>
  </si>
  <si>
    <t>bio-inspiration; biological materials; generative artificial intelligence; hierarchical structures; large language models; mechanical properties</t>
  </si>
  <si>
    <t>HIERARCHICAL STRUCTURE; BIOMECHANICS; MULTISCALE; SYSTEMS</t>
  </si>
  <si>
    <t>The study of biological materials and bio-inspired materials science is well established; however, surprisingly little knowledge is systematically translated to engineering solutions. To accelerate discovery and guide insights, an open-source autoregressive transformer large language model (LLM), BioinspiredLLM, is reported. The model is finetuned with a corpus of over a thousand peer-reviewed articles in the field of structural biological and bio-inspired materials and can be prompted to recall information, assist with research tasks, and function as an engine for creativity. The model has proven that it is able to accurately recall information about biological materials and is further strengthened with enhanced reasoning ability, as well as with Retrieval-Augmented Generation (RAG) to incorporate new data during generation that can also help to traceback sources, update the knowledge base, and connect knowledge domains. BioinspiredLLM also has shown to develop sound hypotheses regarding biological materials design and remarkably so for materials that have never been explicitly studied before. Lastly, the model shows impressive promise in collaborating with other generative artificial intelligence models in a workflow that can reshape the traditional materials design process. This collaborative generative artificial intelligence method can stimulate and enhance bio-inspired materials design workflows. Biological materials are at a critical intersection of multiple scientific fields and models like BioinspiredLLM help to connect knowledge domains.</t>
  </si>
  <si>
    <t>[Luu, Rachel K.; Buehler, Markus J.] MIT, Lab Atomist &amp; Mol Mech LAMM, 77 Massachusetts Ave, Cambridge, MA 02139 USA; [Luu, Rachel K.] MIT, Dept Mat Sci &amp; Engn, 77 Massachusetts Ave, Cambridge, MA 02139 USA; [Buehler, Markus J.] MIT, Schwarzman Coll Comp, Ctr Computat Sci &amp; Engn, 77 Massachusetts Ave, Cambridge, MA 02139 USA</t>
  </si>
  <si>
    <t>Massachusetts Institute of Technology (MIT); Massachusetts Institute of Technology (MIT); Massachusetts Institute of Technology (MIT)</t>
  </si>
  <si>
    <t>; Buehler, Markus/C-4580-2008</t>
  </si>
  <si>
    <t>Luu, Rachel/0000-0002-7821-934X; Buehler, Markus/0000-0002-4173-9659</t>
  </si>
  <si>
    <t>National Science Foundation Graduate Research Fellowship; Army Research Office [W911NF1920098, W911NF2220213]; ONR [N00014-19-1-2375, N00014-20-1-2189]; USDA [2021-69012-35978]; MIT's Generative AI initiative; MIT-IBM Watson AI Lab; [2141064]</t>
  </si>
  <si>
    <t>National Science Foundation Graduate Research Fellowship(National Science Foundation (NSF)); Army Research Office; ONR(Office of Naval Research); USDA(United States Department of Agriculture (USDA)); MIT's Generative AI initiative; MIT-IBM Watson AI Lab(International Business Machines (IBM));</t>
  </si>
  <si>
    <t>This material is based upon work supported by the National Science Foundation Graduate Research Fellowship under Grant no. 2141064. This work was funded by the Army Research Office (W911NF1920098 and W911NF2220213), ONR (N00014-19-1-2375 and N00014-20-1-2189), as well as USDA (2021-69012-35978). Additional support was provided by MIT's Generative AI initiative, and the MIT-IBM Watson AI Lab. The authors would like to thank MIT Libraries staff, including Dr. Ye Li, for their advice and support in text/data mining.</t>
  </si>
  <si>
    <t>10.1002/advs.202306724</t>
  </si>
  <si>
    <t>LB8H6</t>
  </si>
  <si>
    <t>WOS:001129453100001</t>
  </si>
  <si>
    <t>Corrin, L; Thompson, K; Lodge, JM</t>
  </si>
  <si>
    <t>Corrin, Linda; Thompson, Kate; Lodge, Jason M.</t>
  </si>
  <si>
    <t>AJET in 2023: Reflections on educational technology, people, and bibliometrics</t>
  </si>
  <si>
    <t>educational technology; generative AI; academic publishing; bibliometric data</t>
  </si>
  <si>
    <t>In this editorial we reflect on the last three years of AJET achievements, challenges, and opportunities as we reach a time of transition in the lead editorial team. We also reflect on the key themes of 2023, especially the impact that the growing availability of generative artificial intelligence has had on research and practice in the tertiary education sector. We present our annual round up of bibliometrics, thank our hardworking editorial team, and acknowledge the contributions of those who are ending their service with AJET in 2023. In conclusion, we look ahead by outlining our goals for 2024 and discussing the themes and technologies that will be a focus for AJET in the new year.</t>
  </si>
  <si>
    <t>[Corrin, Linda] Deakin Univ, Geelong, Australia; [Thompson, Kate] Queensland Univ Technol, Brisbane, Australia; [Lodge, Jason M.] Univ Queensland, Brisbane, Australia</t>
  </si>
  <si>
    <t>Deakin University; Queensland University of Technology (QUT); University of Queensland</t>
  </si>
  <si>
    <t>Corrin, L (corresponding author), Deakin Univ, Geelong, Australia.</t>
  </si>
  <si>
    <t>linda.corrin@deakin.edu.au</t>
  </si>
  <si>
    <t>10.14742/ajet.9277</t>
  </si>
  <si>
    <t>EE9E6</t>
  </si>
  <si>
    <t>WOS:001137353900005</t>
  </si>
  <si>
    <t>Leypold, T; Schaefer, B; Boos, A; Beier, JP</t>
  </si>
  <si>
    <t>Leypold, Tim; Schaefer, Benedikt; Boos, Anja; Beier, Justus P.</t>
  </si>
  <si>
    <t>Can AI Think Like a Plastic Surgeon? Evaluating GPT-4's Clinical Judgment in Reconstructive Procedures of the Upper Extremity</t>
  </si>
  <si>
    <t>PLASTIC AND RECONSTRUCTIVE SURGERY-GLOBAL OPEN</t>
  </si>
  <si>
    <t>This study delves into the potential application of OpenAI's Generative Pretrained Transformer 4 (GPT-4) in plastic surgery, with a particular focus on procedures involving the hand and arm. GPT-4, a cutting-edge artificial intelligence (AI) model known for its advanced chat interface, was tested on nine surgical scenarios of varying complexity. To optimize the performance of GPT-4, prompt engineering techniques were used to guide the model's responses and improve the relevance and accuracy of its output. A panel of expert plastic surgeons evaluated the responses using a Likert scale to assess the model's performance, based on five distinct criteria. Each criterion was scored on a scale of 1 to 5, with 5 representing the highest possible score. GPT-4 demonstrated a high level of performance, achieving an average score of 4.34 across all cases, consistent across different complexities. The study highlights the ability of GPT-4 to understand and respond to complicated surgical scenarios. However, the study also identifies potential areas for improvement. These include refining the prompts used to elicit responses from the model and providing targeted training with specialized, up-to-date sources. This study demonstrates a new approach to exploring large language models and highlights potential future applications of AI. These could improve patient care, refine surgical outcomes, and even change the way we approach complex clinical scenarios in plastic surgery. However, the intrinsic limitations of AI in its current state, together with the potential ethical considerations and the inherent uncertainty of unanticipated issues, serve to reiterate the indispensable role and unparalleled value of human plastic surgeons.</t>
  </si>
  <si>
    <t>[Leypold, Tim; Schaefer, Benedikt; Boos, Anja; Beier, Justus P.] Univ Hosp RWTH Aachen, Hand Surg Burn Ctr, Dept Plast Surg, Aachen, Germany</t>
  </si>
  <si>
    <t>RWTH Aachen University; RWTH Aachen University Hospital</t>
  </si>
  <si>
    <t>Leypold, T (corresponding author), Univ Hosp RWTH Aachen, Hand Surg Burn Ctr, Dept Plast Surg, Aachen, Germany.</t>
  </si>
  <si>
    <t>LIPPINCOTT WILLIAMS &amp; WILKINS</t>
  </si>
  <si>
    <t>TWO COMMERCE SQ, 2001 MARKET ST, PHILADELPHIA, PA 19103 USA</t>
  </si>
  <si>
    <t>2169-7574</t>
  </si>
  <si>
    <t>PRS-GLOB OPEN</t>
  </si>
  <si>
    <t>PRS-GLOB. OPEN</t>
  </si>
  <si>
    <t>e5471</t>
  </si>
  <si>
    <t>10.1097/GOX.0000000000005471</t>
  </si>
  <si>
    <t>Surgery</t>
  </si>
  <si>
    <t>CF1Y2</t>
  </si>
  <si>
    <t>WOS:001123756300001</t>
  </si>
  <si>
    <t>Gabora, L; Bach, J</t>
  </si>
  <si>
    <t>Moniz, N; Vale, Z; Cascalho, J; Silva, C; Sebastiao, R</t>
  </si>
  <si>
    <t>Gabora, Liane; Bach, Joscha</t>
  </si>
  <si>
    <t>A Path to Generative Artificial Selves</t>
  </si>
  <si>
    <t>PROGRESS IN ARTIFICIAL INTELLIGENCE, EPIA 2023, PT II</t>
  </si>
  <si>
    <t>22nd EPIA Conference on Artificial Intelligence (EPIA)</t>
  </si>
  <si>
    <t>SEP 05-08, 2023</t>
  </si>
  <si>
    <t>Azores, PORTUGAL</t>
  </si>
  <si>
    <t>EPIA,Associacao Portuguesa Inteligencia Artificial,Springer,Elsevier, Artificial Intelligence Journal,Fundacao Ciencia &amp; Tecnologia,Governo Acores,Assembleia Legislativa Regiao Autonoma Acores,Camara Municipal Horta,NOS,INESCTEC,GRIA,LIACC,OKEANOS UAC,Univ Acores,Res Grp Intelligent Engn &amp; Comp Adv Innovat &amp; Dev,CISUC,Inst Engn Electronica Telematica Aveiro,Intelligent Syst Associate Lab,Dev Scope</t>
  </si>
  <si>
    <t>Agency; Autocatalytic Network; Artificial Intelligence; Cognitive Architecture; Creativity; Domain-generality; Self-hood</t>
  </si>
  <si>
    <t>AUTOCATALYTIC SETS; NETWORKS; EMERGENCE; ORIGIN; CATALYSIS; INSIGHT</t>
  </si>
  <si>
    <t>Artificial intelligence output are undeniably creative, but it has been argued that creativity should be assessed in terms of, not external products, but internal self-transformation through immersion in a creative task. Self-transformation requires a self, which we define as a bounded, self-organizing, self-preserving agent that is distinct from, and interacts with, its environment. The paper explores how self-hood, as well as self-transformation as a result of creative tasks, could be achieved in a machine using autocatalytic networks. The autocatalytic framework is ideal for modeling systems that exhibit emergent network formation and growth. The approach readily scales up, and it can analyze and detect phase transitions in vastly complex networks that have proven intractable with other approaches. Autocatalytic networks have been applied to both (1) the origin of life and the onset of biological evolution, and (2) the origin of minds sufficiently complex and integrated to participate in cultural evolution. The first entails the emergence of self-hood at the level of the soma, or body, while the second entails the emergence of self-hood at the level of a mental models of the world, or worldview; we suggest that humans possess both. We discuss the feasibility of an AI with creative agency and self-hood at the second (cognitive) level, but not the first (somatic) level.</t>
  </si>
  <si>
    <t>[Gabora, Liane] Univ British Columbia, Kelowna, BC V1V 1V7, Canada; [Bach, Joscha] Thistledown Fdn, Ottawa, ON K1P 1H4, Canada; [Bach, Joscha] Rupert Karls Univ Heidelberg, ABC Inst, Heidelberg, Germany</t>
  </si>
  <si>
    <t>University of British Columbia; Ruprecht Karls University Heidelberg</t>
  </si>
  <si>
    <t>Gabora, L (corresponding author), Univ British Columbia, Kelowna, BC V1V 1V7, Canada.</t>
  </si>
  <si>
    <t>liane.gabora@ubc.ca; joscha.bach@gmail.com</t>
  </si>
  <si>
    <t>Natural Sciences and Engineering Research Council of Canada [GR01855]</t>
  </si>
  <si>
    <t>Natural Sciences and Engineering Research Council of Canada(Natural Sciences and Engineering Research Council of Canada (NSERC)CGIAR)</t>
  </si>
  <si>
    <t>Supported by the Natural Sciences and Engineering Research Council of Canada, grant number GR01855.</t>
  </si>
  <si>
    <t>978-3-031-49010-1; 978-3-031-49011-8</t>
  </si>
  <si>
    <t>10.1007/978-3-031-49011-8_2</t>
  </si>
  <si>
    <t>BW5HA</t>
  </si>
  <si>
    <t>WOS:001160568000002</t>
  </si>
  <si>
    <t>Wu, D; Yu, ZW; Ma, N; Jiang, JA; Wang, YT; Zhou, GX; Deng, HH; Li, Y</t>
  </si>
  <si>
    <t>Wu, Di; Yu, Zhiwang; Ma, Nan; Jiang, Jianan; Wang, Yuetian; Zhou, Guixiang; Deng, Hanhui; Li, Yi</t>
  </si>
  <si>
    <t>StyleMe: Towards Intelligent Fashion Generation with Designer Style</t>
  </si>
  <si>
    <t>Fashion design; sketch generalization; sketch colourization; generative adversarial network; generative AI tool</t>
  </si>
  <si>
    <t>DEEP</t>
  </si>
  <si>
    <t>Hand-drawn sketches and sketch colourization are the most laborious but necessary steps for fashion designers to design exquisite clothes, especially when the fashion design requires distinctive and personal characteristics from designer style. This paper presents an artificial intelligent aided fashion design system, namely StyleMe, to support the automatic generation of clothing sketches with designer style. Given the clothing pictures specified by the designer, StyleMe can use deep learning based generative model to generate clothing sketches that are consistent with the designer style. The system also supports intelligent colourization on clothing sketch by style transfer, according to specified styles from the real fashion images. Through a series of performance evaluations and user studies, we found that our system can generate effective clothing sketches as good as fashion designers' human work, and significantly improve the efficiency of fashion design with its sketch colourization method.</t>
  </si>
  <si>
    <t>[Wu, Di; Yu, Zhiwang; Ma, Nan; Jiang, Jianan; Wang, Yuetian; Zhou, Guixiang; Deng, Hanhui; Li, Yi] Hunan Univ, ExponentiAI Innovat, Changsha, Peoples R China</t>
  </si>
  <si>
    <t>Hunan University</t>
  </si>
  <si>
    <t>Wu, D (corresponding author), Hunan Univ, ExponentiAI Innovat, Changsha, Peoples R China.</t>
  </si>
  <si>
    <t>dwu@hnu.edu.cn; yu2022@hnu.edu.cn; manan@hnu.edu.cn; jiangjn22@hnu.edu.cn; yuetian@hnu.edu.cn; S2008W0556@hnu.edu.cn; denghanhui@hnu.edu.cn; 2012171@hnu.edu.cn</t>
  </si>
  <si>
    <t>Jiang, Jianan/0000-0003-3029-8146; Yu, Zhiwang/0000-0003-3252-9067; Deng, Hanhui/0000-0003-2091-5163</t>
  </si>
  <si>
    <t>National Natural Science Foundation of China [61972145]; National Key R&amp;D Program of China [2019YFB1405703]; Key R&amp;D Program of Hunan Province [2022GK2069]</t>
  </si>
  <si>
    <t>National Natural Science Foundation of China(National Natural Science Foundation of China (NSFC)); National Key R&amp;D Program of China; Key R&amp;D Program of Hunan Province</t>
  </si>
  <si>
    <t>We would like to thank all the study participants and the anonymous reviewers for their valuable comments. This work was supported in part by the National Natural Science Foundation of China under Grant No. 61972145, the National Key R&amp;D Program of China under Grant No. 2019YFB1405703 and the Key R&amp;D Program of Hunan Province under Grant No. 2022GK2069.</t>
  </si>
  <si>
    <t>10.1145/3544548.3581377</t>
  </si>
  <si>
    <t>WOS:001048393804025</t>
  </si>
  <si>
    <t>Hidayat-ur-Rehman, I; Ibrahim, Y</t>
  </si>
  <si>
    <t>Hidayat-ur-Rehman, Imdadullah; Ibrahim, Yasser</t>
  </si>
  <si>
    <t>Exploring factors influencing educators' adoption of ChatGPT: a mixed method approach</t>
  </si>
  <si>
    <t>INTERACTIVE TECHNOLOGY AND SMART EDUCATION</t>
  </si>
  <si>
    <t>AI-enabled assistants; AI bots; Chatbots; ChatGPT; Generative pre-trained transformer; Educators' ChatGPT adoption model</t>
  </si>
  <si>
    <t>SELF-DETERMINATION; USER ACCEPTANCE; STATUS-QUO; TECHNOLOGY; INFORMATION; PERSPECTIVE; RESISTANCE; SERVICE; MODEL</t>
  </si>
  <si>
    <t>PurposeA number of recent artificial intelligence (AI)-enabled technologies, including summarisers, paraphrasers and the cutting-edge chatbots not only have outstanding potentials in modern educational systems but also could lead to a dramatic paradigm shift in the whole education process. This study aims to explore the factors that shape the academic community's desire and intention to use AI conversational chatbot technology, with a particular focus on the leading ChatGPT.Design/methodology/approachThis study uses a mixed method approach to explore the educators' adoption of chatbots through an empirically validated model. The model, known as the Educators' Adoption of ChatGPT, was developed by integrating the theoretical foundations of both the Unified Theory of Acceptance and Use of Technology and Status Quo Bias (SQB) frameworks, as well as insights gathered from interviews. The relationships within this model were then tested using a quantitative approach. The partial least squares-structural equation modelling method was used to analyse 243 valid survey responses.FindingsThe outcomes of the analysis indicated that perceived educators' effort expectancy, educators' autonomous motivation, perceived learners' AI competency, perceived educators' competency, innovative behaviour towards technological agility and perceived students' engagement are significant determinants of educators' intention to use chatbots. In contrast, perceived unfair evaluation of students, perceived students' overreliance and perceived bias/inaccuracies were shown to have significant impacts on the resistance to use the technology, which typically implies a negatively significant influence on the educators' use intention. Interestingly, perceived fraudulent use of ChatGPT was proven insignificant on the resistance to use chatbots.Originality/valueThis study makes a significant contribution to the field of educational technology by filling the gap in research on the use and acceptance of AI-enabled assistants in education. It proposes an original, empirically validated model of educator adoption, which identifies the factors that influence educators' willingness to use chatbots in higher education and offers valuable insights for practical implementation.</t>
  </si>
  <si>
    <t>[Hidayat-ur-Rehman, Imdadullah] Univ Tabuk, Fac Business Adm, Dept MIS, Tabuk, Saudi Arabia; [Ibrahim, Yasser] Cairo Univ, Fac Econ &amp; Polit Sci, Sociocomp Dept, Giza, Egypt</t>
  </si>
  <si>
    <t>University of Tabuk; Egyptian Knowledge Bank (EKB); Cairo University</t>
  </si>
  <si>
    <t>Hidayat-ur-Rehman, I (corresponding author), Univ Tabuk, Fac Business Adm, Dept MIS, Tabuk, Saudi Arabia.</t>
  </si>
  <si>
    <t>imdad7371@hotmail.com</t>
  </si>
  <si>
    <t>Rehman, Imdadullah Hidayat ur/AAS-4754-2020</t>
  </si>
  <si>
    <t>Rehman, Imdadullah Hidayat ur/0000-0001-7763-6566</t>
  </si>
  <si>
    <t>1741-5659</t>
  </si>
  <si>
    <t>1758-8510</t>
  </si>
  <si>
    <t>INTERACT TECHNOL SMA</t>
  </si>
  <si>
    <t>Interact. Technol. Smart Educ.</t>
  </si>
  <si>
    <t>2023 DEC 21</t>
  </si>
  <si>
    <t>10.1108/ITSE-07-2023-0127</t>
  </si>
  <si>
    <t>CT5J8</t>
  </si>
  <si>
    <t>WOS:001127501200001</t>
  </si>
  <si>
    <t>Feng, YH; Vanam, S; Cherukupally, M; Zheng, WJ; Qiu, MK; Chen, HH</t>
  </si>
  <si>
    <t>Shahriar, H; Teranishi, Y; Cuzzocrea, A; Sharmin, M; Towey, D; Majumder, AKMJA; Kashiwazaki, H; Yang, JJ; Takemoto, M; Sakib, N; Banno, R; Ahamed, SI</t>
  </si>
  <si>
    <t>Feng, Yunhe; Vanam, Sreecharan; Cherukupally, Manasa; Zheng, Weijian; Qiu, Meikang; Chen, Haihua</t>
  </si>
  <si>
    <t>Investigating Code Generation Performance of ChatGPT with Crowdsourcing Social Data</t>
  </si>
  <si>
    <t>2023 IEEE 47TH ANNUAL COMPUTERS, SOFTWARE, AND APPLICATIONS CONFERENCE, COMPSAC</t>
  </si>
  <si>
    <t>Proceedings International Computer Software and Applications Conference</t>
  </si>
  <si>
    <t>47th IEEE-Computer-Society Annual International Conference on Computers, Software, and Applications (COMPSAC)</t>
  </si>
  <si>
    <t>JUN 27-29, 2023</t>
  </si>
  <si>
    <t>Univ Torino, Torino, ITALY</t>
  </si>
  <si>
    <t>Univ Torino</t>
  </si>
  <si>
    <t>ChatGPT; Coding Generation; Software Engineering; Large Language Models (LLMs); Generative Models; Social Media</t>
  </si>
  <si>
    <t>The recent advancements in Artificial Intelligence, particularly in large language models and generative models, are reshaping the field of software engineering by enabling innovative ways of performing various tasks, such as programming, debugging, and testing. However, few existing works have thoroughly explored the potential of AI in code generation and users' attitudes toward AI-assisted coding tools. This knowledge gap leaves it unclear how AI is transforming software engineering and programming education. This paper presents a scalable crowdsourcing data-driven framework to investigate the code generation performance of generative large language models from diverse perspectives across multiple social media platforms. Specifically, we utilize ChatGPT, a popular generative large language model, as a representative example to reveal its insights and patterns in code generation. First, we propose a hybrid keyword word expansion method that integrates words suggested by topic modeling and expert knowledge to filter relevant social posts of interest on Twitter and Reddit. Then we collect 316K tweets and 3.2K Reddit posts about ChatGPT's code generation, spanning from Dec. 1, 2022 to January 31, 2023. Our data analytics show that ChatGPT has been used in more than 10 programming languages, with Python and JavaScript being the two most popular, for a diverse range of tasks such as code debugging, interview preparation, and academic assignment solving. Surprisingly, our analysis shows that fear is the dominant emotion associated with ChatGPT's code generation, overshadowing emotions of happiness, anger, surprise, and sadness. Furthermore, we construct a ChatGPT prompt and corresponding code dataset by analyzing the screen-shots of ChatGPT code generation shared on social media. This dataset enables us to evaluate the quality of the generated code, and we have released this dataset to the public. We believe the insights gained from our work will provide valuable guidance for future research on AI-powered code generation.</t>
  </si>
  <si>
    <t>[Feng, Yunhe; Vanam, Sreecharan; Cherukupally, Manasa; Chen, Haihua] Univ North Texas, Denton, TX 76203 USA; [Zheng, Weijian] Argonne Natl Lab, Argonne, IL 60439 USA; [Qiu, Meikang] Dakota State Univ, Madison, SD USA</t>
  </si>
  <si>
    <t>University of North Texas System; University of North Texas Denton; United States Department of Energy (DOE); Argonne National Laboratory; Dakota State University</t>
  </si>
  <si>
    <t>Feng, YH (corresponding author), Univ North Texas, Denton, TX 76203 USA.</t>
  </si>
  <si>
    <t>yunhe.feng@unt.edu; vanamsreecharan@my.unt.edu; manasacherukupally@my.unt.edu; wzheng@anl.gov; meikang.qiu@dsu.edu; haihua.chen@unt.edu</t>
  </si>
  <si>
    <t>Feng, Yunhe/AAB-8342-2019</t>
  </si>
  <si>
    <t>Feng, Yunhe/0000-0001-6577-227X; Chen, Haihua/0000-0002-7088-9752</t>
  </si>
  <si>
    <t>0730-3157</t>
  </si>
  <si>
    <t>979-8-3503-2697-0</t>
  </si>
  <si>
    <t>P INT COMP SOFTW APP</t>
  </si>
  <si>
    <t>10.1109/COMPSAC57700.2023.00117</t>
  </si>
  <si>
    <t>BV5CB</t>
  </si>
  <si>
    <t>WOS:001046484100107</t>
  </si>
  <si>
    <t>Borras, K; Chang, SY; Funcke, L; Grossi, M; Hartung, T; Jansen, K; Kruecker, D; Kühn, S; Rehm, F; Tüysüz, C; Vallecorsa, S</t>
  </si>
  <si>
    <t>IOP</t>
  </si>
  <si>
    <t>Borras, Kerstin; Chang, Su Yeon; Funcke, Lena; Grossi, Michele; Hartung, Tobias; Jansen, Karl; Kruecker, Dirk; Kuhn, Stefan; Rehm, Florian; Tueysuez, Cenk; Vallecorsa, Sofia</t>
  </si>
  <si>
    <t>Impact of quantum noise on the training of quantum Generative Adversarial Networks</t>
  </si>
  <si>
    <t>20TH INTERNATIONAL WORKSHOP ON ADVANCED COMPUTING AND ANALYSIS TECHNIQUES IN PHYSICS RESEARCH</t>
  </si>
  <si>
    <t>Journal of Physics Conference Series</t>
  </si>
  <si>
    <t>20th International Workshop on Advanced Computing and Analysis Techniques in Physics Research (ACAT)</t>
  </si>
  <si>
    <t>NOV 29-DEC 03, 2021</t>
  </si>
  <si>
    <t>Institute for Basic Science,Korea Institute of Science and Technology Information,Soongsil University,Asia Pacific Ctr Theoret Phys,Micron,Korean Phys Soc,Daejeon Int Mkt Enterprise</t>
  </si>
  <si>
    <t>Current noisy intermediate-scale quantum devices suffer from various sources of intrinsic quantum noise. Overcoming the effects of noise is a major challenge, for which different error mitigation and error correction techniques have been proposed. In this paper, we conduct a first study of the performance of quantum Generative Adversarial Networks (qGANs) in the presence of different types of quantum noise, focusing on a simplified use case in high-energy physics. In particular, we explore the effects of readout and two-qubit gate errors on the qGAN training process. Simulating a noisy quantum device classically with IBM's Qiskit framework, we examine the threshold of error rates up to which a reliable training is possible. In addition, we investigate the importance of various hyperparameters for the training process in the presence of different error rates, and we explore the impact of readout error mitigation on the results.</t>
  </si>
  <si>
    <t>[Borras, Kerstin; Jansen, Karl; Kruecker, Dirk; Tueysuez, Cenk] Deutsch Elektronen Synchrotron DESY, Platanenallee 6, D-15738 Zeuthen, Germany; [Borras, Kerstin; Rehm, Florian] Rhein Westfal TH Aachen, Templergraben 55, D-52062 Aachen, Germany; [Chang, Su Yeon; Grossi, Michele; Rehm, Florian; Vallecorsa, Sofia] CERN, CH-1211 Geneva 23, Switzerland; [Chang, Su Yeon] Ecole Polytech Fed Lausanne, Inst Phys, CH-1015 Lausanne, Switzerland; [Funcke, Lena] MIT, Ctr Theoret Phys, Codesign Ctr Quantum Advantage, 77 Massachusetts Ave, Cambridge, MA 02139 USA; [Funcke, Lena] MIT, NSF AI Inst Artificial Intelligence &amp; Fundamental, 77 Massachusetts Ave, Cambridge, MA 02139 USA; [Hartung, Tobias; Kuhn, Stefan] Cyprus Inst, Computat Based Sci &amp; Technol Res Ctr, 20 Kavafi St, CY-2121 Nicosia, Cyprus; [Hartung, Tobias] Univ Bath, Dept Math Sci, 4 West, Bath BA2 7AY, Avon, England; [Tueysuez, Cenk] Humboldt Univ, Inst Phys, Newtonstr 15, D-12489 Berlin, Germany</t>
  </si>
  <si>
    <t>Helmholtz Association; Deutsches Elektronen-Synchrotron (DESY); RWTH Aachen University; European Organization for Nuclear Research (CERN); Swiss Federal Institutes of Technology Domain; Ecole Polytechnique Federale de Lausanne; Massachusetts Institute of Technology (MIT); Massachusetts Institute of Technology (MIT); University of Bath; Humboldt University of Berlin</t>
  </si>
  <si>
    <t>Chang, SY (corresponding author), CERN, CH-1211 Geneva 23, Switzerland.;Chang, SY (corresponding author), Ecole Polytech Fed Lausanne, Inst Phys, CH-1015 Lausanne, Switzerland.</t>
  </si>
  <si>
    <t>su.yeon.chang@cern.ch</t>
  </si>
  <si>
    <t>Chang, Su Yeon/0000-0001-5768-2434; Funcke, Lena/0000-0001-5022-9506; Tuysuz, Cenk/0000-0003-0257-9784</t>
  </si>
  <si>
    <t>CERN's Quantum Technology Initiative; U.S. Department of Energy, Office of Science, National Quantum Information Science Research Centers, Co-design Center for Quantum Advantage (C2QA) [DE-SC0012704]; DOE QuantiSED Consortium [675352]; National Science Foundation [PHY-2019786]; U.S. Department of Energy, Office of Science, Office of Nuclear Physics [DE-SC0011090, DE-SC0021006]; Cyprus Research and Innovation Foundation under project Future-proofing Scientific Applications for the Supercomputers of Tomorrow (FAST) [COMPLEMENTARY/0916/0048]</t>
  </si>
  <si>
    <t>CERN's Quantum Technology Initiative; U.S. Department of Energy, Office of Science, National Quantum Information Science Research Centers, Co-design Center for Quantum Advantage (C2QA)(United States Department of Energy (DOE)); DOE QuantiSED Consortium(United States Department of Energy (DOE)); National Science Foundation(National Science Foundation (NSF)); U.S. Department of Energy, Office of Science, Office of Nuclear Physics(United States Department of Energy (DOE)); Cyprus Research and Innovation Foundation under project Future-proofing Scientific Applications for the Supercomputers of Tomorrow (FAST)</t>
  </si>
  <si>
    <t>This project is supported by CERN's Quantum Technology Initiative. L.F. is supported by the U.S. Department of Energy, Office of Science, National Quantum Information Science Research Centers, Co-design Center for Quantum Advantage (C2QA) under contract number DE-SC0012704, by the DOE QuantiSED Consortium under subcontract number 675352, by the National Science Foundation under Cooperative Agreement PHY-2019786 (The NSF AI Institute for Artificial Intelligence and Fundamental Interactions, http://iaifi.org/), and by the U.S. Department of Energy, Office of Science, Office of Nuclear Physics under grant contract numbers DE-SC0011090 and DE-SC0021006. S.K. acknowledges financial support from the Cyprus Research and Innovation Foundation under project Future-proofing Scientific Applications for the Supercomputers of Tomorrow (FAST), contract no. COMPLEMENTARY/0916/0048.</t>
  </si>
  <si>
    <t>IOP PUBLISHING LTD</t>
  </si>
  <si>
    <t>DIRAC HOUSE, TEMPLE BACK, BRISTOL BS1 6BE, ENGLAND</t>
  </si>
  <si>
    <t>1742-6588</t>
  </si>
  <si>
    <t>1742-6596</t>
  </si>
  <si>
    <t>J PHYS CONF SER</t>
  </si>
  <si>
    <t>10.1088/1742-6596/2438/1/012093</t>
  </si>
  <si>
    <t>Computer Science, Interdisciplinary Applications; Physics, Applied; Physics, Multidisciplinary</t>
  </si>
  <si>
    <t>Computer Science; Physics</t>
  </si>
  <si>
    <t>BV4AG</t>
  </si>
  <si>
    <t>WOS:001026601300093</t>
  </si>
  <si>
    <t>Cheung, KS</t>
  </si>
  <si>
    <t>Cheung, Ka Shing</t>
  </si>
  <si>
    <t>Real Estate Insights Unleashing the potential of ChatGPT in property valuation reports: the Red Book compliance Chain-of-thought (CoT) prompt engineering</t>
  </si>
  <si>
    <t>JOURNAL OF PROPERTY INVESTMENT &amp; FINANCE</t>
  </si>
  <si>
    <t>ChatGPT; Large language models (LLMs); Prompt engineering; Property industry; AI-Generated valuation</t>
  </si>
  <si>
    <t>Purpose - This viewpoint article explores the transformative capabilities of large language models (LLMs) like the Chat Generative Pre-training Transformer (ChatGPT) within the property valuation industry. It particularly accentuates the pivotal role of prompt engineering in facilitating valuation reporting and advocates for adopting the Red Book compliance Chain-of-thought (COT) prompt engineering as a gold standard for generating AI-facilitated valuation reports.Design/methodology/approach - The article offers a high-level examination of the application of LLMs in real estate research, highlighting the essential role of prompt engineering for future advancements in generative AI. It explores the collaborative dynamic between valuers and AI advancements, emphasising the importance of precise instructions and contextual cues in directing LLMs to generate accurate and reproducible valuation outcomes.Findings - Integrating LLMs into property valuation processes paves the way for efficiency improvements and task automation, such as generating reports and drafting contracts. AI-facilitated reports offer unprecedented transparency and elevate client experiences. The fusion of valuer expertise with prompt engineering ensures the reliability and interpretability of valuation reports. Practical implications - Delineating the types and versions of LLMs used in AI-generated valuation reports encourage the adoption of transparency best practices within the industry. Valuers, as expert prompt engineers, can harness the potential of AI to enhance efficiency, accuracy and transparency in the valuation process, delivering significant benefits to a broad array of stakeholders.Originality/value - The article elucidates the substantial impact of prompt engineering in leveraging LLMs within the property industry. It underscores the importance of valuers training their unique GPT models, enabling customisation and reproducibility of valuation outputs. The symbiotic relationship between valuers and LLMs is identified as a key driver shaping the future of property valuations.</t>
  </si>
  <si>
    <t>[Cheung, Ka Shing] Univ Auckland, Dept Property, Auckland, New Zealand</t>
  </si>
  <si>
    <t>University of Auckland</t>
  </si>
  <si>
    <t>Cheung, KS (corresponding author), Univ Auckland, Dept Property, Auckland, New Zealand.</t>
  </si>
  <si>
    <t>william.cheung@auckland.ac.nz</t>
  </si>
  <si>
    <t>Cheung, Ka Shing/P-6374-2019</t>
  </si>
  <si>
    <t>Cheung, Ka Shing/0000-0001-7377-3184</t>
  </si>
  <si>
    <t>1463-578X</t>
  </si>
  <si>
    <t>1470-2002</t>
  </si>
  <si>
    <t>J PROP INVEST FINANC</t>
  </si>
  <si>
    <t>J. Prop. Invest. Finance</t>
  </si>
  <si>
    <t>2023 JUL 12</t>
  </si>
  <si>
    <t>10.1108/JPIF-06-2023-0053</t>
  </si>
  <si>
    <t>M0GF8</t>
  </si>
  <si>
    <t>WOS:001026968200001</t>
  </si>
  <si>
    <t>Kumar, PS</t>
  </si>
  <si>
    <t>Kumar, Prathyusha Senthil</t>
  </si>
  <si>
    <t>Practical Lessons Learned From Detecting, Preventing and Mitigating Harmful Experiences on Facebook</t>
  </si>
  <si>
    <t>integrity; trust and safety; generative AI; LLM safety; ranking; ML; detecting abuse; user behavior modeling; content understanding; content classification; personalization</t>
  </si>
  <si>
    <t>Social media's explosive growth brings with it a variety of societal risks ranging from severely harmful issues such as dangerous organizations and child sexual exploitation to moderately harmful content like displays of aggression, borderline nudity to benign or distasteful contents like gross videos and baity content. In recent times, the multitude and magnitude of these harms is being further exacerbated with the advent of generative AI [5]. Meta is committed to ensuring that Facebook is a place where people feel empowered to communicate and we take our role seriously in keeping abuse off the platform [7]. In this talk, I will describe practical challenges and lessons learned from tackling bad experiences for users on Facebook, particularly in the subjective, borderline and low quality spectrum of harms using state of the art, scalable machine learning approaches to content understanding, user behavior understanding and personalized ranking.</t>
  </si>
  <si>
    <t>[Kumar, Prathyusha Senthil] Meta Platforms Inc, Menlo Pk, CA 94025 USA</t>
  </si>
  <si>
    <t>Kumar, PS (corresponding author), Meta Platforms Inc, Menlo Pk, CA 94025 USA.</t>
  </si>
  <si>
    <t>prathyushas@meta.com</t>
  </si>
  <si>
    <t>10.1145/3583780.3615511</t>
  </si>
  <si>
    <t>WOS:001161549505060</t>
  </si>
  <si>
    <t>Li, ZX; Zhu, JW; Wei, JH; Zeng, YF</t>
  </si>
  <si>
    <t>Li, Zhixin; Zhu, Jianwei; Wei, Jiahui; Zeng, Yufei</t>
  </si>
  <si>
    <t>Fine-Grained Bidirectional Attention-Based Generative Networks for Image-Text Matching</t>
  </si>
  <si>
    <t>Cross-modal retrieval; Graph convolutional network; Knowledge embedding; Cross-attention; Attentional generative network</t>
  </si>
  <si>
    <t>In this paper, we propose a method called BiKA (Bidirectional Knowledge-assisted embedding and Attention-based generation) for the task of image-text matching. It mainly improves the embedding ability of images and texts from two aspects: first, modality conversion, we build a bidirectional image and text generation network to explore the positive effect of mutual conversion between modalities on image-text feature embedding; then is relational dependency, we built a bidirectional graph convolutional neural network to establish the dependency between objects, introduce non-Euclidean data into image-text fine-grained matching to explore the positive effect of this dependency on fine-grained embedding of images and texts. Experiments on two public datasets show that the performance of our method is significantly improved compared to many state-of-the-art models.</t>
  </si>
  <si>
    <t>[Li, Zhixin; Zhu, Jianwei; Wei, Jiahui; Zeng, Yufei] Guangxi Normal Univ, Guangxi Key Lab Multi source Informat Min &amp; Secur, Guilin 541004, Peoples R China</t>
  </si>
  <si>
    <t>Guangxi Normal University</t>
  </si>
  <si>
    <t>Li, ZX (corresponding author), Guangxi Normal Univ, Guangxi Key Lab Multi source Informat Min &amp; Secur, Guilin 541004, Peoples R China.</t>
  </si>
  <si>
    <t>lizx@gxnu.edu.cn</t>
  </si>
  <si>
    <t>National Natural Science Foundation of China [61966004, 61866004]; Guangxi Natural Science Foundation [2019GXNSFDA245018]; Guangxi Bagui Scholar Teams for Innovation and Research Project, Guangxi Talent Highland Project of Big Data Intelligence and Application; Guangxi Collaborative Innovation Center of Multi-source Information Integration and Intelligent Processing</t>
  </si>
  <si>
    <t>National Natural Science Foundation of China(National Natural Science Foundation of China (NSFC)); Guangxi Natural Science Foundation(National Natural Science Foundation of Guangxi Province); Guangxi Bagui Scholar Teams for Innovation and Research Project, Guangxi Talent Highland Project of Big Data Intelligence and Application; Guangxi Collaborative Innovation Center of Multi-source Information Integration and Intelligent Processing</t>
  </si>
  <si>
    <t>This work is supported by National Natural Science Foundation of China (Nos. 61966004, 61866004), Guangxi Natural Science Foundation (No. 2019GXNSFDA245018), Guangxi Bagui Scholar Teams for Innovation and Research Project, Guangxi Talent Highland Project of Big Data Intelligence and Application, and Guangxi Collaborative Innovation Center of Multi-source Information Integration and Intelligent Processing.</t>
  </si>
  <si>
    <t>10.1007/978-3-031-26409-2_24</t>
  </si>
  <si>
    <t>WOS:000999043300024</t>
  </si>
  <si>
    <t>De Gagne, JC; Hwang, H; Jung, DKY</t>
  </si>
  <si>
    <t>De Gagne, Jennie C.; Hwang, Hyeyoung; Jung, Dukyoo</t>
  </si>
  <si>
    <t>Cyberethics in nursing education: Ethical implications of artificial intelligence</t>
  </si>
  <si>
    <t>NURSING ETHICS</t>
  </si>
  <si>
    <t>Artificial intelligence; cyberethics; ethical implications; generative artificial intelligence; nursing education</t>
  </si>
  <si>
    <t>As the use of artificial intelligence (AI) technologies, particularly generative AI (Gen AI), becomes increasingly prevalent in nursing education, it is paramount to address the ethical implications of their implementation. This article explores the realm of cyberethics (a field of applied ethics that focuses on the ethical, legal, and social implications of cybertechnology), highlighting the ethical principles of autonomy, nonmaleficence, beneficence, justice, and explicability as a roadmap for facilitating AI integration into nursing education. Research findings suggest that ethical dilemmas that challenge these five principles can emerge within the context of nursing education; however, adherence to these very principles, which is essential to improving patient care, can offer solutions to these dilemmas. To ensure the ethical and responsible use of Gen AI in nursing education, these principles must be woven into the fabric of curricula, and appropriate guidelines must be developed. Nurse educators have a pivotal role in strategizing comprehensive approaches for ethical AI integration, establishing clear guidelines, and instilling critical thinking among students. Fostering lifelong learning and adaptability is key to ensuring that future nurses can successfully navigate the constantly evolving landscape of health care technology. Future research should investigate the long-term impacts of AI utilization on learning outcomes and ethical decision-making.</t>
  </si>
  <si>
    <t>[De Gagne, Jennie C.] Duke Univ, Sch Nursing, Durham, NC USA; [Hwang, Hyeyoung; Jung, Dukyoo] Ewha Womans Univ, Seoul, South Korea; [Hwang, Hyeyoung] Ewha Womans Univ, Coll Nursing, 52 Ewhayeodae Gil, Seoul 03760, South Korea</t>
  </si>
  <si>
    <t>Duke University; Ewha Womans University; Ewha Womans University</t>
  </si>
  <si>
    <t>Hwang, H (corresponding author), Ewha Womans Univ, Coll Nursing, 52 Ewhayeodae Gil, Seoul 03760, South Korea.</t>
  </si>
  <si>
    <t>hwanghy.grace@gmail.com</t>
  </si>
  <si>
    <t>Hwang, Hyeyoung/0000-0003-0584-4088; De Gagne, Jennie/0000-0001-9814-5942; Jung, Dukyoo/0000-0002-0087-765X</t>
  </si>
  <si>
    <t>0969-7330</t>
  </si>
  <si>
    <t>1477-0989</t>
  </si>
  <si>
    <t>NURS ETHICS</t>
  </si>
  <si>
    <t>Nurs. Ethics</t>
  </si>
  <si>
    <t>2023 OCT 6</t>
  </si>
  <si>
    <t>10.1177/09697330231201901</t>
  </si>
  <si>
    <t>Ethics; Nursing</t>
  </si>
  <si>
    <t>Social Sciences - Other Topics; Nursing</t>
  </si>
  <si>
    <t>W5OQ1</t>
  </si>
  <si>
    <t>WOS:001092122400001</t>
  </si>
  <si>
    <t>Friederichs, H; Friederichs, WJ; März, M</t>
  </si>
  <si>
    <t>Friederichs, Hendrik; Friederichs, Wolf Jonas; Maerz, Maren</t>
  </si>
  <si>
    <t>ChatGPT in medical school: how successful is AI in progress testing?</t>
  </si>
  <si>
    <t>MEDICAL EDUCATION ONLINE</t>
  </si>
  <si>
    <t>Medical education; progress test; learning; artificial intelligence; machine learning</t>
  </si>
  <si>
    <t>BASIC SCIENCE EXAMINATION; USMLE STEP 1; RISK LITERACY; NUMERACY; PERFORMANCE; STUDENTS; COMPREHENSION; ACQUISITION; CURRICULUM; STRENGTHS</t>
  </si>
  <si>
    <t>Background As generative artificial intelligence (AI), ChatGPT provides easy access to a wide range of information, including factual knowledge in the field of medicine. Given that knowledge acquisition is a basic determinant of physicians' performance, teaching and testing different levels of medical knowledge is a central task of medical schools. To measure the factual knowledge level of the ChatGPT responses, we compared the performance of ChatGPT with that of medical students in a progress test. Methods A total of 400 multiple-choice questions (MCQs) from the progress test in German-speaking countries were entered into ChatGPT's user interface to obtain the percentage of correctly answered questions. We calculated the correlations of the correctness of ChatGPT responses with behavior in terms of response time, word count, and difficulty of a progress test question. Results Of the 395 responses evaluated, 65.5% of the progress test questions answered by ChatGPT were correct. On average, ChatGPT required 22.8 s (SD 17.5) for a complete response, containing 36.2 (SD 28.1) words. There was no correlation between the time used and word count with the accuracy of the ChatGPT response (correlation coefficient for time rho = -0.08, 95% CI [-0.18, 0.02], t(393) = -1.55, p = 0.121; for word count rho = -0.03, 95% CI [-0.13, 0.07], t(393) = -0.54, p = 0.592). There was a significant correlation between the difficulty index of the MCQs and the accuracy of the ChatGPT response (correlation coefficient for difficulty: rho = 0.16, 95% CI [0.06, 0.25], t(393) = 3.19, p = 0.002). Conclusion ChatGPT was able to correctly answer two-thirds of all MCQs at the German state licensing exam level in Progress Test Medicine and outperformed almost all medical students in years 1-3. The ChatGPT answers can be compared with the performance of medical students in the second half of their studies.</t>
  </si>
  <si>
    <t>[Friederichs, Hendrik] Bielefeld Univ, Med Sch OWL, Bielefeld, Germany; [Friederichs, Wolf Jonas] Rhein Westfal TH Aachen, Fac Mech Engn, Aachen, Germany; [Maerz, Maren] Charite Univ med Berlin, Berlin, Germany; [Maerz, Maren] Freien Univ Berlin, Berlin, Germany; [Maerz, Maren] Humboldt Univ, Berlin, Germany; [Maerz, Maren] Progress Test Med, Charite pl 1, Berlin, Germany; [Friederichs, Hendrik] Univ Bielefeld, AG 7 Med Educ, Med Fak OWL, Univ Str 25, D-33615 Bielefeld, Germany</t>
  </si>
  <si>
    <t>University of Bielefeld; RWTH Aachen University; Free University of Berlin; Humboldt University of Berlin; Charite Universitatsmedizin Berlin; Free University of Berlin; Humboldt University of Berlin; University of Bielefeld</t>
  </si>
  <si>
    <t>Friederichs, H (corresponding author), Univ Bielefeld, AG 7 Med Educ, Med Fak OWL, Univ Str 25, D-33615 Bielefeld, Germany.</t>
  </si>
  <si>
    <t>hendrik.friederichs@uni-bielefeld.de</t>
  </si>
  <si>
    <t>Marz, Maren/0000-0002-2661-5076; Friederichs, Jonas/0000-0003-1733-7788; Friederichs, Hendrik/0000-0001-9671-5235</t>
  </si>
  <si>
    <t>1087-2981</t>
  </si>
  <si>
    <t>MED EDUC ONLINE</t>
  </si>
  <si>
    <t>Med. Educ. Online</t>
  </si>
  <si>
    <t>10.1080/10872981.2023.2220920</t>
  </si>
  <si>
    <t>I6BK0</t>
  </si>
  <si>
    <t>WOS:001003614100001</t>
  </si>
  <si>
    <t>Li, DY; Zhang, Z</t>
  </si>
  <si>
    <t>Li, Diya; Zhang, Zhe</t>
  </si>
  <si>
    <t>MetaQA: Enhancing human-centered data search using Generative Pre-trained Transformer (GPT) language model and artificial intelligence</t>
  </si>
  <si>
    <t>Accessing and utilizing geospatial data from various sources is essential for developing scientific research to address complex scientific and societal challenges that require interdisciplinary knowledge. The traditional keyword-based geosearch approach is insufficient due to the uncertainty inherent within spatial information and how it is presented in the data-sharing platform. For instance, the Gulf of Mexico Coastal Ocean Observing System (GCOOS) data search platform stores geoinformation and metadata in a complex tabular. Users can search for data by entering keywords or selecting data from a drop-down manual from the user interface. However, the search results provide limited information about the data product, where detailed descriptions, potential use, and relationship with other data products are still missing. Language models (LMs) have demonstrated great potential in tasks like question answering, sentiment analysis, text classification, and machine translation. However, they struggle when dealing with metadata represented in tabular format. To overcome these challenges, we developed Meta Question Answering System (MetaQA), a novel spatial data search model. MetaQA integrates end-to-end AI models with a generative pre-trained transformer (GPT) to enhance geosearch services. Using GCOOS metadata as a case study, we tested the effectiveness of MetaQA. The results revealed that MetaQA outperforms state-of-the-art question-answering models in handling tabular metadata, underlining its potential for user-inspired geosearch services.</t>
  </si>
  <si>
    <t>[Li, Diya; Zhang, Zhe] Texas A&amp;M Univ, Dept Geog, College Stn, TX 77843 USA; [Zhang, Zhe] Texas A&amp;M Univ, Dept Elect &amp; Comp Engn, College Stn, TX 77843 USA</t>
  </si>
  <si>
    <t>Texas A&amp;M University System; Texas A&amp;M University College Station; Texas A&amp;M University System; Texas A&amp;M University College Station</t>
  </si>
  <si>
    <t>Zhang, Z (corresponding author), Texas A&amp;M Univ, Dept Geog, College Stn, TX 77843 USA.;Zhang, Z (corresponding author), Texas A&amp;M Univ, Dept Elect &amp; Comp Engn, College Stn, TX 77843 USA.</t>
  </si>
  <si>
    <t>zhezhang@tamu.edu</t>
  </si>
  <si>
    <t>NSF [2137684]</t>
  </si>
  <si>
    <t>This project is supported by NSF Convergence Accelerator Track E: Combining high-resolution climate simulations with ocean biogeochemistry, fisheries and decision-making models to improve sustainable fisheries (Award Number:2137684). Initials of the authors who received each award: Z.Z, D, L Funder Website: https://www.nsf.gov/awardsearch/showAward? AWD_ID=2137684 &amp; HistoricalAwards=false The funders had no role in study design, data collection and analysis, decision to publish, or preparation of the manuscript.</t>
  </si>
  <si>
    <t>NOV 13</t>
  </si>
  <si>
    <t>e0293034</t>
  </si>
  <si>
    <t>10.1371/journal.pone.0293034</t>
  </si>
  <si>
    <t>CL0A1</t>
  </si>
  <si>
    <t>WOS:001125277400027</t>
  </si>
  <si>
    <t>Xing, XD; Nan, Y; Felder, F; Walsh, S; Yang, G</t>
  </si>
  <si>
    <t>Almeida, JR; Spiliopoulou, M; Andrades, JAB; Placidi, G; Gonzalez, AR; Sicilia, R; Kane, B</t>
  </si>
  <si>
    <t>Xing, Xiaodan; Nan, Yang; Felder, Federico; Walsh, Simon; Yang, Guang</t>
  </si>
  <si>
    <t>The Beauty or the Beast: Which Aspect of Synthetic Medical Images Deserves Our Focus?</t>
  </si>
  <si>
    <t>2023 IEEE 36TH INTERNATIONAL SYMPOSIUM ON COMPUTER-BASED MEDICAL SYSTEMS, CBMS</t>
  </si>
  <si>
    <t>IEEE International Symposium on Computer-Based Medical Systems</t>
  </si>
  <si>
    <t>36th IEEE International Symposium on Computer-Based Medical Systems (CBMS)</t>
  </si>
  <si>
    <t>JUN 22-24, 2023</t>
  </si>
  <si>
    <t>LAquila, ITALY</t>
  </si>
  <si>
    <t>Data augmentation; Generative models; Medical image synthesis</t>
  </si>
  <si>
    <t>Training medical AI algorithms requires large volumes of accurately labeled datasets, which are difficult to obtain in the real world. Synthetic images generated from deep generative models can help alleviate the data scarcity problem, but their effectiveness relies on their fidelity to real-world images. Typically, researchers select synthesis models based on image quality measurements, prioritizing synthetic images that appear realistic. However, our empirical analysis shows that high-fidelity and visually appealing synthetic images are not necessarily superior. In fact, we present a case where low-fidelity synthetic images outperformed their high-fidelity counterparts in downstream tasks. Our findings highlight the importance of comprehensive analysis before incorporating synthetic data into real-world applications. We hope our results will raise awareness among the research community of the value of low-fidelity synthetic images in medical AI algorithm training.</t>
  </si>
  <si>
    <t>[Xing, Xiaodan; Nan, Yang; Felder, Federico; Walsh, Simon; Yang, Guang] Imperial Coll London, Natl Heart &amp; Lung Inst, London, England</t>
  </si>
  <si>
    <t>Imperial College London</t>
  </si>
  <si>
    <t>Xing, XD (corresponding author), Imperial Coll London, Natl Heart &amp; Lung Inst, London, England.</t>
  </si>
  <si>
    <t>x.xing@imperial.ac.uk; y.nan20@imperial.ac.uk; f.felder@imperial.ac.uk; s.walsh@imperial.ac.uk; g.yang@imperial.ac.uk</t>
  </si>
  <si>
    <t>nan, yang/GYD-5196-2022; Yang, Guang/S-5032-2016</t>
  </si>
  <si>
    <t>nan, yang/0000-0002-4542-3336; Yang, Guang/0000-0001-7344-7733</t>
  </si>
  <si>
    <t>ERC IMI [101005122]; MRC [MC/PC/21013]; Royal Society [IEC/NSFC/211235]; NVIDIA Academic Hardware Grant Program; SABER project - Boehringer Ingelheim Ltd; NIHR Imperial Biomedical Research Centre [RDA01]; UKRI Future Leaders Fellowship [MR/V023799/1]; H2020 [952172]</t>
  </si>
  <si>
    <t>ERC IMI(European Research Council (ERC)); MRC(UK Research &amp; Innovation (UKRI)Medical Research Council UK (MRC)); Royal Society(Royal Society); NVIDIA Academic Hardware Grant Program(Nvidia Corporation); SABER project - Boehringer Ingelheim Ltd; NIHR Imperial Biomedical Research Centre; UKRI Future Leaders Fellowship(UK Research &amp; Innovation (UKRI)); H2020(Horizon 2020)</t>
  </si>
  <si>
    <t>This study was supported in part by the ERC IMI (101005122), the H2020 (952172), the MRC (MC/PC/21013), the Royal Society (IEC/NSFC/211235), the NVIDIA Academic Hardware Grant Program, the SABER project supported by Boehringer Ingelheim Ltd, NIHR Imperial Biomedical Research Centre (RDA01), and the UKRI Future Leaders Fellowship (MR/V023799/1).</t>
  </si>
  <si>
    <t>2372-9198</t>
  </si>
  <si>
    <t>979-8-3503-1224-9</t>
  </si>
  <si>
    <t>COMP MED SY</t>
  </si>
  <si>
    <t>10.1109/CBMS58004.2023.00273</t>
  </si>
  <si>
    <t>Computer Science, Artificial Intelligence; Computer Science, Information Systems; Engineering, Biomedical</t>
  </si>
  <si>
    <t>BV4ON</t>
  </si>
  <si>
    <t>WOS:001037777900092</t>
  </si>
  <si>
    <t>Aphikulvanich, R; Pornputtapong, N; Wichadakul, D</t>
  </si>
  <si>
    <t>Aphikulvanich, Ravipas; Pornputtapong, Natapol; Wichadakul, Duangdao</t>
  </si>
  <si>
    <t>Mol-Zero-GAN: zero-shot adaptation of molecular generative adversarial network for specific protein targets</t>
  </si>
  <si>
    <t>OPTIMIZATION</t>
  </si>
  <si>
    <t>Drug discovery is a process that finds new potential drug candidates for curing diseases and is also vital to improving the wellness of people. Enhancing deep learning approaches, e.g., molecular generation models, increases the drug discovery process's efficiency. However, there is a problem in this field in creating drug candidates with desired properties such as the quantitative estimate of druglikeness (QED), synthetic accessibility (SA), and binding affinity (BA), and there is a challenge for training a generative model for specific protein targets that has less pharmaceutical data. In this research, we present Mol-Zero-GAN, a framework that aims to solve the problem based on Bayesian optimization (BO) to find the model optimal weights' singular values, factorized by singular value decomposition, and generate drug candidates with desired properties with no additional data. The proposed framework can produce drugs with the desired properties on protein targets of interest by optimizing the model's weights. Our framework outperforms the state-of-the-art methods sharing the same objectives. Mol-Zero-GAN is publicly available at https://github.com/cucpbioinfo/Mol-Zero-GAN. A framework that optimizes the drug generative adversarial network (GAN) to produce drugs targeting specific proteins, while preserving drug-likeness using Bayesian optimization and singular value decomposition (SVD).</t>
  </si>
  <si>
    <t>[Aphikulvanich, Ravipas; Wichadakul, Duangdao] Chulalongkorn Univ, Fac Engn, Dept Comp Engn, Bangkok 10330, Thailand; [Pornputtapong, Natapol] Chulalongkorn Univ, Fac Pharmaceut Sci, Dept Biochem &amp; Microbiol, Bangkok 10330, Thailand; [Wichadakul, Duangdao] Chulalongkorn Univ, Fac Med, Ctr Excellence Syst Biol, Bangkok 10330, Thailand</t>
  </si>
  <si>
    <t>Chulalongkorn University; Chulalongkorn University; Chulalongkorn University</t>
  </si>
  <si>
    <t>Wichadakul, D (corresponding author), Chulalongkorn Univ, Fac Engn, Dept Comp Engn, Bangkok 10330, Thailand.;Wichadakul, D (corresponding author), Chulalongkorn Univ, Fac Med, Ctr Excellence Syst Biol, Bangkok 10330, Thailand.</t>
  </si>
  <si>
    <t>ravipas.apk@gmail.com; natapol.p@chula.ac.th; duangdao.w@chula.ac.th</t>
  </si>
  <si>
    <t>Office of National Higher Education Science Research and Innovation Policy Council; Program Management Unit of Competitiveness [C10F640366]; Office of National Higher Education Science Research and Innovation Policy Council, Thailand; Chulalongkorn University Technology Center (UTC)</t>
  </si>
  <si>
    <t>Office of National Higher Education Science Research and Innovation Policy Council; Program Management Unit of Competitiveness; Office of National Higher Education Science Research and Innovation Policy Council, Thailand; Chulalongkorn University Technology Center (UTC)</t>
  </si>
  <si>
    <t>This work was fully supported by the Program Management Unit of Competitiveness (PMUC), Office of National Higher Education Science Research and Innovation Policy Council, Thailand, under contract number C10F640366. We want to thank Chulalongkorn University Technology Center (UTC) and Mahidol AI Center for facilitating the GPU infrastructure for our model development and testing.</t>
  </si>
  <si>
    <t>DEC 8</t>
  </si>
  <si>
    <t>10.1039/d3ra03954d</t>
  </si>
  <si>
    <t>CA7J3</t>
  </si>
  <si>
    <t>WOS:001122591100001</t>
  </si>
  <si>
    <t>Stevens, AF; Stetson, P</t>
  </si>
  <si>
    <t>Stevens, Alexander F.; Stetson, Pete</t>
  </si>
  <si>
    <t>Theory of trust and acceptance of artificial intelligence technology (TrAAIT): An instrument to assess clinician trust and acceptance of artificial intelligence</t>
  </si>
  <si>
    <t>JOURNAL OF BIOMEDICAL INFORMATICS</t>
  </si>
  <si>
    <t>Clinician trust; Trustworthy artificial intelligence/machine; learning (AI/ML); Human computer interaction; Technology acceptance; Digital healthcare; AI/ML adoption</t>
  </si>
  <si>
    <t>INFORMATION-SYSTEMS SUCCESS; PLS-SEM; USER ACCEPTANCE; UNIFIED THEORY; MODEL; MANAGEMENT; QUALITY; INTENTION; DELONE; HEALTH</t>
  </si>
  <si>
    <t>Background: Artificial intelligence and machine learning (AI/ML) technologies like generative and ambient AI solutions are proliferating in real-world healthcare settings. Clinician trust affects adoption and impact of these systems. Organizations need a validated method to assess factors underlying trust and acceptance of AI for clinical workflows in order to improve adoption and the impact of AI. Objective: Our study set out to develop and assess a novel clinician-centered model to measure and explain trust and adoption of AI technology. We hypothesized that clinicians' system-specific Trust in AI is the primary predictor of both Acceptance (i.e., willingness to adopt), and post-adoption Trusting Stance (i.e., general stance towards any AI system). We validated the new model at an urban comprehensive cancer center. We produced an easily implemented survey tool for measuring clinician trust and adoption of AI. Methods: This survey-based, cross-sectional, psychometric study included a model development phase and validation phase. Measurement was done with five-point ascending unidirectional Likert scales. The development sample included N = 93 clinicians (physicians, advanced practice providers, nurses) that used an AI-based communication application. The validation sample included N = 73 clinicians that used a commercially available AI-powered speech-to-text application for note-writing in an electronic health record (EHR). Analytical procedures included exploratory factor analysis (EFA), confirmatory factor analysis (CFA), and partial least squares structural equation modeling (PLS-SEM). The Johnson-Neyman (JN) methodology was used to determine moderator effects. Results: In the fully moderated causal model, clinician trust explained a large amount of variance in their acceptance of a specific AI application (56%) and their post-adoption general trusting stance towards AI in general (36%). Moderators included organizational assurances, length of time using the application, and clinician age. The final validated instrument has 20 items and takes 5 min to complete on average. Conclusions: We found that clinician acceptance of AI is determined by their degree of trust formed via information credibility, perceived application value, and reliability. The novel model, TrAAIT, explains factors underlying AI trustworthiness and acceptance for clinicians. With its easy-to-use instrument and Summative Score Dashboard, TrAAIT can help organizations implementing AI to identify and intercept barriers to clinician adoption in real-world settings.</t>
  </si>
  <si>
    <t>[Stevens, Alexander F.; Stetson, Pete] Mem Sloan Kettering Canc Ctr, Digital Prod &amp; Informat Div, DigITs, New York, NY 10065 USA; [Stetson, Pete] Mem Sloan Kettering Canc Ctr, Dept Med, New York, NY USA</t>
  </si>
  <si>
    <t>Memorial Sloan Kettering Cancer Center; Memorial Sloan Kettering Cancer Center</t>
  </si>
  <si>
    <t>Stevens, AF (corresponding author), Mem Sloan Kettering Canc Ctr, Digital Prod &amp; Informat Div, DigITs, New York, NY 10065 USA.</t>
  </si>
  <si>
    <t>stevensa@mskcc.org</t>
  </si>
  <si>
    <t>Stevens, Alexander Felix/HNC-4048-2023</t>
  </si>
  <si>
    <t>Stevens, Alexander Felix/0000-0002-4072-4498; Stetson, Peter/0000-0002-8984-1302</t>
  </si>
  <si>
    <t>National Institutes of Health under Cancer Center [3 P30 CA008748-53]</t>
  </si>
  <si>
    <t>National Institutes of Health under Cancer Center(United States Department of Health &amp; Human ServicesNational Institutes of Health (NIH) - USAOffice of the Administrator (NIH))</t>
  </si>
  <si>
    <t>The research reported here was conducted at Memorial Sloan Kettering Cancer Center and supported by the National Institutes of Health under Cancer Center Support Grant: 3 P30 CA008748-53. The content is solely the responsibility of the authors and does not necessarily represent the official views of the National Institutes of Health or Memorial Sloan Kettering Cancer Center.</t>
  </si>
  <si>
    <t>ACADEMIC PRESS INC ELSEVIER SCIENCE</t>
  </si>
  <si>
    <t>SAN DIEGO</t>
  </si>
  <si>
    <t>525 B ST, STE 1900, SAN DIEGO, CA 92101-4495 USA</t>
  </si>
  <si>
    <t>1532-0464</t>
  </si>
  <si>
    <t>1532-0480</t>
  </si>
  <si>
    <t>J BIOMED INFORM</t>
  </si>
  <si>
    <t>J. Biomed. Inform.</t>
  </si>
  <si>
    <t>10.1016/j.jbi.2023.104550</t>
  </si>
  <si>
    <t>Computer Science, Interdisciplinary Applications; Medical Informatics</t>
  </si>
  <si>
    <t>Computer Science; Medical Informatics</t>
  </si>
  <si>
    <t>CK8L3</t>
  </si>
  <si>
    <t>WOS:001125236600001</t>
  </si>
  <si>
    <t>Reddy, NVR; Deshmukh, AA; Rao, VS; Godla, SR; El-Ebiary, YAB; Bravo, LMR; Manikandan, R</t>
  </si>
  <si>
    <t>Reddy, N. V. Rajasekhar; Deshmukh, Araddhana Arvind; Rao, Vuda Sreenivasa; Godla, Sanjiv Rao; El-Ebiary, Yousef A. Baker; Bravo, Liz Maribel Robladillo; Manikandan, R.</t>
  </si>
  <si>
    <t>Enhancing Skin Cancer Detection Through an AI- Powered Framework by Integrating African Vulture Optimization with GAN-based Bi-LSTM Architecture</t>
  </si>
  <si>
    <t>-Skin cancer; generative adversarial network; Bi-LSTM; African Vulture Optimisation (AVO); deep learning (DL)</t>
  </si>
  <si>
    <t>MELANOMA; PERFORMANCE</t>
  </si>
  <si>
    <t>of the more prevalent and severe cancer kinds is thought to be skin cancer. The main objective is to detect the melanoma in initial stage and save millions of lives. One of the most difficult aspects of developing an effective automatic classification system is due to lack of large datasets. The data imbalance and overfitting problem degrades the accuracy. In this proposed work, this problem can be solved using a Generative Adversarial Network (GAN) by generating more training images. Traditional RNNs are concerned with overcoming memory constraints. By using a cyclic link on the hidden layer, these models attain Long short-term memory. However, RNNs suffer from the issue of the gradient disappearing, which affects learning performance. To overcome these challenges this work proposes Bidirectional Long Short-Term Memory (Bi-LSTM) deep learning framework for skin cancer detection. The dataset which is collected from the International Skin Imaging Collaboration were used in image processing. A novel metaheuristic enthused by the routine of African vultures is proposed in this proposed work. The African Vulture Optimisation Algorithm (AVOA) algorithm is designed to select optimum feature of skin image. The accuracy of the proposed method obtains 98.5%. This comprehensive framework, encompassing GAN-generated data, Bi-LSTM architecture, and AVOA-based feature optimization, contributes significantly to enhancing early melanoma detection.</t>
  </si>
  <si>
    <t>[Reddy, N. V. Rajasekhar] MLR Inst Technol, Dept Informat Technol, Hyderabad, India; [Deshmukh, Araddhana Arvind] Savitribai Phule Pune Univ, Marathwada Mitra Mandal Coll Engn, Dept Artificial Intelligence &amp; Data Sci, Pune, India; [Rao, Vuda Sreenivasa] Koneru Lakshmaiah Educ Fdn, Dept Comp Sci &amp; Engn, Vaddeswaram, AP, India; [Godla, Sanjiv Rao] Aditya Coll Engn &amp; Technol Suraplem, Dept CSE Artificial Intelligence &amp; Machine Learnin, Suraplem, Andhra Pradesh, India; [El-Ebiary, Yousef A. Baker] UniSZA Univ, Fac Informat &amp; Comp, Terengganu, Malaysia; [Bravo, Liz Maribel Robladillo] Univ Cesar Vallejo, Chiclayo, Peru; [Manikandan, R.] Vel Tech Rangarajan Dr Sagunthala R&amp;D Inst Sci &amp; T, Chennai 600062, Tamil Nadu, India</t>
  </si>
  <si>
    <t>MLR Institute of Technology; Savitribai Phule Pune University; Koneru Lakshmaiah Education Foundation (K L Deemed to be University); Universidad Cesar Vallejo; Vel Tech Rangarajan Dr Sagunthala R&amp;D Institute of Science &amp; Technology</t>
  </si>
  <si>
    <t>Reddy, NVR (corresponding author), MLR Inst Technol, Dept Informat Technol, Hyderabad, India.</t>
  </si>
  <si>
    <t>W9HB2</t>
  </si>
  <si>
    <t>WOS:001094654800001</t>
  </si>
  <si>
    <t>Haleem, MS; Ekuban, A; Antonini, A; Pagliara, S; Pecchia, L; Allocca, C</t>
  </si>
  <si>
    <t>Haleem, Muhammad Salman; Ekuban, Audrey; Antonini, Alessio; Pagliara, Silvio; Pecchia, Leandro; Allocca, Carlo</t>
  </si>
  <si>
    <t>Deep-Learning-Driven Techniques for Real-Time Multimodal Health and Physical Data Synthesis</t>
  </si>
  <si>
    <t>synthetic data generation; augmented data; temporally correlated generative adversarial networks; text generative models; deep learning</t>
  </si>
  <si>
    <t>DECISION-MAKING; DISTANCE</t>
  </si>
  <si>
    <t>With the advent of Artificial Intelligence for healthcare, data synthesis methods present crucial benefits in facilitating the fast development of AI models while protecting data subjects and bypassing the need to engage with the complexity of data sharing and processing agreements. Existing technologies focus on synthesising real-time physiological and physical records based on regular time intervals. Real health data are, however, characterised by irregularities and multimodal variables that are still hard to reproduce, preserving the correlation across time and different dimensions. This paper presents two novel techniques for synthetic data generation of real-time multimodal electronic health and physical records, (a) the Temporally Correlated Multimodal Generative Adversarial Network and (b) the Document Sequence Generator. The paper illustrates the need and use of these techniques through a real use case, the H2020 GATEKEEPER project of AI for healthcare. Furthermore, the paper presents the evaluation for both individual cases and a discussion about the comparability between techniques and their potential applications of synthetic data at the different stages of the software development life-cycle.</t>
  </si>
  <si>
    <t>[Haleem, Muhammad Salman; Pagliara, Silvio; Pecchia, Leandro] Univ Warwick, Sch Engn, Lib Rd, Coventry CV4 7AL, England; [Ekuban, Audrey; Antonini, Alessio] Open Univ, Knowledge Media Inst, Milton Keynes MK7 6AA, England; [Pagliara, Silvio] Univ Cagliari, Dept Letters Languages &amp; Cultural Heritage, I-09124 Sardinia, Italy; [Pecchia, Leandro] Campus Biomed Univ Rome, Biomed Engn Electron &amp; Informat Bioengn, I-00128 Rome, Italy; [Allocca, Carlo] Samsung, Hlth Innovat, Commun House.South St, Staines TW18 4QE, England</t>
  </si>
  <si>
    <t>University of Warwick; Open University - UK; University of Cagliari; University Campus Bio-Medico - Rome Italy</t>
  </si>
  <si>
    <t>Haleem, MS (corresponding author), Univ Warwick, Sch Engn, Lib Rd, Coventry CV4 7AL, England.</t>
  </si>
  <si>
    <t>salman.haleem@warwick.ac.uk</t>
  </si>
  <si>
    <t>Pagliara, Silvio Marcello/IWM-6716-2023; Haleem, Muhammad Salman/AAM-7146-2020</t>
  </si>
  <si>
    <t>Pagliara, Silvio Marcello/0000-0002-0175-5160; Ekuban, Audrey/0000-0002-2261-7218; Antonini, Alessio/0000-0002-3639-3622; Haleem, Muhammad Salman/0000-0001-5946-6567</t>
  </si>
  <si>
    <t>European Union's Horizon 2020 research and innovation programme [857223]; H2020 Societal Challenges Programme [857223] Funding Source: H2020 Societal Challenges Programme</t>
  </si>
  <si>
    <t>European Union's Horizon 2020 research and innovation programme(Horizon 2020); H2020 Societal Challenges Programme(Horizon 2020European Union (EU)H2020 Societal Challenges Programme)</t>
  </si>
  <si>
    <t>This project received funding from the European Union's Horizon 2020 research and innovation programme under Grant Agreement No. 857223.</t>
  </si>
  <si>
    <t>10.3390/electronics12091989</t>
  </si>
  <si>
    <t>G1XG9</t>
  </si>
  <si>
    <t>Green Accepted, gold, Green Published</t>
  </si>
  <si>
    <t>WOS:000987165100001</t>
  </si>
  <si>
    <t>Gircha, AI; Boev, AS; Avchaciov, K; Fedichev, PO; Fedorov, AK</t>
  </si>
  <si>
    <t>Gircha, A. I.; Boev, A. S.; Avchaciov, K.; Fedichev, P. O.; Fedorov, A. K.</t>
  </si>
  <si>
    <t>Hybrid quantum-classical machine learning for generative chemistry and drug design</t>
  </si>
  <si>
    <t>Deep generative chemistry models emerge as powerful tools to expedite drug discovery. However, the immense size and complexity of the structural space of all possible drug-like molecules pose significant obstacles, which could be overcome with hybrid architectures combining quantum computers with deep classical networks. As the first step toward this goal, we built a compact discrete variational autoencoder (DVAE) with a Restricted Boltzmann Machine (RBM) of reduced size in its latent layer. The size of the proposed model was small enough to fit on a state-of-the-art D-Wave quantum annealer and allowed training on a subset of the ChEMBL dataset of biologically active compounds. Finally, we generated 2331 novel chemical structures with medicinal chemistry and synthetic accessibility properties in the ranges typical for molecules from ChEMBL. The presented results demonstrate the feasibility of using already existing or soon-to-be-available quantum computing devices as testbeds for future drug discovery applications.</t>
  </si>
  <si>
    <t>[Gircha, A. I.; Boev, A. S.; Fedorov, A. K.] Russian Quantum Ctr, Moscow 121205, Russia; [Avchaciov, K.; Fedichev, P. O.] Gero PTE LTD, 133 Cecil St 14-01 Keck Seng Tower, Singapore 069535, Singapore</t>
  </si>
  <si>
    <t>Russian Quantum Center</t>
  </si>
  <si>
    <t>Fedorov, AK (corresponding author), Russian Quantum Ctr, Moscow 121205, Russia.;Fedichev, PO (corresponding author), Gero PTE LTD, 133 Cecil St 14-01 Keck Seng Tower, Singapore 069535, Singapore.</t>
  </si>
  <si>
    <t>peter.fedichev@gero.ai; akf@rqc.ru</t>
  </si>
  <si>
    <t>Russian Science Foundation [19-71-10092]; Gero PTE. LTD. (Singapore)</t>
  </si>
  <si>
    <t>Russian Science Foundation(Russian Science Foundation (RSF)); Gero PTE. LTD. (Singapore)</t>
  </si>
  <si>
    <t>We thank S. Usmanov for help in performing the experiment. P.O.F and A. K. would like to thank Dr. A. Tarkhov from Gero and Daria Orhunova for fruitful discussion and help with the data analysis. We acknowledge online cloud access to the quantum annealing device produced by D-Wave Systems (all experiments with D-wave hardware were performed within the program of global response to COVID-19 and completed in 2021). A.K.F. thanks Russian Science Foundation grant (19-71-10092). P.O.F. and K. A. are supported by Gero PTE. LTD. (Singapore).</t>
  </si>
  <si>
    <t>MAY 22</t>
  </si>
  <si>
    <t>10.1038/s41598-023-32703-4</t>
  </si>
  <si>
    <t>R6GF4</t>
  </si>
  <si>
    <t>gold, Green Submitted, Green Published</t>
  </si>
  <si>
    <t>WOS:001065312000004</t>
  </si>
  <si>
    <t>Lenatti, M; Paglialonga, A; Orani, V; Ferretti, M; Mongelli, M</t>
  </si>
  <si>
    <t>Lenatti, Marta; Paglialonga, Alessia; Orani, Vanessa; Ferretti, Melissa; Mongelli, Maurizio</t>
  </si>
  <si>
    <t>Characterization of Synthetic Health Data Using Rule-Based Artificial Intelligence Models</t>
  </si>
  <si>
    <t>Synthetic data; Measurement; Auditory system; Generative adversarial networks; Data models; Biomedical measurement; Data mining; Data augmentation; eXplainable AI (XAI); hearing screening; rule similarity; Generative Adversarial Networks (GAN)</t>
  </si>
  <si>
    <t>IN-NOISE TEST</t>
  </si>
  <si>
    <t>The aim of this study is to apply and characterize eXplainable AI (XAI) to assess the quality of synthetic health data generated using a data augmentation algorithm. In this exploratory study, several synthetic datasets are generated using various configurations of a conditional Generative Adversarial Network (GAN) from a set of 156 observations related to adult hearing screening. A rule-based native XAI algorithm, the Logic Learning Machine, is used in combination with conventional utility metrics. The classification performance in different conditions is assessed: models trained and tested on synthetic data, models trained on synthetic data and tested on real data, and models trained on real data and tested on synthetic data. The rules extracted from real and synthetic data are then compared using a rule similarity metric. The results indicate that XAI may be used to assess the quality of synthetic data by (i) the analysis of classification performance and (ii) the analysis of the rules extracted on real and synthetic data (number, covering, structure, cut-off values, and similarity). These results suggest that XAI can be used in an original way to assess synthetic health data and extract knowledge about the mechanisms underlying the generated data.</t>
  </si>
  <si>
    <t>[Lenatti, Marta; Paglialonga, Alessia; Orani, Vanessa; Ferretti, Melissa; Mongelli, Maurizio] CNR IEIIT, I-10129 Turin, Italy</t>
  </si>
  <si>
    <t>Consiglio Nazionale delle Ricerche (CNR); Istituto di Elettronica e di Ingegneria dell'Informazione e delle Telecomunicazioni (IEIIT-CNR)</t>
  </si>
  <si>
    <t>Paglialonga, A (corresponding author), CNR IEIIT, I-10129 Turin, Italy.</t>
  </si>
  <si>
    <t>marta.lenatti@ieiit.cnr.it; alessia.paglialonga@ieiit.cnr.it; vanessa.orani@ieiit.cnr.it; melissa.ferretti@ieiit.cnr.it; maurizio.mongelli@ieiit.cnr.it</t>
  </si>
  <si>
    <t>Lenatti, Marta/ABV-5822-2022; Paglialonga, Alessia/F-9847-2010</t>
  </si>
  <si>
    <t>Lenatti, Marta/0000-0003-0731-7505; Paglialonga, Alessia/0000-0002-1341-2560</t>
  </si>
  <si>
    <t>Capita Foundation</t>
  </si>
  <si>
    <t>&amp; nbsp;This work was supported by Capita Foundation through Project WHISPER, Widespread Hearing Impairment Screening and PrEvention of Risk, 2020 Auditory Research Grant, for the creation of the WHISPER dataset. (Marta Lenatti, Alessia Paglia-longa, Vanessa Orani, Melissa Ferretti, and Maurizio Mongelli con-tributed equally to this work.)&amp; nbsp;</t>
  </si>
  <si>
    <t>10.1109/JBHI.2023.3236722</t>
  </si>
  <si>
    <t>O7US9</t>
  </si>
  <si>
    <t>WOS:001045824200007</t>
  </si>
  <si>
    <t>Moravec, V; Hynek, N; Skare, M; Gavurova, B; Kubak, M</t>
  </si>
  <si>
    <t>Moravec, Vaclav; Hynek, Nik; Skare, Marinko; Gavurova, Beata; Kubak, Matus</t>
  </si>
  <si>
    <t>Human or machine? The perception of artificial intelligence in journalism, its socio-economic conditions, and technological developments toward the digital future</t>
  </si>
  <si>
    <t>Digital literacy; Artificial intelligence; Automated journalism; Generative AI; ChatGPT; Digital era; Future of technology</t>
  </si>
  <si>
    <t>AUTOMATED JOURNALISM; NEWS; AUTHORSHIP; TRUST; ALGORITHMS</t>
  </si>
  <si>
    <t>This study surveyed 1041 people in the Czech Republic to determine how well they could differentiate between news articles created by humans and those created by artificial intelligence (AI). It also explored attitudes toward AI-generated audio recordings and the future of journalism with AI. The study found that gender, age, and socioeconomic status were significant factors in how well respondents recognized the source of the text. Females were better at identifying human-generated texts, while males at identifying AI-generated texts. Younger respondents were generally more adept at recognizing AI-generated texts, education and income levels were also found to be correlated with better accuracy. Attitudes toward AI in journalism varied with age, with the 18-29 age group displaying ambivalence, the 30-49 age group being uncertain, the 50-69 age group having diverse attitudes, and the 70+ age group being skeptical. Males were more optimistic about AI's potential in journalism than females, especially among older age groups. The study's findings highlight the need for targeted digital literacy interventions tailored to different demographic groups. It provides insights into the development of digital literacy and the readiness of the population to use automated information outputs. This is essential to address the challenges of future technological development.</t>
  </si>
  <si>
    <t>[Moravec, Vaclav; Hynek, Nik; Gavurova, Beata] Charles Univ Prague, Fac Social Sci, Dept Journalism, Prague, Czech Republic; [Hynek, Nik] Charles Univ Prague, Fac Social Sci, Dept Secur Studies, Prague, Czech Republic; [Skare, Marinko] Juraj Dobrila Univ Pula, Fac Econ &amp; Tourism Dr Mijo Mirkovic, Pula, Croatia; [Skare, Marinko] Univ Econ &amp; Human Sci Warsaw, Warsaw, Poland; [Kubak, Matus] Tech Univ Kosice, Fac Econ, Kosice, Slovakia</t>
  </si>
  <si>
    <t>Charles University Prague; Charles University Prague; University of Juraj Dobrila Pula; Technical University Kosice</t>
  </si>
  <si>
    <t>Skare, M (corresponding author), Juraj Dobrila Univ Pula, Fac Econ &amp; Tourism Dr Mijo Mirkovic, Pula, Croatia.</t>
  </si>
  <si>
    <t>vaclav.moravec@fsv.cuni.cz; hynek@fsv.cuni.cz; mskare@unipu.hr; beata.gavurova@fsv.cuni.cz; matus.kubak@tuke.sk</t>
  </si>
  <si>
    <t>Škare, Marinko/L-5504-2019</t>
  </si>
  <si>
    <t>Škare, Marinko/0000-0001-6426-3692</t>
  </si>
  <si>
    <t>Technology Agency of the Czech Republic under the ETA Programme [TL05000057]</t>
  </si>
  <si>
    <t>Technology Agency of the Czech Republic under the ETA Programme</t>
  </si>
  <si>
    <t>This article was produced with the support of the Technology Agency of the Czech Republic under the ETA Programme, project TL05000057 The Signal and the Noise in the Era of Journalism 5.0.</t>
  </si>
  <si>
    <t>10.1016/j.techfore.2023.123162</t>
  </si>
  <si>
    <t>FU0G0</t>
  </si>
  <si>
    <t>WOS:001148245100001</t>
  </si>
  <si>
    <t>Xu, JC; Wei, YN; Zhou, HF; Li, YW; Chen, XJ</t>
  </si>
  <si>
    <t>Xu, Jiangchang; Wei, Yining; Zhou, Huifang; Li, Yinwei; Chen, Xiaojun</t>
  </si>
  <si>
    <t>Automatic Surgical Reconstruction for Orbital Blow-Out Fracture via Symmetric Prior Anatomical Knowledge-Guided Adversarial Generative Network</t>
  </si>
  <si>
    <t>MEDICAL IMAGE COMPUTING AND COMPUTER ASSISTED INTERVENTION, MICCAI 2023, PT IX</t>
  </si>
  <si>
    <t>Automatic surgery planning; Orbital blow-out fracture; Surgical reconstruction; Symmetric prior anatomical knowledge</t>
  </si>
  <si>
    <t>Orbital blow-out fracture (OBF) is a complex disease that can cause severe damage to the orbital wall. The ultimate means of treating this disease is orbital reconstruction surgery, where automatic reconstruction of the orbital wall is a crucial step. However, accurately reconstructing the orbital wall is a great challenge due to the collapse, damage, fracture, and deviation in OBF. Manual or semi-automatic reconstruction methods used in clinics also suffer from poor accuracy and low efficiency. Therefore, we propose a symmetric prior anatomical knowledge (SPAK)-guided generative adversarial network (GAN) for automatic reconstruction of the orbital wall in OBF. Above all, a spatial transformation-based SPAK generation method is proposed to generate prior anatomy that guides the reconstruction of the fractured orbital wall. Next, the generated SPAK is introduced into the GAN network, to guide the network towards automatic reconstruction of the fractured orbital wall. Additionally, a multi-function combination supervision strategy is proposed to further improve the network reconstruction performance. Our evaluation on the test set showed that the proposed network achieved a Dice similarity coefficient (DSC) of 92.35 +/- 2.13% and a 95% Hausdorff distance of 0.59 +/- 0.23 mm, which is significantly better than other networks. The proposed network is the first AI-based method to implement the automatic reconstruction of OBF, effectively improving the reconstruction accuracy and efficiency of the fractured orbital wall. In the future, it has a promising application prospect in the surgical planning of OBF.</t>
  </si>
  <si>
    <t>[Xu, Jiangchang; Chen, Xiaojun] Shanghai Jiao Tong Univ, Inst Biomed Mfg &amp; Life Qual Engn, Sch Mech Engn, Shanghai, Peoples R China; [Wei, Yining; Zhou, Huifang; Li, Yinwei] Shanghai Jiao Tong Univ, Shanghai Peoples Hosp 9, Sch Med, Dept Ophthalmol, Shanghai, Peoples R China; [Chen, Xiaojun] Shanghai Jiao Tong Univ, Inst Med Robot, Shanghai, Peoples R China; [Zhou, Huifang; Li, Yinwei] Shanghai Key Lab Orbital Dis &amp; Ocular Oncol, Shanghai, Peoples R China</t>
  </si>
  <si>
    <t>Shanghai Jiao Tong University; Shanghai Jiao Tong University; Shanghai Jiao Tong University</t>
  </si>
  <si>
    <t>Chen, XJ (corresponding author), Shanghai Jiao Tong Univ, Inst Biomed Mfg &amp; Life Qual Engn, Sch Mech Engn, Shanghai, Peoples R China.;Li, YW (corresponding author), Shanghai Jiao Tong Univ, Shanghai Peoples Hosp 9, Sch Med, Dept Ophthalmol, Shanghai, Peoples R China.;Chen, XJ (corresponding author), Shanghai Jiao Tong Univ, Inst Med Robot, Shanghai, Peoples R China.;Li, YW (corresponding author), Shanghai Key Lab Orbital Dis &amp; Ocular Oncol, Shanghai, Peoples R China.</t>
  </si>
  <si>
    <t>dr_yinwei_li@foxmail.com; xiaojunchen@sjtu.edu.cn</t>
  </si>
  <si>
    <t>Xu, Jiangchang/0000-0003-3187-888X</t>
  </si>
  <si>
    <t>National Natural Science Foundation of China [81971709, M-0019, 82011530141]; China Postdoctoral Science Foundation [2023M732245]; Foundation of Science and Technology Commission of Shanghai Municipality [20490740700, 22Y11 911700]; Shanghai Jiao Tong University Foundation on Medical and Technological Joint Science Research [YG2021ZD21, YG2021QN72, YG2022QN056, YG2023ZD19, YG2023ZD15]; Funding of Xiamen Science and Technology Bureau [3502Z20221012]; Cross disciplinary Research Fund of Shanghai Ninth People's Hospital, Shanghai Jiao Tong University School of Medicine [JYJC202115]</t>
  </si>
  <si>
    <t>National Natural Science Foundation of China(National Natural Science Foundation of China (NSFC)); China Postdoctoral Science Foundation(China Postdoctoral Science Foundation); Foundation of Science and Technology Commission of Shanghai Municipality(Science &amp; Technology Commission of Shanghai Municipality (STCSM)); Shanghai Jiao Tong University Foundation on Medical and Technological Joint Science Research; Funding of Xiamen Science and Technology Bureau; Cross disciplinary Research Fund of Shanghai Ninth People's Hospital, Shanghai Jiao Tong University School of Medicine</t>
  </si>
  <si>
    <t>This work was supported by grants from the National Natural Science Foundation of China (81971709; M-0019; 82011530141), the China Postdoctoral Science Foundation (2023M732245), the Foundation of Science and Technology Commission of Shanghai Municipality (20490740700; 22Y11 911700), Shanghai Jiao Tong University Foundation on Medical and Technological Joint Science Research (YG2021ZD21; YG2021QN72; YG2022QN056; YG2023ZD19; YG2023ZD15), the Funding of Xiamen Science and Technology Bureau (No. 3502Z20221012), Cross disciplinary Research Fund of Shanghai Ninth People's Hospital, Shanghai Jiao Tong University School of Medicine (JYJC202115).</t>
  </si>
  <si>
    <t>978-3-031-43995-7; 978-3-031-43996-4</t>
  </si>
  <si>
    <t>10.1007/978-3-031-43996-4_44</t>
  </si>
  <si>
    <t>Computer Science, Artificial Intelligence; Computer Science, Theory &amp; Methods; Engineering, Biomedical</t>
  </si>
  <si>
    <t>BW1RN</t>
  </si>
  <si>
    <t>WOS:001109638800044</t>
  </si>
  <si>
    <t>Chen, ZY; Xie, FK; Wan, M; Yuan, Y; Liu, M; Wang, ZG; Meng, S; Wang, YG</t>
  </si>
  <si>
    <t>Chen, Zi-Yi; Xie, Fan-Kai; Wan, Meng; Yuan, Yang; Liu, Miao; Wang, Zong-Guo; Meng, Sheng; Wang, Yan-Gang</t>
  </si>
  <si>
    <t>MatChat: A large language model and application service platform for materials science</t>
  </si>
  <si>
    <t>CHINESE PHYSICS B</t>
  </si>
  <si>
    <t>MatChat; materials science; generative artificial intelligence; 81.05.Zx; 01.50.hv; 81.16.Be</t>
  </si>
  <si>
    <t>The prediction of chemical synthesis pathways plays a pivotal role in materials science research. Challenges, such as the complexity of synthesis pathways and the lack of comprehensive datasets, currently hinder our ability to predict these chemical processes accurately. However, recent advancements in generative artificial intelligence (GAI), including automated text generation and question-answering systems, coupled with fine-tuning techniques, have facilitated the deployment of large-scale AI models tailored to specific domains. In this study, we harness the power of the LLaMA2-7B model and enhance it through a learning process that incorporates 13878 pieces of structured material knowledge data. This specialized AI model, named MatChat, focuses on predicting inorganic material synthesis pathways. MatChat exhibits remarkable proficiency in generating and reasoning with knowledge in materials science. Although MatChat requires further refinement to meet the diverse material design needs, this research undeniably highlights its impressive reasoning capabilities and innovative potential in materials science. MatChat is now accessible online and open for use, with both the model and its application framework available as open source. This study establishes a robust foundation for collaborative innovation in the integration of generative AI in materials science.</t>
  </si>
  <si>
    <t>[Chen, Zi-Yi; Wan, Meng; Yuan, Yang; Wang, Zong-Guo; Wang, Yan-Gang] Chinese Acad Sci, Comp Network Informat Ctr, Beijing 100083, Peoples R China; [Chen, Zi-Yi; Yuan, Yang; Wang, Zong-Guo; Wang, Yan-Gang] Univ Chinese Acad Sci, Beijing 100049, Peoples R China; [Xie, Fan-Kai; Liu, Miao; Meng, Sheng] Chinese Acad Sci, Inst Phys, Beijing 100190, Peoples R China; [Xie, Fan-Kai] Univ Chinese Acad Sci, Sch Phys Sci, Beijing 100190, Peoples R China; [Liu, Miao; Meng, Sheng] Songshan Lake Mat Lab, Dongguan 523808, Peoples R China; [Liu, Miao] Univ Chinese Acad Sci, Ctr Mat Sci &amp; Optoelect Engn, Beijing 100049, Peoples R China</t>
  </si>
  <si>
    <t>Chinese Academy of Sciences; Computer Network Information Center, CAS; Chinese Academy of Sciences; University of Chinese Academy of Sciences, CAS; Chinese Academy of Sciences; Institute of Physics, CAS; Chinese Academy of Sciences; University of Chinese Academy of Sciences, CAS; Songshan Lake Materials Laboratory; Chinese Academy of Sciences; University of Chinese Academy of Sciences, CAS</t>
  </si>
  <si>
    <t>Wang, ZG (corresponding author), Chinese Acad Sci, Comp Network Informat Ctr, Beijing 100083, Peoples R China.;Wang, ZG (corresponding author), Univ Chinese Acad Sci, Beijing 100049, Peoples R China.;Liu, M (corresponding author), Chinese Acad Sci, Inst Phys, Beijing 100190, Peoples R China.;Liu, M (corresponding author), Songshan Lake Mat Lab, Dongguan 523808, Peoples R China.;Liu, M (corresponding author), Univ Chinese Acad Sci, Ctr Mat Sci &amp; Optoelect Engn, Beijing 100049, Peoples R China.</t>
  </si>
  <si>
    <t>mliu@iphy.ac.cn; wangzg@cnic.cn</t>
  </si>
  <si>
    <t>Chen, Ziyi/N-6153-2019; Liu, Miao/N-9937-2013</t>
  </si>
  <si>
    <t>Chen, Ziyi/0000-0002-8968-9996; Wan, Meng/0000-0001-5965-6272; Liu, Miao/0000-0002-1843-9519</t>
  </si>
  <si>
    <t>Informatization Plan of the Chinese Academy of Sciences [CAS-WX2023SF-0101]; Key Research Program of Frontier Sciences, CAS [ZDBS-LY-7025]; Youth Innovation Promotion Association CAS [2021167]; Strategic Priority Research Program of Chinese Academy of Sciences [XDB33020000]</t>
  </si>
  <si>
    <t>Informatization Plan of the Chinese Academy of Sciences; Key Research Program of Frontier Sciences, CAS; Youth Innovation Promotion Association CAS; Strategic Priority Research Program of Chinese Academy of Sciences(Chinese Academy of Sciences)</t>
  </si>
  <si>
    <t>This work was supported by the Informatization Plan of the Chinese Academy of Sciences (Grant No. CAS-WX2023SF-0101), the Key Research Program of Frontier Sciences, CAS (Grant No. ZDBS-LY-7025), the Youth Innovation Promotion Association CAS (Grant No. 2021167), and the Strategic Priority Research Program of Chinese Academy of Sciences (Grant No. XDB33020000).</t>
  </si>
  <si>
    <t>1674-1056</t>
  </si>
  <si>
    <t>2058-3834</t>
  </si>
  <si>
    <t>CHINESE PHYS B</t>
  </si>
  <si>
    <t>Chin. Phys. B</t>
  </si>
  <si>
    <t>NOV 1</t>
  </si>
  <si>
    <t>10.1088/1674-1056/ad04cb</t>
  </si>
  <si>
    <t>AU8N3</t>
  </si>
  <si>
    <t>WOS:001121059200001</t>
  </si>
  <si>
    <t>Solopova, V; Rostom, E; Cremer, F; Gruszczynski, A; Witte, S; Zhang, CM; López, FR; Plössl, L; Hofmann, F; Romeike, R; Glaeser-Zikuda, M; Benzmüller, C; Landgraf, T</t>
  </si>
  <si>
    <t>Seipel, D; Steen, A</t>
  </si>
  <si>
    <t>Solopova, Veronika; Rostom, Eiad; Cremer, Fritz; Gruszczynski, Adrian; Witte, Sascha; Zhang, Chengming; Lopez, Fernando Ramos; Ploessl, Lea; Hofmann, Florian; Romeike, Ralf; Glaeser-Zikuda, Michaela; Benzmueller, Christoph; Landgraf, Tim</t>
  </si>
  <si>
    <t>PapagAI: Automated Feedback for Reflective Essays</t>
  </si>
  <si>
    <t>ADVANCES IN ARTIFICIAL INTELLIGENCE, KI 2023</t>
  </si>
  <si>
    <t>46th German Conference on Artificial Intelligence (KI)</t>
  </si>
  <si>
    <t>Berlin, GERMANY</t>
  </si>
  <si>
    <t>German Informat Soc, German Sect Artificial Intelligence,Springer</t>
  </si>
  <si>
    <t>Automated feedback; Dialogue; Hybrid AI; NLP</t>
  </si>
  <si>
    <t>Written reflective practice is a regular exercise pre-service teachers perform during their higher education. Usually, their lecturers are expected to provide individual feedback, which can be a challenging task to perform on a regular basis. In this paper, we present the first open-source automated feedback tool based on didactic theory and implemented as a hybrid AI system. We describe the components and discuss the advantages and disadvantages of our system compared to the state-of-art generative large language models. The main objective of our work is to enable better learning outcomes for students and to complement the teaching activities of lecturers.</t>
  </si>
  <si>
    <t>[Solopova, Veronika; Rostom, Eiad; Cremer, Fritz; Gruszczynski, Adrian; Witte, Sascha; Lopez, Fernando Ramos; Romeike, Ralf; Landgraf, Tim] Free Univ Berlin, Berlin, Germany; [Zhang, Chengming; Ploessl, Lea; Hofmann, Florian; Glaeser-Zikuda, Michaela; Benzmueller, Christoph] Friedrich Alexander Univ Erlangen Nurnberg, Erlangen, Germany; [Benzmueller, Christoph] Otto Friedrich Univ Bamberg, Bamberg, Germany</t>
  </si>
  <si>
    <t>Free University of Berlin; University of Erlangen Nuremberg; Otto Friedrich University Bamberg</t>
  </si>
  <si>
    <t>Solopova, V (corresponding author), Free Univ Berlin, Berlin, Germany.</t>
  </si>
  <si>
    <t>veronika.solopova@fu-berlin.de</t>
  </si>
  <si>
    <t>Solopova, Veronika/0000-0003-0183-9433; Romeike, Ralf/0000-0002-2941-4288</t>
  </si>
  <si>
    <t>978-3-031-42607-0; 978-3-031-42608-7</t>
  </si>
  <si>
    <t>10.1007/978-3-031-42608-7_16</t>
  </si>
  <si>
    <t>BW4UF</t>
  </si>
  <si>
    <t>WOS:001155305700016</t>
  </si>
  <si>
    <t>Vo, HV; Du, HP; Nguyen, HN</t>
  </si>
  <si>
    <t>Vo, Hoang V.; Du, Hanh P.; Nguyen, Hoa N.</t>
  </si>
  <si>
    <t>APELID: Enhancing real-time intrusion detection with augmented WGAN and parallel ensemble learning</t>
  </si>
  <si>
    <t>COMPUTERS &amp; SECURITY</t>
  </si>
  <si>
    <t>AI-powered intrusion detection; Traffic deep analysis; Data augmentation; Wasserstein generative adversarial networks; Deep neural network; EXtreme gradient boosting; Gradient boosting on decision trees; Bagging meta-estimator; Parallel ensemble learning</t>
  </si>
  <si>
    <t>NEURAL-NETWORK; CLASSIFICATION; MODEL</t>
  </si>
  <si>
    <t>This paper proposes an AI-powered intrusion detection method that improves intrusion detection performance by increasing the quality of the training set and employing numerous potent AI models. Composed of the Augmented Wasserstein Generative Adversarial Networks (AWGAN) and Parallel Ensemble Learning-based Intrusion Detection (PELID) algorithms, it is referred to as APELID. First, to augment the training set quality, AWGAN combines a clustering algorithm to select representative samples from the majority classes and WGAN to generate more realistic samples from the minority classes. Second, PELID employs a weighted ensemble of multiple efficient AI models in parallel to improve the efficacy of AI-powered intrusion detection. In addition, APELID also incorporates a sandbox-based malware analyzer. It aims to enrich the indicators of compromise for preventing malicious files that have been transferred over the network. Rigorous experiments utilizing well-known datasets, such as CSE-CIC-IDS2018 and NSL-KDD, are conducted in order to evaluate APELID. Hence, it achieves an outstanding F1-score of 99.99% and 99.65% and a remarkably low false negative rate of 0.00% and 0.34%, respectively, which is superior to state-of-the-art methods. In addition, the average PELID-based detection time (i.e., 22.29 mu s/flow) for a single network traffic flow is fast enough to detect intrusions in real-time.</t>
  </si>
  <si>
    <t>[Vo, Hoang V.; Du, Hanh P.; Nguyen, Hoa N.] Vietnam Natl Univ Hanoi, VNU Univ Engn &amp; Technol, Dept Informat Syst, Hanoi 100000, Vietnam</t>
  </si>
  <si>
    <t>Vietnam National University Hanoi</t>
  </si>
  <si>
    <t>Nguyen, HN (corresponding author), Vietnam Natl Univ Hanoi, VNU Univ Engn &amp; Technol, Dept Informat Syst, Hanoi 100000, Vietnam.</t>
  </si>
  <si>
    <t>vohoangmocvy@gmail.com; hanhdp@vnu.edu.vn; hoa.nguyen@vnu.edu.vn</t>
  </si>
  <si>
    <t>NGUYEN, Hoa/0000-0002-2565-281X; DU, Hanh/0000-0002-8993-1164</t>
  </si>
  <si>
    <t>0167-4048</t>
  </si>
  <si>
    <t>1872-6208</t>
  </si>
  <si>
    <t>COMPUT SECUR</t>
  </si>
  <si>
    <t>Comput. Secur.</t>
  </si>
  <si>
    <t>10.1016/j.cose.2023.103567</t>
  </si>
  <si>
    <t>Y6DB7</t>
  </si>
  <si>
    <t>WOS:001106132700001</t>
  </si>
  <si>
    <t>Matsuura, T; Kawahara, D; Saito, A; Yamada, K; Ozawa, S; Nagata, Y</t>
  </si>
  <si>
    <t>Matsuura, Takaaki; Kawahara, Daisuke; Saito, Akito; Yamada, Kiyoshi; Ozawa, Shuichi; Nagata, Yasushi</t>
  </si>
  <si>
    <t>A synthesized gamma distribution-based patient-specific VMAT QA using a generative adversarial network</t>
  </si>
  <si>
    <t>MEDICAL PHYSICS</t>
  </si>
  <si>
    <t>deep learning; gamma distribution; gamma passing rate; GAN</t>
  </si>
  <si>
    <t>QUALITY-ASSURANCE; PLAN COMPLEXITY; CLINICAL IMPLEMENTATION; INDEX ANALYSIS; PASSING RATE; IMRT; ERRORS; MODEL</t>
  </si>
  <si>
    <t>BackgroundArtificial intelligence (AI)-based gamma passing rate (GPR) prediction has been proposed as a time-efficient virtual patient-specific QA method for the delivery of volumetric modulation arc therapy (VMAT). However, there is a limitation that the GPR value loses the locational information of dose accuracy. PurposeThe objective was to predict the failing points in the gamma distribution and the GPR using a synthesized gamma distribution of VMAT QA with a deep convolutional generative adversarial network (GAN). MethodsThe fluence maps of 270 VMAT beams for prostate cancer were measured using an electronic portal imaging device and analyzed using gamma evaluation with 3%/2-mm, 2%/1-mm, 1%/1-mm, and 1%/0.5-mm tolerances. The 270 gamma distributions were divided into two datasets: 240 training datasets for creating a model and 30 test datasets for evaluation. The image prediction network for the fluence maps calculated by the treatment planning system (TPS) to the gamma distributions was created using a GAN. The sensitivity, specificity, and accuracy of detecting failing points were evaluated using measured and synthesized gamma distributions. In addition, the difference between measured GPR (mGPR) and predicted GPR (pGPR) values calculated from the synthesized gamma distributions was evaluated. ResultsThe root mean squared errors between mGPR and pGPR were 1.0%, 2.1%, 3.5%, and 3.6% for the 3%/2-mm, 2%/1-mm, 1%/1-mm, and 1%/0.5-mm tolerances, respectively. The accuracies for detecting failing points were 98.9%, 96.9%, 94.7%, and 93.7% for 3%/2-mm, 2%/1-mm, 1%/1-mm, and 1%/0.5-mm tolerances, respectively. The sensitivity and specificity were the highest for 1%/0.5-mm and 3%/2-mm tolerances, which were 82.7% and 99.6%, respectively. ConclusionsWe developed a novel system using a GAN to generate a synthesized gamma distribution-based patient-specific VMAT QA. The system is promising from the point of view of quality assurance in radiotherapy because it shows high performance and can detect failing points.</t>
  </si>
  <si>
    <t>[Matsuura, Takaaki; Yamada, Kiyoshi; Ozawa, Shuichi; Nagata, Yasushi] Hiroshima High Precis Radiotherapy Canc Ctr, Hiroshima, Japan; [Matsuura, Takaaki; Kawahara, Daisuke; Ozawa, Shuichi; Nagata, Yasushi] Hiroshima Univ, Grad Sch Biomed &amp; Hlth Sci, Dept Radiat Oncol, Hiroshima, Japan; [Saito, Akito] Hiroshima Univ Hosp, Dept Radiat Oncol, Hiroshima, Japan; [Kawahara, Daisuke] Hiroshima Univ, Grad Sch Biomed &amp; Hlth Sci, Dept Radiat Oncol, 1-2-3 Kasumi, Hiroshima, Hiroshima 7348551, Japan</t>
  </si>
  <si>
    <t>Hiroshima University; Hiroshima University; Hiroshima University</t>
  </si>
  <si>
    <t>Kawahara, D (corresponding author), Hiroshima Univ, Grad Sch Biomed &amp; Hlth Sci, Dept Radiat Oncol, 1-2-3 Kasumi, Hiroshima, Hiroshima 7348551, Japan.</t>
  </si>
  <si>
    <t>daika99@hiroshima-u.ac.jp</t>
  </si>
  <si>
    <t>0094-2405</t>
  </si>
  <si>
    <t>2473-4209</t>
  </si>
  <si>
    <t>MED PHYS</t>
  </si>
  <si>
    <t>Med. Phys.</t>
  </si>
  <si>
    <t>10.1002/mp.16210</t>
  </si>
  <si>
    <t>H5AE5</t>
  </si>
  <si>
    <t>WOS:000913023000001</t>
  </si>
  <si>
    <t>Daher, W; Diab, H; Rayan, A</t>
  </si>
  <si>
    <t>Daher, Wajeeh; Diab, Hussam; Rayan, Anwar</t>
  </si>
  <si>
    <t>Artificial Intelligence Generative Tools and Conceptual Knowledge in Problem Solving in Chemistry</t>
  </si>
  <si>
    <t>artificial intelligence; ChatGPT; conceptual knowledge; chemistry; problem solving</t>
  </si>
  <si>
    <t>In recent years, artificial intelligence (AI) has emerged as a valuable resource for teaching and learning, and it has also shown promise as a tool to help solve problems. A tool that has gained attention in education is ChatGPT, which supports teaching and learning through AI. This research investigates the difficulties faced by ChatGPT in comprehending and responding to chemistry problems pertaining to the topic of Introduction to Material Science. By employing the theoretical framework proposed by Holme et al., encompassing categories such as transfer, depth, predict/explain, problem solving, and translate, we evaluate ChatGPT's conceptual understanding difficulties. We presented ChatGPT with a set of thirty chemistry problems within the Introduction to Material Science domain and tasked it with generating solutions. Our findings indicated that ChatGPT encountered significant conceptual knowledge difficulties across various categories, with a notable emphasis on representations and depth, where difficulties in representations hindered effective knowledge transfer.</t>
  </si>
  <si>
    <t>[Daher, Wajeeh] Al Qasemi Acad Coll Educ, Math Dept, IL-3010000 Baqa, Israel; [Diab, Hussam; Rayan, Anwar] Al Qasemi Acad Coll Educ, Sci Dept, IL-3010000 Baqa, Israel</t>
  </si>
  <si>
    <t>Daher, W (corresponding author), Al Qasemi Acad Coll Educ, Math Dept, IL-3010000 Baqa, Israel.</t>
  </si>
  <si>
    <t>wdaher@qsm.ac.il; hussamono@gmail.com; a_rayan@qsm.ac.il</t>
  </si>
  <si>
    <t>; Daher, Wajeeh/V-8742-2018</t>
  </si>
  <si>
    <t>Rayan, Anwar/0000-0001-8255-5947; Daher, Wajeeh/0000-0002-8207-0250</t>
  </si>
  <si>
    <t>10.3390/info14070409</t>
  </si>
  <si>
    <t>N3IW2</t>
  </si>
  <si>
    <t>WOS:001036000000001</t>
  </si>
  <si>
    <t>Zurale, D; Dubnov, S</t>
  </si>
  <si>
    <t>Zurale, Devansh; Dubnov, Shlomo</t>
  </si>
  <si>
    <t>LEARNING SUB-DIMENSIONAL HRTF REPRESENTATIONS TOWARDS INDIVIDUALIZATION APPLICATIONS - TRADITIONAL AND DEEP LEARNING APPROACHES</t>
  </si>
  <si>
    <t>HRTF Modeling; Representation Learning; PCA; Generative AI; VQVAE</t>
  </si>
  <si>
    <t>Individualized Head Related Transfer Functions (HRTFs) are indispensable in order to accurately reproduce spatial audio over headphones. Encoding the high-dimensional HRTFs to a sub-dimensional space has proven to be useful in many previous research efforts in predicting individualized HRTFs. In this work, we provide a comparative study of some traditional methods such as Principle Component Analysis (PCA) or Multi-Layer Perceptron (MLP) based Autoencoders and the more recent generative deep learning approaches such as a Convolutional Neural Network (CNN) based Vector Quantized Variational Autoencoder (VQ-VAE) for learning HRTF representations. We further demonstrate the benefits of using 3D-CNNs for this task to learn correlations between neighboring HRTFs, along both spatial and frequency dimensions. To this end, we provide evidence suggesting that such a 3D-CNN based approach enables the derived latent space to encode features more representative of the individuality of the HRTFs while also allowing for the representations to be significantly more compact. Finally, we also explore the advantages of such robust representations towards downstream applications of predicting Individualized HRTFs.</t>
  </si>
  <si>
    <t>[Zurale, Devansh; Dubnov, Shlomo] Univ Calif San Diego, La Jolla, CA 92093 USA</t>
  </si>
  <si>
    <t>University of California System; University of California San Diego</t>
  </si>
  <si>
    <t>Zurale, D (corresponding author), Univ Calif San Diego, La Jolla, CA 92093 USA.</t>
  </si>
  <si>
    <t>Zurale, Devansh/GXZ-8263-2022</t>
  </si>
  <si>
    <t>Zurale, Devansh/0009-0001-2294-7903</t>
  </si>
  <si>
    <t>10.1109/WASPAA58266.2023.10248076</t>
  </si>
  <si>
    <t>WOS:001073615200013</t>
  </si>
  <si>
    <t>Pillai, J; Pillai, K</t>
  </si>
  <si>
    <t>Pillai, Joshua; Pillai, Kathryn</t>
  </si>
  <si>
    <t>Accuracy of generative artificial intelligence models in differential diagnoses of familial Mediterranean fever and deficiency of Interleukin-1 receptor antagonist</t>
  </si>
  <si>
    <t>JOURNAL OF TRANSLATIONAL AUTOIMMUNITY</t>
  </si>
  <si>
    <t>DIRA; Deficiency of Interleukin-1 receptor antagonist; Familial Mediterranean fever; FMF; Artificial intelligence</t>
  </si>
  <si>
    <t>AUTOINFLAMMATORY DISEASE; DELETION; PUSTULOSIS; MUTATION; PATIENT; IL1RN</t>
  </si>
  <si>
    <t>With the increasing development of artificial intelligence, large language models (LLMs) have been utilized to solve problems in natural language processing tasks. More recently, LLMs have shown unique potential in numerous applications within medicine but have been particularly investigated for their ability in clinical reasoning. Although the diagnostic accuracy of LLMs in forming differential diagnoses has been reviewed in general internal medicine applications, much is unknown in autoinflammatory disorders. From the nature of autoinflammatory diseases, forming a differential diagnosis is challenging due to the overlapping symptoms between disorders and even more difficult without genetic screening. In this work, the diagnostic accuracy of the Generative Pre-Trained Transformer Model-4 (GPT-4), GPT-3.5, and Large Language Model Meta AI (LLaMa) were evaluated in clinical vignettes of Deficiency of Interleukin-1 Receptor Antagonist (DIRA) and Familial Mediterranean Fever (FMF). We then compared these models to a control group including one internal medicine physician. It was found that GPT-4 did not significantly differ in correctly identifying DIRA and FMF patients compared to the internist. However, the physician maintained a significantly higher accuracy than GPT-3.5 and LLaMa 2 for either disease. Overall, we explore and discuss the unique potential of LLMs in diagnostics for autoimmune diseases.</t>
  </si>
  <si>
    <t>[Pillai, Joshua] Irvine Unified Sch Dist, Dept Biol Sci, 5050 Barranca Pkwy, Irvine, CA 92604 USA; [Pillai, Kathryn] Calif Univ Sci &amp; Med, Sch Med, Dept Med Educ, 1501 Violet St, Colton, CA USA</t>
  </si>
  <si>
    <t>Pillai, J (corresponding author), Irvine Unified Sch Dist, Dept Biol Sci, 5050 Barranca Pkwy, Irvine, CA 92604 USA.</t>
  </si>
  <si>
    <t>joshpillai949@gmail.com</t>
  </si>
  <si>
    <t>Pillai, Joshua/0000-0002-2477-1868</t>
  </si>
  <si>
    <t>2589-9090</t>
  </si>
  <si>
    <t>J TRANSL AUTOIMMUN</t>
  </si>
  <si>
    <t>J. Transl. Autoimmun.</t>
  </si>
  <si>
    <t>10.1016/j.jtauto.2023.100213</t>
  </si>
  <si>
    <t>Immunology</t>
  </si>
  <si>
    <t>Y2MR5</t>
  </si>
  <si>
    <t>WOS:001103664200001</t>
  </si>
  <si>
    <t>Hegde, A; Srinivasan, S; Menon, G</t>
  </si>
  <si>
    <t>Hegde, Ajay; Srinivasan, Siddharth; Menon, Girish</t>
  </si>
  <si>
    <t>Extraventricular Neurocytoma of the Posterior Fossa: A Case Report Written by ChatGPT</t>
  </si>
  <si>
    <t>chatgpt; brain tumour; neuro oncology; artificial intelligence (ai); extraventricular neurocytoma</t>
  </si>
  <si>
    <t>ChatGPT (Chat Generative Pre-trained Transformer) is the latest artificial intelligence (AI) tool that has taken the internet by storm. A large language model-based AI tool, ChatGPT is used to generate natural prose-like answers learning from a large database of text. A lot is being written and spoken about the future of academic writing using this tool. We attempt to generate a short case report of a brain tumour labelled extraventriuclar neurocytoma (EVN) which is a rare tumour of the central nervous system. When posed with a set of questions on this uncommon topic, ChatGPT did well with relevant but not very specific answers. Validation of the information is an issue like with most machine learning solutions. This case report is an attempt to summarise EVN and its management.</t>
  </si>
  <si>
    <t>[Hegde, Ajay; Srinivasan, Siddharth; Menon, Girish] Kasturba Med Coll &amp; Hosp, Neurosurg, Manipal, India</t>
  </si>
  <si>
    <t>Manipal Academy of Higher Education (MAHE); Kasturba Medical College, Manipal</t>
  </si>
  <si>
    <t>Menon, G (corresponding author), Kasturba Med Coll &amp; Hosp, Neurosurg, Manipal, India.</t>
  </si>
  <si>
    <t>girish.menon@manipal.edu</t>
  </si>
  <si>
    <t>Hegde, Ajay/N-3334-2017</t>
  </si>
  <si>
    <t>Hegde, Ajay/0000-0001-6970-2260</t>
  </si>
  <si>
    <t>CUREUS INC</t>
  </si>
  <si>
    <t>PALO ALTO</t>
  </si>
  <si>
    <t>PO BOX 61002, PALO ALTO, CA 94306 USA</t>
  </si>
  <si>
    <t>MAR 6</t>
  </si>
  <si>
    <t>e35850</t>
  </si>
  <si>
    <t>10.7759/cureus.35850</t>
  </si>
  <si>
    <t>E9OQ7</t>
  </si>
  <si>
    <t>WOS:000978753400022</t>
  </si>
  <si>
    <t>Morales-García, J; Bueno-Crespo, A; Terroso-Sáenz, F; Arcas-Túnez, F; Martínez-España, R; Cecilia, JM</t>
  </si>
  <si>
    <t>Morales-Garcia, Juan; Bueno-Crespo, Andres; Terroso-Saenz, Fernando; Arcas-Tunez, Francisco; Martinez-Espana, Raquel; Cecilia, Jose M.</t>
  </si>
  <si>
    <t>Evaluation of synthetic data generation for intelligent climate control in greenhouses</t>
  </si>
  <si>
    <t>Deep learning; Synthetic time series data generation; Generative adversarial networks; Time series forecasting</t>
  </si>
  <si>
    <t>We are witnessing the digitalization era, where artificial intelligence (AI)/machine learning (ML) models are mandatory to transform this data deluge into actionable information. However, these models require large, high-quality datasets to predict high reliability/accuracy. Even with the maturity of Internet of Things (IoT) systems, there are still numerous scenarios where there is not enough quantity and quality of data to successfully develop AI/ML-based applications that can meet market expectations. One such scenario is precision agriculture, where operational data generation is costly and unreliable due to the extreme and remote conditions of numerous crops. In this paper, we investigated the generation of synthetic data as a method to improve predictions of AI/ML models in precision agriculture. We used generative adversarial networks (GANs) to generate synthetic temperature data for a greenhouse located in Murcia (Spain). The results reveal that the use of synthetic data significantly improves the accuracy of the AI/ML models targeted compared to using only ground truth data.</t>
  </si>
  <si>
    <t>[Morales-Garcia, Juan; Bueno-Crespo, Andres; Terroso-Saenz, Fernando; Arcas-Tunez, Francisco] Catholic Univ Murcia UCAM, Comp Sci Dept, Ave Jeronimos 135, Murcia 30107, Spain; [Martinez-Espana, Raquel] Univ Murcia UM, Informat &amp; Commun Engn Dept, C Campus Univ 11, Murcia 30100, Spain; [Cecilia, Jose M.] Univ Politecn Valencia UPV, Comp &amp; Syst Informat Dept, Camino Vera S-N, Valencia 46022, Spain</t>
  </si>
  <si>
    <t>Universidad Catolica de Murcia; University of Murcia; Universitat Politecnica de Valencia</t>
  </si>
  <si>
    <t>Morales-García, J (corresponding author), Catholic Univ Murcia UCAM, Comp Sci Dept, Ave Jeronimos 135, Murcia 30107, Spain.</t>
  </si>
  <si>
    <t>jmorales8@ucam.edu; abueno@ucam.edu; fterroso@ucam.edu; farcas@ucam.edu; raquel.m.e@um.es; jmcecilia@disca.upv.es</t>
  </si>
  <si>
    <t>Bueno-Crespo, Andres/O-5423-2016; Martinez Espana, Raquel/K-8660-2014; Arcas-Tunez, Francisco/O-1463-2016; Cecilia, Jose M./G-3177-2015; Morales-Garcia, Juan/AAS-8639-2021</t>
  </si>
  <si>
    <t>Bueno-Crespo, Andres/0000-0003-1734-6852; Martinez Espana, Raquel/0000-0002-6750-2203; Arcas-Tunez, Francisco/0000-0003-4892-5902; Cecilia, Jose M./0000-0001-5648-214X; Terroso-Saenz, Fernando/0000-0002-1921-1137; Morales-Garcia, Juan/0000-0003-0008-4825</t>
  </si>
  <si>
    <t>Ramp;D projects [RTC2019-007159-5]; Ramon y Cajal Grant [RYC2018-025580-I]; MCIN/AEI [PID2020-112827GB-I00]; FSE invest in your future; ERDF A way of making Europe</t>
  </si>
  <si>
    <t>Ramp;D projects; Ramon y Cajal Grant(Spanish Government); MCIN/AEI; FSE invest in your future; ERDF A way of making Europe</t>
  </si>
  <si>
    <t>This work is derived from R&amp;D projects RTC2019-007159-5, as well as the Ramon y Cajal Grant RYC2018-025580-I, funded by MCIN/AEI/10.13039/501100011033, FSE invest in your future and ERDF A way of making Europe and the grant PID2020-112827GB-I00 funded by MCIN/AEI/10.13039/501100011033.</t>
  </si>
  <si>
    <t>10.1007/s10489-023-04783-2</t>
  </si>
  <si>
    <t>W0SD2</t>
  </si>
  <si>
    <t>WOS:001037360100001</t>
  </si>
  <si>
    <t>Lin, X; Chen, JJ; Lu, WS; Guo, HL</t>
  </si>
  <si>
    <t>Lin, Xiao; Chen, Junjie; Lu, Weisheng; Guo, Hongling</t>
  </si>
  <si>
    <t>An edge-weighted graph triumvirate to represent modular building layouts</t>
  </si>
  <si>
    <t>AUTOMATION IN CONSTRUCTION</t>
  </si>
  <si>
    <t>Modular building; Building layout; Graph representation; Generative design; Generative model; Floorplan</t>
  </si>
  <si>
    <t>OF-THE-ART; SPACE LAYOUTS; CONSTRUCTION; SYNTAX</t>
  </si>
  <si>
    <t>Representing building layouts as graphs can extract critical design patterns that would facilitate space syntax analyses as well as design mining and automation but traditional approaches (e.g., non-weighted adjacent graphs) encountered problems in modular buildings, as they are largely shaped under the principle of 'modu-larity' rather than freeform cast in-situ elements. This paper attempts to develop a novel analytical tool called ModularGraph to represent modular building layouts (MBLs) as graphs considering their unique adjacency, connectivity, and conjoint relationships in a triumvirate. It does so by developing a prototype then applying it to 36 modular buildings for iteration, finetuning, and finalizing. It is found that ModularGraph can effectively translate heterogeneous forms of MBLs into unified graph-based representations with rich graphic and semantic information. This study not only contributes an innovative graph analytic tool for design pattern mining, but also lays a stepping stone towards generative AI for modular building design.</t>
  </si>
  <si>
    <t>[Lin, Xiao; Chen, Junjie; Lu, Weisheng] Univ Hong Kong, Fac Architecture, Dept Real Estate &amp; Construct, Hong Kong, Peoples R China; [Lin, Xiao; Guo, Hongling] Tsinghua Univ, Dept Construct Management, Beijing, Peoples R China</t>
  </si>
  <si>
    <t>University of Hong Kong; Tsinghua University</t>
  </si>
  <si>
    <t>Lu, WS (corresponding author), Univ Hong Kong, Fac Architecture, Dept Real Estate &amp; Construct, Hong Kong, Peoples R China.</t>
  </si>
  <si>
    <t>Collaborative Research Fund (CRF) [C7080-22GF]; Hong Kong Research Grants Council</t>
  </si>
  <si>
    <t>Collaborative Research Fund (CRF); Hong Kong Research Grants Council(Hong Kong Research Grants Council)</t>
  </si>
  <si>
    <t>0926-5805</t>
  </si>
  <si>
    <t>1872-7891</t>
  </si>
  <si>
    <t>AUTOMAT CONSTR</t>
  </si>
  <si>
    <t>Autom. Constr.</t>
  </si>
  <si>
    <t>10.1016/j.autcon.2023.105140</t>
  </si>
  <si>
    <t>Y0RJ2</t>
  </si>
  <si>
    <t>WOS:001102423900001</t>
  </si>
  <si>
    <t>Hammond, KM; Lucas, P; Hassouna, A; Brown, S</t>
  </si>
  <si>
    <t>Hammond, Kay M.; Lucas, Patricia; Hassouna, Amira; Brown, Stephen</t>
  </si>
  <si>
    <t>A Wolf in Sheep's Clothing? Critical Discourse Analysis of Five Online Automated Paraphrasing Sites</t>
  </si>
  <si>
    <t>Automated paraphrasing tools; generative AI; academic integrity; critical discourse analysis; higher education</t>
  </si>
  <si>
    <t>L1</t>
  </si>
  <si>
    <t>Research on academic integrity used to focus more on student character and behaviour. Now this research includes wider viewing of this issue as a current teaching and learning challenge which requires pedagogical intervention. It is now the responsibility of staff and institutions to treat the creation of a learning environment supporting academic integrity as a teaching and learning priority. Plagiarism by simply copying other people's work is a well-known misconduct which undermines academic integrity; moreover, technological developments have evolved plagiarism to include the generation and copying of computer-generated text. Automated paraphrasing tool (APT) websites have become increasingly common, offering students machine-generated rephrased text that students input from their own or others' writing. These developments present a creeping erosion of academic integrity under the guise of legitimate academic assistance. This also has implications for arrival of large language model (LLM) generative AI tools. In accessing these sites, students must discern what is a legitimate use of the tool and what may constitute breaching academic integrity. This study critically analysed the text from five online paraphrasing websites to examine the discourses used to legitimise and encourage APT use in both appropriate and inappropriate ways. We conceptualised these competing discourses using Sheep and Wolf metaphors. In addition, we offer a metaphor of the Educator as a Shepherd to become aware of APT website claims and assist students to develop critical language awareness when exposed to these sites. Educators can assist students with this through knowledge of how these sites use language to entice users to circumvent learning. Practitioner Notes1. Paraphrasing skills are a key element of competent academic thinking and writing.2. Technological developments have increasingly enabled students to access online Automated Paraphrasing Tool (ATP) websites to assist with paraphrasing content.3. There is a lack of clarity around what constitutes acceptable use of APTs and what breaches academic integrity.4. Through a critical discourse analysis, we show how APT websites use language to use the tool in both appropriate and inappropriate ways.5. Critical awareness of language use on APT websites will assist educators to teach students to avoid inadvertently breaching academic integrity if using these tools.</t>
  </si>
  <si>
    <t>[Hammond, Kay M.; Lucas, Patricia; Hassouna, Amira; Brown, Stephen] Auckland Univ Technol, Auckland, New Zealand</t>
  </si>
  <si>
    <t>Auckland University of Technology</t>
  </si>
  <si>
    <t>Hammond, KM (corresponding author), Auckland Univ Technol, Auckland, New Zealand.</t>
  </si>
  <si>
    <t>kay.hammond@aut.ac.nz; patricia.lucas@aut.ac.nz; amira.hassouna@aut.ac.nz; stephen.brown@aut.ac.nz</t>
  </si>
  <si>
    <t>10.53761/1.20.7.08</t>
  </si>
  <si>
    <t>WOS:001103781300006</t>
  </si>
  <si>
    <t>Nguyen, TA; Kharitonov, E; Copet, J; Adi, Y; Hsu, WN; Elkahky, A; Tomasello, P; Algayres, R; Sagot, B; Mohamed, A; Dupoux, E</t>
  </si>
  <si>
    <t>Nguyen, Tu Anh; Kharitonov, Eugene; Copet, Jade; Adi, Yossi; Hsu, Wei-Ning; Elkahky, Ali; Tomasello, Paden; Algayres, Robin; Sagot, Benoit; Mohamed, Abdelrahman; Dupoux, Emmanuel</t>
  </si>
  <si>
    <t>Generative Spoken Dialogue Language Modeling</t>
  </si>
  <si>
    <t>TRANSACTIONS OF THE ASSOCIATION FOR COMPUTATIONAL LINGUISTICS</t>
  </si>
  <si>
    <t>TURN-TAKING; ORGANIZATION</t>
  </si>
  <si>
    <t>We introduce dGSLM, the first textless  model able to generate audio samples of naturalistic spoken dialogues. It uses recent work on unsupervised spoken unit discovery coupled with a dual-tower transformer architecture with cross-attention trained on 2000 hours of two-channel raw conversational audio (Fisher dataset) without any text or labels. We show that our model is able to generate speech, laughter, and other paralinguistic signals in the two channels simultaneously and reproduces more naturalistic and fluid turn taking compared to a text-based cascaded model.(1),(2)</t>
  </si>
  <si>
    <t>[Nguyen, Tu Anh; Kharitonov, Eugene; Copet, Jade; Algayres, Robin; Mohamed, Abdelrahman; Dupoux, Emmanuel] Meta AI Res, Paris, France; [Nguyen, Tu Anh; Sagot, Benoit] Inria, Paris, France; [Kharitonov, Eugene] Meta Res, Tel Aviv, France; [Hsu, Wei-Ning; Elkahky, Ali; Tomasello, Paden] Meta Res, New York, NY USA; [Dupoux, Emmanuel] EHESS, ENS PSL, CNRS, Paris, France</t>
  </si>
  <si>
    <t>Inria; Centre National de la Recherche Scientifique (CNRS); Universite PSL; Ecole Normale Superieure (ENS)</t>
  </si>
  <si>
    <t>Nguyen, TA (corresponding author), Meta AI Res, Paris, France.</t>
  </si>
  <si>
    <t>ntuanh@meta.com; abdo@meta.com; dpx@meta.com</t>
  </si>
  <si>
    <t>Agence Nationale pour la Recherche [ANR-17-EURE-0017, ANR-10-IDEX-0001-02, ANR-19-P3IA-0001]; CIFAR (Learningin Machines and Brains)</t>
  </si>
  <si>
    <t>Agence Nationale pour la Recherche(Agence Nationale de la Recherche (ANR)); CIFAR (Learningin Machines and Brains)</t>
  </si>
  <si>
    <t>In this work, E.D. in his academic role(EHESS, ENS-PSL, CNRS) was supported by the Agence Nationale pour la Recherche(ANR-17-EURE-0017 Frontcog, ANR-10-IDEX-0001-02 PSL*, ANR-19-P3IA-0001 PRAIRIE3IA Institute), a grant from CIFAR (Learningin Machines and Brains). B.S. was also supported by the Agence Nationale pour la Recherche(ANR-19-P3IA-0001 PRAIRIE 3IA Institute)</t>
  </si>
  <si>
    <t>2307-387X</t>
  </si>
  <si>
    <t>T ASSOC COMPUT LING</t>
  </si>
  <si>
    <t>Trans. Assoc. Comput. Linguist.</t>
  </si>
  <si>
    <t>MAR 14</t>
  </si>
  <si>
    <t>10.1162/tacl_a_00545</t>
  </si>
  <si>
    <t>Computer Science, Artificial Intelligence; Linguistics; Language &amp; Linguistics</t>
  </si>
  <si>
    <t>Science Citation Index Expanded (SCI-EXPANDED); Social Science Citation Index (SSCI); Arts &amp; Humanities Citation Index (A&amp;HCI)</t>
  </si>
  <si>
    <t>Computer Science; Linguistics</t>
  </si>
  <si>
    <t>A1EC6</t>
  </si>
  <si>
    <t>WOS:000952620700005</t>
  </si>
  <si>
    <t>Yang, HH; He, T; Liu, JH; Chen, H; Wu, BX; Lin, BB; He, XF; Ouyang, WL</t>
  </si>
  <si>
    <t>Yang, Honghui; He, Tong; Liu, Jiaheng; Chen, Hua; Wu, Boxi; Lin, Binbin; He, Xiaofei; Ouyang, Wanli</t>
  </si>
  <si>
    <t>GD-MAE: Generative Decoder for MAE Pre-training on LiDAR Point Clouds</t>
  </si>
  <si>
    <t>Despite the tremendous progress of Masked Autoencoders (MAE) in developing vision tasks such as image and video, exploring MAE in large-scale 3D point clouds remains challenging due to the inherent irregularity. In contrast to previous 3D MAE frameworks, which either design a complex decoder to infer masked information from maintained regions or adopt sophisticated masking strategies, we instead propose a much simpler paradigm. The core idea is to apply a Generative Decoder for MAE (GD-MAE) to automatically merges the surrounding context to restore the masked geometric knowledge in a hierarchical fusion manner. In doing so, our approach is free from introducing the heuristic design of decoders and enjoys the flexibility of exploring various masking strategies. The corresponding part costs less than 12% latency compared with conventional methods, while achieving better performance. We demonstrate the efficacy of the proposed method on several large-scale benchmarks: Waymo, KITTI, and ONCE. Consistent improvement on downstream detection tasks illustrates strong robustness and generalization capability. Not only our method reveals state-of-the-art results, but remarkably, we achieve comparable accuracy even with 20% of the labeled data on the Waymo dataset. Code will be released.</t>
  </si>
  <si>
    <t>[Yang, Honghui; He, Xiaofei] Zhejiang Univ, State Key Lab CAD&amp;CG, Hangzhou, Zhejiang, Peoples R China; [Wu, Boxi; Lin, Binbin] Zhejiang Univ, Sch Software Technol, Hangzhou, Zhejiang, Peoples R China; [Yang, Honghui; He, Tong; Liu, Jiaheng; Ouyang, Wanli] Shanghai AI Lab, Shanghai, Peoples R China; [Liu, Jiaheng] Beihang Univ, Beijing, Peoples R China; [Chen, Hua] COMAC Beijing Aircraft Technol Res Inst, Beijing, Peoples R China</t>
  </si>
  <si>
    <t>Zhejiang University; Zhejiang University; Shanghai Artificial Intelligence Laboratory; Beihang University</t>
  </si>
  <si>
    <t>Lin, BB (corresponding author), Zhejiang Univ, Sch Software Technol, Hangzhou, Zhejiang, Peoples R China.</t>
  </si>
  <si>
    <t>National Nature Science Foundation of China [U1909203, 62273303]; Innovation Capability Support Program of Shaanxi [2021TD05]; Key R&amp;D Program of Zhejiang Province, China [2023C01135]; S&amp;T Plan of Zhejiang Province [202218]; National Key R&amp;D Program of China [2022ZD0160100]; Shanghai Committee of Science and Technology [21DZ1100100]</t>
  </si>
  <si>
    <t>National Nature Science Foundation of China(National Natural Science Foundation of China (NSFC)); Innovation Capability Support Program of Shaanxi; Key R&amp;D Program of Zhejiang Province, China; S&amp;T Plan of Zhejiang Province; National Key R&amp;D Program of China; Shanghai Committee of Science and Technology(Shanghai Science &amp; Technology Committee)</t>
  </si>
  <si>
    <t>This work was supported in part by The National Nature Science Foundation of China (Grant Nos: U1909203, 62273303), in part by Innovation Capability Support Program of Shaanxi (Program No. 2021TD05), in part by the Key R&amp;D Program of Zhejiang Province, China (2023C01135), in part by S&amp;T Plan of Zhejiang Province (No. 202218), in part by the National Key R&amp;D Program of China (No. 2022ZD0160100), and in part by Shanghai Committee of Science and Technology (Grant No. 21DZ1100100).</t>
  </si>
  <si>
    <t>10.1109/CVPR52729.2023.00907</t>
  </si>
  <si>
    <t>WOS:001062522101067</t>
  </si>
  <si>
    <t>Patras, I</t>
  </si>
  <si>
    <t>Patras, Ioannis</t>
  </si>
  <si>
    <t>Controllable image generation and manipulation</t>
  </si>
  <si>
    <t>PROCEEDINGS OF THE 2ND ACM INTERNATIONAL WORKSHOP ON MULTIMEDIA AI AGAINST DISCRIMINATION, MAD 2023</t>
  </si>
  <si>
    <t>2nd ACM International Workshop on Multimedia AI against Discrimination (MAD)</t>
  </si>
  <si>
    <t>JUN 12, 2023</t>
  </si>
  <si>
    <t>Thessaloniki, GREECE</t>
  </si>
  <si>
    <t>artificial intelligence; generative artificial intelligence; image manipulation; reenactment; generative adversarial networks; deep learning</t>
  </si>
  <si>
    <t>Recent years have witnessed an unprecedented interest in developing Deep Learning methodologies for the generation of images and image sequences that are hardly distinguishable to the human eye from real ones. A major issue in this field is how the generation can be easily controlled. In this talk we will focus on some of our recent works in generative models that are primarily aimed at controllable generation. We will first present unsupervised methods for learning non-linear paths in the latent spaces of Generative Adversarial Networks such that following different paths lead to different types of changes (e.g., removing the background, changing head poses, or facial expressions) in the resulting images [4]. Subsequently, we will present a method that allows local editing by finding a Parts and Appearances decomposition in the GAN latent space [2]. Then, we will present recent works on reenactment [1], where the goal is to transfer the facial activity (pose, expressions, speech) of a certain person to another one, and recent works in which supervision for generation comes from language models [3]. Finally, we will touch on the technical challenges ahead, as well on the challenges that this creates in spreading misinformation.</t>
  </si>
  <si>
    <t>[Patras, Ioannis] Queen Mary Univ London, London, England</t>
  </si>
  <si>
    <t>Patras, I (corresponding author), Queen Mary Univ London, London, England.</t>
  </si>
  <si>
    <t>i.patras@qmul.ac.uk</t>
  </si>
  <si>
    <t>Patras, Ioannis/0000-0003-3913-4738</t>
  </si>
  <si>
    <t>European Union [951911]</t>
  </si>
  <si>
    <t>This work was supported by the European Union under the H2020 AI4Media project (Grant Agreement No. 951911).</t>
  </si>
  <si>
    <t>979-8-4007-0187-0</t>
  </si>
  <si>
    <t>10.1145/3592572.3596476</t>
  </si>
  <si>
    <t>BV6LH</t>
  </si>
  <si>
    <t>WOS:001059176200001</t>
  </si>
  <si>
    <t>Michels, S</t>
  </si>
  <si>
    <t>Michels, Steven</t>
  </si>
  <si>
    <t>Teaching (with) Artificial Intelligence: The Next Twenty Years</t>
  </si>
  <si>
    <t>JOURNAL OF POLITICAL SCIENCE EDUCATION</t>
  </si>
  <si>
    <t>Artificial intelligence; AI; ChatGPT; academic integrity; writing instruction</t>
  </si>
  <si>
    <t>POLITICAL-SCIENCE; AMERICAN GOVERNMENT; INFORMATION; DEMOCRACY</t>
  </si>
  <si>
    <t>The advent of artificial intelligence and concerns over academic integrity have put instructors from every discipline on notice regarding the kinds of coursework we are assigning. But this is also a moment to deliver content in a manner that is clearer and more dynamic, use more active forms of learning, and improve the academic and professional outcomes of our students. This article surveys the most common themes and approaches from the pages of the journal and offers some suggestions for how AI and generative technologies can augment our teaching and allow instructors to focus on higher-level learning outcomes.</t>
  </si>
  <si>
    <t>[Michels, Steven] Sacred Heart Univ, Polit Sci, Fairfield, CT USA; [Michels, Steven] Sacred Heart Univ, Polit Sci &amp; Global Affairs, Fairfield, CT 06825 USA</t>
  </si>
  <si>
    <t>Sacred Heart University; Sacred Heart University</t>
  </si>
  <si>
    <t>Michels, S (corresponding author), Sacred Heart Univ, Polit Sci &amp; Global Affairs, Fairfield, CT 06825 USA.</t>
  </si>
  <si>
    <t>michelss@sacredheart.edu</t>
  </si>
  <si>
    <t>He would like to thank Michael Vale, Colleen Butler-Sweet, Jeff Naftzinger, Alex D'Adamo, Elizabeth Luoma, and Kate Cunningham for their feedback and support along the way.</t>
  </si>
  <si>
    <t>1551-2169</t>
  </si>
  <si>
    <t>1551-2177</t>
  </si>
  <si>
    <t>J POLITICAL SCI EDUC</t>
  </si>
  <si>
    <t>J. Political Sci. Educ.</t>
  </si>
  <si>
    <t>2023 OCT 10</t>
  </si>
  <si>
    <t>10.1080/15512169.2023.2266848</t>
  </si>
  <si>
    <t>W7CT5</t>
  </si>
  <si>
    <t>WOS:001093175300001</t>
  </si>
  <si>
    <t>Jana, PK; Majumdar, A; Dutta, S</t>
  </si>
  <si>
    <t>Jana, Pradip K.; Majumdar, Agniva; Dutta, Shanta</t>
  </si>
  <si>
    <t>Predicting Future Pandemics and Formulating Prevention Strategies: The Role of ChatGPT</t>
  </si>
  <si>
    <t>artificial intelligence; pandemic; outbreak; machine learning; chatbot; chatgpt; ai &amp; robotics in healthcare</t>
  </si>
  <si>
    <t>The emergence of severe acute respiratory syndrome coronavirus 2 (SARS-CoV-2) in late 2019 and its subsequent worldwide spread has emphasized the urgent need for better approaches for predicting and managing infectious disease outbreaks. One potential instrument in this effort is artificial intelligence (AI), and in specific, language models like ChatGPT (Chat Generative Pre-trained Transformer). In the present study, to explore how ChatGPT could predict future pandemics and give suggestions about the prevention strategy, our research team chatted with ChatGPT with several questions on July 12, 2023. Based on our conversation, we can conclude that AI is not a substitute for human expertise, but an adjunct to support early prediction, prevention, and management of future pandemics.</t>
  </si>
  <si>
    <t>[Jana, Pradip K.; Majumdar, Agniva] Natl Inst Cholera &amp; Enter Dis, Indian Council Med Res, Reg Virus Res &amp; Diagnost Lab, Kolkata, India; [Dutta, Shanta] Natl Inst Cholera &amp; Enter Dis, Indian Council Med Res, Bacteriol, Kolkata, India</t>
  </si>
  <si>
    <t>Indian Council of Medical Research (ICMR); ICMR - National Institute of Cholera &amp; Enteric Diseases (NICED); Indian Council of Medical Research (ICMR); ICMR - National Institute of Cholera &amp; Enteric Diseases (NICED)</t>
  </si>
  <si>
    <t>Dutta, S (corresponding author), Natl Inst Cholera &amp; Enter Dis, Indian Council Med Res, Bacteriol, Kolkata, India.</t>
  </si>
  <si>
    <t>shanta1232001@gmail.com</t>
  </si>
  <si>
    <t>e44825</t>
  </si>
  <si>
    <t>10.7759/cureus.44825</t>
  </si>
  <si>
    <t>X3FQ8</t>
  </si>
  <si>
    <t>WOS:001097348800032</t>
  </si>
  <si>
    <t>Guo, DH; Chen, HX; Wu, RL; Wang, YA</t>
  </si>
  <si>
    <t>Guo, Danhuai; Chen, Huixuan; Wu, Ruoling; Wang, Yangang</t>
  </si>
  <si>
    <t>AIGC challenges and opportunities related to public safety: A case study of ChatGPT</t>
  </si>
  <si>
    <t>JOURNAL OF SAFETY SCIENCE AND RESILIENCE</t>
  </si>
  <si>
    <t>Generative artificial intelligence; Artificial; intelligence generated content; ChatGPT; Public safety; Strong artificial intelligence</t>
  </si>
  <si>
    <t>Artificial intelligence generated content (AIGC) is a production method based on artificial intelligence (AI) technology that finds rules through data and automatically generates content. In contrast to computational intelligence, generative AI, as exemplified by ChatGPT, exhibits characteristics that increasingly resemble human level comprehension and creation processes. This paper provides a detailed technical framework and history of ChatGPT, followed by an examination of the challenges posed to political security, military security, economic security, cultural security, social security, ethical security, legal security, machine escape problems, and information leakage. Finally, this paper discusses the potential opportunities that AIGC presents in the realms of politics, military, cybersecurity, society, and public safety education.</t>
  </si>
  <si>
    <t>[Guo, Danhuai; Wu, Ruoling] Beijing Univ Chem Technol, Coll Informat Sci &amp; Technol, Spatial Intelligent Res Lab, Beijing 100029, Peoples R China; [Chen, Huixuan; Wang, Yangang] Chinese Acad Sci, Comp Network Informat Ctr, Beijing 100190, Peoples R China; [Chen, Huixuan; Wang, Yangang] Univ Chinese Acad Sci, Beijing 100049, Peoples R China</t>
  </si>
  <si>
    <t>Beijing University of Chemical Technology; Chinese Academy of Sciences; Computer Network Information Center, CAS; Chinese Academy of Sciences; University of Chinese Academy of Sciences, CAS</t>
  </si>
  <si>
    <t>Guo, DH (corresponding author), Beijing Univ Chem Technol, Coll Informat Sci &amp; Technol, Spatial Intelligent Res Lab, Beijing 100029, Peoples R China.</t>
  </si>
  <si>
    <t>gdh@buct.edu.cn</t>
  </si>
  <si>
    <t>National Science Foundation of China [NSFC41971366, 4231476]; Fundamental Research Funds for the Central Universities of China [buctrc202132]</t>
  </si>
  <si>
    <t>National Science Foundation of China(National Natural Science Foundation of China (NSFC)); Fundamental Research Funds for the Central Universities of China(Fundamental Research Funds for the Central Universities)</t>
  </si>
  <si>
    <t>This work was supported by the National Science Foundation of China [NSFC41971366, 4231476] and Fundamental Research Funds for the Central Universities of China [buctrc202132] .</t>
  </si>
  <si>
    <t>KEAI PUBLISHING LTD</t>
  </si>
  <si>
    <t>16 DONGHUANGCHENGGEN NORTH ST, Building 5, Room 411, BEIJING, DONGCHENG DISTRICT 100009, PEOPLES R CHINA</t>
  </si>
  <si>
    <t>2096-7527</t>
  </si>
  <si>
    <t>2666-4496</t>
  </si>
  <si>
    <t>J SAF SCI RESIL</t>
  </si>
  <si>
    <t>J. Saf. Sci. Resil.</t>
  </si>
  <si>
    <t>10.1016/j.jnlssr.2023.08.001</t>
  </si>
  <si>
    <t>W2DW9</t>
  </si>
  <si>
    <t>WOS:001089799000001</t>
  </si>
  <si>
    <t>Korgialas, C; Pantraki, E; Bolari, A; Sotiroudi, M; Kotropoulos, C</t>
  </si>
  <si>
    <t>Korgialas, Christos; Pantraki, Evangelia; Bolari, Angeliki; Sotiroudi, Martha; Kotropoulos, Constantine</t>
  </si>
  <si>
    <t>Face Aging by Explainable Conditional Adversarial Autoencoders</t>
  </si>
  <si>
    <t>explainable AI (xAI); generative adversarial networks (GANs); face aging</t>
  </si>
  <si>
    <t>AGE PROGRESSION; RECOGNITION; GAN</t>
  </si>
  <si>
    <t>This paper deals with Generative Adversarial Networks (GANs) applied to face aging. An explainable face aging framework is proposed that builds on a well-known face aging approach, namely the Conditional Adversarial Autoencoder (CAAE). The proposed framework, namely, xAI-CAAE, couples CAAE with explainable Artificial Intelligence (xAI) methods, such as Saliency maps or Shapley additive explanations, to provide corrective feedback from the discriminator to the generator. xAI-guided training aims to supplement this feedback with explanations that provide a reason for the discriminator's decision. Moreover, Local Interpretable Model-agnostic Explanations (LIME) are leveraged to provide explanations for the face areas that most influence the decision of a pre-trained age classifier. To the best of our knowledge, xAI methods are utilized in the context of face aging for the first time. A thorough qualitative and quantitative evaluation demonstrates that the incorporation of the xAI systems contributed significantly to the generation of more realistic age-progressed and regressed images.</t>
  </si>
  <si>
    <t>[Korgialas, Christos; Pantraki, Evangelia; Bolari, Angeliki; Sotiroudi, Martha; Kotropoulos, Constantine] Aristotle Univ Thessaloniki, Fac Sci, Dept Informat, Thessaloniki 54124, Greece</t>
  </si>
  <si>
    <t>Aristotle University of Thessaloniki</t>
  </si>
  <si>
    <t>Kotropoulos, C (corresponding author), Aristotle Univ Thessaloniki, Fac Sci, Dept Informat, Thessaloniki 54124, Greece.</t>
  </si>
  <si>
    <t>ckorgial@csd.auth.gr; epantrak@csd.auth.gr; aggeliki.bolari@gmail.com; marthass@csd.auth.gr; costas@csd.auth.gr</t>
  </si>
  <si>
    <t>Korgialas, Christos/0000-0001-5475-0518; Bolari, Angeliki/0000-0002-1805-1717</t>
  </si>
  <si>
    <t>MAY 10</t>
  </si>
  <si>
    <t>10.3390/jimaging9050096</t>
  </si>
  <si>
    <t>H6SW6</t>
  </si>
  <si>
    <t>WOS:000997248000001</t>
  </si>
  <si>
    <t>Wong, RSY; Ming, LC; Ali, RAR</t>
  </si>
  <si>
    <t>Wong, Rebecca Shin-Yee; Ming, Long Chiau; Ali, Raja Affendi Raja</t>
  </si>
  <si>
    <t>The Intersection of ChatGPT, Clinical Medicine, and Medical Education</t>
  </si>
  <si>
    <t>ChatGPT; clinical research; large language model; artificial intelligence; ethical considerations; AI; OpenAI</t>
  </si>
  <si>
    <t>As we progress deeper into the digital age, the robust development and application of advanced artificial intelligence (AI) technology, specifically generative language models like ChatGPT (OpenAI), have potential implications in all sectors including medicine. This viewpoint article aims to present the authors' perspective on the integration of AI models such as ChatGPT in clinical medicine and medical education. The unprecedented capacity of ChatGPT to generate human-like responses, refined through Reinforcement Learning with Human Feedback, could significantly reshape the pedagogical methodologies within medical education. Through a comprehensive review and the authors' personal experiences, this viewpoint article elucidates the pros, cons, and ethical considerations of using ChatGPT within clinical medicine and notably, its implications for medical education. This exploration is crucial in a transformative era where AI could potentially augment human capability in the process of knowledge creation and dissemination, potentially revolutionizing medical education and clinical practice. The importance of maintaining academic integrity and professional standards is highlighted. The relevance of establishing clear guidelines for the responsible and ethical use of AI technologies in clinical medicine and medical education is also emphasized.</t>
  </si>
  <si>
    <t>[Wong, Rebecca Shin-Yee] Sunway Univ, Sch Med &amp; Life Sci, Dept Med Educ, Selangor, Malaysia; [Wong, Rebecca Shin-Yee] SEGi Univ, Fac Med Nursing &amp; Hlth Sci, Petaling Jaya, Malaysia; [Ming, Long Chiau; Ali, Raja Affendi Raja] Sunway Univ, Sch Med &amp; Life Sci, Selangor, Malaysia; [Ali, Raja Affendi Raja] Univ Kebangsaan Malaysia, Fac Med, GUT Res Grp, Kuala Lumpur, Malaysia; [Ming, Long Chiau] Sunway Univ, Sch Med &amp; Life Sci, 5 Jalan Univ Bandar Sunway, Selangor 47500, Malaysia</t>
  </si>
  <si>
    <t>Sunway University; SEGi University; Sunway University; Universiti Kebangsaan Malaysia; Sunway University</t>
  </si>
  <si>
    <t>Ming, LC (corresponding author), Sunway Univ, Sch Med &amp; Life Sci, 5 Jalan Univ Bandar Sunway, Selangor 47500, Malaysia.</t>
  </si>
  <si>
    <t>longchiauming@gmail.com</t>
  </si>
  <si>
    <t>Ming, Long Chiau/J-5210-2015</t>
  </si>
  <si>
    <t>Ming, Long Chiau/0000-0002-6971-1383; Wong, Rebecca Shin Yee/0000-0002-7738-9398</t>
  </si>
  <si>
    <t>e47274</t>
  </si>
  <si>
    <t>10.2196/47274</t>
  </si>
  <si>
    <t>Z9BQ7</t>
  </si>
  <si>
    <t>WOS:001114957900001</t>
  </si>
  <si>
    <t>McCormack, J; Gambardella, CC; Krol, SJ</t>
  </si>
  <si>
    <t>McCormack, Jon; Gambardella, Camilo Cruz; Krol, Stephen James</t>
  </si>
  <si>
    <t>Creative Discovery using Quality-Diversity Search</t>
  </si>
  <si>
    <t>Quality Diversity; Variational Autoencoder; Evolutionary Art; Generative Design</t>
  </si>
  <si>
    <t>In creative design, where aesthetics play a crucial role in determining the quality of outcomes, there are often multiple worthwhile possibilities, rather than a single best design. This challenge is compounded in the use of computational generative systems, where the sheer number of potential outcomes can be overwhelming. This paper introduces a method that combines evolutionary optimisation with AI-based image classification to perform quality-diversity search, allowing for the creative exploration of complex design spaces. The process begins by randomly sampling the genotype space, followed by mapping the generated phenotypes to a reduced representation of the solution space, as well as evaluating them based on their visual characteristics. This results in an elite group of diverse outcomes that span the solution space. The elite is then progressively updated via sampling and simple mutation. We tested our method on a generative system that produces abstract drawings. The results demonstrate that the system can effectively evolve populations of phenotypes with high aesthetic value and greater visual diversity compared to traditional optimisation-focused evolutionary approaches.</t>
  </si>
  <si>
    <t>[McCormack, Jon; Krol, Stephen James] Monash Univ, SensiLab, Caulfield, Vic, Australia; [Gambardella, Camilo Cruz] Monash Univ, MADA, Caufield E, Vic, Australia</t>
  </si>
  <si>
    <t>Monash University; Monash University</t>
  </si>
  <si>
    <t>McCormack, J (corresponding author), Monash Univ, SensiLab, Caulfield, Vic, Australia.</t>
  </si>
  <si>
    <t>jon.mccormack@monash.edu; camilo.cruzgambardella@monash.edu; stephen.krol@monash.edu</t>
  </si>
  <si>
    <t>10.1145/3583133.3590567</t>
  </si>
  <si>
    <t>WOS:001117972600209</t>
  </si>
  <si>
    <t>Branciforti, F; Meiburger, KM; Zavattaro, E; Veronese, F; Tarantino, V; Mazzoletti, V; Di Cristo, N; Savoia, P; Salvi, M</t>
  </si>
  <si>
    <t>Branciforti, Francesco; Meiburger, Kristen M.; Zavattaro, Elisa; Veronese, Federica; Tarantino, Vanessa; Mazzoletti, Vanessa; Di Cristo, Nunzia; Savoia, Paola; Salvi, Massimo</t>
  </si>
  <si>
    <t>Impact of artificial intelligence-based color constancy on dermoscopical assessment of skin lesions: A comparative study</t>
  </si>
  <si>
    <t>SKIN RESEARCH AND TECHNOLOGY</t>
  </si>
  <si>
    <t>AI; color constancy; dermoscopy; generative adversarial networks; melanoma; non-melanoma skin cancer</t>
  </si>
  <si>
    <t>TELEDERMATOLOGY</t>
  </si>
  <si>
    <t>BackgroundThe quality of dermoscopic images is affected by lighting conditions, operator experience, and device calibration. Color constancy algorithms reduce this variability by making images appear as if they were acquired under the same conditions, allowing artificial intelligence (AI)-based methods to achieve better results. The impact of color constancy algorithms has not yet been evaluated from a clinical dermatologist's workflow point of view. Here we propose an in-depth investigation of the impact of an AI-based color constancy algorithm, called DermoCC-GAN, on the skin lesion diagnostic routine.MethodsThree dermatologists, with different experience levels, carried out two assignments. The clinical experts evaluated key parameters such as perceived image quality, lesion diagnosis, and diagnosis confidence.ResultsWhen the DermoCC-GAN color constancy algorithm was applied, the dermoscopic images were perceived to be of better quality overall. An increase in classification performance was observed, reaching a maximum accuracy of 74.67% for a six-class classification task. Finally, the use of normalized images results in an increase in the level of self-confidence in the qualitative diagnostic routine.ConclusionsFrom the conducted analysis, it is evident that the impact of AI-based color constancy algorithms, such as DermoCC-GAN, is positive and brings qualitative benefits to the clinical practitioner.</t>
  </si>
  <si>
    <t>[Branciforti, Francesco; Meiburger, Kristen M.; Salvi, Massimo] Politecn Torino, Dept Elect &amp; Telecommun, PolitoBIOMed Lab, Biolab, Turin, Italy; [Zavattaro, Elisa; Mazzoletti, Vanessa; Di Cristo, Nunzia; Savoia, Paola] Univ Piemonte Orientale, Dept Hlth Sci, Novara, Italy; [Veronese, Federica; Tarantino, Vanessa] AOU Maggiore Carita, Novara, Italy; [Meiburger, Kristen M.] Politecn Torino, Dept Elect &amp; Telecommun, Corso Ducadegli Abruzzi 24, I-10129 Turin, Italy</t>
  </si>
  <si>
    <t>Polytechnic University of Turin; University of Eastern Piedmont Amedeo Avogadro; University of Eastern Piedmont Amedeo Avogadro; Azienda Ospedaliera Maggiore della Carita di Novara; Polytechnic University of Turin</t>
  </si>
  <si>
    <t>Meiburger, KM (corresponding author), Politecn Torino, Dept Elect &amp; Telecommun, Corso Ducadegli Abruzzi 24, I-10129 Turin, Italy.</t>
  </si>
  <si>
    <t>kristen.meiburger@polito.it</t>
  </si>
  <si>
    <t>Salvi, Massimo/AAJ-1394-2020</t>
  </si>
  <si>
    <t>Salvi, Massimo/0000-0001-7225-7401; Branciforti, Francesco/0000-0002-2922-1558; Meiburger, Kristen M./0000-0002-7302-6135</t>
  </si>
  <si>
    <t>0909-752X</t>
  </si>
  <si>
    <t>1600-0846</t>
  </si>
  <si>
    <t>SKIN RES TECHNOL</t>
  </si>
  <si>
    <t>Skin Res. Technol.</t>
  </si>
  <si>
    <t>e13508</t>
  </si>
  <si>
    <t>10.1111/srt.13508</t>
  </si>
  <si>
    <t>Dermatology</t>
  </si>
  <si>
    <t>U9AQ9</t>
  </si>
  <si>
    <t>WOS:001087657700001</t>
  </si>
  <si>
    <t>Chan, E; Gore, KN; Jiang, E</t>
  </si>
  <si>
    <t>Chan, Elizabeth; Gore, Kiran Nasir; Jiang, Eliza</t>
  </si>
  <si>
    <t>HARNESSING ARTIFICIAL INTELLIGENCE IN INTERNATIONAL ARBITRATION PRACTICE</t>
  </si>
  <si>
    <t>generative artificial intelligence in arbitration; artificially intelligent legal technology use cases in arbitration; artificial intelligence practical applications in arbitration; large language models' use in arbitration; artificial intelligence regulation in arbitration; future applications of artificial intelligence in arbitration practice</t>
  </si>
  <si>
    <t>Since the beginning of 2023, generative artificial intelligence (hereinafter Generative AI) in the form of large language models (LLMs) like ChatGPT-4 has taken the world by storm. Legal practice is no exception. Among other stories, worldwide headlines have featured the fact that ChatGPT-4 is capable of passing the New York Bar Exam, that courts are adopting Generative AI in their decision-making, and that a New York lawyer has been sanctioned by a judge for relying upon non-existent case law precedent that he obtained from ChatGPT-4 and did not double-check. Yet, putting aside these newsworthy developments, tools powered by other forms of artificial intelligence (hereinafter AI) have already been relied upon in legal practice for many years. This article introduces how AI supports successful international arbitration practice, including uses and methods that are already available and those that are anticipated to become helpful. This article also addresses the challenges and pitfalls that accompany these opportunities. Overall, this article concludes that the brave new world of AI in international arbitration is an exciting one that, through careful and thoughtful deployment of best practices, can add significant value to international arbitration teams in the decades to come.</t>
  </si>
  <si>
    <t>[Chan, Elizabeth; Gore, Kiran Nasir; Jiang, Eliza] George Washington Univ, Law, Law Sch, Washington, DC 20052 USA</t>
  </si>
  <si>
    <t>Chan, E (corresponding author), George Washington Univ, Law, Law Sch, Washington, DC 20052 USA.</t>
  </si>
  <si>
    <t>WOS:001111303600003</t>
  </si>
  <si>
    <t>Amaro, I; Barra, P; Della Greca, A; Francese, R; Tucci, C</t>
  </si>
  <si>
    <t>Amaro, Ilaria; Barra, Paola; Della Greca, Attilio; Francese, Rita; Tucci, Cesare</t>
  </si>
  <si>
    <t>Believe in Artificial Intelligence? A User Study on the ChatGPT's Fake Information Impact</t>
  </si>
  <si>
    <t>Believe artificial intelligence (AI); ChatGPT; controlled experiment; fake information; trust in AI</t>
  </si>
  <si>
    <t>TRUST</t>
  </si>
  <si>
    <t>Technological evolution has enabled the development of new artificial intelligence (AI) models with generative capabilities. Among them, one of the most discussed is the virtual agent ChatGPT. This chatbot may occasionally produce fake information, as also declared by the producer OpenAI. Such a model may provide very useful support in several tasks, ranging from text summarization to programming. The research community has marginally investigated the impact that fake information created by AI models has on the users' perceptions and on their belief in AI. We analyzed the impact of the fake information produced by AI on user perceptions, specifically trust and satisfaction, by performing a user study on ChatGPT. An additional issue is assessing whether the early or late knowledge of the possibility of the tool generating fake information has a different impact on the users' perceptions. We conducted an experiment, involving 62 university students, a category of users who may employ tools such as ChatGPT extensively. The experiment consisted of a guided interaction with ChatGPT. Some of the participants experienced the failure of the chatbot, while a control group only received correct and reliable answers. We collected participants' perceptions of trust, satisfaction, and usability, together with the net promoter score (NPS). The results demonstrated a statistically significant difference in trust and satisfaction between the users who early experienced fake information production compared to those who discovered ChatGPT's faulty behaviors later during the interaction. Also, there is no statistically significant difference among the users who received the late fake information and the control group (no fake information). Usability and the NPS also resulted higher when the fake news was detected in the late interaction. When users are aware of the fake information generated by ChatGPT their trust and satisfaction decrease, especially when they impact on this at the early stage of use of the chatbot. Nevertheless, the perception of trust and satisfaction still remains high, as some of the users are still enthusiastic; others consider a more conscious use of the tool in terms of support to be verified. A useful strategy could be to favor a critical use of ChatGPT, letting young people to verify the provided information. This should be a new way to perform learning activities.</t>
  </si>
  <si>
    <t>[Amaro, Ilaria; Della Greca, Attilio; Francese, Rita; Tucci, Cesare] Univ Salerno, Dept Informat, I-84084 Fisciano, Salerno, Italy; [Barra, Paola] Univ Parthenope Napoli, Dept Sci &amp; Technol, I-80133 Naples, Italy</t>
  </si>
  <si>
    <t>University of Salerno; Parthenope University Naples</t>
  </si>
  <si>
    <t>Francese, R (corresponding author), Univ Salerno, Dept Informat, I-84084 Fisciano, Salerno, Italy.</t>
  </si>
  <si>
    <t>rancese@unisa.it</t>
  </si>
  <si>
    <t>Amaro, Ilaria/0009-0003-0592-2389; Della Greca, Attilio/0000-0002-4900-8666; FRANCESE, Rita/0000-0002-6929-0056; Barra, Paola/0000-0002-7692-0626; TUCCI, Cesare/0000-0001-5181-7115</t>
  </si>
  <si>
    <t>National Recovery and Resilience Plan (PNRR)-Italian Ministry of University and Research [PE0000013-FAIR]</t>
  </si>
  <si>
    <t>National Recovery and Resilience Plan (PNRR)-Italian Ministry of University and Research</t>
  </si>
  <si>
    <t>This work was supported by the National Recovery and Resilience Plan (PNRR)-Italian Ministry of University and Research under Project PE0000013-FAIR.</t>
  </si>
  <si>
    <t>10.1109/TCSS.2023.3291539</t>
  </si>
  <si>
    <t>N3BP5</t>
  </si>
  <si>
    <t>WOS:001035811300001</t>
  </si>
  <si>
    <t>Janet, JP; Mervin, L; Engkvist, O</t>
  </si>
  <si>
    <t>Janet, Jon Paul; Mervin, Lewis; Engkvist, Ola</t>
  </si>
  <si>
    <t>Artificial intelligence in molecular de novo design: Integration with experiment</t>
  </si>
  <si>
    <t>CURRENT OPINION IN STRUCTURAL BIOLOGY</t>
  </si>
  <si>
    <t>UNCERTAINTY QUANTIFICATION; GENERATIVE MODELS; LEARNING ENABLES; INFORMATION; DISCOVERY; POTENT</t>
  </si>
  <si>
    <t>In this mini review, we capture the latest progress of applying artificial intelligence (AI) techniques based on deep learning architectures to molecular de novo design with a focus on integration with experimental validation. We will cover the progress and experimental validation of novel generative al-gorithms, the validation of QSAR models and how AI-based molecular de novo design is starting to become connected with chemistry automation. While progress has been made in the last few years, it is still early days. The experimental validations conducted thus far should be considered proof-of-principle, providing confidence that the field is moving in the right direction.</t>
  </si>
  <si>
    <t>[Janet, Jon Paul; Engkvist, Ola] AstraZeneca, Mol AI, Discovery Sci, R&amp;D, Gothenburg, Sweden; [Mervin, Lewis] AstraZeneca, Mol AI, Discovery Sci, R&amp;D, Cambridge, England</t>
  </si>
  <si>
    <t>AstraZeneca; AstraZeneca</t>
  </si>
  <si>
    <t>Mervin, L (corresponding author), AstraZeneca, Mol AI, Discovery Sci, R&amp;D, Cambridge, England.</t>
  </si>
  <si>
    <t>lewis.mervin1@astrazeneca.com</t>
  </si>
  <si>
    <t>Mervin, Lewis/B-3759-2016</t>
  </si>
  <si>
    <t>Mervin, Lewis/0000-0002-7271-0824</t>
  </si>
  <si>
    <t>CURRENT BIOLOGY LTD</t>
  </si>
  <si>
    <t>84 THEOBALDS RD, LONDON WC1X 8RR, ENGLAND</t>
  </si>
  <si>
    <t>0959-440X</t>
  </si>
  <si>
    <t>1879-033X</t>
  </si>
  <si>
    <t>CURR OPIN STRUC BIOL</t>
  </si>
  <si>
    <t>Curr. Opin. Struct. Biol.</t>
  </si>
  <si>
    <t>10.1016/j.sbi.2023.102575</t>
  </si>
  <si>
    <t>Biochemistry &amp; Molecular Biology; Cell Biology</t>
  </si>
  <si>
    <t>C8MO2</t>
  </si>
  <si>
    <t>WOS:000964396300001</t>
  </si>
  <si>
    <t>Chungyoun, MF; Gray, JJ</t>
  </si>
  <si>
    <t>Chungyoun, Michael F.; Gray, Jeffrey J.</t>
  </si>
  <si>
    <t>AI models for protein design are driving antibody engineering</t>
  </si>
  <si>
    <t>Deep learning; Antibody design; Generative models; Protein structure; Protein structure design; Protein sequence design</t>
  </si>
  <si>
    <t>Therapeutic antibody engineering seeks to identify antibody sequences with specific binding to a target and optimized drug-like properties. When guided by deep learning, antibody gen-eration methods can draw on prior knowledge and experi-mental efforts to improve this process. By leveraging the increasing quantity and quality of predicted structures of anti-bodies and target antigens, powerful structure-based genera-tive models are emerging. In this review, we tie the advancements in deep learning-based protein structure pre-diction and design to the study of antibody therapeutics.</t>
  </si>
  <si>
    <t>[Chungyoun, Michael F.; Gray, Jeffrey J.] Johns Hopkins Univ, Dept Chem &amp; Biomol Engn, Baltimore, MD 21287 USA; [Gray, Jeffrey J.] Johns Hopkins Univ, Inst Nanobiotechnol, Program Mol Biophys, Baltimore, MD 21287 USA; [Gray, Jeffrey J.] Johns Hopkins Univ, Ctr Computat Biol, Baltimore, MD 21287 USA</t>
  </si>
  <si>
    <t>Johns Hopkins University; Johns Hopkins University; Johns Hopkins University</t>
  </si>
  <si>
    <t>Gray, JJ (corresponding author), Johns Hopkins Univ, Dept Chem &amp; Biomol Engn, Baltimore, MD 21287 USA.;Gray, JJ (corresponding author), Johns Hopkins Univ, Inst Nanobiotechnol, Program Mol Biophys, Baltimore, MD 21287 USA.;Gray, JJ (corresponding author), Johns Hopkins Univ, Ctr Computat Biol, Baltimore, MD 21287 USA.</t>
  </si>
  <si>
    <t>jgray@jhu.edu</t>
  </si>
  <si>
    <t>NIH [R35-GM141881]</t>
  </si>
  <si>
    <t>NIH(United States Department of Health &amp; Human ServicesNational Institutes of Health (NIH) - USA)</t>
  </si>
  <si>
    <t>Acknowledgements This work was supported by the NIH Grant R35-GM141881. We thank Jeff Ruffolo for helpful comments on the manuscript.</t>
  </si>
  <si>
    <t>10.1016/j.cobme.2023.100473</t>
  </si>
  <si>
    <t>M3HQ8</t>
  </si>
  <si>
    <t>WOS:001029127000001</t>
  </si>
  <si>
    <t>Guleria, A; Krishan, K; Sharma, V; Kanchan, T</t>
  </si>
  <si>
    <t>Guleria, Ankita; Krishan, Kewal; Sharma, Vishal; Kanchan, Tanuj</t>
  </si>
  <si>
    <t>ChatGPT: ethical concerns and challenges in academics and research</t>
  </si>
  <si>
    <t>JOURNAL OF INFECTION IN DEVELOPING COUNTRIES</t>
  </si>
  <si>
    <t>artificial intelligence; publication ethics; privacy concerns; chatbot; ChatGPT; Open AI</t>
  </si>
  <si>
    <t>Introduction: The emergence of artificial intelligence (AI) has presented several opportunities to ease human work. AI applications are available for almost every domain of life. A new technology, Chat Generative Pre-Trained Transformer (ChatGPT), was introduced by OpenAI in November 2022, and has become a topic of discussion across the world. ChatGPT-3 has brought many opportunities, as well as ethical and privacy considerations. ChatGPT is a large language model (LLM) which has been trained on the events that happened until 2021. The use of AI and its assisted technologies in scientific writing is against research and publication ethics. Therefore, policies and guidelines need to be developed over the use of such tools in scientific writing. The main objective of the present study was to highlight the use of AI and AI assisted technologies such as the ChatGPT and other chatbots in the scientific writing and in the research domain resulting in bias, spread of inaccurate information and plagiarism. Methodology: Experiments were designed to test the accuracy of ChatGPT when used in research and academic writing. Results: The information provided by ChatGPT was inaccurate and may have far-reaching implications in the field of medical science and engineering. Critical thinking should be encouraged among researchers to raise awareness about the associated privacy and ethical risks. Conclusions: Regulations for ethical and privacy concerns related to the use of ChatGPT in academics and research need to be developed.</t>
  </si>
  <si>
    <t>[Guleria, Ankita; Krishan, Kewal] Panjab Univ, Dept Anthropol, Sect 14, Chandigarh, India; [Sharma, Vishal] Panjab Univ, Inst Forens Sci &amp; Criminol, Sect 14, Chandigarh, India; [Kanchan, Tanuj] All India Inst Med Sci, Dept Forens Med &amp; Toxicol, Jodhpur, India; [Krishan, Kewal] Panjab Univ, UGC Ctr Adv Study, Dept Anthropol, Sect 14, Chandigarh, India</t>
  </si>
  <si>
    <t>Panjab University; Panjab University; All India Institute of Medical Sciences (AIIMS) Jodhpur; Panjab University</t>
  </si>
  <si>
    <t>Krishan, K (corresponding author), Panjab Univ, UGC Ctr Adv Study, Dept Anthropol, Sect 14, Chandigarh, India.</t>
  </si>
  <si>
    <t>gargkk@yahoo.com</t>
  </si>
  <si>
    <t>Krishan, Kewal/I-3285-2014; KANCHAN, TANUJ/L-8547-2015; Guleria, Ankita/ABU-7585-2022</t>
  </si>
  <si>
    <t>Krishan, Kewal/0000-0001-5321-0958; KANCHAN, TANUJ/0000-0003-0346-1075; Guleria, Ankita/0000-0003-0809-5844</t>
  </si>
  <si>
    <t>Department of Science and Technology (DST), Government of India [IF190719]; UGC Centre of Advanced Study (CAS II)</t>
  </si>
  <si>
    <t>Department of Science and Technology (DST), Government of India(Department of Science &amp; Technology (India)); UGC Centre of Advanced Study (CAS II)</t>
  </si>
  <si>
    <t>The principal author (AG) is thankful to Department of Science and Technology (DST), Government of India, for awarding INSPIRE Fellowship under grant number IF190719 for pursuing Ph.D. Kewal Krishan is supported by UGC Centre of Advanced Study (CAS II), awarded to the Department of Anthropology, Panjab University, Chandigarh, India.</t>
  </si>
  <si>
    <t>J INFECTION DEVELOPING COUNTRIES</t>
  </si>
  <si>
    <t>TRAMANIGLIO</t>
  </si>
  <si>
    <t>JIDC CENT OFF PORTO CONTE RICERCHE RES CTR, S P 55, PORTO CONTE CAPO CACCIA KM 8.400 LOC, TRAMANIGLIO, 07041, ITALY</t>
  </si>
  <si>
    <t>1972-2680</t>
  </si>
  <si>
    <t>J INFECT DEV COUNTR</t>
  </si>
  <si>
    <t>J. Infect. Dev. Ctries.</t>
  </si>
  <si>
    <t>10.3855/jidc.18738</t>
  </si>
  <si>
    <t>Infectious Diseases</t>
  </si>
  <si>
    <t>Y9XB5</t>
  </si>
  <si>
    <t>WOS:001108706100020</t>
  </si>
  <si>
    <t>Houston, AB; Corrado, EM</t>
  </si>
  <si>
    <t>Houston, Aileen B.; Corrado, Edward M.</t>
  </si>
  <si>
    <t>Embracing ChatGPT: Implications of Emergent Language Models for Academia and Libraries</t>
  </si>
  <si>
    <t>TECHNICAL SERVICES QUARTERLY</t>
  </si>
  <si>
    <t>ChatGPT; chatbots; artificial intelligence; language models; disruptive technology; generative artificial intelligence</t>
  </si>
  <si>
    <t>ChatGPT is a new generative artificial intelligence (AI) chatbot that has been gathering significant attention since its release at the end of 2022. There are many reasons for the onslaught of discussion in the news media and academia, but principal among them is the fact that ChatGPT produces seemingly believable, coherent content with superhuman speed and efficiency, from creating computer code to penning a college-level essay. ChatGPT and similar technologies are improving by the day, and will only become more pervasive. Librarians and other information professionals need to understand this AI's uses and limitations, and, when appropriate, must adjust their practices to reflect the reality of easy-to-use AI tools that are accessible to the masses. This breakthrough technology may require educational institutions to change the way they approach information literacy, adjust teaching practices and assignments, and update honor codes. Libraries may see impacts on reference practices, collection development, and metadata creation and transformation. Those who are able to embrace and innovate with the technology may bring efficiencies and value to their institutions.</t>
  </si>
  <si>
    <t>[Houston, Aileen B.] Naval Postgrad Sch, Grad Writing Ctr, Monterey, CA USA; [Corrado, Edward M.] Naval Postgrad Sch, Associate Univ Librarian, Dudley Knox Lib, Monterey, CA 93943 USA</t>
  </si>
  <si>
    <t>United States Department of Defense; United States Navy; Naval Postgraduate School; United States Department of Defense; United States Navy; Naval Postgraduate School</t>
  </si>
  <si>
    <t>Corrado, EM (corresponding author), Naval Postgrad Sch, Associate Univ Librarian, Dudley Knox Lib, Monterey, CA 93943 USA.</t>
  </si>
  <si>
    <t>ecorrado@ecorrado.us</t>
  </si>
  <si>
    <t>Corrado, Edward M./B-6818-2008</t>
  </si>
  <si>
    <t>0731-7131</t>
  </si>
  <si>
    <t>1555-3337</t>
  </si>
  <si>
    <t>TECH SERV Q</t>
  </si>
  <si>
    <t>Tech. Serv. Q.</t>
  </si>
  <si>
    <t>10.1080/07317131.2023.2187110</t>
  </si>
  <si>
    <t>H9EU6</t>
  </si>
  <si>
    <t>WOS:000998916000003</t>
  </si>
  <si>
    <t>Niraula, D; Sun, WB; Jin, JH; Dinov, ID; Cuneo, K; Jamaluddin, J; Matuszak, MM; Luo, Y; Lawrence, TS; Jolly, S; Ten Haken, RK; El Naqa, I</t>
  </si>
  <si>
    <t>Niraula, Dipesh; Sun, Wenbo; Jin, Jionghua; Dinov, Ivo D.; Cuneo, Kyle; Jamaluddin, Jamalina; Matuszak, Martha M.; Luo, Yi; Lawrence, Theodore S.; Jolly, Shruti; Ten Haken, Randall K.; El Naqa, Issam</t>
  </si>
  <si>
    <t>A clinical decision support system for AI-assisted decision-making in response-adaptive radiotherapy (ARCliDS)</t>
  </si>
  <si>
    <t>RADIOGENOMICS; MODELS</t>
  </si>
  <si>
    <t>Involvement of many variables, uncertainty in treatment response, and inter-patient heterogeneity challenge objective decision-making in dynamic treatment regime (DTR) in oncology. Advanced machine learning analytics in conjunction with information-rich dense multi-omics data have the ability to overcome such challenges. We have developed a comprehensive artificial intelligence (AI)-based optimal decision-making framework for assisting oncologists in DTR. In this work, we demonstrate the proposed framework to Knowledge Based Response-Adaptive Radiotherapy (KBR-ART) applications by developing an interactive software tool entitled Adaptive Radiotherapy Clinical Decision Support (ARCliDS). ARCliDS is composed of two main components: Artifcial RT Environment (ARTE) and Optimal Decision Maker (ODM). ARTE is designed as a Markov decision process and modeled via supervised learning. Given a patient's pre- and during-treatment information, ARTE can estimate treatment outcomes for a selected daily dosage value (radiation fraction size). ODM is formulated using reinforcement learning and is trained on ARTE. ODM can recommend optimal daily dosage adjustments to maximize the tumor local control probability and minimize the side effects. Graph Neural Networks (GNN) are applied to exploit the inter-feature relationships for improved modeling performance and a novel double GNN architecture is designed to avoid nonphysical treatment response. Datasets of size 117 and 292 were available from two clinical trials on adaptive RT in non-small cell lung cancer (NSCLC) patients and adaptive stereotactic body RT (SBRT) in hepatocellular carcinoma (HCC) patients, respectively. For training and validation, dense data with 297 features were available for 67 NSCLC patients and 110 features for 71 HCC patients. To increase the sample size for ODM training, we applied Generative Adversarial Networks to generate 10,000 synthetic patients. The ODM was trained on the synthetic patients and validated on the original dataset. We found that, Double GNN architecture was able to correct the nonphysical dose-response trend and improve ARCliDS recommendation. The average root mean squared difference (RMSD) between ARCliDS recommendation and reported clinical decisions using double GNNs were 0.61 [0.03] Gy/frac (mean [sem]) for adaptive RT in NSCLC patients and 2.96 [0.42] Gy/frac for adaptive SBRT HCC compared to the single GNN's RMSDs of 0.97 [0.12] Gy/frac and 4.75 [0.16] Gy/frac, respectively. Overall, For NSCLC and HCC, ARCliDS with double GNNs was able to reproduce 36% and 50% of the good clinical decisions (local control and no side effects) and improve 74% and 30% of the bad clinical decisions, respectively. In conclusion, ARCliDS is the first web-based software dedicated to assist KBR-ART with multi-omics data. ARCliDS can learn from the reported clinical decisions and facilitate AI-assisted clinical decision-making for improving the outcomes in DTR.</t>
  </si>
  <si>
    <t>[Niraula, Dipesh; Luo, Yi; El Naqa, Issam] H Lee Moffitt Canc Ctr &amp; Res Inst, Dept Machine Learning, Tampa, FL 33612 USA; [Sun, Wenbo] Univ Michigan, Transport Res Inst, Ann Arbor, MI 48109 USA; [Jin, Jionghua] Univ Michigan, Dept Ind &amp; Operat Engn, Ann Arbor, MI 48109 USA; [Dinov, Ivo D.] Univ Michigan, Dept Hlth Behav &amp; Biol Sci, Ann Arbor, MI 48109 USA; [Cuneo, Kyle; Matuszak, Martha M.; Lawrence, Theodore S.; Jolly, Shruti; Ten Haken, Randall K.] Univ Michigan, Dept Radiat Oncol, Ann Arbor, MI 48109 USA; [Jamaluddin, Jamalina; Matuszak, Martha M.] Univ Michigan, Dept Nucl Engn &amp; Radiol Sci, Ann Arbor, MI 48109 USA</t>
  </si>
  <si>
    <t>H Lee Moffitt Cancer Center &amp; Research Institute; University of Michigan System; University of Michigan; University of Michigan System; University of Michigan; University of Michigan System; University of Michigan; University of Michigan System; University of Michigan; University of Michigan System; University of Michigan</t>
  </si>
  <si>
    <t>Niraula, D (corresponding author), H Lee Moffitt Canc Ctr &amp; Res Inst, Dept Machine Learning, Tampa, FL 33612 USA.</t>
  </si>
  <si>
    <t>Dipesh.Niraula@moffitt.org</t>
  </si>
  <si>
    <t>Naqa, Issam El/T-3066-2019; Niraula, Dipesh/AAE-6536-2020</t>
  </si>
  <si>
    <t>Naqa, Issam El/0000-0001-6023-1132; Niraula, Dipesh/0000-0002-2245-8536; LAWRENCE, THEODORE S./0000-0002-4186-8821; Cuneo, Kyle/0000-0002-8264-6483; Dinov, Ivo/0000-0003-3825-4375; Matuszak, Martha/0000-0002-4129-1030</t>
  </si>
  <si>
    <t>National Institute of Health (NIH) [R01-CA233487]</t>
  </si>
  <si>
    <t>National Institute of Health (NIH)(United States Department of Health &amp; Human ServicesNational Institutes of Health (NIH) - USA)</t>
  </si>
  <si>
    <t>AcknowledgementsThis work was partly supported by National Institute of Health (NIH) grant R01-CA233487 and its supplement.</t>
  </si>
  <si>
    <t>MAR 31</t>
  </si>
  <si>
    <t>10.1038/s41598-023-32032-6</t>
  </si>
  <si>
    <t>I2YV9</t>
  </si>
  <si>
    <t>WOS:001001498900024</t>
  </si>
  <si>
    <t>McLeod, A; Richardson, H</t>
  </si>
  <si>
    <t>McLeod, Amber; Richardson, Hannah</t>
  </si>
  <si>
    <t>Co-constructing skills for ChatGPT at university</t>
  </si>
  <si>
    <t>Co-constructed learning; university; playful tinkering; generative artificial intelligence</t>
  </si>
  <si>
    <t>LITERACY; MULTILITERACIES</t>
  </si>
  <si>
    <t>This is a critical reflection on our teaching practice experiences using the generative AI tool, ChatGPT, in a Semester 1, 2023, fourth year digital technologies unit in an Australian University Initial Teacher Education program. We start with an outline of three pedagogical approaches where ChatGPT was embraced. We then draw upon our workshop observations and student assignments to provide insight into how students and educators used ChatGPT to coconstruct technological knowledge and reinforce digital literacy. We conclude with reflections on the importance of explicit teaching and playful tinkering with ChatGPT to inform and support educators in building innovative teaching methods.</t>
  </si>
  <si>
    <t>[McLeod, Amber; Richardson, Hannah] Monash Univ, Fac Educ, Clayton, Vic 3800, Australia</t>
  </si>
  <si>
    <t>McLeod, A (corresponding author), Monash Univ, Fac Educ, Clayton, Vic 3800, Australia.</t>
  </si>
  <si>
    <t>amber.mcleod@monash.edu; hannah.richardson@monash.edu</t>
  </si>
  <si>
    <t>T70</t>
  </si>
  <si>
    <t>T80</t>
  </si>
  <si>
    <t>WOS:001163419200003</t>
  </si>
  <si>
    <t>Ennemoser, B; Mayrhofer-Hufnagl, I</t>
  </si>
  <si>
    <t>Ennemoser, Benjamin; Mayrhofer-Hufnagl, Ingrid</t>
  </si>
  <si>
    <t>Design across multi-scale datasets by developing a novel approach to 3DGANs</t>
  </si>
  <si>
    <t>3D Generative adversarial networks; architectural design; Spatial Interpolations</t>
  </si>
  <si>
    <t>The development of Generative Adversarial Networks (GANs) has accelerated the research of Artificial Intelligence (AI) in architecture as a generative tool. However, since their initial invention, many versions have been developed that only focus on 2D image datasets for training and images as output. The current state of 3DGAN research has yielded promising results. However, these contributions focus primarily on building mass, extrusion of 2D plans, or the overall shape of objects. In comparison, our newly developed 3DGAN approach, using fully spatial building datasets, demonstrates that unprecedented interconnections across different scales are possible resulting in unconventional spatial configurations. Unlike a traditional design process, based on analyzing only a few precedents (typology) according to the task, by collaborating with the machine we can draw on a significantly wider variety of buildings across multiple typologies. In addition, the dataset was extended beyond the scale of complete buildings and involved building components that define space. Thus, our results achieve a high spatial diversity. A detailed analysis of the results also revealed new hybrid architectural elements illustrating that the machine continued the interconnections of scale since elements were not explicitly part of the dataset, becoming a true design collaborator.</t>
  </si>
  <si>
    <t>[Ennemoser, Benjamin] Texas A&amp;M Univ, Sch Architecture, College Stn, TX USA; [Mayrhofer-Hufnagl, Ingrid] Univ Innsbruck, Sch Architecture, Innsbruck, Austria; [Mayrhofer-Hufnagl, Ingrid] Univ Innsbruck, Technikerstr 21, A-6020 Innsbruck, Austria</t>
  </si>
  <si>
    <t>Texas A&amp;M University System; Texas A&amp;M University College Station; University of Innsbruck; University of Innsbruck</t>
  </si>
  <si>
    <t>i.mayrhofer-hufnagl@hotmail.com</t>
  </si>
  <si>
    <t>Mayrhofer-Hufnagl, Ingrid/0000-0001-6436-4629</t>
  </si>
  <si>
    <t>Early-Stage funding (2021) of the of the Vice Rectorate for Research of the University of Innsbruck; department of architecture; Academy of Visual and Performing Arts(AVPA) (2022) at Texas AM University</t>
  </si>
  <si>
    <t>The author(s) disclosed receipt of the following financial support for the research, authorship, and/or publication of thisarticle: This work was supported by the Early-Stage funding (2021) of the of the Vice Rectorate for Research of the University of Innsbruck and funding from the department of architecture and the Academy of Visual and Performing Arts(AVPA) Grant (2022) at Texas A&amp;M University</t>
  </si>
  <si>
    <t>10.1177/14780771231168231</t>
  </si>
  <si>
    <t>WOS:000985959500001</t>
  </si>
  <si>
    <t>Reddy, MVK; Murjani, PK; Rajkumar, S; Chen, T; Chandrasekar, VSA</t>
  </si>
  <si>
    <t>Kumar, S; Sharma, H; Balachandran, K; Kim, JH; Bansal, JC</t>
  </si>
  <si>
    <t>Reddy, Mure Vamsi Kalyan; Murjani, Prithvi K.; Rajkumar, Sujatha; Chen, Thomas; Chandrasekar, V. S. Ajay</t>
  </si>
  <si>
    <t>Optimized CNN Model with Deep Convolutional GAN for Brain Tumor Detection</t>
  </si>
  <si>
    <t>THIRD CONGRESS ON INTELLIGENT SYSTEMS, CIS 2022, VOL 1</t>
  </si>
  <si>
    <t>Lecture Notes in Networks and Systems</t>
  </si>
  <si>
    <t>3rd Congress on Intelligent Systems (CIS)</t>
  </si>
  <si>
    <t>SEP 05-06, 2022</t>
  </si>
  <si>
    <t>CHRIST, Bengaluru, INDIA</t>
  </si>
  <si>
    <t>Soft Comp Res Soc</t>
  </si>
  <si>
    <t>CHRIST</t>
  </si>
  <si>
    <t>Brain tumor; Magnetic resonance imaging; Computed tomography; Convolutional neural network; Generative adversarial network; Deep convolutional generative adversarial network; Objective function; Data augmentation</t>
  </si>
  <si>
    <t>Brain tumors are viewed as a deadly form of cancer. Early and precise detection of brain tumors is critical to tumor cure. Magnetic resonance imaging and computed tomography are two widely used methods of examining brain tissue that is abnormal in size, location, or shape, which can aid in the early detection of tumors in the brain. More data is required in the field of artificial intelligence, particularly in medical imaging; thus, in order to find a faster way to diagnose a specific disease using AI, we first require a large set of image-accurate datasets to feed into a neural network. Convolutional Neural Networks achieve superior computational diagnostics by using well-annotated training data. Most medical image datasets, on the other hand, are fragmented and small. In this case, Generative Adversarial Networks can generate realistic or a variety of additional brain tumor data for training to fill in the gaps in the actual image distribution by following its respective objective function. Deep Convolutional Generative Adversarial Network was used in this paper to improve the accuracy of the original Convolutional Neural Networkmodel. The Deep Convolutional Generative Adversarial Networks are used to generate new data with reference to the existing training data distribution. Using this method to generate the images, we increased the dataset size by 700 images, increasing the model's accuracy from 97.26 to 98.85%.</t>
  </si>
  <si>
    <t>[Reddy, Mure Vamsi Kalyan; Murjani, Prithvi K.; Rajkumar, Sujatha] Vellore Inst Technol, Sch Elect Engn, Vellore, Tamil Nadu, India; [Chen, Thomas] Univ London, Dept Engn, Sch Sci &amp; Technol, Northampton Sq, London EC1V 0HB, England; [Chandrasekar, V. S. Ajay] Saveetha Med Coll, Dept Surg Oncol, Thandalam, Tamil Nadu, India</t>
  </si>
  <si>
    <t>Vellore Institute of Technology (VIT); VIT Vellore; University of London; Saveetha Institute of Medical &amp; Technical Science; Saveetha Medical College &amp; Hospital</t>
  </si>
  <si>
    <t>Rajkumar, S (corresponding author), Vellore Inst Technol, Sch Elect Engn, Vellore, Tamil Nadu, India.</t>
  </si>
  <si>
    <t>sujatha.r@vit.ac.in</t>
  </si>
  <si>
    <t>RAJKUMAR, SUJATHA/AAE-9174-2022; Chandrasekar, Varun/HNR-2781-2023</t>
  </si>
  <si>
    <t>Chandrasekar, Varun/0000-0002-0528-1505; RAJKUMAR, SUJATHA/0000-0002-8887-8912</t>
  </si>
  <si>
    <t>2367-3370</t>
  </si>
  <si>
    <t>2367-3389</t>
  </si>
  <si>
    <t>978-981-19-9224-7; 978-981-19-9225-4</t>
  </si>
  <si>
    <t>LECT NOTE NETW SYST</t>
  </si>
  <si>
    <t>10.1007/978-981-19-9225-4_31</t>
  </si>
  <si>
    <t>BV2NE</t>
  </si>
  <si>
    <t>WOS:001008148400031</t>
  </si>
  <si>
    <t>Bao, XY; Zhao, YB</t>
  </si>
  <si>
    <t>Bao, Xiying; Zhao, Yubo</t>
  </si>
  <si>
    <t>Narratron: Collaborative Writing and Shadow-playing of Children Stories with Large Language Models</t>
  </si>
  <si>
    <t>large language models; shadow play; storytelling; human-AI collaboration</t>
  </si>
  <si>
    <t>Shadow puppetry or shadow play, allows bodily participation into the process of linguistic storytelling, while the potential of multimodal interaction through shadow plays in existing large-language-model-based creative tools has not been fully discovered. We propose Narratron, a generative story-making tool that co-creates and co-performs children stories from shadow using Claude 2 model. To achieve Narratron, our system is designed to recognize hand gestural inputs as main character and to develop story plot in accordance with character change. Through our system, we seek to stimulate creativity in shadow play storytelling and to facilitate a multi-modal human-AI collaboration.</t>
  </si>
  <si>
    <t>[Bao, Xiying] Harvard Univ, Cambridge, MA 02138 USA; [Zhao, Yubo] Univ Washington, Seattle, WA USA</t>
  </si>
  <si>
    <t>Harvard University; University of Washington; University of Washington Seattle</t>
  </si>
  <si>
    <t>Bao, XY (corresponding author), Harvard Univ, Cambridge, MA 02138 USA.</t>
  </si>
  <si>
    <t>xiying_bao@gsd.harvard.edu; yubozhao@uw.edu</t>
  </si>
  <si>
    <t>10.1145/3586182.3625120</t>
  </si>
  <si>
    <t>WOS:001125107000118</t>
  </si>
  <si>
    <t>Srivastava, R; Srivastava, S</t>
  </si>
  <si>
    <t>Srivastava, Rajashree; Srivastava, Shikha</t>
  </si>
  <si>
    <t>Can Artificial Intelligence aid communication? Considering the possibilities of GPT-3 in Palliative care</t>
  </si>
  <si>
    <t>INDIAN JOURNAL OF PALLIATIVE CARE</t>
  </si>
  <si>
    <t>ChatGPT; Artificial Intelligence; Generative pre-trained transformer 3; Palliative Care; Communication</t>
  </si>
  <si>
    <t>END</t>
  </si>
  <si>
    <t>Objectives: This article reviews the developments in artificial intelligence (AI) technologies and their current and prospective applications in end -of-life communications. It uses Open AI's generative pre-trained transformer 3 (GPT-3) as a case study to understand the possibilities of AI-aided communication in Palliative Care.Material and Methods: Open AI's GPT-3 was taken as a case study where responses were generated through the GPT-3 beta playground (Davinci engine) and were scrutinised by six mental health professionals (MHPs) working in a palliative care setting in India. They were tasked to evaluate the responses generated by the AI (the identity was not revealed until a part of the study was completed) in a simulated palliative care conversation with another MHP posing as a patient. The aim was to undermine whether the professionals were able to detect that the responses were indeed generated by a machine and did they approve or disapprove of the responses.Results: The GPT-3 playground with the right prompts produced remarkable, often surprising texts and responses that imitated human interaction. However, glitches such as redundancy were noticed along with strongly held opinions in certain questions related to faith, death, and life after death.Conclusion: AI-assisted communication in palliative care could be used to train professionals in the palliative care field using it as a simulation in training. It could also be used as a therapeutic intervention for the purpose of engagement and philosophical dialogue after certain modifications. However, it would have its own limitations such as it cannot replace a human agent just yet.</t>
  </si>
  <si>
    <t>[Srivastava, Rajashree; Srivastava, Shikha] Galgotias Univ, Sch Liberal Educ, Dept Psychol, Greater Noida, Uttar Pradesh, India</t>
  </si>
  <si>
    <t>Galgotias University</t>
  </si>
  <si>
    <t>Srivastava, R (corresponding author), Galgotias Univ, Sch Liberal Educ, Dept Psychol, Greater Noida, Uttar Pradesh, India.</t>
  </si>
  <si>
    <t>rajashree.srivastava_phd19@galgotiasuniversity.edu.in</t>
  </si>
  <si>
    <t>SCIENTIFIC SCHOLAR LLC</t>
  </si>
  <si>
    <t>PITTSFORD</t>
  </si>
  <si>
    <t>50, WOODGREEN DR, PITTSFORD, NY 14534 USA</t>
  </si>
  <si>
    <t>0973-1075</t>
  </si>
  <si>
    <t>1998-3735</t>
  </si>
  <si>
    <t>INDIAN J PALLIAT CAR</t>
  </si>
  <si>
    <t>Indian J. Palliat. Care</t>
  </si>
  <si>
    <t>OCT-DEC</t>
  </si>
  <si>
    <t>10.25259/IJPC_155_2023</t>
  </si>
  <si>
    <t>Health Care Sciences &amp; Services</t>
  </si>
  <si>
    <t>Z1EY8</t>
  </si>
  <si>
    <t>WOS:001109595400014</t>
  </si>
  <si>
    <t>Adilov, N; Cline, JW; Hanke, H; Kauffman, K; Meneau, L; Resendez, E; Singh, S; Slaubaugh, M; Suntornpithug, N</t>
  </si>
  <si>
    <t>Adilov, Nodir; Cline, Jeffrey W.; Hanke, Hui; Kauffman, Kent; Meneau, Lisa; Resendez, Elva; Singh, Shubham; Slaubaugh, Mike; Suntornpithug, Nichaya</t>
  </si>
  <si>
    <t>ChatGPT and the course vulnerability index</t>
  </si>
  <si>
    <t>JOURNAL OF EDUCATION FOR BUSINESS</t>
  </si>
  <si>
    <t>ChatGPT; cheating using AI; classroom cheating; course vulnerability index</t>
  </si>
  <si>
    <t>This article develops an index to measure the level of susceptibility of courses to cheating using ChatGPT (Chat Generative Pre-trained Transformer), an advanced text-based artificial intelligence (AI) language model. It demonstrates the application of the index to a sample of business courses in a mid-sized university. The study finds that the vulnerability index varies across disciplines and teaching modalities. As advanced language models become more common in academic settings and create new educational challenges, the study provides an intuitive and practical mechanism for instructors and academic units to measure and assess the vulnerability of their courses to various language-based predictive models.</t>
  </si>
  <si>
    <t>[Adilov, Nodir; Cline, Jeffrey W.; Hanke, Hui; Kauffman, Kent; Meneau, Lisa; Resendez, Elva; Singh, Shubham; Slaubaugh, Mike; Suntornpithug, Nichaya] Purdue Univ Ft Wayne, Doermer Sch Business, Ft Wayne, IN USA; [Adilov, Nodir] Purdue Univ Ft Wayne, Doermer Sch Business, 2101 E Coliseum Blvd, Ft Wayne, IN 46805 USA</t>
  </si>
  <si>
    <t>Purdue University System; Purdue University; Purdue University System; Purdue University</t>
  </si>
  <si>
    <t>Adilov, N (corresponding author), Purdue Univ Ft Wayne, Doermer Sch Business, 2101 E Coliseum Blvd, Ft Wayne, IN 46805 USA.</t>
  </si>
  <si>
    <t>adilovn@pfw.edu</t>
  </si>
  <si>
    <t>We thank the participants of the Midwest Business Association Administration (MBAA) 2023 conference for their helpful suggestions and comments. We also thank Marc Lafuente for his assistance.</t>
  </si>
  <si>
    <t>0883-2323</t>
  </si>
  <si>
    <t>1940-3356</t>
  </si>
  <si>
    <t>J EDUC BUS</t>
  </si>
  <si>
    <t>J. Educ. Bus.</t>
  </si>
  <si>
    <t>FEB 17</t>
  </si>
  <si>
    <t>10.1080/08832323.2023.2260929</t>
  </si>
  <si>
    <t>HE2M0</t>
  </si>
  <si>
    <t>WOS:001081071800001</t>
  </si>
  <si>
    <t>Humayun, F; Khan, F; Khan, A; Alshammari, A; Ji, J; Farhan, A; Fawad, N; Alam, W; Ali, A; Wei, DQ</t>
  </si>
  <si>
    <t>Humayun, Fahad; Khan, Fatima; Khan, Abbas; Alshammari, Abdulrahman; Ji, Jun; Farhan, Ali; Fawad, Nasim; Alam, Waheed; Ali, Arif; Wei, Dong-Qing</t>
  </si>
  <si>
    <t>De novo generation of dual-target ligands for the treatment of SARS-CoV-2 using deep learning, virtual screening, and molecular dynamic simulations</t>
  </si>
  <si>
    <t>JOURNAL OF BIOMOLECULAR STRUCTURE &amp; DYNAMICS</t>
  </si>
  <si>
    <t>SARS-CoV-2; PLpro; 3CLpro; SMILES; de novo generation; deep generative approaches</t>
  </si>
  <si>
    <t>DRUG DESIGN; INHIBITORS; POLYPHARMACOLOGY; PROTEASE; OPPORTUNITIES; LANGUAGE</t>
  </si>
  <si>
    <t>De novo generation of molecules with the necessary features offers a promising opportunity for artificial intelligence, such as deep generative approaches. However, creating novel compounds having biological activities toward two distinct targets continues to be a very challenging task. In this study, we develop a unique computational framework for the de novo synthesis of bioactive compounds directed at two predetermined therapeutic targets. This framework is referred to as the dual-target ligand generative network. Our approach uses a stochastic policy to explore chemical spaces called a sequence-based simple molecular input line entry system (SMILES) generator. The steps in the high-level workflow would be to gather and prepare the training data for both targets' molecules, build a neural network model and train it to make molecules, create new molecules using generative AI, and then virtually screen the newly validated molecules against the SARS-CoV-2 PLpro and 3CLpro drug targets. Results shows that novel molecules generated have higher binding affinity with both targets than the conventional drug i.e. Remdesivir being used for the treatment of SARS-CoV-2.Communicated by Ramaswamy H. Sarma</t>
  </si>
  <si>
    <t>[Humayun, Fahad; Khan, Abbas; Ali, Arif; Wei, Dong-Qing] Shanghai Jiao Tong Univ, Sch Life Sci &amp; Biotechnol, Dept Bioinformat &amp; Biol Stat, Shanghai, Peoples R China; [Humayun, Fahad; Khan, Abbas; Ali, Arif; Wei, Dong-Qing] Shanghai Jiao Tong Univ, State Key Lab Microbial Metab, Shanghai, Peoples R China; [Humayun, Fahad; Khan, Abbas; Ali, Arif; Wei, Dong-Qing] Shanghai Jiao Tong Univ, Sch Life Sci &amp; Biotechnol, Shanghai, Peoples R China; [Khan, Fatima; Alam, Waheed] Natl Inst Hlth, Islamabad, Pakistan; [Alshammari, Abdulrahman] King Saud Univ, Coll Pharm, Dept Pharmacol &amp; Toxicol, Riyadh, Saudi Arabia; [Ji, Jun] Nanyang Normal Univ, Henan Prov Engn &amp; Technol Ctr Hlth Prod Livestock, Henan Prov Engn &amp; Technol Ctr Anim Dis Diag &amp; Inte, Nanyang, Peoples R China; [Farhan, Ali] Chung Yuan Christian Univ, Dept Chem, Taoyuan, Taiwan; [Fawad, Nasim] Poultry Res Inst, Rawalpindi, Pakistan; [Wei, Dong-Qing] Concordia Univ, Ctr Res Mol Modeling, Quebec City, PQ, Canada</t>
  </si>
  <si>
    <t>Shanghai Jiao Tong University; Shanghai Jiao Tong University; Shanghai Jiao Tong University; King Saud University; Nanyang Normal College; Chung Yuan Christian University; Concordia University - Canada</t>
  </si>
  <si>
    <t>Wei, DQ (corresponding author), Shanghai Jiao Tong Univ, Sch Life Sci &amp; Biotechnol, Dept Bioinformat &amp; Biol Stat, Shanghai, Peoples R China.;Wei, DQ (corresponding author), Shanghai Jiao Tong Univ, State Key Lab Microbial Metab, Shanghai, Peoples R China.;Wei, DQ (corresponding author), Shanghai Jiao Tong Univ, Sch Life Sci &amp; Biotechnol, Shanghai, Peoples R China.;Wei, DQ (corresponding author), Concordia Univ, Ctr Res Mol Modeling, Quebec City, PQ, Canada.</t>
  </si>
  <si>
    <t>dqwei@sjtu.edu.cn</t>
  </si>
  <si>
    <t>Wei, Dongqing/E-6398-2010; Alshammari, Abdulrahman/ISU-6545-2023; Alshammari, Abdulrahman/AGH-6868-2022</t>
  </si>
  <si>
    <t>Wei, Dongqing/0000-0003-4200-7502; Alshammari, Abdulrahman/0000-0002-9888-9826</t>
  </si>
  <si>
    <t>National Science Foundation of China [61832019, 32070662]; Ministry of Science and Technology of China [2016YFA0501703]; Science and Technology Commission of Shanghai Municipality [19430750600]; SJTU JiRLMDS Joint Research Fund; Joint Research Funds for Medical and Engineering and Scientific Research at Shanghai Jiao Tong University [YG2021ZD02]; King Saud University, Riyadh, Saudi Arabia [RSP2023R491]</t>
  </si>
  <si>
    <t>National Science Foundation of China(National Natural Science Foundation of China (NSFC)); Ministry of Science and Technology of China(Ministry of Science and Technology, China); Science and Technology Commission of Shanghai Municipality(Science &amp; Technology Commission of Shanghai Municipality (STCSM)); SJTU JiRLMDS Joint Research Fund; Joint Research Funds for Medical and Engineering and Scientific Research at Shanghai Jiao Tong University; King Saud University, Riyadh, Saudi Arabia(King Saud University)</t>
  </si>
  <si>
    <t>This research is supported by grants from the National Science Foundation of China (Grant No. 32070662, 61832019, 32030063), the Key Research Area Grant 2016YFA0501703 of the Ministry of Science and Technology of China, the Science and Technology Commission of Shanghai Municipality (Grant No.: 19430750600), as well as SJTU JiRLMDS Joint Research Fund and Joint Research Funds for Medical and Engineering and Scientific Research at Shanghai Jiao Tong University (YG2021ZD02). Authors are thankful to the Researchers Supporting Project number (RSP2023R491), King Saud University, Riyadh, Saudi Arabia.</t>
  </si>
  <si>
    <t>0739-1102</t>
  </si>
  <si>
    <t>1538-0254</t>
  </si>
  <si>
    <t>J BIOMOL STRUCT DYN</t>
  </si>
  <si>
    <t>J. Biomol. Struct. Dyn.</t>
  </si>
  <si>
    <t>2023 JUL 8</t>
  </si>
  <si>
    <t>10.1080/07391102.2023.2234481</t>
  </si>
  <si>
    <t>Biochemistry &amp; Molecular Biology; Biophysics</t>
  </si>
  <si>
    <t>M2FA6</t>
  </si>
  <si>
    <t>WOS:001028379500001</t>
  </si>
  <si>
    <t>Cole, A; Grierson, M</t>
  </si>
  <si>
    <t>Cole, Adam; Grierson, Mick</t>
  </si>
  <si>
    <t>Kiss/Crash: Using Diffusion Models to Explore Real Desire in the Shadow of Artificial Representations</t>
  </si>
  <si>
    <t>diffusion models; generative AI; image-to-image translation; video translation; fine art</t>
  </si>
  <si>
    <t>This paper describes the art installation of Kiss/Crash: a multi-screen work exploring the subject of AI-imagery and representation as well as the autobiographical themes of loneliness, desire, and intimacy in the digital age. The installation consists of three individual works in a shared space, Kiss/Crash, Me Kissing Me, and Crash Me, Gently, which all play with augmenting, inverting, and negating the iconic image of the kiss using diffusion-based image translation. In the production of this work, several potentially novel video translation techniques were developed and refined to create high-quality results central to these pieces. Throughout our research, we reflect on the nature of images and place diffusion models within a history of image-production technologies that artists have been contending with and responding to for the past one hundred years. This paper aims to extend that artistic tradition with a provocative, original aesthetic and technique that reveals the logic of AI imagery and hints at how our relationship to reality will continue to be stretched and shaped by artificial representations at an accelerating pace.</t>
  </si>
  <si>
    <t>[Cole, Adam; Grierson, Mick] Univ Arts London, Creat Comp Inst, 45 65 Peckham Rd, London SE5 8UF, England</t>
  </si>
  <si>
    <t>University of Arts London</t>
  </si>
  <si>
    <t>Cole, A (corresponding author), Univ Arts London, Creat Comp Inst, 45 65 Peckham Rd, London SE5 8UF, England.</t>
  </si>
  <si>
    <t>a.cole@arts.ac.uk; m.grierson@arts.ac.uk</t>
  </si>
  <si>
    <t>Grierson, Mick/0000-0002-6981-5414</t>
  </si>
  <si>
    <t>10.1145/3597625</t>
  </si>
  <si>
    <t>WOS:001056350400002</t>
  </si>
  <si>
    <t>Coletta, A; Jerome, J; Savani, R; Vyetrenko, S</t>
  </si>
  <si>
    <t>Coletta, Andrea; Jerome, Joseph; Savani, Rahul; Vyetrenko, Svitlana</t>
  </si>
  <si>
    <t>Conditional Generators for Limit Order Book Environments: Explainability, Challenges, and Robustness</t>
  </si>
  <si>
    <t>GANs; synthetic data; time-series; financial markets</t>
  </si>
  <si>
    <t>MARKET</t>
  </si>
  <si>
    <t>Limit order books are a fundamental and widespread market mechanism. This paper investigates the use of conditional generative models for order book simulation. For developing a trading agent, this approach has drawn recent attention as an alternative to traditional backtesting, due to its ability to react to the presence of the trading agent. We explore the dependence of a state-of-the-art conditional generative adversarial network (CGAN) upon its input features, highlighting both strengths and weaknesses. To do this, we use adversarial attacks on the model's features and its mechanism. We then show how these insights can be used to improve the CGAN, both in terms of its realism and robustness. We finish by laying out a roadmap for future work.</t>
  </si>
  <si>
    <t>[Coletta, Andrea] JP Morgan AI Res, London, England; [Jerome, Joseph; Savani, Rahul] Univ Liverpool, Dept Comp Sci, Liverpool, Merseyside, England; [Savani, Rahul] Univ Liverpool, Alan Turing Inst, Liverpool, Merseyside, England; [Vyetrenko, Svitlana] JP Morgan AI Res, New York, NY USA</t>
  </si>
  <si>
    <t>University of Liverpool; University of Liverpool</t>
  </si>
  <si>
    <t>Coletta, A (corresponding author), JP Morgan AI Res, London, England.</t>
  </si>
  <si>
    <t>andrea.coletta@jpmchase.com; j.jerome@liverpool.ac.uk; rahul.savani@liverpool.ac.uk; svitlana.s.vyetrenko@jpmchase.com</t>
  </si>
  <si>
    <t>Coletta, Andrea/H-9856-2012</t>
  </si>
  <si>
    <t>Vyetrenko, Svitlana/0000-0001-7650-9880; Savani, Rahul/0000-0003-1262-7831; Coletta, Andrea/0000-0003-1401-1715</t>
  </si>
  <si>
    <t>J.P.Morgan AI Research Faculty Research Award; G-Research Early Career Grant</t>
  </si>
  <si>
    <t>Jerome and Savani were supported by a J.P.Morgan AI Research Faculty Research Award. Jerome was also supported by a G-Research Early Career Grant.</t>
  </si>
  <si>
    <t>10.1145/3604237.3626854</t>
  </si>
  <si>
    <t>WOS:001124982700004</t>
  </si>
  <si>
    <t>Buehler, MJ</t>
  </si>
  <si>
    <t>Buehler, Markus J.</t>
  </si>
  <si>
    <t>Generative pretrained autoregressive transformer graph neural network applied to the analysis and discovery of novel proteins</t>
  </si>
  <si>
    <t>JOURNAL OF APPLIED PHYSICS</t>
  </si>
  <si>
    <t>We report a flexible language-model-based deep learning strategy, applied here to solve complex forward and inverse problems in protein modeling, based on an attention neural network that integrates transformer and graph convolutional architectures in a causal multi-headed graph mechanism, to realize a generative pretrained model. The model is applied to predict the secondary structure content (per-residue level and overall content), protein solubility, and sequencing tasks. Further trained on inverse tasks, the model is rendered capable of designing proteins with these properties as target features. The model is formulated as a general framework, completely prompt-based, and can be adapted for a variety of downstream tasks. We find that adding additional tasks yields emergent synergies that the model exploits in improving overall performance, beyond what would be possible by training a model on each dataset alone. Case studies are presented to validate the method, yielding protein designs specifically focused on structural materials, but also exploring the applicability in the design of soluble, antimicrobial biomaterials. While our model is trained to ultimately perform eight distinct tasks, with available datasets, it can be extended to solve additional problems. In a broader sense, this study illustrates a form of multiscale modeling that relates a set of ultimate building blocks (here, byte-level utf8 characters that define the nature of the physical system at hand) to complex output. This materiomic scheme captures complex emergent relationships between universal building block and resulting properties, via a synergizing learning capacity, to express a set of potentialities embedded in the knowledge used in training via the interplay of universality and diversity. Significance statement: Predicting the properties of materials based on a flexible description of their structure, environment, or process, is a long-standing challenge in multiscale modeling. Our MaterioFormer language model, trained to solve forward and inverse tasks, incorporates a deep learning capacity through attention and graph strategies to yield a multimodal approach to model and design materials. Since our model is prompt-based and information is encoded consistently via byte-level utf8 tokenization, it can process diverse modalities of information, such as sequence data, description of tasks, and numbers, and offers a flexible workflow that integrates human intelligence and artificial intelligence. Autoregressive training, using pre-training against a large unlabeled dataset, allows for straightforward adjustment of specific objectives. (c) 2023 Author(s). All article content, except where otherwise noted, is licensed under a Creative Commons Attribution (CC BY) license (http://creativecommons.org/licenses/by/4.0/).</t>
  </si>
  <si>
    <t>[Buehler, Markus J.] MIT, Lab Atomist &amp; Mol Mech LAMM, 77 Massachusetts Ave, Cambridge, MA 02139 USA; [Buehler, Markus J.] MIT, Schwarzman Coll Comp, Ctr Computat Sci &amp; Engn, 77 Massachusetts Ave, Cambridge, MA 02139 USA</t>
  </si>
  <si>
    <t>Massachusetts Institute of Technology (MIT); Massachusetts Institute of Technology (MIT)</t>
  </si>
  <si>
    <t>MIT-IBM Watson AI Lab10.13039/100020895; MIT-IBM Watson AI Lab [W911NF1920098, W911NF2220213]; Army Research Office [N00014-19-1-2375, N00014-20-1-2189]; ONR [2021-69012-35978]; USDA</t>
  </si>
  <si>
    <t>MIT-IBM Watson AI Lab10.13039/100020895; MIT-IBM Watson AI Lab(International Business Machines (IBM)); Army Research Office; ONR(Office of Naval Research); USDA(United States Department of Agriculture (USDA))</t>
  </si>
  <si>
    <t>This work was supported by the MIT-IBM Watson AI Lab, the Army Research Office (Nos. W911NF1920098 and W911NF2220213), ONR (Nos. N00014-19-1-2375 and N00014-20-1-2189), as well as USDA (No. 2021-69012-35978).</t>
  </si>
  <si>
    <t>AIP Publishing</t>
  </si>
  <si>
    <t>MELVILLE</t>
  </si>
  <si>
    <t>1305 WALT WHITMAN RD, STE 300, MELVILLE, NY 11747-4501 USA</t>
  </si>
  <si>
    <t>0021-8979</t>
  </si>
  <si>
    <t>1089-7550</t>
  </si>
  <si>
    <t>J APPL PHYS</t>
  </si>
  <si>
    <t>J. Appl. Phys.</t>
  </si>
  <si>
    <t>AUG 28</t>
  </si>
  <si>
    <t>10.1063/5.0157367</t>
  </si>
  <si>
    <t>Physics, Applied</t>
  </si>
  <si>
    <t>Z7AQ0</t>
  </si>
  <si>
    <t>WOS:001113566600001</t>
  </si>
  <si>
    <t>Alhartomi, M</t>
  </si>
  <si>
    <t>Paul, R</t>
  </si>
  <si>
    <t>Alhartomi, Mohammed</t>
  </si>
  <si>
    <t>New Reward-Clipping Mechanism in Deep -Learning Enabled Internet of Things in 6G to Improve Intelligent Transmission Scheduling</t>
  </si>
  <si>
    <t>2023 IEEE 13TH ANNUAL COMPUTING AND COMMUNICATION WORKSHOP AND CONFERENCE, CCWC</t>
  </si>
  <si>
    <t>IEEE 13th Annual Computing and Communication Workshop and Conference (CCWC)</t>
  </si>
  <si>
    <t>MAR 08-11, 2023</t>
  </si>
  <si>
    <t>IEEE,SMART,IEEE Reg 1,IEEE USA,Inst Engn &amp; Management,Univ Engn &amp; Management</t>
  </si>
  <si>
    <t>AI; IoT; URLLC; packet error rate; 6G; deep-RL</t>
  </si>
  <si>
    <t>LOW-LATENCY; RESOURCE-ALLOCATION; URLLC; 5G; CHALLENGES; NETWORKS; RISK; EMBB</t>
  </si>
  <si>
    <t>Sixth-generation (6G) networks and apps have lately benefited from the use of artificial intelligence (AI) to improve a significant amount of data. The integration of AI with 6G can help support green energy and sustainable system by overcoming the complexity of network flaws. The Internet of Things (IoT) utilizes artificial intelligence (AI) to improve the management of large amounts of data, reduce energy consumption, regulate traffic, and facilitate data storage. The primary difficulty in IoT is creating intelligent agents that can enhance smart packet transmission scheduling for Ultra Reliability Low Latency Connection (URLLC). The best channel to employ for smart packet transmission scheduling in the IoT must have a low estimate Packet Error Rate (PER), as well as minimal packet delays from channel errors, and retransmissions. To improve smart packet transmission scheduling by shortening the interval between the estimated and target action value, we propose a Generative Adversarial Network and Deep Q Network (GAN-DQN). To avoid significant critical fluctuations in the target action value, GAN-DQN training is based on reward correction to evaluate the value of each action for accurate states. The simulation results demonstrate that the proposed GAN-DQN increase IoT system reliability by reducing the packet loss caused by various multiuser arrival at a BS while cutting Transmission Delay (TD) to improve intelligent transmission scheduling and power consumption.</t>
  </si>
  <si>
    <t>[Alhartomi, Mohammed] Univ Tabuk, Dept Elect Engn, Tabuk, Saudi Arabia</t>
  </si>
  <si>
    <t>University of Tabuk</t>
  </si>
  <si>
    <t>Alhartomi, M (corresponding author), Univ Tabuk, Dept Elect Engn, Tabuk, Saudi Arabia.</t>
  </si>
  <si>
    <t>malhartomi@ut.edu.sa</t>
  </si>
  <si>
    <t>Alhartomi, Mohammed A./ITT-3898-2023</t>
  </si>
  <si>
    <t>Alhartomi, Mohammed A./0000-0002-5955-8864</t>
  </si>
  <si>
    <t>Deanship of Scientific Research, University of Tabuk [S-1443-0183]</t>
  </si>
  <si>
    <t>Deanship of Scientific Research, University of Tabuk</t>
  </si>
  <si>
    <t>The author would like to express his gratitude to thank the Deanship of Scientific Research, University of Tabuk, under Grant S-1443-0183.</t>
  </si>
  <si>
    <t>979-8-3503-3286-5</t>
  </si>
  <si>
    <t>10.1109/CCWC57344.2023.10099362</t>
  </si>
  <si>
    <t>BV1QP</t>
  </si>
  <si>
    <t>WOS:000995182600194</t>
  </si>
  <si>
    <t>Petrik, J; Kavas, B; Bambach, M</t>
  </si>
  <si>
    <t>Petrik, Jan; Kavas, Baris; Bambach, Markus</t>
  </si>
  <si>
    <t>MeltPoolGAN: Auxiliary Classifier Generative Adversarial Network for melt pool classification and generation of laser power, scan speed and scan direction in Laser Powder Bed Fusion</t>
  </si>
  <si>
    <t>ADDITIVE MANUFACTURING</t>
  </si>
  <si>
    <t>Laser Powder Bed Fusion; Selective laser melting; Machine learning; Auxiliary Classifier Generative Adversarial; Network</t>
  </si>
  <si>
    <t>A reliable classification architecture for melt pool images is crucial for real-time monitoring and control in additive manufacturing. It enables for the identification of discrepancies between actual and desired process parameters, which could lead to defects in printed part. Moreover, adjusting process parameters according to classification results promotes consistent melt pool geometry and leads to enhanced part quality. In addition to the classification, controlled generation of melt pool images can be employed for data generation, training of classifiers, and offline process parameter optimization along the scan path. This study introduces MeltPoolGAN, a novel machine-learning architecture designed for handling both of these tasks. The architecture is able to classify up to 371 classes consisting of process parameters such as laser power, scan speed and scan direction. This is a significant increase in the total number of classes as well as process parameters compared to state -of-the-art that only classified a maximum of 6 classes, consisting of a single process parameter. With this input, the MeltPoolGAN reaches accuracies of around 97% for power and scan speed class classification, and scan direction estimation errors below 3 degrees making it a reliable solution. Furthermore, the MeltPoolGAN is able to generate plausible melt pool images in controlled and flexible manner based on disentangled input parameters. Finally, since the architecture was trained and tested on two distinct datasets, the publicly available NIST dataset and the in-house created ETH dataset, its robustness and capabilities of being a general-purpose AI model are also demonstrated.</t>
  </si>
  <si>
    <t>[Petrik, Jan; Kavas, Baris; Bambach, Markus] Swiss Fed Inst Technol, Adv Mfg Lab, Zurich, Switzerland</t>
  </si>
  <si>
    <t>Petrik, J (corresponding author), Swiss Fed Inst Technol, Adv Mfg Lab, Zurich, Switzerland.</t>
  </si>
  <si>
    <t>jpetrik@ethz.ch</t>
  </si>
  <si>
    <t>Petrik, Jan/0000-0003-2096-5320</t>
  </si>
  <si>
    <t>Professorship of Advanced Manufacturing Laboratory at the Institute for Virtual Production, ETH Zurich</t>
  </si>
  <si>
    <t>This work was supported by Professorship of Advanced Manufacturing Laboratory at the Institute for Virtual Production, ETH Zurich.</t>
  </si>
  <si>
    <t>2214-8604</t>
  </si>
  <si>
    <t>2214-7810</t>
  </si>
  <si>
    <t>ADDIT MANUF</t>
  </si>
  <si>
    <t>Addit. Manuf.</t>
  </si>
  <si>
    <t>SEP 25</t>
  </si>
  <si>
    <t>10.1016/j.addma.2023.103868</t>
  </si>
  <si>
    <t>FS7F1</t>
  </si>
  <si>
    <t>WOS:001147902800001</t>
  </si>
  <si>
    <t>Rees, GP; Lew, R</t>
  </si>
  <si>
    <t>Rees, Geraint Paul; Lew, Robert</t>
  </si>
  <si>
    <t>The Effectiveness of OpenAI GPT-Generated Definitions Versus Definitions from an English Learners' Dictionary in a Lexically Orientated Reading Task</t>
  </si>
  <si>
    <t>INTERNATIONAL JOURNAL OF LEXICOGRAPHY</t>
  </si>
  <si>
    <t>AI; ChatGPT; GPT; EFL; lexicography; pedagogical lexicography; monolingual learners' dictionaries; reading; reading comprehension; vocabulary testing</t>
  </si>
  <si>
    <t>In metalexicographical research, experts have judged the performance of technologies such as OpenAI Generative Pretrained Transformer (GPT) in lexicographic production tasks as promising yet inferior to human lexicographers. It remains unclear whether this perceived inferiority limits the effectiveness of AI-generated lexicography in resolving practical language doubts. Accordingly, this study compares the effectiveness of AI-generated definitions to those from the Macmillan English Dictionary (MED) in resolving vocabulary doubts in a multiple-choice reading task designed to test lexical knowledge. It involves 43 L2 English users in the third year of an English studies degree at a Spanish university. Students provided with MED definitions performed better on the reading task than those without access to definitions. However, there was no significant difference between the performance of students with either MED definitions or without definitions altogether, and those provided with AI-definitions. The implications of these findings are discussed along with avenues for further research.</t>
  </si>
  <si>
    <t>[Rees, Geraint Paul] Univ Rovira i Virgili, Dept English &amp; German Studies, Tarragona, Spain; [Lew, Robert] Adam Mickiewicz Univ, Poznan, Poland</t>
  </si>
  <si>
    <t>Universitat Rovira i Virgili; Adam Mickiewicz University</t>
  </si>
  <si>
    <t>Rees, GP (corresponding author), Univ Rovira i Virgili, Dept English &amp; German Studies, Tarragona, Spain.</t>
  </si>
  <si>
    <t>geraintpaul.rees@urv.cat</t>
  </si>
  <si>
    <t>Lew, Robert/E-3198-2010</t>
  </si>
  <si>
    <t>Lew, Robert/0000-0002-6772-210X; Rees, Geraint Paul/0000-0002-9204-8073</t>
  </si>
  <si>
    <t>0950-3846</t>
  </si>
  <si>
    <t>1477-4577</t>
  </si>
  <si>
    <t>INT J LEXICOGR</t>
  </si>
  <si>
    <t>Int. J. Lexicogr.</t>
  </si>
  <si>
    <t>2023 DEC 13</t>
  </si>
  <si>
    <t>10.1093/ijl/ecad030</t>
  </si>
  <si>
    <t>Linguistics; Language &amp; Linguistics</t>
  </si>
  <si>
    <t>CN1M1</t>
  </si>
  <si>
    <t>WOS:001125836300001</t>
  </si>
  <si>
    <t>Ziegelmayer, S; Marka, AW; Lenhart, N; Nehls, N; Reischl, S; Harder, F; Sauter, A; Makowski, M; Graf, M; Gawlitza, J</t>
  </si>
  <si>
    <t>Ziegelmayer, Sebastian; Marka, Alexander W.; Lenhart, Nicolas; Nehls, Nadja; Reischl, Stefan; Harder, Felix; Sauter, Andreas; Makowski, Marcus; Graf, Markus; Gawlitza, Joshua</t>
  </si>
  <si>
    <t>Evaluation of GPT-4's Chest X-Ray Impression Generation: A Reader Study on Performance and Perception</t>
  </si>
  <si>
    <t>generative model; GPT; medical imaging; artificial intelligence; imaging; radiology; radiological; radiography; diagnostic; chest; x-ray; x-rays; generative; multimodal; impression; impressions; image; images; AI</t>
  </si>
  <si>
    <t>Exploring the generative capabilities of the multimodal GPT-4, our study uncovered significant differences between radiological assessments and automatic evaluation metrics for chest x-ray impression generation and revealed radiological bias.</t>
  </si>
  <si>
    <t>[Ziegelmayer, Sebastian; Marka, Alexander W.; Lenhart, Nicolas; Nehls, Nadja; Reischl, Stefan; Harder, Felix; Sauter, Andreas; Makowski, Marcus; Graf, Markus; Gawlitza, Joshua] Tech Univ Munich, Sch Med, Dept Diagnost &amp; Intervent Radiol, Ismaninger Str 22, D-81675 Munich, Germany; [Ziegelmayer, Sebastian] Tech Univ Munich, Klinikum Rechts Isar, Ismaninger Str 22, D-81675 Munich, Germany</t>
  </si>
  <si>
    <t>Technical University of Munich; Technical University of Munich</t>
  </si>
  <si>
    <t>Ziegelmayer, S (corresponding author), Tech Univ Munich, Sch Med, Dept Diagnost &amp; Intervent Radiol, Ismaninger Str 22, D-81675 Munich, Germany.;Ziegelmayer, S (corresponding author), Tech Univ Munich, Klinikum Rechts Isar, Ismaninger Str 22, D-81675 Munich, Germany.</t>
  </si>
  <si>
    <t>ga89rog@mytum.de</t>
  </si>
  <si>
    <t>Reischl, Stefan/0000-0001-7341-4296; Graf, Markus/0000-0002-4668-0326; Marka, Alexander Wolfgang/0000-0002-2111-8177</t>
  </si>
  <si>
    <t>e50865</t>
  </si>
  <si>
    <t>10.2196/50865</t>
  </si>
  <si>
    <t>FN4F4</t>
  </si>
  <si>
    <t>Green Published, gold, Green Submitted</t>
  </si>
  <si>
    <t>WOS:001146488800001</t>
  </si>
  <si>
    <t>Sobhanmanesh, F; Beheshti, A; Nouri, N; Chapparo, NM; Raj, S; George, RA</t>
  </si>
  <si>
    <t>Sobhanmanesh, Fariborz; Beheshti, Amin; Nouri, Nicholas; Chapparo, Natalia Monje; Raj, Sandya; George, Richard A. A.</t>
  </si>
  <si>
    <t>A Cognitive Model for Technology Adoption</t>
  </si>
  <si>
    <t>ALGORITHMS</t>
  </si>
  <si>
    <t>technology adoption; generative AI; industrial revolution 4; 0</t>
  </si>
  <si>
    <t>The widespread adoption of advanced technologies, such as Artificial Intelligence (AI), Machine Learning, and Robotics, is rapidly increasing across the globe. This accelerated pace of change is drastically transforming various aspects of our lives and work, resulting in what is now known as Industry 4.0. As businesses integrate these technologies into their daily operations, it significantly impacts their work tasks and required skill sets. However, the approach to technological transformation varies depending on location, industry, and organization. However, there are no published methods that can adequately forecast the adoption of technology and its impact on society. It is essential to prepare for the future impact of Industry 4.0, and this requires policymakers and business leaders to be equipped with scientifically validated models and metrics. Data-driven scenario planning and decision-making can lead to better outcomes in every area of the business, from learning and development to technology investment. However, the current literature falls short in identifying effective and globally applicable strategies to predict the adoption rate of emerging technologies. Therefore, this paper proposes a novel parametric mathematical model for predicting the adoption rate of emerging technologies through a unique data-driven pipeline. This approach utilizes global indicators for countries to predict the technology adoption curves for each country and industry. The model is thoroughly validated, and the paper outlines highly promising evaluation results. The practical implications of this proposed approach are significant because it provides policymakers and business leaders with valuable insights for decision-making and scenario planning.</t>
  </si>
  <si>
    <t>[Sobhanmanesh, Fariborz; Beheshti, Amin; George, Richard A. A.] Macquarie Univ, Sch Comp, Sydney, NSW 2109, Australia; [Nouri, Nicholas; Chapparo, Natalia Monje; Raj, Sandya; George, Richard A. A.] Faethm Pearson, Sydney, NSW 2000, Australia</t>
  </si>
  <si>
    <t>Macquarie University</t>
  </si>
  <si>
    <t>Sobhanmanesh, F; Beheshti, A; George, RA (corresponding author), Macquarie Univ, Sch Comp, Sydney, NSW 2109, Australia.;George, RA (corresponding author), Faethm Pearson, Sydney, NSW 2000, Australia.</t>
  </si>
  <si>
    <t>fariborz.sobhanmanesh@mq.edu.au; amin.beheshti@mq.edu.au; richard.george@pearson.com</t>
  </si>
  <si>
    <t>Beheshti, Amin/0000-0002-5988-5494</t>
  </si>
  <si>
    <t>Centre for Applied Artificial Intelligence at Macquarie University; Faethm by Pearson</t>
  </si>
  <si>
    <t>We acknowledge the Centre for Applied Artificial Intelligence at Macquarie University and Faethm by Pearson for funding this research.</t>
  </si>
  <si>
    <t>1999-4893</t>
  </si>
  <si>
    <t>Algorithms</t>
  </si>
  <si>
    <t>10.3390/a16030155</t>
  </si>
  <si>
    <t>A7VP7</t>
  </si>
  <si>
    <t>WOS:000957162200001</t>
  </si>
  <si>
    <t>Alhasan, K; Al-Tawfiq, J; Aljamaan, F; Jamal, A; Al-Eyadhy, A; Temsah, MH</t>
  </si>
  <si>
    <t>Alhasan, Khalid; Al-Tawfiq, Jaffar; Aljamaan, Fadi; Jamal, Amr; Al-Eyadhy, Ayman; Temsah, Mohamad-Hani</t>
  </si>
  <si>
    <t>Mitigating the Burden of Severe Pediatric Respiratory Viruses in the Post-COVID-19 Era: ChatGPT Insights and Recommendations</t>
  </si>
  <si>
    <t>influenza vaccine; human metapneumovirus (hmpv); ai language model; ai chatbot; pediatric intensive care unit(picu); post-covid sequelae; respiratory syncytial virus (rsv); chatgpt</t>
  </si>
  <si>
    <t>In the current post-pandemic era, the rapid spread of respiratory viruses among children and infants resulted in hospitals and pediatric intensive care units (PICUs) becoming overwhelmed. Healthcare providers around the world faced a significant challenge from the outbreak of respiratory viruses like respiratory syncytial virus (RSV), metapneumovirus, and influenza viruses. The chatbot generative pre-trained transformer, ChatGPT, which was launched by OpenAI in November 2022, had both positive and negative aspects in medical writing. Still, it has the potential to generate mitigation suggestions that could be rapidly implemented. We describe the generated suggestion from ChatGPT on 27 Feb 2023 in response to the question ???What's your advice for the pediatric intensivists???? We as human authors and healthcare providers, do agree with and supplement with references these suggestions of ChatGPT. We also advocate that artificial intelligence (AI)-enabled chatbots could be utilized in seeking a vigilant and robust healthcare system to rapidly adapt to changing respiratory viruses circulating around the seasons, but AI-generated suggestions need experts to validate them, and further research is warranted.</t>
  </si>
  <si>
    <t>[Alhasan, Khalid; Al-Eyadhy, Ayman; Temsah, Mohamad-Hani] King Saud Univ, Dept Pediat, Riyadh, Saudi Arabia; [Alhasan, Khalid] King Faisal Specialist Hosp &amp; Res Ctr, Dept Kidney &amp; Pancreas Transplant, Riyadh, Saudi Arabia; [Al-Tawfiq, Jaffar] Johns Hopkins Aramco Healthcare, Dept Specialty Internal Med &amp; Qual, Dhahran, Saudi Arabia; [Al-Tawfiq, Jaffar] Indiana Univ Sch Med, Dept Med, Indianapolis, IN USA; [Al-Tawfiq, Jaffar] Johns Hopkins Univ, Dept Med, Sch Med, Baltimore, MD USA; [Aljamaan, Fadi] King Saud Univ, Dept Critical Care, Riyadh, Saudi Arabia; [Jamal, Amr] King Saud Univ, Dept Family &amp; Community Med, Riyadh, Saudi Arabia; [Al-Eyadhy, Ayman] King Saud Univ Med City, Dept Pediat, Riyadh, Saudi Arabia</t>
  </si>
  <si>
    <t>King Saud University; King Faisal Specialist Hospital &amp; Research Center; Johns Hopkins Aramco Healthcare; Johns Hopkins University; Johns Hopkins Medicine; Indiana University System; Indiana University Bloomington; Johns Hopkins University; King Saud University; King Saud University; King Saud University</t>
  </si>
  <si>
    <t>Temsah, MH (corresponding author), King Saud Univ, Dept Pediat, Riyadh, Saudi Arabia.</t>
  </si>
  <si>
    <t>temsah1@yahoo.com</t>
  </si>
  <si>
    <t>Temsah, Mohamad-Hani/AAJ-9703-2020; Jamal, Amr A/B-9495-2009</t>
  </si>
  <si>
    <t>Jamal, Amr A/0000-0002-4051-6592</t>
  </si>
  <si>
    <t>MAR 16</t>
  </si>
  <si>
    <t>e36263</t>
  </si>
  <si>
    <t>10.7759/cureus.36263</t>
  </si>
  <si>
    <t>H1SG1</t>
  </si>
  <si>
    <t>WOS:000993824800020</t>
  </si>
  <si>
    <t>Sallam, M; Barakat, M; Sallam, M</t>
  </si>
  <si>
    <t>Sallam, Malik; Barakat, Muna; Sallam, Mohammed</t>
  </si>
  <si>
    <t>Pilot Testing of a Tool to Standardize the Assessment of the Quality of Health Information Generated by Artificial Intelligence-Based Models</t>
  </si>
  <si>
    <t>assessment tool feasibility; health information reliability; ai in healthcare; ai-generated health information; quality of health information</t>
  </si>
  <si>
    <t>LITERACY; CARE</t>
  </si>
  <si>
    <t>BackgroundArtificial intelligence (AI)-based conversational models, such as Chat Generative Pre-trained Transformer (ChatGPT), Microsoft Bing, and Google Bard, have emerged as valuable sources of health information for lay individuals. However, the accuracy of the information provided by these AI models remains a significant concern. This pilot study aimed to test a new tool with key themes for inclusion as follows: Completeness of content, Lack of false information in the content, Evidence supporting the content, Appropriateness of the content, and Relevance, referred to as CLEAR, designed to assess the quality of health information delivered by AI-based models.MethodsTool development involved a literature review on health information quality, followed by the initial establishment of the CLEAR tool, which comprised five items that aimed to assess the following: completeness, lack of false information, evidence support, appropriateness, and relevance. Each item was scored on a five-point Likert scale from excellent to poor. Content validity was checked by expert review. Pilot testing involved 32 healthcare professionals using the CLEAR tool to assess content on eight different health topics deliberately designed with varying qualities. The internal consistency was checked with Cronbach's alpha (alpha). Feedback from the pilot test resulted in language modifications to improve the clarity of the items. The final CLEAR tool was used to assess the quality of health information generated by four distinct AI models on five health topics. The AI models were ChatGPT 3.5, ChatGPT 4, Microsoft Bing, and Google Bard, and the content generated was scored by two independent raters with Cohen's kappa (kappa) for inter-rater agreement.ResultsThe final five CLEAR items were: (1) Is the content sufficient?; (2) Is the content accurate?; (3) Is the content evidence-based?; (4) Is the content clear, concise, and easy to understand?; and (5) Is the content free from irrelevant information? Pilot testing on the eight health topics revealed acceptable internal consistency with a Cronbach's alpha range of 0.669-0.981. The use of the final CLEAR tool yielded the following average scores: Microsoft Bing (mean=24.4 +/- 0.42), ChatGPT-4 (mean=23.6 +/- 0.96), Google Bard (mean=21.2 +/- 1.79), and ChatGPT-3.5 (mean=20.6 +/- 5.20). The inter-rater agreement revealed the following Cohen kappa values: for ChatGPT-3.5 (kappa=0.875, P&lt;.001), ChatGPT-4 (kappa=0.780, P&lt;.001), Microsoft Bing (kappa=0.348, P=.037), and Google Bard (kappa=.749, P&lt;.001).ConclusionsThe CLEAR tool is a brief yet helpful tool that can aid in standardizing testing of the quality of health information generated by AI-based models. Future studies are recommended to validate the utility of the CLEAR tool in the quality assessment of AI-generated health-related content using a larger sample across various complex health topics.</t>
  </si>
  <si>
    <t>[Sallam, Malik] Univ Jordan, Sch Med, Dept Pathol Microbiol &amp; Forens Med, Amman, Jordan; [Sallam, Malik] Jordan Univ Hosp, Dept Clin Labs &amp; Forens Med, Amman, Jordan; [Barakat, Muna] Appl Sci Private Univ, Sch Pharm, Dept Clin Pharm &amp; Therapeut, Amman, Jordan; [Barakat, Muna] Middle East Univ, Dept Res, Amman, Jordan; [Sallam, Mohammed] Mediclin Parkview Hosp, Dept Pharm, Mediclin Middle East, Dubai, U Arab Emirates</t>
  </si>
  <si>
    <t>University of Jordan; University of Jordan; Middle East University</t>
  </si>
  <si>
    <t>Sallam, M (corresponding author), Univ Jordan, Sch Med, Dept Pathol Microbiol &amp; Forens Med, Amman, Jordan.;Sallam, M (corresponding author), Jordan Univ Hosp, Dept Clin Labs &amp; Forens Med, Amman, Jordan.</t>
  </si>
  <si>
    <t>malik.sallam@ju.edu.jo</t>
  </si>
  <si>
    <t>Sallam, Malik/O-5021-2014; Barakat, Muna/AAN-8778-2020; Sallam, Dr. Mohammed/HLW-0512-2023</t>
  </si>
  <si>
    <t>Sallam, Malik/0000-0002-0165-9670; Barakat, Muna/0000-0002-7966-1172; Sallam, Dr. Mohammed/0000-0003-3273-524X</t>
  </si>
  <si>
    <t>NOV 24</t>
  </si>
  <si>
    <t>e49373</t>
  </si>
  <si>
    <t>10.7759/cureus.49373</t>
  </si>
  <si>
    <t>Z9ZI9</t>
  </si>
  <si>
    <t>WOS:001115583900015</t>
  </si>
  <si>
    <t>Athaluri, SA; Manthena, SV; Kesapragada, VSRKM; Yarlagadda, V; Dave, T; Duddumpudi, RTS</t>
  </si>
  <si>
    <t>Athaluri, Sai Anirudh; Manthena, Sandeep Varma; Kesapragada, V. S. R. Krishna Manoj; Yarlagadda, Vineel; Dave, Tirth; Duddumpudi, Rama Tulasi Siri</t>
  </si>
  <si>
    <t>Exploring the Boundaries of Reality: Investigating the Phenomenon of Artificial Intelligence Hallucination in Scientific Writing Through ChatGPT References</t>
  </si>
  <si>
    <t>ai hallucination; gpt-3; natural language processing; artificial intelligence; chatgpt</t>
  </si>
  <si>
    <t>BackgroundChatbots are computer programs that use artificial intelligence (AI) and natural language processing (NLP) to simulate conversations with humans. One such chatbot is ChatGPT, which uses the third-generation generative pre-trained transformer (GPT-3) developed by OpenAI. ChatGPT has been praised for its ability to generate text, but concerns have been raised about its accuracy and precision in generating data, as well as legal issues related to references. This study aims to investigate the frequency of AI hallucination in research proposals entirely drafted by ChatGPT. MethodologyAn analytical design was employed to investigate AI hallucination by ChatGPT. A total of 178 references listed by ChatGPT were verified for inclusion in the study. Statistical analysis was performed by five researchers who entered their data into a Google Form, and the final results were represented using pie charts and tables.ResultsOut of the 178 references analyzed, 69 references did not have a Digital Object Identifier (DOI), and 28 references neither turned up on Google search nor had an existing DOI. Three references were listed from books and not research articles. These observations suggest that ChatGPT's ability to generate reliable references for research topics may be limited by the availability of DOI and the accessibility of online articles.ConclusionsThe study highlights the potential limitations of ChatGPT's ability to generate reliable references for research proposals. AI hallucination is a problem that may negatively impact decision-making and may give rise to ethical and legal problems. Improving the training inputs by including diverse, accurate, and contextually relevant data sets along with frequent updates to the training models could potentially help address these issues. However, until these issues are addressed, researchers using ChatGPT should exercise caution in relying solely on the references generated by the AI chatbot.</t>
  </si>
  <si>
    <t>[Athaluri, Sai Anirudh; Manthena, Sandeep Varma; Kesapragada, V. S. R. Krishna Manoj; Yarlagadda, Vineel; Duddumpudi, Rama Tulasi Siri] Rangaraya Med Coll, Med, Kakinada, India; [Dave, Tirth] Bukovinian State Med Univ, Internal Med, Chernovtsy, Ukraine</t>
  </si>
  <si>
    <t>Bukovinian State Medical University</t>
  </si>
  <si>
    <t>Dave, T (corresponding author), Bukovinian State Med Univ, Internal Med, Chernovtsy, Ukraine.</t>
  </si>
  <si>
    <t>tirth.snehal.dave@gmail.com</t>
  </si>
  <si>
    <t>Dave, Tirth/HCI-4105-2022</t>
  </si>
  <si>
    <t>Dave, Tirth/0000-0001-7935-7333</t>
  </si>
  <si>
    <t>APR 11</t>
  </si>
  <si>
    <t>10.7759/cureus.37432</t>
  </si>
  <si>
    <t>F2MY5</t>
  </si>
  <si>
    <t>WOS:000980749900035</t>
  </si>
  <si>
    <t>Zagirova, D; Pushkov, S; Leung, GHD; Liu, BHM; Urban, A; Sidorenko, D; Kalashnikov, A; Kozlova, E; Naumov, V; Pun, FW; Ozerov, IV; Aliper, A; Zhavoronkov, A</t>
  </si>
  <si>
    <t>Zagirova, Diana; Pushkov, Stefan; Leung, Geoffrey Ho Duen; Liu, Bonnie Hei Man; Urban, Anatoly; Sidorenko, Denis; Kalashnikov, Aleksandr; Kozlova, Ekaterina; Naumov, Vladimir; Pun, Frank W.; Ozerov, Ivan V.; Aliper, Alex; Zhavoronkov, Alex</t>
  </si>
  <si>
    <t>Biomedical generative pre-trained based transformer language model for age-related disease target discovery</t>
  </si>
  <si>
    <t>AGING-US</t>
  </si>
  <si>
    <t>transformers; deep learning; therapeutic target discovery; aging biomarkers; human aging</t>
  </si>
  <si>
    <t>PARATHYROID-HORMONE LEVELS; ARTIFICIAL-INTELLIGENCE; CENICRIVIROC; EXPRESSION; DATABASE</t>
  </si>
  <si>
    <t>Target discovery is crucial for the development of innovative therapeutics and diagnostics. However, current approaches often face limitations in efficiency, specificity, and scalability, necessitating the exploration of novel strategies for identifying and validating disease-relevant targets. Advances in natural language processing have provided new avenues for predicting potential therapeutic targets for various diseases. Here, we present a novel approach for predicting therapeutic targets using a large language model (LLM). We trained a domain-specific BioGPT model on a large corpus of biomedical literature consisting of grant text and developed a pipeline for generating target prediction. Our study demonstrates that pre-training of the LLM model with task-specific texts improves its performance. Applying the developed pipeline, we retrieved prospective aging and age-related disease targets and showed that these proteins are in correspondence with the database data. Moreover, we propose CCR5 and PTH as potential novel dual-purpose anti-aging and disease targets which were not previously identified as age-related but were highly ranked in our approach. Overall, our work highlights the high potential of transformer models in novel target prediction and provides a roadmap for future integration of AI approaches for addressing the intricate challenges presented in the biomedical field.</t>
  </si>
  <si>
    <t>[Zagirova, Diana; Pushkov, Stefan; Leung, Geoffrey Ho Duen; Liu, Bonnie Hei Man; Urban, Anatoly; Sidorenko, Denis; Kozlova, Ekaterina; Naumov, Vladimir; Pun, Frank W.; Ozerov, Ivan V.; Aliper, Alex; Zhavoronkov, Alex] Insilico Med Hong Kong Ltd, Hong Kong Sci &amp; Technol Pk, Hong Kong, Peoples R China; [Kalashnikov, Aleksandr; Aliper, Alex; Zhavoronkov, Alex] Insilico Med AI Ltd, Level 6,Unit 08,Block A,IRENA HQ Bldg, Abu Dhabi, U Arab Emirates</t>
  </si>
  <si>
    <t>Zhavoronkov, A (corresponding author), Insilico Med Hong Kong Ltd, Hong Kong Sci &amp; Technol Pk, Hong Kong, Peoples R China.;Zhavoronkov, A (corresponding author), Insilico Med AI Ltd, Level 6,Unit 08,Block A,IRENA HQ Bldg, Abu Dhabi, U Arab Emirates.</t>
  </si>
  <si>
    <t>IMPACT JOURNALS LLC</t>
  </si>
  <si>
    <t>ORCHARD PARK</t>
  </si>
  <si>
    <t>6666 E QUAKER ST, STE 1, ORCHARD PARK, NY 14127 USA</t>
  </si>
  <si>
    <t>1945-4589</t>
  </si>
  <si>
    <t>Aging-US</t>
  </si>
  <si>
    <t>SEP 30</t>
  </si>
  <si>
    <t>Cell Biology; Geriatrics &amp; Gerontology</t>
  </si>
  <si>
    <t>U2TQ6</t>
  </si>
  <si>
    <t>WOS:001083382600007</t>
  </si>
  <si>
    <t>Ayoub, NF; Lee, YJ; Grimm, D; Divi, V</t>
  </si>
  <si>
    <t>Ayoub, Noel F.; Lee, Yu-Jin; Grimm, David; Divi, Vasu</t>
  </si>
  <si>
    <t>Head-to-Head Comparison of ChatGPT Versus Google Search for Medical Knowledge Acquisition</t>
  </si>
  <si>
    <t>artificial intelligence; ChatGPT; generative artificial intelligence; health literacy; large language models; online search engines; patient education</t>
  </si>
  <si>
    <t>ObjectiveChat Generative Pretrained Transformer (ChatGPT) is the newest iteration of OpenAI's generative artificial intelligence (AI) with the potential to influence many facets of life, including health care. This study sought to assess ChatGPT's capabilities as a source of medical knowledge, using Google Search as a comparison. Study DesignCross-sectional analysis. SettingOnline using ChatGPT, Google Seach, and Clinical Practice Guidelines (CPG). MethodsCPG Plain Language Summaries for 6 conditions were obtained. Questions relevant to specific conditions were developed and input into ChatGPT and Google Search. All questions were written from the patient perspective and sought (1) general medical knowledge or (2) medical recommendations, with varying levels of acuity (urgent or emergent vs routine clinical scenarios). Two blinded reviewers scored all passages and compared results from ChatGPT and Google Search, using the Patient Education Material Assessment Tool (PEMAT-P) as the primary outcome. Additional customized questions were developed that assessed the medical content of the passages. ResultsThe overall average PEMAT-P score for medical advice was 68.2% (standard deviation [SD]: 4.4) for ChatGPT and 89.4% (SD: 5.9) for Google Search (p &lt; .001). There was a statistically significant difference in the PEMAT-P score by source (p &lt; .001) but not by urgency of the clinical situation (p = .613). ChatGPT scored significantly higher than Google Search (87% vs 78%, p = .012) for patient education questions. ConclusionChatGPT fared better than Google Search when offering general medical knowledge, but it scored worse when providing medical recommendations. Health care providers should strive to understand the potential benefits and ramifications of generative AI to guide patients appropriately.</t>
  </si>
  <si>
    <t>[Ayoub, Noel F.; Lee, Yu-Jin; Grimm, David; Divi, Vasu] Stanford Univ, Sch Med, Dept Otolaryngol Head &amp; Neck Surg, Div Head &amp; Neck Surg, Stanford, CA USA; [Ayoub, Noel F.] Stanford Univ, Sch Med, Dept Otolaryngol Head &amp; Neck Surg, Div Head &amp; Neck Surg, 801 Welch Rd, Stanford, CA 94305 USA</t>
  </si>
  <si>
    <t>Ayoub, NF (corresponding author), Stanford Univ, Sch Med, Dept Otolaryngol Head &amp; Neck Surg, Div Head &amp; Neck Surg, 801 Welch Rd, Stanford, CA 94305 USA.</t>
  </si>
  <si>
    <t>nfa@stanford.edu</t>
  </si>
  <si>
    <t>Ayoub, Noel/0000-0003-1867-994X</t>
  </si>
  <si>
    <t>2023 AUG 2</t>
  </si>
  <si>
    <t>10.1002/ohn.465</t>
  </si>
  <si>
    <t>O0PW7</t>
  </si>
  <si>
    <t>WOS:001040937600001</t>
  </si>
  <si>
    <t>Prompt Engineering as an Important Emerging Skill for Medical Professionals: Tutorial</t>
  </si>
  <si>
    <t>artificial intelligence; AI; digital health; future; technology; ChatGPT; GPT-4; large language models; language model; LLM; prompt; prompts; prompt engineering; AI tool; engineering; healthcare professional; decision-making; LLMs; chatbot; chatbots; conversational agent; conversational agents; NLP; natural language processing</t>
  </si>
  <si>
    <t>Prompt engineering is a relatively new field of research that refers to the practice of designing, refining, and implementing prompts or instructions that guide the output of large language models (LLMs) to help in various tasks. With the emergence of LLMs, the most popular one being ChatGPT that has attracted the attention of over a 100 million users in only 2 months, artificial intelligence (AI), especially generative AI, has become accessible for the masses. This is an unprecedented paradigm shift not only because of the use of AI becoming more widespread but also due to the possible implications of LLMs in health care. As more patients and medical professionals use AI-based tools, LLMs being the most popular representatives of that group, it seems inevitable to address the challenge to improve this skill. This paper summarizes the current state of research about prompt engineering and, at the same time, aims at providing practical recommendations for the wide range of health care professionals to improve their interactions with LLMs.</t>
  </si>
  <si>
    <t>[Mesko, Bertalan] Med Futurist Inst, Povl Bang Jensen U 2-B1 4-1, H-1118 Budapest, Hungary</t>
  </si>
  <si>
    <t>Meskó, B (corresponding author), Med Futurist Inst, Povl Bang Jensen U 2-B1 4-1, H-1118 Budapest, Hungary.</t>
  </si>
  <si>
    <t>OCT 4</t>
  </si>
  <si>
    <t>e50638</t>
  </si>
  <si>
    <t>10.2196/50638</t>
  </si>
  <si>
    <t>U6KS7</t>
  </si>
  <si>
    <t>WOS:001085878900001</t>
  </si>
  <si>
    <t>Angelis, GF; Chorozoglou, D; Papadopoulos, S; Drosou, A; Giakoumis, D; Tzovaras, D</t>
  </si>
  <si>
    <t>Angelis, Georgios-Fotios; Chorozoglou, Dimitrios; Papadopoulos, Stavros; Drosou, Anastasios; Giakoumis, Dimitrios; Tzovaras, Dimitrios</t>
  </si>
  <si>
    <t>AI-enabled Underground Water Pipe non -destructive Inspection</t>
  </si>
  <si>
    <t>Pipe; Detection; Degradation; YOLOv5; GANs; cGAN</t>
  </si>
  <si>
    <t>DEEP CONVOLUTIONAL NETWORKS; LOCALIZATION; ALGORITHM</t>
  </si>
  <si>
    <t>A study conducted by the World Bank indicated that the global annual economic losses from the water leakage are estimated at US$ 14.6 billion. For this reason, locating and repairing water leaks as well as the maintenance of water pipelines is extremely important for the optimization and rationalization of water resources. The basic technique for inspecting water delivery infrastructure is the water audit but this technique does not provide any information about the location of the water leakage. This paper focuses on this gap, aiming to provide information not only for the location of the water leakage but also for the level of water pipe material degradation due to its corrosion before the leakage presents. Here, the identification of the extent and severity of the evolving defect of water pipes is performed through deep learning models using simulated and real Ground Penetrating Radar (GPR) data. Synthetic GPR images are generated, with underground water pipes that either present leakage or no in various steps of their corrosion, using gprMax software. Especially, this addresses as a solution YOLOv5 algorithm for the automatic detection of water pipes and leaks in the underground space and a conditional Generative Adversarial Network (cGAN) for the investigation of water pipe material degradation. The results reveal that the YOLOv5 algorithm distinguishes the regions of pipes in GPR data and classified correctly the pipes which present leakage or no, and they are better than the corresponding results of other literature baseline methods. In addition, as shown through extensive simulations on generated GPR data the proposed cGAN produces high quality results that contribute to revelation of the extent and severity of the evolving defect of pipeline due to its corrosion.</t>
  </si>
  <si>
    <t>[Angelis, Georgios-Fotios; Chorozoglou, Dimitrios; Papadopoulos, Stavros; Drosou, Anastasios; Giakoumis, Dimitrios; Tzovaras, Dimitrios] Ctr Res &amp; Technol Hellas, Informat Technol Inst, 6th km Charilaou Thermi Rd, Thessaloniki 57001, Greece</t>
  </si>
  <si>
    <t>Angelis, GF; Chorozoglou, D (corresponding author), Ctr Res &amp; Technol Hellas, Informat Technol Inst, 6th km Charilaou Thermi Rd, Thessaloniki 57001, Greece.</t>
  </si>
  <si>
    <t>angelisg@iti.gr; dimitrischorozo@pragma-iot.com; spap@iti.gr; drosou@iti.gr; dgiakoum@iti.gr; Dimitrios.Tzovaras@iti.gr</t>
  </si>
  <si>
    <t>TERRAPIN project from European Union's Horizon 2020 research and innovation programme [824990]; PALIMPSISTO project from European Regional Development Fund of the European Union; Greek national funds through the Operational Program Competitiveness, Entrepreneurship and Innovation B' phase, under the call RESEARCH-CREATE-INNOVATE [T2EDK-01894]; H2020 Societal Challenges Programme [824990] Funding Source: H2020 Societal Challenges Programme</t>
  </si>
  <si>
    <t>TERRAPIN project from European Union's Horizon 2020 research and innovation programme; PALIMPSISTO project from European Regional Development Fund of the European Union; Greek national funds through the Operational Program Competitiveness, Entrepreneurship and Innovation B' phase, under the call RESEARCH-CREATE-INNOVATE; H2020 Societal Challenges Programme(Horizon 2020European Union (EU)H2020 Societal Challenges Programme)</t>
  </si>
  <si>
    <t>This work was supported by the TERRAPIN project that it has received funding from the European Union's Horizon 2020 research and innovation programme under grant agreement No 824990 and by the PALIMPSISTO project co-financed from the European Regional Development Fund of the European Union and Greek national funds through the Operational Program Competitiveness, Entrepreneurship and Innovation B' phase, under the call RESEARCH-CREATE-INNOVATE (project code:T2EDK-01894).</t>
  </si>
  <si>
    <t>2023 JUL 13</t>
  </si>
  <si>
    <t>10.1007/s11042-023-15797-w</t>
  </si>
  <si>
    <t>M0YP8</t>
  </si>
  <si>
    <t>WOS:001027492600005</t>
  </si>
  <si>
    <t>Liu, JL; Liu, F; Fang, JB; Liu, SR</t>
  </si>
  <si>
    <t>Liu, Jialin; Liu, Fan; Fang, Jinbo; Liu, Siru</t>
  </si>
  <si>
    <t>The application of Chat Generative Pre-trained Transformer in nursing education</t>
  </si>
  <si>
    <t>NURSING OUTLOOK</t>
  </si>
  <si>
    <t>Artificial intelligence; ChatGPT; Large language model; Education; Nursing</t>
  </si>
  <si>
    <t>PERCEPTIONS</t>
  </si>
  <si>
    <t>Background: Nursing education is critical for nurses to deliver quality health care. Incorporating AI into education can enhance the learning process and better equip nurses for their health care roles.Purpose: This article explores the potential applications and challenges of ChatGPT in nursing education.Methods: A comprehensive literature review was conducted to explore the potential benefits and challenges of using ChatGPT in nursing education.Discussion: ChatGPT, an advanced large language model, has the potential to make valuable contributions to nursing education in various ways, including personalized learning, simulation scenarios, immediate feedback, and reducing educator workload. However, it is important to address the various challenges and limitations in order to realize its full potential.Conclusion: Nursing educators must carefully consider the potential uses, benefits, challenges, drawbacks, and limitations of ChatGPT to make informed decisions about its integration into nursing education.(c) 2023 Elsevier Inc. All rights reserved.</t>
  </si>
  <si>
    <t>[Liu, Jialin] West China Med Sch, Dept Med Informat, Chengdu, Peoples R China; [Liu, Jialin] Sichuan Univ, West China Hosp, Dept Otolaryngol Head &amp; Neck Surg, Chengdu, Sichuan, Peoples R China; [Liu, Fan] Sichuan Univ, West China Hosp Stomatol, Dept Nursing, Chengdu, Sichuan, Peoples R China; [Fang, Jinbo] Sichuan Univ, West China Hosp, West China Sch Nursing, Dept Nursing, Chengdu 610041, Sichuan, Peoples R China; [Liu, Siru] Vanderbilt Univ, Med Ctr, Dept Biomed Informat, Nashville, TN USA; [Liu, Jialin] West China Hosp, West China Med Sch, Dept Med Informat, 37 Guoxue Rd, Chengdu 610041, Sichuan, Peoples R China</t>
  </si>
  <si>
    <t>Sichuan University; Sichuan University; Sichuan University; Vanderbilt University; Sichuan University</t>
  </si>
  <si>
    <t>Liu, JL (corresponding author), West China Hosp, West China Med Sch, Dept Med Informat, 37 Guoxue Rd, Chengdu 610041, Sichuan, Peoples R China.</t>
  </si>
  <si>
    <t>DLJL8@163.com</t>
  </si>
  <si>
    <t>li, tong/JYO-7530-2024; YANG, DAN/KCL-5217-2024; Yang, YiChen/KEI-0140-2024; Wang, Fei/KEH-6292-2024; zhang, zhang/KBQ-9978-2024; LIU, JIALIN/JXN-8034-2024; Zhang, Yulin/KEI-1610-2024; Li, Zexi/KFA-6939-2024</t>
  </si>
  <si>
    <t>Liu, Siru/0000-0002-5003-5354</t>
  </si>
  <si>
    <t>0029-6554</t>
  </si>
  <si>
    <t>1528-3968</t>
  </si>
  <si>
    <t>NURS OUTLOOK</t>
  </si>
  <si>
    <t>Nurs. Outlook</t>
  </si>
  <si>
    <t>10.1016/j.outlook.2023.102064</t>
  </si>
  <si>
    <t>Y2EG1</t>
  </si>
  <si>
    <t>WOS:001103444700001</t>
  </si>
  <si>
    <t>Moshirfar, M; Altaf, AW; Stoakes, IM; Tuttle, JJ; Hoopes, PC</t>
  </si>
  <si>
    <t>Moshirfar, Majid; Altaf, Amal W.; Stoakes, Isabella M.; Tuttle, Jared J.; Hoopes, Phillip C.</t>
  </si>
  <si>
    <t>Artificial Intelligence in Ophthalmology: A Comparative Analysis of GPT-3.5, GPT-4, and Human Expertise in Answering StatPearls Questions</t>
  </si>
  <si>
    <t>cornea; chatgpt-4; chatgpt-3; 5; conversational generative pre-trained transformer; chatbot; ophthalmology; clinical decision-making; conversational ai; statpearls; artificial intelligence</t>
  </si>
  <si>
    <t>ImportanceChat Generative Pre-Trained Transformer (ChatGPT) has shown promising performance in various fields, including medicine, business, and law, but its accuracy in specialty-specific medical questions, particularly in ophthalmology, is still uncertain.PurposeThis study evaluates the performance of two ChatGPT models (GPT-3.5 and GPT-4) and human professionals in answering ophthalmology questions from the StatPearls question bank, assessing their outcomes, and providing insights into the integration of artificial intelligence (AI) technology in ophthalmology.MethodsChatGPT's performance was evaluated using 467 ophthalmology questions from the StatPearls question bank. These questions were stratified into 11 subcategories, four difficulty levels, and three generalized anatomical categories. The answer accuracy of GPT-3.5, GPT-4, and human participants was assessed. Statistical analysis was conducted via the Kolmogorov-Smirnov test for normality, one-way analysis of variance (ANOVA) for the statistical significance of GPT-3 versus GPT-4 versus human performance, and repeated unpaired two-sample t-tests to compare the means of two groups. ResultsGPT-4 outperformed both GPT-3.5 and human professionals on ophthalmology StatPearls questions, except in the Lens and Cataract category. The performance differences were statistically significant overall, with GPT-4 achieving higher accuracy (73.2%) compared to GPT-3.5 (55.5%, p-value &lt; 0.001) and humans (58.3%, p-value &lt; 0.001). There were variations in performance across difficulty levels (rated one to four), but GPT-4 consistently performed better than both GPT-3.5 and humans on level-two,-three, and-four questions. On questions of level-four difficulty, human performance significantly exceeded that of GPT-3.5 (p = 0.008).ConclusionThe study's findings demonstrate GPT-4's significant performance improvements over GPT-3.5 and human professionals on StatPearls ophthalmology questions. Our results highlight the potential of advanced conversational AI systems to be utilized as important tools in the education and practice of medicine.</t>
  </si>
  <si>
    <t>[Moshirfar, Majid] Hoopes Vis Res Ctr, Corneal &amp; Refract Surg, Draper, UT 84020 USA; [Moshirfar, Majid] Univ Utah, Ophthalmol, Salt Lake City, UT 84112 USA; [Moshirfar, Majid] Utah Lions Eye Bank, Eye Banking &amp; Corneal Transplantat, Murray, UT 84107 USA; [Altaf, Amal W.] Univ Arizona, Coll Med Phoenix, Med Sch, Phoenix, AZ 85721 USA; [Stoakes, Isabella M.] Pacific Northwest Univ Hlth Sci, Med Sch, Yakima, WA USA; [Stoakes, Isabella M.; Hoopes, Phillip C.] Hoopes Vis Res Ctr, Ophthalmol, Draper, UT 84020 USA; [Tuttle, Jared J.] Univ Texas Hlth Sci Ctr San Antonio, Med Sch, San Antonio, TX 78229 USA</t>
  </si>
  <si>
    <t>Utah System of Higher Education; University of Utah; University of Arizona; University of Texas System; University of Texas Health Science Center at San Antonio</t>
  </si>
  <si>
    <t>Moshirfar, M (corresponding author), Hoopes Vis Res Ctr, Corneal &amp; Refract Surg, Draper, UT 84020 USA.;Moshirfar, M (corresponding author), Univ Utah, Ophthalmol, Salt Lake City, UT 84112 USA.;Moshirfar, M (corresponding author), Utah Lions Eye Bank, Eye Banking &amp; Corneal Transplantat, Murray, UT 84107 USA.</t>
  </si>
  <si>
    <t>cornea2020@me.com</t>
  </si>
  <si>
    <t>e40822</t>
  </si>
  <si>
    <t>10.7759/cureus.40822</t>
  </si>
  <si>
    <t>N1HB3</t>
  </si>
  <si>
    <t>WOS:001034596500007</t>
  </si>
  <si>
    <t>Seddik, A; Salah, M; Behery, G; El-harby, A; Ebada, AI; Teng, SK; Nam, Y; Abouhawwash, M</t>
  </si>
  <si>
    <t>Seddik, Al-Hussien; Salah, Mohammed; Behery, Gamal; El-harby, Ahmed; Ebada, Ahmed Ismail; Teng, Sokea; Nam, Yunyoung; Abouhawwash, Mohamed</t>
  </si>
  <si>
    <t>A New Generative Mathematical Model for Coverless Steganography System Based on Image Generation</t>
  </si>
  <si>
    <t>CMC-COMPUTERS MATERIALS &amp; CONTINUA</t>
  </si>
  <si>
    <t>Coverless steganography; data hiding; information security; QR code; maze game</t>
  </si>
  <si>
    <t>ALGORITHM</t>
  </si>
  <si>
    <t>The ability of any steganography system to correctly retrieve the secret message is the primary criterion for measuring its efficiency. Recently, researchers have tried to generate a new natural image driven from only the secret message bits rather than using a cover to embed the secret message within it; this is called the stego image. This paper proposes a new secured cov-erless steganography system using a generative mathematical model based on semi Quick Response (QR) code and maze game image generation. This sys-tem consists of two components. The first component contains two processes, encryption process, and hiding process. The encryption process encrypts secret message bits in the form of a semi-QR code image whereas the hiding process conceals the pregenerated semi-QR code in the generated maze game image. On the other hand, the second component contains two processes, extraction and decryption, which are responsible for extracting the semi-QR code from the maze game image and then retrieving the original secret message from the extracted semi-QR code image, respectively. The results were obtained using the bit error rate (BER) metric. These results confirmed that the system achieved high hiding capacity, good performance, and a high level of robustness against attackers compared with other coverless steganography methods.</t>
  </si>
  <si>
    <t>[Seddik, Al-Hussien] Minia Univ, Fac Sci, Dept Comp Sci, Al Minya, Egypt; [Salah, Mohammed; Behery, Gamal; El-harby, Ahmed; Ebada, Ahmed Ismail] Damietta Univ, Fac Comp &amp; Artificial Intelligence, Dept Comp Sci, New Damietta, Egypt; [Teng, Sokea; Nam, Yunyoung] Soonchunhyang Univ, Dept ICT Convergence, Asan 31538, South Korea; [Abouhawwash, Mohamed] Mansoura Univ, Fac Sci, Dept Math, Mansoura 35516, Egypt; [Abouhawwash, Mohamed] Michigan State Univ, Dept Computat Math Sci &amp; Engn CMSE, E Lansing, MI 48824 USA</t>
  </si>
  <si>
    <t>Egyptian Knowledge Bank (EKB); Minia University; Egyptian Knowledge Bank (EKB); Damietta University; Soonchunhyang University; Egyptian Knowledge Bank (EKB); Mansoura University; Michigan State University</t>
  </si>
  <si>
    <t>Nam, Y (corresponding author), Soonchunhyang Univ, Dept ICT Convergence, Asan 31538, South Korea.</t>
  </si>
  <si>
    <t>ynam@sch.ac.kr</t>
  </si>
  <si>
    <t>Ebada, Ahmed Ismail/AAY-6579-2020; Abouhawwash, Mohamed/O-7122-2018</t>
  </si>
  <si>
    <t>Ebada, Ahmed Ismail/0000-0002-4478-5853;</t>
  </si>
  <si>
    <t>Korea Technology and Information Promotion Agency - Korea government (Ministry of SMEs); National Research Foundation of Korea (NRF) - korea government (MSIT) [S3271954]; Korea Technology and Information Promotion Agency (TIPA) - Korea government (Ministry of SMEs and Startups) [S3271954]; National Research Foundation of Korea (NRF) - korea government (MSIT) [2022H1D8A3038040]; Soonchunhyang University Research Fund</t>
  </si>
  <si>
    <t>Korea Technology and Information Promotion Agency - Korea government (Ministry of SMEs); National Research Foundation of Korea (NRF) - korea government (MSIT)(National Research Foundation of KoreaMinistry of Science, ICT &amp; Future Planning, Republic of KoreaMinistry of Science &amp; ICT (MSIT), Republic of Korea); Korea Technology and Information Promotion Agency (TIPA) - Korea government (Ministry of SMEs and Startups); National Research Foundation of Korea (NRF) - korea government (MSIT)(National Research Foundation of KoreaMinistry of Science, ICT &amp; Future Planning, Republic of KoreaMinistry of Science &amp; ICT (MSIT), Republic of Korea); Soonchunhyang University Research Fund</t>
  </si>
  <si>
    <t>This work was supported by the Korea Technology and Information Promotion Agency (TIPA) for SMEs grant funded by the Korea government (Ministry of SMEs and Startups) (No.S3271954) , and the National Research Foundation of Korea (NRF) grant funded by the korea government (MSIT) (No. 2022H1D8A3038040) , and the Soonchunhyang University Research Fund.</t>
  </si>
  <si>
    <t>1546-2218</t>
  </si>
  <si>
    <t>1546-2226</t>
  </si>
  <si>
    <t>CMC-COMPUT MATER CON</t>
  </si>
  <si>
    <t>CMC-Comput. Mat. Contin.</t>
  </si>
  <si>
    <t>10.32604/cmc.2023.035364</t>
  </si>
  <si>
    <t>Computer Science, Information Systems; Materials Science, Multidisciplinary</t>
  </si>
  <si>
    <t>Computer Science; Materials Science</t>
  </si>
  <si>
    <t>9Y7IT</t>
  </si>
  <si>
    <t>WOS:000950629100009</t>
  </si>
  <si>
    <t>Kang, M; Shin, J; Park, J</t>
  </si>
  <si>
    <t>Kang, Minguk; Shin, Joonghyuk; Park, Jaesik</t>
  </si>
  <si>
    <t>StudioGAN: A Taxonomy and Benchmark of GANs for Image Synthesis</t>
  </si>
  <si>
    <t>Benchmark of generative models; realistic image synthesis; taxonomy of generative adversarial networks</t>
  </si>
  <si>
    <t>Generative Adversarial Network (GAN) is one of the state-of-the-art generative models for realistic image synthesis. While training and evaluating GAN becomes increasingly important, the current GAN research ecosystem does not provide reliable benchmarks for which the evaluation is conducted consistently and fairly. Furthermore, because there are few validated GAN implementations, researchers devote considerable time to reproducing baselines. We study the taxonomy of GAN approaches and present a new open-source library named StudioGAN. StudioGAN supports 7 GAN architectures, 9 conditioning methods, 4 adversarial losses, 12 regularization modules, 3 differentiable augmentations, 7 evaluation metrics, and 5 evaluation backbones. With our training and evaluation protocol, we present a large-scale benchmark using various datasets (CIFAR10, ImageNet, AFHQv2, FFHQ, and Baby/Papa/Granpa-ImageNet) and 3 different evaluation backbones (InceptionV3, SwAV, and Swin Transformer). Unlike other benchmarks used in the GAN community, we train representative GANs, including BigGAN and StyleGAN series in a unified training pipeline and quantify generation performance with 7 evaluation metrics. The benchmark evaluates other cutting-edge generative models (e.g., StyleGAN-XL, ADM, MaskGIT, and RQ-Transformer). StudioGAN provides GAN implementations, training, and evaluation scripts with the pre-trained weights. StudioGAN is available at https://github.com/POSTECH-CVLab/PyTorch-StudioGAN.</t>
  </si>
  <si>
    <t>[Kang, Minguk] POSTECH, Pohang 37673, South Korea; [Shin, Joonghyuk; Park, Jaesik] Seoul Natl Univ, Seoul 08826, South Korea</t>
  </si>
  <si>
    <t>Pohang University of Science &amp; Technology (POSTECH); Seoul National University (SNU)</t>
  </si>
  <si>
    <t>Park, J (corresponding author), Seoul Natl Univ, Seoul 08826, South Korea.</t>
  </si>
  <si>
    <t>mgkang@postech.ac.kr; joonghyuk@snu.ac.kr; jaesik.park@snu.ac.kr</t>
  </si>
  <si>
    <t>Shin, Joonghyuk/0000-0003-3780-3897; Kang, Minguk/0000-0002-6618-5971; PARK, JAESIK/0000-0001-5541-409X</t>
  </si>
  <si>
    <t>IITP - Korean government (MSIT) [2019-0-01906, 2021-0-00537, 2022-0-00290]</t>
  </si>
  <si>
    <t>IITP - Korean government (MSIT)(Institute for Information &amp; Communication Technology Planning &amp; Evaluation (IITP), Republic of KoreaMinistry of Science &amp; ICT (MSIT), Republic of Korea)</t>
  </si>
  <si>
    <t>This work was supported by IITP grants 2019-0-01906 (POSTECH AI Graduate School Program), 2021-0-00537 (Image Restoration), and 2022-0-00290 (Visual Intelligence) funded by the Korean government (MSIT).</t>
  </si>
  <si>
    <t>10.1109/TPAMI.2023.3306436</t>
  </si>
  <si>
    <t>WOS:001104973300104</t>
  </si>
  <si>
    <t>Chui, KT; Gupta, BB; Jhaveri, RH; Chi, HR; Arya, V; Almomani, A; Nauman, A</t>
  </si>
  <si>
    <t>Chui, Kwok Tai; Gupta, Brij B.; Jhaveri, Rutvij H.; Chi, Hao Ran; Arya, Varsha; Almomani, Ammar; Nauman, Ali</t>
  </si>
  <si>
    <t>Multiround Transfer Learning and Modified Generative Adversarial Network for Lung Cancer Detection</t>
  </si>
  <si>
    <t>INTERNATIONAL JOURNAL OF INTELLIGENT SYSTEMS</t>
  </si>
  <si>
    <t>Lung cancer has been the leading cause of cancer death for many decades. With the advent of artificial intelligence, various machine learning models have been proposed for lung cancer detection (LCD). Typically, challenges in building an accurate LCD model are the small-scale datasets, the poor generalizability to detect unseen data, and the selection of useful source domains and prioritization of multiple source domains for transfer learning. In this paper, a multiround transfer learning and modified generative adversarial network (MTL-MGAN) algorithm is proposed for LCD. The MTL transfers the knowledge between the prioritized source domains and target domain to get rid of exhaust search of datasets prioritization among multiple datasets, maximizing the transferability with a multiround transfer learning process, and avoiding negative transfer via customization of loss functions in the aspects of domain, instance, and feature. In regard to the MGAN, it not only generates additional training data but also creates intermediate domains to bridge the gap between the source domains and target domains. 10 benchmark datasets are chosen for the performance evaluation and analysis of the MTL-MGAN. The proposed algorithm has significantly improved the accuracy compared with related works. To examine the contributions of the individual components of the MTL-MGAN, ablation studies are conducted to confirm the effectiveness of the prioritization algorithm, the MTL, the negative transfer avoidance via loss functions, and the MGAN. The research implications are to confirm the feasibility of multiround transfer learning to enhance the optimal solution of the target model and to provide a generic approach to bridge the gap between the source domain and target domain using MGAN.</t>
  </si>
  <si>
    <t>[Chui, Kwok Tai] Hong Kong Metropolitan Univ, Sch Sci &amp; Technol, Dept Elect Engn &amp; Comp Sci, Ho Man Tin, Hong Kong, Peoples R China; [Gupta, Brij B.] Asia Univ, Int Ctr AI &amp; Cyber Secur Res &amp; Innovat, Dept Comp Sci &amp; Informat Engn, Taichung 413, Taiwan; [Gupta, Brij B.] Symbiosis Int Univ, Symbiosis Ctr Informat Technol SCIT, Pune, India; [Gupta, Brij B.; Arya, Varsha] Lebanese Amer Univ, 1102, Beirut, Lebanon; [Gupta, Brij B.] Univ Petr &amp; Energy Studies UPES, Ctr Interdisciplinary Res, Dehra Dun, Uttarakhand, India; [Gupta, Brij B.] Dar Alhekma Univ, Dept Comp Sci, Jeddah, Saudi Arabia; [Jhaveri, Rutvij H.] Pandit Deendayal Energy Univ, Sch Technol, Dept Comp Sci &amp; Engn, Gandhinagar, India; [Chi, Hao Ran] Inst Telecomunicacoes, Aveiro, Portugal; [Arya, Varsha] Asia Univ, Taichung 41354, Taiwan; [Almomani, Ammar] Skyline Univ Coll, Sch Informat Technol, POB 1797, Sharjah, U Arab Emirates; [Almomani, Ammar] Al Balqa Appl Univ, Salt, Jordan; [Nauman, Ali] Yeungnam Univ, Dept Informat &amp; Commun Engn, Gyongsan, South Korea</t>
  </si>
  <si>
    <t>Hong Kong Metropolitan University; Asia University Taiwan; Symbiosis International University; Symbiosis Centre for Information Technology (SCIT); Lebanese American University; University of Petroleum &amp; Energy Studies (UPES); Pandit Deendayal Energy University; Universidade de Aveiro; Asia University Taiwan; Al-Balqa Applied University; Yeungnam University</t>
  </si>
  <si>
    <t>Chui, KT (corresponding author), Hong Kong Metropolitan Univ, Sch Sci &amp; Technol, Dept Elect Engn &amp; Comp Sci, Ho Man Tin, Hong Kong, Peoples R China.;Gupta, BB (corresponding author), Asia Univ, Int Ctr AI &amp; Cyber Secur Res &amp; Innovat, Dept Comp Sci &amp; Informat Engn, Taichung 413, Taiwan.;Gupta, BB (corresponding author), Symbiosis Int Univ, Symbiosis Ctr Informat Technol SCIT, Pune, India.;Gupta, BB (corresponding author), Lebanese Amer Univ, 1102, Beirut, Lebanon.;Gupta, BB (corresponding author), Univ Petr &amp; Energy Studies UPES, Ctr Interdisciplinary Res, Dehra Dun, Uttarakhand, India.;Gupta, BB (corresponding author), Dar Alhekma Univ, Dept Comp Sci, Jeddah, Saudi Arabia.</t>
  </si>
  <si>
    <t>jktchui@hkmu.edu.hk; gupta.brij@gmail.com; rutvij.jhaveri@sot.pdpu.ac.in; ytchr@av.it.pt; varsha.arya@insights2techinfo.com; ammarnav6@bau.edu.jo; anauman@ynu.ac.kr</t>
  </si>
  <si>
    <t>ALmomani, Ammar/F-2180-2017; Gupta, Brij B/E-9813-2011; Jhaveri, Rutvij H./A-5354-2018; Ran, Hao/AAC-8337-2019; almomani, ammar/L-3819-2019</t>
  </si>
  <si>
    <t>Gupta, Brij B/0000-0003-4929-4698; Jhaveri, Rutvij H./0000-0002-3285-7346; Ran, Hao/0000-0002-5763-9935; almomani, ammar/0000-0002-8808-6114; Chui, Kwok Tai/0000-0001-7992-9901</t>
  </si>
  <si>
    <t>WILEY-HINDAWI</t>
  </si>
  <si>
    <t>ADAM HOUSE, 3RD FL, 1 FITZROY SQ, LONDON, WIT 5HE, ENGLAND</t>
  </si>
  <si>
    <t>0884-8173</t>
  </si>
  <si>
    <t>1098-111X</t>
  </si>
  <si>
    <t>INT J INTELL SYST</t>
  </si>
  <si>
    <t>Int. J. Intell. Syst.</t>
  </si>
  <si>
    <t>10.1155/2023/6376275</t>
  </si>
  <si>
    <t>A2EE5</t>
  </si>
  <si>
    <t>WOS:000953307600002</t>
  </si>
  <si>
    <t>Faulkner, CA; Jankowski, DS; Castellini, JE; Zuo, WD; Epple, P; Sohn, MD; Kasgari, ATZ; Saad, W</t>
  </si>
  <si>
    <t>Faulkner, Cary A.; Jankowski, Dominik S.; Castellini, John E.; Zuo, Wangda; Epple, Philipp; Sohn, Michael D.; Kasgari, Ali Taleb Zadeh; Saad, Walid</t>
  </si>
  <si>
    <t>Fast prediction of indoor airflow distribution inspired by synthetic image generation artificial intelligence</t>
  </si>
  <si>
    <t>BUILDING SIMULATION</t>
  </si>
  <si>
    <t>artificial intelligence; indoor airflow; conditional generative adversarial network; computational fluid dynamics</t>
  </si>
  <si>
    <t>LID-DRIVEN CAVITY; REAL-TIME; SIMULATION; CFD; ENVIRONMENTS; MODEL</t>
  </si>
  <si>
    <t>Prediction of indoor airflow distribution often relies on high-fidelity, computationally intensive computational fluid dynamics (CFD) simulations. Artificial intelligence (AI) models trained by CFD data can be used for fast and accurate prediction of indoor airflow, but current methods have limitations, such as only predicting limited outputs rather than the entire flow field. Furthermore, conventional AI models are not always designed to predict different outputs based on a continuous input range, and instead make predictions for one or a few discrete inputs. This work addresses these gaps using a conditional generative adversarial network (CGAN) model approach, which is inspired by current state-of-the-art AI for synthetic image generation. We create a new Boundary Condition CGAN (BC-CGAN) model by extending the original CGAN model to generate 2D airflow distribution images based on a continuous input parameter, such as a boundary condition. Additionally, we design a novel feature-driven algorithm to strategically generate training data, with the goal of minimizing the amount of computationally expensive data while ensuring training quality of the AI model. The BC-CGAN model is evaluated for two benchmark airflow cases: an isothermal lid-driven cavity flow and a non-isothermal mixed convection flow with a heated box. We also investigate the performance of the BC-CGAN models when training is stopped based on different levels of validation error criteria. The results show that the trained BC-CGAN model can predict the 2D distribution of velocity and temperature with less than 5% relative error and up to about 75,000 times faster when compared to reference CFD simulations. The proposed feature-driven algorithm shows potential for reducing the amount of data and epochs required to train the AI models while maintaining prediction accuracy, particularly when the flow changes non-linearly with respect to an input.</t>
  </si>
  <si>
    <t>[Faulkner, Cary A.; Castellini, John E.] Univ Colorado Boulder, Dept Mech Engn, Boulder, CO USA; [Jankowski, Dominik S.] HySON Inst, Sonneberg, Germany; [Zuo, Wangda] Penn State Univ, Dept Architectural Engn, University Pk, PA 16802 USA; [Epple, Philipp] Coburg Univ Appl Sci, Dept Mech Engn, Coburg, Germany; [Sohn, Michael D.] Energy Anal &amp; Environm Impacts Div, Lawrence Berkeley Natl Lab, Berkeley, CA USA; [Kasgari, Ali Taleb Zadeh; Saad, Walid] Dept Elect &amp; Comp Engn, Virginia Tech, Arlington, VA USA</t>
  </si>
  <si>
    <t>University of Colorado System; University of Colorado Boulder; Pennsylvania Commonwealth System of Higher Education (PCSHE); Pennsylvania State University; Pennsylvania State University - University Park; Hochschule Coburg; United States Department of Energy (DOE); Lawrence Berkeley National Laboratory; Virginia Polytechnic Institute &amp; State University</t>
  </si>
  <si>
    <t>Zuo, WD (corresponding author), Penn State Univ, Dept Architectural Engn, University Pk, PA 16802 USA.</t>
  </si>
  <si>
    <t>wangda.zuo@psu.edu</t>
  </si>
  <si>
    <t>Saad, Walid/C-7978-2018</t>
  </si>
  <si>
    <t>Zuo, Wangda/0000-0003-2102-5592</t>
  </si>
  <si>
    <t>U.S. Defense Threat Reduction Agency; U.S. Department of Energy; National Science Foundation [IIS-1802017, CBET-2217410, CNS-2025377, CNS-2241361]; [DE-AC02-05CH11231]</t>
  </si>
  <si>
    <t>U.S. Defense Threat Reduction Agency(United States Department of DefenseDefense Threat Reduction Agency); U.S. Department of Energy(United States Department of Energy (DOE)); National Science Foundation(National Science Foundation (NSF));</t>
  </si>
  <si>
    <t>This research was supported in part by the U.S. Defense Threat Reduction Agency and performed under U.S. Department of Energy Contract No. DE-AC02-05CH11231. This research was also partially supported by the National Science Foundation under Awards No. IIS-1802017, CBET-2217410, CNS-2025377, and CNS-2241361.</t>
  </si>
  <si>
    <t>TSINGHUA UNIV PRESS</t>
  </si>
  <si>
    <t>B605D, XUE YAN BUILDING, BEIJING, 100084, PEOPLES R CHINA</t>
  </si>
  <si>
    <t>1996-3599</t>
  </si>
  <si>
    <t>1996-8744</t>
  </si>
  <si>
    <t>BUILD SIMUL-CHINA</t>
  </si>
  <si>
    <t>Build. Simul.</t>
  </si>
  <si>
    <t>10.1007/s12273-023-0989-1</t>
  </si>
  <si>
    <t>Thermodynamics; Construction &amp; Building Technology</t>
  </si>
  <si>
    <t>I9CF1</t>
  </si>
  <si>
    <t>Bronze, Green Published</t>
  </si>
  <si>
    <t>WOS:000948748600001</t>
  </si>
  <si>
    <t>Yang, JJ; Zhang, G; Chen, B; Wang, YD</t>
  </si>
  <si>
    <t>Yang, Jingjian; Zhang, Gang; Chen, Bei; Wang, Yunda</t>
  </si>
  <si>
    <t>Vibration Signal Augmentation Method for Fault Diagnosis of Low-Voltage Circuit Breaker Based on W-CGAN</t>
  </si>
  <si>
    <t>Generative adversarial networks; Vibrations; Fault diagnosis; Circuit faults; Training; Generators; Feature extraction; Data augmentation; fault diagnosis; generative adversarial networks (GANs); low-voltage circuit breaker (LVCB); vibration signals</t>
  </si>
  <si>
    <t>Low-voltage circuit breaker (LVCB) fault diagnosis based on artificial intelligence (AI) algorithm has always been a research hotspot and got some recent advances. However, AI algorithms usually require sufficient data to train the model, so intelligent fault diagnosis is a challenging task when lack of fault signals. To solve this problem, a fault vibration signal augmentation method based on Wasserstein distance (WD) and conditional generative adversarial networks (CGANs) is proposed in this article. The proposed method uses WD to optimize the adversarial training of generator and discriminator, and thus, the generator can generate vibration signals under different fault conditions, which can be used to extend the training dataset. In order to verify the improvement effect of this method on the accuracy of LVCB fault diagnosis, multiple fault classifiers are trained using generated and real fault signals, and a multidimensional evaluation index system is built to evaluate the classification effect. Experimental results reveal that the method can generate fault signals with high similarity and improve the accuracy of fault diagnosis.</t>
  </si>
  <si>
    <t>[Yang, Jingjian; Zhang, Gang; Chen, Bei] Beijing Jiaotong Univ, Sch Elect Engn, Beijing 100044, Peoples R China; [Wang, Yunda] CRRC Changchun Railway Vehicles Co Ltd, Changchun 130062, Peoples R China</t>
  </si>
  <si>
    <t>Beijing Jiaotong University; CRRC Corporation</t>
  </si>
  <si>
    <t>Zhang, G (corresponding author), Beijing Jiaotong Univ, Sch Elect Engn, Beijing 100044, Peoples R China.</t>
  </si>
  <si>
    <t>21117023@bjtu.edu.cn; gzhang@bjtu.edu.cn; 19126089@bjtu.edu.cn; 18117039@bjtu.edu.cn</t>
  </si>
  <si>
    <t>Zhang, Gang/0000-0002-1602-3771; Yang, Jingjian/0000-0002-1577-2500</t>
  </si>
  <si>
    <t>Fundamental Research Funds for the Central Universities [2022JBZY014]</t>
  </si>
  <si>
    <t>Fundamental Research Funds for the Central Universities(Fundamental Research Funds for the Central Universities)</t>
  </si>
  <si>
    <t>This work was supported by the Fundamental Research Funds for the Central Universities under Grant 2022JBZY014</t>
  </si>
  <si>
    <t>10.1109/TIM.2023.3240228</t>
  </si>
  <si>
    <t>C9XI0</t>
  </si>
  <si>
    <t>WOS:000965358500001</t>
  </si>
  <si>
    <t>Bi, ZD; Li, HR; Tian, L</t>
  </si>
  <si>
    <t>Bi, Zedong; Li, Haoran; Tian, Liang</t>
  </si>
  <si>
    <t>Top-down generation of low-resolution representations improves visual perception and imagination</t>
  </si>
  <si>
    <t>NEURAL NETWORKS</t>
  </si>
  <si>
    <t>Generative model; Visual system; Sketch generation</t>
  </si>
  <si>
    <t>RECEPTIVE-FIELDS; WORKING-MEMORY; DYNAMICS; INHIBITION; MECHANISMS; CORTEX</t>
  </si>
  <si>
    <t>Perception or imagination requires top-down signals from high-level cortex to primary visual cortex (V1) to reconstruct or simulate the representations bottom-up stimulated by the seen images. Interestingly, top-down signals in V1 have lower spatial resolution than bottom-up representations. It is unclear why the brain uses low-resolution signals to reconstruct or simulate high-resolution representations. By modeling the top-down pathway of the visual system using the decoder of a variational auto-encoder (VAE), we reveal that low resolution top-down signals can better reconstruct or simulate the information contained in the sparse activities of V1 simple cells, which facilitates perception and imagination. This advantage of low-resolution generation is related to facilitating high-level cortex to form geometry-respecting representations observed in experiments. Furthermore, we present two findings regarding this phenomenon in the context of AI-generated sketches, a style of drawings made of lines. First, we found that the quality of the generated sketches critically depends on the thickness of the lines in the sketches: thin-line sketches are harder to generate than thick-line sketches. Second, we propose a technique to generate high-quality thin-line sketches: instead of directly using original thin-line sketches, we use blurred sketches to train VAE or GAN (generative adversarial network), and then infer the thin-line sketches from the VAE-or GAN-generated blurred sketches. Collectively, our work suggests that low-resolution top-down generation is a strategy the brain uses to improve visual perception and imagination, which inspires new sketch-generation AI techniques.</t>
  </si>
  <si>
    <t>[Bi, Zedong] Lingang Lab, Shanghai 200031, Peoples R China; [Li, Haoran; Tian, Liang] Hong Kong Baptist Univ, Dept Phys, Hong Kong, Peoples R China; [Tian, Liang] Hong Kong Baptist Univ, Inst Computat &amp; Theoret Studies, Hong Kong, Peoples R China; [Tian, Liang] Hong Kong Baptist Univ, Inst Syst Med &amp; Hlth Sci, Hong Kong, Peoples R China; [Tian, Liang] Hong Kong Baptist Univ, State Key Lab Environm &amp; Biol Anal, Hong Kong, Peoples R China</t>
  </si>
  <si>
    <t>Lingang Laboratory; Hong Kong Baptist University; Hong Kong Baptist University; Hong Kong Baptist University; Hong Kong Baptist University</t>
  </si>
  <si>
    <t>Bi, ZD (corresponding author), Lingang Lab, Shanghai 200031, Peoples R China.;Tian, L (corresponding author), Hong Kong Baptist Univ, Dept Phys, Hong Kong, Peoples R China.;Tian, L (corresponding author), Hong Kong Baptist Univ, Inst Computat &amp; Theoret Studies, Hong Kong, Peoples R China.;Tian, L (corresponding author), Hong Kong Baptist Univ, Inst Syst Med &amp; Hlth Sci, Hong Kong, Peoples R China.;Tian, L (corresponding author), Hong Kong Baptist Univ, State Key Lab Environm &amp; Biol Anal, Hong Kong, Peoples R China.</t>
  </si>
  <si>
    <t>zedong.bi@outlook.com; liangtian@hkbu.edu.hk; liangtian@hkbu.edu.hk</t>
  </si>
  <si>
    <t>LI, Haoran/0000-0001-8140-8910</t>
  </si>
  <si>
    <t>National Natural Science Foundation of China [32000694, 12275229]; Research Grants Council of Hong Kong [C2005-22Y]; Hong Kong Baptist University Research Committee Start-up Grant [RC-SGT2/19-20/SCI/003]</t>
  </si>
  <si>
    <t>National Natural Science Foundation of China(National Natural Science Foundation of China (NSFC)); Research Grants Council of Hong Kong(Hong Kong Research Grants Council); Hong Kong Baptist University Research Committee Start-up Grant</t>
  </si>
  <si>
    <t>We thank Prof. Yuanyuan Mi, Prof. Changsong Zhou and Prof. Shuzhi Sam Ge for comments on the manuscript and helpful discussions. Z.B. is supported by the National Natural Science Foundation of China (Grant No. 32000694) . L.T. is supported by the National Natural Science Foundation of China (Grant No. 12275229) , the Research Grants Council of Hong Kong (Grant No. C2005-22Y) , and the Hong Kong Baptist University Research Committee Start-up Grant (Grant No. RC-SGT2/19-20/SCI/003) .</t>
  </si>
  <si>
    <t>0893-6080</t>
  </si>
  <si>
    <t>1879-2782</t>
  </si>
  <si>
    <t>Neural Netw.</t>
  </si>
  <si>
    <t>10.1016/j.neunet.2023.12.030</t>
  </si>
  <si>
    <t>Computer Science, Artificial Intelligence; Neurosciences</t>
  </si>
  <si>
    <t>Computer Science; Neurosciences &amp; Neurology</t>
  </si>
  <si>
    <t>FX3G5</t>
  </si>
  <si>
    <t>WOS:001149106100001</t>
  </si>
  <si>
    <t>Zhang, H; Wan, LX; Ramos-Calderer, S; Zhan, YC; Mok, WK; Cai, H; Gao, F; Luo, XS; Lo, GQ; Kwek, LC; Latorre, JI; Liu, AQ</t>
  </si>
  <si>
    <t>Zhang, Hui; Wan, Lingxiao; Ramos-Calderer, Sergi; Zhan, Yuancheng; Mok, Wai-Keong; Cai, Hong; Gao, Feng; Luo, Xianshu; Lo, Guo-qiang; Kwek, Leong Chuan; Latorre, Jose Ignacio; Liu, Ai qun</t>
  </si>
  <si>
    <t>Efficient option pricing with a unary-based photonic computing chip and generative adversarial learning</t>
  </si>
  <si>
    <t>PHOTONICS RESEARCH</t>
  </si>
  <si>
    <t>In the modern financial industry system, the structure of products has become more and more complex, and the bottleneck constraint of classical computing power has already restricted the development of the financial industry. Here, we present a photonic chip that implements the unary approach to European option pricing, in combination with the quantum amplitude estimation algorithm, to achieve quadratic speedup compared to classical Monte Carlo methods. The circuit consists of three modules: one loading the distribution of asset prices, one computing the expected payoff, and a third performing the quantum amplitude estimation algorithm to introduce speedups. In the distribution module, a generative adversarial network is embedded for efficient learning and loading of asset distributions, which precisely captures market trends. This work is a step forward in the development of specialized photonic processors for applications in finance, with the potential to improve the efficiency and quality of financial services. (c) 2023 Chinese Laser Press</t>
  </si>
  <si>
    <t>[Zhang, Hui; Liu, Ai qun] Hong Kong Polytech Univ, Inst Quantum Technol IQT, Hong Kong, Peoples R China; [Zhang, Hui; Wan, Lingxiao; Zhan, Yuancheng; Kwek, Leong Chuan; Liu, Ai qun] Nanyang Technol Univ, Quantum Sci &amp; Engn Ctr QSec, Singapore, Singapore; [Ramos-Calderer, Sergi; Latorre, Jose Ignacio] Univ Barcelona, Dept Fis Quant i Astrofis, Barcelona, Spain; [Ramos-Calderer, Sergi; Latorre, Jose Ignacio] Univ Barcelona, Inst Ciencies Cosmos ICCUB, Barcelona, Spain; [Ramos-Calderer, Sergi; Latorre, Jose Ignacio] Technol Innovat Inst, Quantum Res Ctr, Abu Dhabi, U Arab Emirates; [Mok, Wai-Keong; Kwek, Leong Chuan; Latorre, Jose Ignacio] Natl Univ Singapore, Ctr Quantum Technol, Singapore, Singapore; [Cai, Hong] ASTAR, Inst Microelect, Singapore, Singapore; [Gao, Feng; Luo, Xianshu; Lo, Guo-qiang] Adv Micro Foundry, Singapore, Singapore; [Kwek, Leong Chuan] Nanyang Technol Univ, Natl Inst Educ, Singapore, Singapore</t>
  </si>
  <si>
    <t>Hong Kong Polytechnic University; Nanyang Technological University; University of Barcelona; University of Barcelona; Technology Innovation Institute; National University of Singapore; Agency for Science Technology &amp; Research (A*STAR); A*STAR - Institute of Microelectronics (IME); Nanyang Technological University; National Institute of Education (NIE) Singapore</t>
  </si>
  <si>
    <t>Liu, AQ (corresponding author), Hong Kong Polytech Univ, Inst Quantum Technol IQT, Hong Kong, Peoples R China.;Liu, AQ (corresponding author), Nanyang Technol Univ, Quantum Sci &amp; Engn Ctr QSec, Singapore, Singapore.</t>
  </si>
  <si>
    <t>aiqun.liu@polyu.edu.hk</t>
  </si>
  <si>
    <t>; Kwek, Leong-Chuan/P-2303-2014</t>
  </si>
  <si>
    <t>ZHAN, YUANCHENG/0000-0002-5473-3387; Kwek, Leong-Chuan/0000-0002-0879-0591</t>
  </si>
  <si>
    <t>Hong Kong Polytechnic University [P0046236]; National Research Foundation Singapore [NRF2022-QEP2-02-P16]; Ministry of Education-Singapore [MOE2017-T3-1-001]</t>
  </si>
  <si>
    <t>Hong Kong Polytechnic University(Hong Kong Polytechnic University); National Research Foundation Singapore(National Research Foundation, Singapore); Ministry of Education-Singapore(Ministry of Education, Singapore)</t>
  </si>
  <si>
    <t>Funding. Hong Kong Polytechnic University (P0046236) ; National Research Foundation Singapore (NRF2022-QEP2-02-P16) ; Ministry of Education-Singapore (MOE2017-T3-1-001) .</t>
  </si>
  <si>
    <t>2327-9125</t>
  </si>
  <si>
    <t>PHOTONICS RES</t>
  </si>
  <si>
    <t>Photonics Res.</t>
  </si>
  <si>
    <t>10.1364/PRJ.493865</t>
  </si>
  <si>
    <t>Y9WH2</t>
  </si>
  <si>
    <t>WOS:001108685800011</t>
  </si>
  <si>
    <t>Zhai, CP; Wibowo, S</t>
  </si>
  <si>
    <t>Zhai, Chunpeng; Wibowo, Santoso</t>
  </si>
  <si>
    <t>A WGAN-Based Dialogue System for Embedding Humor, Empathy, and Cultural Aspects in Education</t>
  </si>
  <si>
    <t>&amp; nbsp;Artificial intelligence; culture; empathy; humor; Wasserstein's generative adversarial network</t>
  </si>
  <si>
    <t>Artificial intelligence (AI) technologies have been utilized in the education industry for enhancing student's performance by generating spontaneous, timely, and personalized query response. One such technology is a dialogue system which is capable of generating humorous and empathetic responses for enhancing students' learning outcomes. There is, however, limited research on the combination of humor, empathy, and culture in education. Thus, this paper proposes a dialogue system that is based on Wasserstein's Generative Adversarial Network (WGAN) for generating responses with humor, empathy, and cultural sensitivity. The dialogue system has the ability to generate responses that take into account both coarse-grained emotions at the conversation level and fine-grained emotions at the token level, allowing for a nuanced understanding of a student's emotional state. It can utilize external knowledge and prior context to enhance the ability of AI dialogue systems to comprehend emotions in a multimodal context. It can also analyze large corpora of text and other data, providing valuable insights into cultural context, semantic properties, and language variations. The dialogue system is a promising AI technology that can improve learning outcomes in various academic fields by generating responses with humor, empathy, and cultural sensitivity. In our study, the dialogue system achieved an accuracy rate of 94.12%, 93.83% and 92.60% in humor, empathy and culture models, respectively.</t>
  </si>
  <si>
    <t>[Zhai, Chunpeng] Cent Queensland Univ, Sch Engn &amp; Technol, Brisbane, Qld 4000, Australia; [Wibowo, Santoso] Cent Queensland Univ, Sch Engn &amp; Technol, Melbourne, Vic 3000, Australia</t>
  </si>
  <si>
    <t>Central Queensland University; Central Queensland University</t>
  </si>
  <si>
    <t>Zhai, CP (corresponding author), Cent Queensland Univ, Sch Engn &amp; Technol, Brisbane, Qld 4000, Australia.</t>
  </si>
  <si>
    <t>c.zhai@cqu.edu.au</t>
  </si>
  <si>
    <t>Wibowo, Santoso/E-7497-2012</t>
  </si>
  <si>
    <t>Wibowo, Santoso/0000-0002-5318-8428</t>
  </si>
  <si>
    <t>10.1109/ACCESS.2023.3294966</t>
  </si>
  <si>
    <t>N3CB4</t>
  </si>
  <si>
    <t>WOS:001035823200001</t>
  </si>
  <si>
    <t>Guo, YP; Duan, WR; Liu, X; Wang, XX; Wang, LD; Duan, SK; Ma, C; Li, HL</t>
  </si>
  <si>
    <t>Guo, Yunpeng; Duan, Wenrui; Liu, Xue; Wang, Xinxin; Wang, Lidan; Duan, Shukai; Ma, Cheng; Li, Huanglong</t>
  </si>
  <si>
    <t>Generative complex networks within a dynamic memristor with intrinsic variability</t>
  </si>
  <si>
    <t>NATURE COMMUNICATIONS</t>
  </si>
  <si>
    <t>MEMORY; STATE</t>
  </si>
  <si>
    <t>Artificial neural networks (ANNs) have gained considerable momentum in the past decade. Although at first the main task of the ANN paradigm was to tune the connection weights in fixed-architecture networks, there has recently been growing interest in evolving network architectures toward the goal of creating artificial general intelligence. Lagging behind this trend, current ANN hardware struggles for a balance between flexibility and efficiency but cannot achieve both. Here, we report on a novel approach for the on-demand generation of complex networks within a single memristor where multiple virtual nodes are created by time multiplexing and the non-trivial topological features, such as small-worldness, are generated by exploiting device dynamics with intrinsic cycle-to-cycle variability. When used for reservoir computing, memristive complex networks can achieve a noticeable increase in memory capacity a and respectable performance boost compared to conventional reservoirs trivially implemented as fully connected networks. This work expands the functionality of memristors for ANN computing. Designing efficient AI hardware capable of creating artificial general intelligence remains a challenge. Here, the authors present an approach for the on-demand generation of complex networks within a single memristor by harnessing device dynamics with intrinsic cycle-to-cycle variability and demonstrate the effectiveness of memristive complex network-based reservoirs.</t>
  </si>
  <si>
    <t>[Guo, Yunpeng; Liu, Xue; Wang, Xinxin; Ma, Cheng; Li, Huanglong] Tsinghua Univ, Ctr Brain Inspired Comp Res, Dept Precis Instrument, Beijing 100084, Peoples R China; [Duan, Wenrui] Beijing Informat Sci &amp; Technol Univ, Sch Instrument Sci &amp; Opto Elect Engn, Lab Intelligent Microsyst, Beijing 100101, Peoples R China; [Liu, Xue] Tsinghua Univ, Sch Integrated Circuits, Beijing 100084, Peoples R China; [Wang, Lidan; Duan, Shukai] Southwest Univ, Sch Artificial Intelligence, Chongqing 400715, Peoples R China; [Li, Huanglong] Chinese Inst Brain Res, Beijing 102206, Peoples R China</t>
  </si>
  <si>
    <t>Tsinghua University; Beijing Information Science &amp; Technology University; Tsinghua University; Southwest University - China; Chinese Institute for Brain Research, Beijing</t>
  </si>
  <si>
    <t>Liu, X; Ma, C; Li, HL (corresponding author), Tsinghua Univ, Ctr Brain Inspired Comp Res, Dept Precis Instrument, Beijing 100084, Peoples R China.;Duan, WR (corresponding author), Beijing Informat Sci &amp; Technol Univ, Sch Instrument Sci &amp; Opto Elect Engn, Lab Intelligent Microsyst, Beijing 100101, Peoples R China.;Liu, X (corresponding author), Tsinghua Univ, Sch Integrated Circuits, Beijing 100084, Peoples R China.;Li, HL (corresponding author), Chinese Inst Brain Res, Beijing 102206, Peoples R China.</t>
  </si>
  <si>
    <t>duanwr10@buaa.edu.cn; liuqingxue@mail.tsinghua.edu.cn; macheng@tsinghua.edu.cn; li_huanglong@mail.tsinghua.edu.cn</t>
  </si>
  <si>
    <t>Wang, Lidan/H-5117-2013</t>
  </si>
  <si>
    <t>Wang, Lidan/0000-0003-0730-4202; Li, Huanglong/0000-0002-1777-7807; Duan, Wenrui/0000-0002-7791-9686</t>
  </si>
  <si>
    <t>The authors acknowledge funding from National Natural Science Foundation (grant nos. 61974082, 61704096, 61836004), National Key Ramp;D Program of China (2021ZD0200300, 2018YFE0200200), Youth Elite Scientist Sponsorship (YESS) Program of China Association [61974082, 61704096, 61836004]; National Natural Science Foundation [2021ZD0200300, 2018YFE0200200]; National Key Ramp;D Program of China [2019QNRC001]; Youth Elite Scientist Sponsorship (YESS) Program of China Association for Science and Technology (CAST); Key Laboratory of Luminescence Analysis and Molecular Sensing [400715]; Ministry of Education, Southwest University [Z181100001518006, Z191100007519009]; Beijing science and technology program [2016SZ0102]; Suzhou-Tsinghua innovation leading program</t>
  </si>
  <si>
    <t>The authors acknowledge funding from National Natural Science Foundation (grant nos. 61974082, 61704096, 61836004), National Key Ramp;D Program of China (2021ZD0200300, 2018YFE0200200), Youth Elite Scientist Sponsorship (YESS) Program of China Association; National Natural Science Foundation(National Natural Science Foundation of China (NSFC)); National Key Ramp;D Program of China; Youth Elite Scientist Sponsorship (YESS) Program of China Association for Science and Technology (CAST); Key Laboratory of Luminescence Analysis and Molecular Sensing; Ministry of Education, Southwest University; Beijing science and technology program; Suzhou-Tsinghua innovation leading program</t>
  </si>
  <si>
    <t>The authors acknowledge funding from National Natural Science Foundation (grant nos. 61974082, 61704096, 61836004), National Key R&amp;D Program of China (2021ZD0200300, 2018YFE0200200), Youth Elite Scientist Sponsorship (YESS) Program of China Association for Science and Technology (CAST) (no. 2019QNRC001), Key Laboratory of Luminescence Analysis and Molecular Sensing (Southwest University), Ministry of Education, Southwest University, Chongqing, 400715, PR China, Tsinghua-IDG/McGovern Brain-X program, Beijing science and technology program (grant nos. Z181100001518006 and Z191100007519009), Suzhou-Tsinghua innovation leading program 2016SZ0102, and CETC Haikang Group-Brain Inspired Computing Joint Research Center.</t>
  </si>
  <si>
    <t>2041-1723</t>
  </si>
  <si>
    <t>NAT COMMUN</t>
  </si>
  <si>
    <t>Nat. Commun.</t>
  </si>
  <si>
    <t>10.1038/s41467-023-41921-3</t>
  </si>
  <si>
    <t>U4EW4</t>
  </si>
  <si>
    <t>WOS:001084354900007</t>
  </si>
  <si>
    <t>Currie, G; Robbie, S; Tually, P</t>
  </si>
  <si>
    <t>Currie, Geoff; Robbie, Stephanie; Tually, Peter</t>
  </si>
  <si>
    <t>ChatGPT and Patient Information in Nuclear Medicine: GPT-3.5 Versus GPT-4</t>
  </si>
  <si>
    <t>JOURNAL OF NUCLEAR MEDICINE TECHNOLOGY</t>
  </si>
  <si>
    <t>GPT-4; patient education; ChatGPT; generative AI; language model</t>
  </si>
  <si>
    <t>The GPT-3.5-powered ChatGPT was released in late November 2022 powered by the generative pretrained transformer (GPT) version 3.5. It has emerged as a readily accessible source of patient information ahead of medical procedures. Although ChatGPT has purported benefits for supporting patient education and information, actual capability has not been evaluated. Moreover, the March 2023 emergence of paid subscription access to GPT-4 promises further enhanced capabilities requiring evaluation. Methods: ChatGPT was used to generate patient information sheets suitable for gaining informed consent for 7 common procedures in nuclear medicine. Responses were generated independently for both GPT3.5 and GPT-4 architectures. Specific procedures were selected that had a long-standing history of use to avoid any bias associated with the September 2021 learning cutoff that constrains both GPT3.5 and GPT-4 architectures. Each information sheet was independently evaluated by 3 expert assessors and ranked on the basis of accuracy, appropriateness, currency, and fitness for purpose. Results: ChatGPT powered by GPT-3.5 provided patient information that was appropriate in terms of being patient-facing but lacked accuracy and currency and omitted important information. GPT-3.5 produced patient information deemed not fit for the purpose. GPT-4 provided patient information enhanced across appropriateness, accuracy, and currency, despite some omission of information. GPT-4 produced patient information that was largely fit for the purpose. Conclusion: Although ChatGPT powered by GPT-3.5 is accessible and provides plausible patient information, inaccuracies and omissions present a risk to patients and informed consent. Conversely, GPT-4 is more accurate and fit for the purpose but, at the time of writing, was available only through a paid subscription.</t>
  </si>
  <si>
    <t>[Currie, Geoff; Tually, Peter] Charles Sturt Univ, Sch Dent &amp; Med Sci, Wagga Wagga, NSW, Australia; [Robbie, Stephanie] St Andrews Hosp, Queensland Xray, Toowoomba, Qld, Australia; [Tually, Peter] Telemed Hlth, Kalgoorlie, WA, Australia</t>
  </si>
  <si>
    <t>Currie, G (corresponding author), Charles Sturt Univ, Sch Dent &amp; Med Sci, Wagga Wagga, NSW, Australia.</t>
  </si>
  <si>
    <t>gcurrie@csu.edu.au</t>
  </si>
  <si>
    <t>Currie, Geoffrey/0000-0002-6180-8586</t>
  </si>
  <si>
    <t>SOC NUCLEAR MEDICINE INC</t>
  </si>
  <si>
    <t>1850 SAMUEL MORSE DR, RESTON, VA 20190-5316 USA</t>
  </si>
  <si>
    <t>0091-4916</t>
  </si>
  <si>
    <t>1535-5675</t>
  </si>
  <si>
    <t>J NUCL MED TECHNOL</t>
  </si>
  <si>
    <t>J. Nucl. Med. Technol.</t>
  </si>
  <si>
    <t>10.2967/jnmt.123.266151</t>
  </si>
  <si>
    <t>CT5C9</t>
  </si>
  <si>
    <t>WOS:001127494300017</t>
  </si>
  <si>
    <t>Andrianov, AM; Shuldau, MA; Furs, KV; Yushkevich, AM; Tuzikov, AV</t>
  </si>
  <si>
    <t>Andrianov, Alexander M.; Shuldau, Mikita A.; Furs, Konstantin V.; Yushkevich, Artsemi M.; Tuzikov, Alexander V.</t>
  </si>
  <si>
    <t>AI-Driven De Novo Design and Molecular Modeling for Discovery of Small-Molecule Compounds as Potential Drug Candidates Targeting SARS-CoV-2 Main Protease</t>
  </si>
  <si>
    <t>SARS-CoV-2; main protease; deep learning; generative autoencoder; virtual screening; molecular docking; molecular dynamics; binding free energy calculations; anti-SARS-CoV-2 drugs</t>
  </si>
  <si>
    <t>FORCE-FIELD; DOCKING; IDENTIFICATION; PERFORMANCE; SOLUBILITY; DYNAMICS; MM/PBSA; SYSTEM</t>
  </si>
  <si>
    <t>Over the past three years, significant progress has been made in the development of novel promising drug candidates against COVID-19. However, SARS-CoV-2 mutations resulting in the emergence of new viral strains that can be resistant to the drugs used currently in the clinic necessitate the development of novel potent and broad therapeutic agents targeting different vulnerable spots of the viral proteins. In this study, two deep learning generative models were developed and used in combination with molecular modeling tools for de novo design of small molecule compounds that can inhibit the catalytic activity of SARS-CoV-2 main protease (Mpro), an enzyme critically important for mediating viral replication and transcription. As a result, the seven best scoring compounds that exhibited low values of binding free energy comparable with those calculated for two potent inhibitors of Mpro, via the same computational protocol, were selected as the most probable inhibitors of the enzyme catalytic site. In light of the data obtained, the identified compounds are assumed to present promising scaffolds for the development of new potent and broad-spectrum drugs inhibiting SARS-CoV-2 Mpro, an attractive therapeutic target for anti-COVID-19 agents.</t>
  </si>
  <si>
    <t>[Andrianov, Alexander M.] Natl Acad Sci Belarus, Inst Bioorgan Chem, Minsk 220141, BELARUS; [Shuldau, Mikita A.; Furs, Konstantin V.; Yushkevich, Artsemi M.; Tuzikov, Alexander V.] Natl Acad Sci Belarus, United Inst Informat Problems, Minsk 220012, BELARUS</t>
  </si>
  <si>
    <t>National Academy of Sciences of Belarus (NASB); Institute of Bioorganic Chemistry of the National Academy of Sciences of Belarus; National Academy of Sciences of Belarus (NASB); United Institute of Informatics Problems of the National Academy of Sciences of Belarus</t>
  </si>
  <si>
    <t>Andrianov, AM (corresponding author), Natl Acad Sci Belarus, Inst Bioorgan Chem, Minsk 220141, BELARUS.;Tuzikov, AV (corresponding author), Natl Acad Sci Belarus, United Inst Informat Problems, Minsk 220012, BELARUS.</t>
  </si>
  <si>
    <t>alexande.andriano@yandex.ru; nickshuldov29@gmail.com; ky6ujlo@gmail.com; artsemi.yushkevich@gmail.com; tuzikov@newman.bas-net.by</t>
  </si>
  <si>
    <t>Yushkevich, Artsemi/0000-0002-8729-9281; Tuzikov, Alexander/0000-0001-5970-4852</t>
  </si>
  <si>
    <t>Belarusian Republican Foundation for Fundamental Research [F21ARMG-001, F21COVID-002]; Alliance of International Science Organizations [ANSO-CR-PP-2021-04]</t>
  </si>
  <si>
    <t>Belarusian Republican Foundation for Fundamental Research; Alliance of International Science Organizations</t>
  </si>
  <si>
    <t>This study was financed by grants of the Belarusian Republican Foundation for Fundamental Research (projects F21ARMG-001 and F21COVID-002) with the support of the Alliance of International Science Organizations (ANSO-CR-PP-2021-04).</t>
  </si>
  <si>
    <t>1661-6596</t>
  </si>
  <si>
    <t>APR 29</t>
  </si>
  <si>
    <t>10.3390/ijms24098083</t>
  </si>
  <si>
    <t>G2KX9</t>
  </si>
  <si>
    <t>WOS:000987520800001</t>
  </si>
  <si>
    <t>Almazyad, M; Aljofan, F; Abouammoh, NA; Muaygil, R; Malki, KH; Aljamaan, F; Alturki, A; Alayed, T; Alshehri, SS; Alrbiaan, A; Alsatrawi, M; Temsah, HA; Alsohime, F; Alhaboob, AA; Alabdulhafid, M; Jamal, A; Alhasan, K; Al-Eyadhy, A; Temsah, MH</t>
  </si>
  <si>
    <t>Almazyad, Mohammed; Aljofan, Fahad; Abouammoh, Noura A.; Muaygil, Ruaim; Malki, Khalid H.; Aljamaan, Fadi; Alturki, Abdullah; Alayed, Tareq; Alshehri, Saleh S.; Alrbiaan, Abdullah; Alsatrawi, Mohammed; Temsah, Hazar A.; Alsohime, Fahad; Alhaboob, Ali A.; Alabdulhafid, Majed; Jamal, Amr; Alhasan, Khalid; Al-Eyadhy, Ayman; Temsah, Mohamad-Hani</t>
  </si>
  <si>
    <t>Enhancing Expert Panel Discussions in Pediatric Palliative Care: Innovative Scenario Development and Summarization With ChatGPT-4</t>
  </si>
  <si>
    <t>chat generative pre-trained transformer; picu multidisciplinary approach; pediatric palliative critical care; patient and family-centered care; human-ai scenario development; ethical considerations; do-not-resuscitate (dnr) conflicts discussion; medical conferences; expert panel discussions; artificial intelligence chatgpt-4</t>
  </si>
  <si>
    <t>FAMILY-CENTERED CARE; END; UNITS</t>
  </si>
  <si>
    <t>This study presents a novel approach to enhance expert panel discussions in a medical conference through the use of ChatGPT-4 (Generative Pre-trained Transformer version 4), a recently launched powerful artificial intelligence (AI) language model. We report on ChatGPT-4's ability to optimize and summarize the medical conference panel recommendations of the first Pan-Arab Pediatric Palliative Critical Care Hybrid Conference, held in Riyadh, Saudi Arabia. ChatGPT-4 was incorporated into the discussions in two sequential phases: first, scenarios were optimized by the AI model to stimulate in-depth conversations; second, the model identified, summarized, and contrasted key themes from the panel and audience discussions. The results suggest that ChatGPT-4 effectively facilitated complex do-not-resuscitate (DNR) conflict resolution by summarizing key themes such as effective communication, collaboration, patient and family-centered care, trust, and ethical considerations. The inclusion of ChatGPT-4 in pediatric palliative care panel discussions demonstrated potential benefits for enhancing critical thinking among medical professionals. Further research is warranted to validate and broaden these insights across various settings and cultures.</t>
  </si>
  <si>
    <t>[Almazyad, Mohammed; Al-Eyadhy, Ayman; Temsah, Mohamad-Hani] King Saud Univ, Coll Med, Pediat Dept, Pediat Intens Care Unit, Riyadh, Saudi Arabia; [Aljofan, Fahad] King Faisal Specialist Hosp &amp; Res Ctr, Pediat Dept, Pediat Intens Care Unit, Riyadh, Saudi Arabia; [Abouammoh, Noura A.] King Saud Univ, Coll Med, Dept Family &amp; Community Med, Riyadh, Saudi Arabia; [Muaygil, Ruaim] King Saud Univ, Coll Med, Med Educ Dept, Riyadh, Saudi Arabia; [Malki, Khalid H.] King Saud Univ, Coll Med, Dept Otolaryngol, Riyadh, Saudi Arabia; [Aljamaan, Fadi] King Saud Univ, Coll Med, Crit Care Dept, Riyadh, Saudi Arabia; [Alayed, Tareq] King Faisal Specialist Hosp &amp; Res Ctr, Pediat Crit Care Med, Riyadh, Saudi Arabia; [Alshehri, Saleh S.] King Saud Med City, Pediat Intens Care Unit, Riyadh, Saudi Arabia; [Alrbiaan, Abdullah] King Faisal Specialist Hosp &amp; Res Ctr, Crit Care Dept, Riyadh, Saudi Arabia; [Alsatrawi, Mohammed] Arab Univ, Fac Elect &amp; Comp Engn, Biomed Engn Dept, Beirut, Lebanon; [Temsah, Hazar A.] Beirut Arab Univ, Fac Elect &amp; Comp Engn, Biomed Engn Dept, Beirut, Lebanon; [Alsohime, Fahad] King Saud Univ, Pediat Crit Care Dept, Riyadh, Saudi Arabia; [Alhaboob, Ali A.] King Saud Univ, Dept Pediat, Riyadh, Saudi Arabia; [Jamal, Amr] King Saud Univ, Dept Family &amp; Community Med, Riyadh, Saudi Arabia; [Alhasan, Khalid] King Saud Univ, Dept Pediat Nephrol, Riyadh, Saudi Arabia; [Al-Eyadhy, Ayman] King Saud Univ Med City, Pediat Intens Care Unit, Riyadh, Saudi Arabia; [Temsah, Mohamad-Hani] King Saud Univ Med City, Pediat Dept, Pediat Intens Care Unit, Riyadh, Saudi Arabia</t>
  </si>
  <si>
    <t>King Saud University; King Faisal Specialist Hospital &amp; Research Center; King Saud University; King Saud University; King Saud University; King Saud University; King Faisal Specialist Hospital &amp; Research Center; King Saud Medical City; King Faisal Specialist Hospital &amp; Research Center; Beirut Arab University; King Saud University; King Saud University; King Saud University; King Saud University; King Saud University; King Saud University</t>
  </si>
  <si>
    <t>Temsah, MH (corresponding author), King Saud Univ, Coll Med, Pediat Dept, Pediat Intens Care Unit, Riyadh, Saudi Arabia.</t>
  </si>
  <si>
    <t>Jamal, Amr A/B-9495-2009; Temsah, Mohamad-Hani/AAJ-9703-2020</t>
  </si>
  <si>
    <t>Jamal, Amr A/0000-0002-4051-6592;</t>
  </si>
  <si>
    <t>APR 28</t>
  </si>
  <si>
    <t>10.7759/cureus.38249</t>
  </si>
  <si>
    <t>H5JI1</t>
  </si>
  <si>
    <t>WOS:000996319100029</t>
  </si>
  <si>
    <t>Angiulli, F; Fassetti, F; Ferragina, L</t>
  </si>
  <si>
    <t>Angiulli, Fabrizio; Fassetti, Fabio; Ferragina, Luca</t>
  </si>
  <si>
    <t>Enhancing anomaly detectors with LatentOut</t>
  </si>
  <si>
    <t>JOURNAL OF INTELLIGENT INFORMATION SYSTEMS</t>
  </si>
  <si>
    <t>Anomaly detection; Variational autoencode; Generative adversarial network</t>
  </si>
  <si>
    <t>Latent Out is a recently introduced algorithm for unsupervised anomaly detection which enhances latent space-based neural methods, namely (Variational) Autoencoders, GANomaly and ANOGan architectures. The main idea behind it is to exploit both the latent space and the baseline score of these architectures in order to provide a refined anomaly score performing density estimation in the augmented latent-space/baseline-score feature space. In this paper we investigate the performance of Latent Out acting as a one-class classifier and we experiment the combination of Latent Out with GAAL architectures, a novel type of Generative Adversarial Networks for unsupervised anomaly detection. Moreover, we show that the feature space induced by Latent Out has the characteristic to enhance the separation between normal and anomalous data. Indeed, we prove that standard data mining outlier detection methods perform better when applied on this novel augmented latent space rather than on the original data space.</t>
  </si>
  <si>
    <t>[Angiulli, Fabrizio; Fassetti, Fabio; Ferragina, Luca] Unical, DIMES Dept, via P Bucci 41C, I-87036 Arcavacata Di Rende, CS, Italy</t>
  </si>
  <si>
    <t>Ferragina, L (corresponding author), Unical, DIMES Dept, via P Bucci 41C, I-87036 Arcavacata Di Rende, CS, Italy.</t>
  </si>
  <si>
    <t>fabrizio.angiulli@unical.it; fabio.fassetti@unical.it; luca.ferragina@unical.it</t>
  </si>
  <si>
    <t>Universit della Calabria [PE00000013]; PNRR project FAIR - Future AI Research</t>
  </si>
  <si>
    <t>Universit della Calabria; PNRR project FAIR - Future AI Research</t>
  </si>
  <si>
    <t>We acknowledge the support of the PNRR project FAIR - Future AI Research (PE00000013), Spoke 9 - Green-aware AI, under the NRRP MUR program funded by the NextGenerationEU.</t>
  </si>
  <si>
    <t>0925-9902</t>
  </si>
  <si>
    <t>1573-7675</t>
  </si>
  <si>
    <t>J INTELL INF SYST</t>
  </si>
  <si>
    <t>J. Intell. Inf. Syst.</t>
  </si>
  <si>
    <t>2023 NOV 24</t>
  </si>
  <si>
    <t>10.1007/s10844-023-00829-6</t>
  </si>
  <si>
    <t>Z6ND0</t>
  </si>
  <si>
    <t>WOS:001113214700001</t>
  </si>
  <si>
    <t>Tlili, A; Shehata, B; Adarkwah, MA; Bozkurt, A; Hickey, DT; Huang, RH; Agyemang, B</t>
  </si>
  <si>
    <t>Tlili, Ahmed; Shehata, Boulus; Adarkwah, Michael Agyemang; Bozkurt, Aras; Hickey, Daniel T.; Huang, Ronghuai; Agyemang, Brighter</t>
  </si>
  <si>
    <t>What if the devil is my guardian angel: ChatGPT as a case study of using chatbots in education</t>
  </si>
  <si>
    <t>Generative AI; ChatGPT; Chatbots; Education; Artificial intelligence; Human-machine collaboration</t>
  </si>
  <si>
    <t>Artificial Intelligence (AI) technologies have been progressing constantly and being more visible in different aspects of our lives. One recent phenomenon is ChatGPT, a chatbot with a conversational artificial intelligence interface that was developed by OpenAI. As one of the most advanced artificial intelligence applications, ChatGPT has drawn much public attention across the globe. In this regard, this study examines ChatGPT in education, among early adopters, through a qualitative instrumental case study. Conducted in three stages, the first stage of the study reveals that the public discourse in social media is generally positive and there is enthusiasm regarding its use in educational settings. However, there are also voices who are approaching cautiously using ChatGPT in educational settings. The second stage of the study examines the case of ChatGPT through lenses of educational transformation, response quality, usefulness, personality and emotion, and ethics. In the third and final stage of the study, the investigation of user experiences through ten educational scenarios revealed various issues, including cheating, honesty and truthfulness of ChatGPT, privacy misleading, and manipulation. The findings of this study provide several research directions that should be considered to ensure a safe and responsible adoption of chatbots, specifically ChatGPT, in education.</t>
  </si>
  <si>
    <t>[Tlili, Ahmed; Shehata, Boulus; Adarkwah, Michael Agyemang; Huang, Ronghuai] Beijing Normal Univ, Smart Learning Inst, Beijing, Peoples R China; [Bozkurt, Aras] Anadolu Univ, Open Educ Fac, Distance Educ Dept, Eskisehir, Turkiye; [Hickey, Daniel T.] Indiana Univ, Learning Sci Program, Bloomington, IN USA; [Agyemang, Brighter] Univ Wollongong, Wollongong, NSW, Australia</t>
  </si>
  <si>
    <t>Beijing Normal University; Anadolu University; Indiana University System; Indiana University Bloomington; University of Wollongong</t>
  </si>
  <si>
    <t>Adarkwah, MA (corresponding author), Beijing Normal Univ, Smart Learning Inst, Beijing, Peoples R China.</t>
  </si>
  <si>
    <t>adarkwahmichael1@gmail.com</t>
  </si>
  <si>
    <t>BOZKURT, Aras/O-3654-2017; Adarkwah, Michael/HTN-1492-2023; Adarkwah, Michael Agyemang/AAC-8210-2021</t>
  </si>
  <si>
    <t>BOZKURT, Aras/0000-0002-4520-642X; Adarkwah, Michael Agyemang/0000-0001-8201-8965; Shehata, Boulus/0000-0001-9445-6559; Hickey, Daniel/0000-0001-9146-5089; Tlili, Ahmed/0000-0003-1449-7751</t>
  </si>
  <si>
    <t>FEB 22</t>
  </si>
  <si>
    <t>10.1186/s40561-023-00237-x</t>
  </si>
  <si>
    <t>9C2QM</t>
  </si>
  <si>
    <t>WOS:000935268200001</t>
  </si>
  <si>
    <t>Rancourt, F; Vondrlik, P; Maupomé, D; Meurs, MJ</t>
  </si>
  <si>
    <t>Rancourt, Fanny; Vondrlik, Paula; Maupome, Diego; Meurs, Marie-Jean</t>
  </si>
  <si>
    <t>Investigating Self-Rationalizing Models for Commonsense Reasoning</t>
  </si>
  <si>
    <t>STATS</t>
  </si>
  <si>
    <t>explainability; generative models; large language models; natural language processing; rationales; X-AI</t>
  </si>
  <si>
    <t>The rise of explainable natural language processing spurred a bulk of work on datasets augmented with human explanations, as well as technical approaches to leverage them. Notably, generative large language models offer new possibilities, as they can output a prediction as well as an explanation in natural language. This work investigates the capabilities of fine-tuned text-to-text transfer Transformer (T5) models for commonsense reasoning and explanation generation. Our experiments suggest that while self-rationalizing models achieve interesting results, a significant gap remains: classifiers consistently outperformed self-rationalizing models, and a substantial fraction of model-generated explanations are not valid. Furthermore, training with expressive free-text explanations substantially altered the inner representation of the model, suggesting that they supplied additional information and may bridge the knowledge gap. Our code is publicly available, and the experiments were run on open-access datasets, hence allowing full reproducibility.</t>
  </si>
  <si>
    <t>[Rancourt, Fanny; Vondrlik, Paula; Maupome, Diego; Meurs, Marie-Jean] Univ Quebec Montreal UQAM, Dept Comp Sci, Montreal, PQ H2L 2C4, Canada</t>
  </si>
  <si>
    <t>University of Quebec; University of Quebec Montreal</t>
  </si>
  <si>
    <t>Rancourt, F; Maupomé, D; Meurs, MJ (corresponding author), Univ Quebec Montreal UQAM, Dept Comp Sci, Montreal, PQ H2L 2C4, Canada.</t>
  </si>
  <si>
    <t>rancourt.fanny.2@courrier.uqam.ca; pvondrlik@uni-osnabrueck.de; maupome.diego@courrier.uqam.ca; meurs.marie-jean@uqam.ca</t>
  </si>
  <si>
    <t>MEURS, Marie-Jean/0000-0001-8196-2153</t>
  </si>
  <si>
    <t>Natural Sciences and Engineering Research Council of Canada (NSERC); Government of Canada's New Frontiers in Research Fund (NFRF) [NFRFE-2018-00484]</t>
  </si>
  <si>
    <t>Natural Sciences and Engineering Research Council of Canada (NSERC)(Natural Sciences and Engineering Research Council of Canada (NSERC)); Government of Canada's New Frontiers in Research Fund (NFRF)</t>
  </si>
  <si>
    <t>This research was funded by the Natural Sciences and Engineering Research Council of Canada (NSERC) [M.-J. Meurs, NSERC Grant number 06487-2017] and the Government of Canada's New Frontiers in Research Fund (NFRF), [M.-J. Meurs, NFRFE-2018-00484].</t>
  </si>
  <si>
    <t>2571-905X</t>
  </si>
  <si>
    <t>STATS-BASEL</t>
  </si>
  <si>
    <t>Stats</t>
  </si>
  <si>
    <t>10.3390/stats6030056</t>
  </si>
  <si>
    <t>Mathematics, Interdisciplinary Applications; Statistics &amp; Probability</t>
  </si>
  <si>
    <t>S9FP9</t>
  </si>
  <si>
    <t>WOS:001074155000001</t>
  </si>
  <si>
    <t>Haluza, D; Jungwirth, D</t>
  </si>
  <si>
    <t>Haluza, Daniela; Jungwirth, David</t>
  </si>
  <si>
    <t>Artificial Intelligence and Ten Societal Megatrends: An Exploratory Study Using GPT-3</t>
  </si>
  <si>
    <t>SYSTEMS</t>
  </si>
  <si>
    <t>ChatGPT; GPT-3; global trends; OpenAI; chatbots; digital health; artificial intelligence; automation; technological advancement; human-AI interaction; collaboration</t>
  </si>
  <si>
    <t>This paper examines the potential of artificial intelligence (AI) to address societal megatrends, with a specific focus on OpenAI's Generative Pre-Trained Transformer 3 (GPT-3). To do this, we conducted an analysis using GPT-3 in order to explore the benefits of AI for digitalization, urbanization, globalization, climate change, automation and mobility, global health issues, and the aging population. We also looked at emerging markets as well as sustainability in this study. Interaction with GPT-3 was conducted solely through prompt questions, and generated responses were analyzed. Our results indicate that AI can significantly improve our understanding of these megatrends by providing insights into how they develop over time and which solutions could be implemented. Further research is needed to determine how effective AI will be in addressing them successfully, but initial findings are encouraging. Our discussion focuses on the implications of our findings for society going forward and suggests that further investigation should be conducted into how best to utilize new technologies such as GPT-3 when tackling these challenges. Lastly, we conclude that, while there is still much work left to do before any tangible effects can be seen from utilizing AI tools such as GPT-3 on societal megatrends, early indications suggest it may have a positive impact if used correctly.</t>
  </si>
  <si>
    <t>[Haluza, Daniela; Jungwirth, David] Med Univ Vienna, Ctr Publ Hlth, Dept Environm Hlth, A-1090 Vienna, Austria</t>
  </si>
  <si>
    <t>Medical University of Vienna</t>
  </si>
  <si>
    <t>Haluza, D (corresponding author), Med Univ Vienna, Ctr Publ Hlth, Dept Environm Hlth, A-1090 Vienna, Austria.</t>
  </si>
  <si>
    <t>daniela.haluza@meduniwien.ac.at</t>
  </si>
  <si>
    <t>Jungwirth, David/0000-0002-4834-8909</t>
  </si>
  <si>
    <t>2079-8954</t>
  </si>
  <si>
    <t>SYSTEMS-BASEL</t>
  </si>
  <si>
    <t>Systems-Basel</t>
  </si>
  <si>
    <t>10.3390/systems11030120</t>
  </si>
  <si>
    <t>A9XU7</t>
  </si>
  <si>
    <t>WOS:000958581600001</t>
  </si>
  <si>
    <t>Zhang, F; Zhang, YQ; Zhang, XH</t>
  </si>
  <si>
    <t>Zhang, Fan; Zhang, Yingqi; Zhang, Xinhong</t>
  </si>
  <si>
    <t>Desensitization method of meteorological data based on differential privacy protection</t>
  </si>
  <si>
    <t>JOURNAL OF CLEANER PRODUCTION</t>
  </si>
  <si>
    <t>Data augmentation; Data desensitization; Deep learning; Generative adversarial network</t>
  </si>
  <si>
    <t>STOCHASTIC WEATHER GENERATOR; ADVERSARIAL</t>
  </si>
  <si>
    <t>Artificial intelligence (AI) profoundly affects the research of meteorology. As an AI method, deep learning greatly improves the accuracy of weather forecasting. Deep learning training requires a lot of data, while the collection of meteorological data faces some problems, such as the long collection cycle, the high cost, and the desensitization requirement. We propose a deep learning model called MDPGAN (Meteorology Differential Privacy Generative Adversarial Network), which introduces a differential privacy framework to reduce the risk of identifying real data by querying synthetic data. The MDPGAN model can generate synthetic weather data with similar statistical characteristics to real weather data. The data generated by the MDPGAN model meets the requirements of data augmentation and data desensitization at the same time. In this paper, the meteorological data set of Kennedy Airport published by NOAA (National Oceanic and Atmospheric Administration) was used for the experiments of the MDPGAN model. The reliability and validity of generated meteorological data were analyzed and tested. The comparison between the generated data and the real data shows that they have similar statistical characteristics, and the synthetic data has achieved good results in the time series prediction of temperature changes. The MDPGAN model provides a convenient tool for the meteorology researches based on deep learning, which can automatically generate a large amount of safe and reliable data, especially suitable for the meteorology researches with small sample data.</t>
  </si>
  <si>
    <t>[Zhang, Fan] Henan Univ, Henan Key Lab Big Data Anal &amp; Proc, Kaifeng 475004, Peoples R China; [Zhang, Fan] Henan Univ, Henan Engn Res Ctr Intelligent Technol &amp; Applicat, Kaifeng 475004, Peoples R China; [Zhang, Yingqi] Henan Univ, Sch Comp &amp; Informat Engn, Kaifeng 475004, Peoples R China; [Zhang, Xinhong] Henan Univ, Sch Software, Kaifeng 475004, Peoples R China</t>
  </si>
  <si>
    <t>Henan University; Henan University; Henan University; Henan University</t>
  </si>
  <si>
    <t>Zhang, XH (corresponding author), Henan Univ, Sch Software, Kaifeng 475004, Peoples R China.</t>
  </si>
  <si>
    <t>zxh@henu.edu.cn</t>
  </si>
  <si>
    <t>sheng, chen/JEO-8801-2023</t>
  </si>
  <si>
    <t>Key scientific and technological project of Henan Province, China [222102310090]; Postgrad-uate Education Reform and Quality Improvement Project of Henan Province, China [YJS2022AL098, YJS2022JD26]</t>
  </si>
  <si>
    <t>Key scientific and technological project of Henan Province, China; Postgrad-uate Education Reform and Quality Improvement Project of Henan Province, China</t>
  </si>
  <si>
    <t>Acknowledgments This research was supported by the Key scientific and technological project of Henan Province, China (222102310090) and the Postgrad-uate Education Reform and Quality Improvement Project of Henan Province, China (YJS2022AL098 and YJS2022JD26) .</t>
  </si>
  <si>
    <t>0959-6526</t>
  </si>
  <si>
    <t>1879-1786</t>
  </si>
  <si>
    <t>J CLEAN PROD</t>
  </si>
  <si>
    <t>J. Clean Prod.</t>
  </si>
  <si>
    <t>FEB 20</t>
  </si>
  <si>
    <t>10.1016/j.jclepro.2023.136117</t>
  </si>
  <si>
    <t>Green &amp; Sustainable Science &amp; Technology; Engineering, Environmental; Environmental Sciences</t>
  </si>
  <si>
    <t>Science &amp; Technology - Other Topics; Engineering; Environmental Sciences &amp; Ecology</t>
  </si>
  <si>
    <t>C7TY9</t>
  </si>
  <si>
    <t>WOS:000963911400001</t>
  </si>
  <si>
    <t>Wang, HY; Wu, WZ; Dou, Z; He, LL; Yang, LQ</t>
  </si>
  <si>
    <t>Wang, Hongyan; Wu, Weizhen; Dou, Zhi; He, Liangliang; Yang, Liqiang</t>
  </si>
  <si>
    <t>Performance and exploration of ChatGPT in medical examination, records and education in Chinese: Pave the way for medical AI</t>
  </si>
  <si>
    <t>INTERNATIONAL JOURNAL OF MEDICAL INFORMATICS</t>
  </si>
  <si>
    <t>Background: Although chat generative pre-trained transformer (ChatGPT) has made several successful attempts in the medical field, most notably in answering medical questions in English, no studies have evaluated ChatGPT's performance in a Chinese context for a medical task.Objective: The aim of this study was to evaluate ChatGPT's ability to understand medical knowledge in Chinese, as well as its potential to serve as an electronic health infrastructure for medical development, by evaluating its performance in medical examinations, records, and education.Method: The Chinese (CNMLE) and English (ENMLE) datasets of the China National Medical Licensing Examination and the Chinese dataset (NEEPM) of the China National Entrance Examination for Postgraduate Clinical Medicine Comprehensive Ability were used to evaluate the performance of ChatGPT (GPT-3.5 and GPT-4). We assessed answer accuracy, verbal fluency, and the classification of incorrect responses owing to hallucinations on multiple occasions. In addition, we tested ChatGPT's performance on discharge summaries and group learning in a Chinese context on a small scale.Results: The accuracy of GPT-3.5 in CNMLE, ENMLE, and NEEPM was 56% (56/100), 76% (76/100), and 62% (62/100), respectively, compared to that of GPT-4, which was of 84% (84/100), 86% (86/100), and 82% (82/100). The verbal fluency of all the ChatGPT responses exceeded 95%. Among the GPT-3.5 incorrect responses, the proportions of open-domain hallucinations were 66 % (29/44), 54 % (14/24), and 63 % (24/38), whereas close-domain hallucinations accounted for 34 % (15/44), 46 % (14/24), and 37 % (14/38), respectively. By contrast, GPT-4 open-domain hallucinations accounted for 56% (9/16), 43% (6/14), and 83% (15/ 18), while close-domain hallucinations accounted for 44% (7/16), 57% (8/14), and 17% (3/18), respectively. In the discharge summary, ChatGPT demonstrated logical coherence, however GPT-3.5 could not fulfill the quality requirements, while GPT-4 met the qualification of 60% (6/10). In group learning, the verbal fluency and interaction satisfaction with ChatGPT were 100% (10/10).Conclusion: ChatGPT based on GPT-4 is at par with Chinese medical practitioners who passed the CNMLE and at the standard required for admission to clinical medical graduate programs in China. The GPT-4 shows promising potential for discharge summarization and group learning. Additionally, it shows high verbal fluency, resulting in a positive human-computer interaction experience. GPT-4 significantly improves multiple capabilities and reduces hallucinations compared to the previous GPT-3.5 model, with a particular leap forward in the Chinese comprehension capability of medical tasks. Artificial intelligence (AI) systems face the challenges of hallucinations, legal risks, and ethical issues. However, we discovered ChatGPT's potential to promote medical development as an electronic health infrastructure, paving the way for Medical AI to become necessary.</t>
  </si>
  <si>
    <t>[Wang, Hongyan; Dou, Zhi; He, Liangliang; Yang, Liqiang] Capital Med Univ, Xuanwu Hosp, Dept Pain Management, Beijing, Peoples R China; [Wu, Weizhen] Jilin Univ, China Japan Union Hosp, Dept Anesthesia, Changchun, Peoples R China</t>
  </si>
  <si>
    <t>Capital Medical University; Jilin University</t>
  </si>
  <si>
    <t>Yang, LQ (corresponding author), Capital Med Univ, Xuanwu Hosp, Dept Pain Management, Beijing, Peoples R China.</t>
  </si>
  <si>
    <t>yangliqiangxwpain@outlook.com</t>
  </si>
  <si>
    <t>Key Medical Spe-cialty Development Plan of Beijing Hospitals Authority, China; [ZYLX 202134]</t>
  </si>
  <si>
    <t>Key Medical Spe-cialty Development Plan of Beijing Hospitals Authority, China;</t>
  </si>
  <si>
    <t>This study is financially supported in part by The Key Medical Spe-cialty Development Plan of Beijing Hospitals Authority, China (Project No.: ZYLX 202134) . The content is solely the responsibility of the au-thors and does not represent the views of the authority.</t>
  </si>
  <si>
    <t>ELSEVIER IRELAND LTD</t>
  </si>
  <si>
    <t>CLARE</t>
  </si>
  <si>
    <t>ELSEVIER HOUSE, BROOKVALE PLAZA, EAST PARK SHANNON, CO, CLARE, 00000, IRELAND</t>
  </si>
  <si>
    <t>1386-5056</t>
  </si>
  <si>
    <t>1872-8243</t>
  </si>
  <si>
    <t>INT J MED INFORM</t>
  </si>
  <si>
    <t>Int. J. Med. Inform.</t>
  </si>
  <si>
    <t>10.1016/j.ijmedinf.2023.105173</t>
  </si>
  <si>
    <t>Computer Science, Information Systems; Health Care Sciences &amp; Services; Medical Informatics</t>
  </si>
  <si>
    <t>Computer Science; Health Care Sciences &amp; Services; Medical Informatics</t>
  </si>
  <si>
    <t>Q1TP5</t>
  </si>
  <si>
    <t>WOS:001055416700001</t>
  </si>
  <si>
    <t>Lancaster, T</t>
  </si>
  <si>
    <t>Lancaster, Thomas</t>
  </si>
  <si>
    <t>Artificial intelligence, text generation tools and ChatGPT - does digital watermarking offer a solution?</t>
  </si>
  <si>
    <t>Artificial intelligence; Academic integrity; Generative AI; ChatGPT; Text generation; Digital watermarking</t>
  </si>
  <si>
    <t>Text generation tools, often presented as a form of generative artificial intelligence, have the potential to pose a threat to the integrity of the educational system. They can be misused to afford students marks and qualifications that they do not deserve. The emergence of recent tools, such as ChatGPT, appear to have left the educational community unprepared, despite the fact that the computer science community has been working to develop and improve such tools for years. This paper provides an introduction to text generation tools intended for a non-specialist audience, discussing the types of assessments that students can outsource, showing the type of prompts that can be used to generate text, and illustrating one possible watermarking technique that may allow generated text to be detected. A small-scale study into watermarking suggests that this technique is feasible and show technical promise but should not be relied on as a solution to widespread use of artificial intelligence based tools by students. Alternative solutions are needed, including encouraging the educational community to work with artificial intelligence rather than against it. As such, the paper concludes by discussing seven potential areas for further exploration.</t>
  </si>
  <si>
    <t>[Lancaster, Thomas] Imperial Coll London, Dept Comp, London, England</t>
  </si>
  <si>
    <t>Lancaster, T (corresponding author), Imperial Coll London, Dept Comp, London, England.</t>
  </si>
  <si>
    <t>thomas@thomaslancaster.co.uk</t>
  </si>
  <si>
    <t>Lancaster, Thomas/AAP-3159-2021</t>
  </si>
  <si>
    <t>Lancaster, Thomas/0000-0002-1534-7547</t>
  </si>
  <si>
    <t>JUN 5</t>
  </si>
  <si>
    <t>10.1007/s40979-023-00131-6</t>
  </si>
  <si>
    <t>H9FZ5</t>
  </si>
  <si>
    <t>WOS:000998947100001</t>
  </si>
  <si>
    <t>Niu, YM; Xue, H</t>
  </si>
  <si>
    <t>Niu, Yanmin; Xue, Han</t>
  </si>
  <si>
    <t>Exercise Generation and Student Cognitive Ability Research Based on ChatGPT and Rasch Model</t>
  </si>
  <si>
    <t>Generative artificial intelligence; Rasch model; personalized question matching; cognitiveability; operating system exercises</t>
  </si>
  <si>
    <t>In the context of generative artificial intelligence (AI), AIGCP (content generation-based AI products), represented by ChatGPT, have attracted extensive attention in the field of education. This study focuses on the discipline of university operating systems and adopts the Rasch model as the theoretical foundation. By combining ChatGPT with existing question banks and using the bidirectional fine-grained table method, it compiles questions that match the corresponding abilities for three different levels of student groups. This aims to explore personalized question matching and student cognitive ability analysis methods to support personalized teaching. The research findings indicate that ChatGPT is capable of matching exercises of similar difficulty under the Rasch model, but its accuracy in generating exercise content is relatively low, and the variety of exercise content is limited. Students' performance in overall competency requires improvement. This study aims to leverage the combined strengths of ChatGPT and traditional educational assessment methods to introduce an innovative approach to support personalized instruction. It aims to establish the routine utilization of exercise creation by ChatGPT and personalized analysis of student cognitive abilities, thereby better fulfilling the demands of education within the classroom setting.</t>
  </si>
  <si>
    <t>[Niu, Yanmin; Xue, Han] Chongqing Normal Univ, Coll Comp &amp; Informat Sci, Chongqing 401331, Peoples R China</t>
  </si>
  <si>
    <t>Chongqing Normal University</t>
  </si>
  <si>
    <t>Niu, YM (corresponding author), Chongqing Normal Univ, Coll Comp &amp; Informat Sci, Chongqing 401331, Peoples R China.</t>
  </si>
  <si>
    <t>niuym@cqnu.edu.cn</t>
  </si>
  <si>
    <t>Chongqing Normal University [20XLB035]</t>
  </si>
  <si>
    <t>This work was supported in part by the Chongqing Normal University under Grant 20XLB035.</t>
  </si>
  <si>
    <t>10.1109/ACCESS.2023.3325741</t>
  </si>
  <si>
    <t>X2RM8</t>
  </si>
  <si>
    <t>WOS:001096979600001</t>
  </si>
  <si>
    <t>Qu, Z; Fan, GW; Zhao, ZC; Jia, L; Shi, J; Ai, JQ</t>
  </si>
  <si>
    <t>Qu, Zheng; Fan, Gaowei; Zhao, Zhicheng; Jia, Lu; Shi, Jun; Ai, Jiaqiu</t>
  </si>
  <si>
    <t>Synthetic aperture radar ground target image generation based on improved Wasserstein generative adversarial networks with gradient penalty</t>
  </si>
  <si>
    <t>JOURNAL OF APPLIED REMOTE SENSING</t>
  </si>
  <si>
    <t>synthetic aperture radar ground target image generation; improved WGAN with gradient penalty; squeeze-and-excitation module; dense connection; multi-layered optimal feature fusion</t>
  </si>
  <si>
    <t>DATA AUGMENTATION; SAR</t>
  </si>
  <si>
    <t>The traditional generative adversarial network (GAN) is widely used in the field of synthetic aperture radar (SAR) ground target image generation. However, GAN has the problem of unstable gradient update, which can easily cause the loss of image feature information, resulting in a low similarity between the generated image and the real image. To solve these problems, we propose an improved Wasserstein GAN with gradient penalty (IWGAN-GP), which introduces dense connection in the generator, integrates feature information at different levels to achieve feature reuse, and alleviates the gradient disappearance problem caused by deep networks. Moreover, by introducing the squeeze-and-excitation (SE) module into the densely connected network, on the basis of considering high-level semantic information and low-level geometric texture details, the optimal fusion weights of each channel can be automatically obtained to fully explore important target information in SAR images. IWGAN-GP alleviates the gradient disappearance caused by the depth of the network, strengthens feature propagation, and realizes feature reuse. It can automatically obtain the optimal fusion weight of each channel and improve the similarity between the generated image and the real image. The superiority of IWGAN-GP is verified on the datasets of MSTAR.</t>
  </si>
  <si>
    <t>[Qu, Zheng; Fan, Gaowei; Jia, Lu; Ai, Jiaqiu] Hefei Univ Technol, Sch Comp Sci &amp; Informat Engn, Hefei, Peoples R China; [Zhao, Zhicheng] Anhui Univ, Informat Mat &amp; Intelligent Sensing Lab Anhui Prov, Hefei, Peoples R China; [Zhao, Zhicheng] Hefei Univ Technol, Sch Artificial Intelligence, Hefei, Peoples R China; [Shi, Jun] Hefei Univ Technol, Sch Software, Hefei, Peoples R China; [Ai, Jiaqiu] Hefei Univ Technol, Intelligent Interconnected Syst Lab Anhui Prov, Hefei, Peoples R China</t>
  </si>
  <si>
    <t>Hefei University of Technology; Anhui University; Hefei University of Technology; Hefei University of Technology; Hefei University of Technology</t>
  </si>
  <si>
    <t>Ai, JQ (corresponding author), Hefei Univ Technol, Sch Comp Sci &amp; Informat Engn, Hefei, Peoples R China.;Ai, JQ (corresponding author), Hefei Univ Technol, Intelligent Interconnected Syst Lab Anhui Prov, Hefei, Peoples R China.</t>
  </si>
  <si>
    <t>2021171111@mail.hfut.edu.cn; 2020171090@mail.hfut.edu.cn; zhaozhicheng@vip.163.com; lujia@hfut.edu.cn; juns@hfut.edu.cn; aijiaqiu1985@hfut.edu.cn</t>
  </si>
  <si>
    <t>This work was supported in part by the National Natural Science Foundation of China under Grant No. 62071164, by the Hefei Municipal Natural Science Foundation under Grant No. 2022001, and by the open fund of Information Materials and Intelligent Sensing L [62071164]; National Natural Science Foundation of China [2022001]; Hefei Municipal Natural Science Foundation [IMIS202214, IMIS202102]; open fund of Information Materials and Intelligent Sensing Laboratory of Anhui Province (Anhui University)</t>
  </si>
  <si>
    <t>This work was supported in part by the National Natural Science Foundation of China under Grant No. 62071164, by the Hefei Municipal Natural Science Foundation under Grant No. 2022001, and by the open fund of Information Materials and Intelligent Sensing L; National Natural Science Foundation of China(National Natural Science Foundation of China (NSFC)); Hefei Municipal Natural Science Foundation; open fund of Information Materials and Intelligent Sensing Laboratory of Anhui Province (Anhui University)</t>
  </si>
  <si>
    <t>This work was supported in part by the National Natural Science Foundation of China under Grant No. 62071164, by the Hefei Municipal Natural Science Foundation under Grant No. 2022001, and by the open fund of Information Materials and Intelligent Sensing Laboratory of Anhui Province (Anhui University) under Grant Nos. IMIS202214 and IMIS202102. The authors thank the funds for providing financial and other supports for the research work. The authors would also like to thank the editor, the associate editor, and the anonymous reviewers for their constructive work that significantly elevated the content of this paper.</t>
  </si>
  <si>
    <t>SPIE-SOC PHOTO-OPTICAL INSTRUMENTATION ENGINEERS</t>
  </si>
  <si>
    <t>1000 20TH ST, PO BOX 10, BELLINGHAM, WA 98225 USA</t>
  </si>
  <si>
    <t>1931-3195</t>
  </si>
  <si>
    <t>J APPL REMOTE SENS</t>
  </si>
  <si>
    <t>J. Appl. Remote Sens.</t>
  </si>
  <si>
    <t>10.1117/1.JRS.17.036501</t>
  </si>
  <si>
    <t>Environmental Sciences; Remote Sensing; Imaging Science &amp; Photographic Technology</t>
  </si>
  <si>
    <t>Environmental Sciences &amp; Ecology; Remote Sensing; Imaging Science &amp; Photographic Technology</t>
  </si>
  <si>
    <t>T4QV8</t>
  </si>
  <si>
    <t>WOS:001077860300020</t>
  </si>
  <si>
    <t>Tian, Y; Zang, MY; Sharma, A; Gu, SZ; Leshno, A; Thakoor, KA</t>
  </si>
  <si>
    <t>Antony, B; Chen, H; Fang, H; Fu, H; Lee, CS; Zheng, Y</t>
  </si>
  <si>
    <t>Tian, Ye; Zang, Mingyang; Sharma, Anurag; Gu, Sophie Z.; Leshno, Ari; Thakoor, Kaveri A.</t>
  </si>
  <si>
    <t>Glaucoma Progression Detection and Humphrey Visual Field Prediction Using Discriminative and Generative Vision Transformers</t>
  </si>
  <si>
    <t>OPHTHALMIC MEDICAL IMAGE ANALYSIS, OMIA 2023</t>
  </si>
  <si>
    <t>10th International Workshop on Ophthalmic Medical Image Analysis (OMIA)</t>
  </si>
  <si>
    <t>OCT 12, 2023</t>
  </si>
  <si>
    <t>Glaucoma; Visual Field; Vision Transformer</t>
  </si>
  <si>
    <t>OPTICAL COHERENCE TOMOGRAPHY; LEARNING ALGORITHMS; RATES</t>
  </si>
  <si>
    <t>Glaucoma is one of the top causes of blindness worldwide. Assessing its progression is critical to determine potential visual impairment and to design sound treatment plans. Standard automated perimetry tests, commonly known as visual field (VF) tests, are clinically used to evaluate the state of functional vision. To provide an accurate and automatic diagnostic tool for clinical decision making in glaucoma progression, we utilize the predictive power of artificial intelligence (AI) and propose two vision transformer (ViT)-based deep learning (DL) networks. First, we optimize a spatiotemporal ViT to classify a subject's rate of glaucoma progression (GP) using only 3 baseline VFs; we explore threshold mean deviation (MD) rate of change from -0.3 to -1.5 dB/year and achieve up to 89% GP detection accuracy. Second, we develop a VF-to-VF generation architecture via a diffusion model with a ViT backbone. The model predicts future VFs with Pointwise Mean Absolute Error (PMAE) as low as 2.15 dB for mild VF deficits and is the first to extend VF prediction up to 10 years into the future. Our models are trained and validated on our '62K+' dataset, the largest available of VFs todate including at-risk, minority populations, thus ensuring our models' generalizability. We establish our computational methods and compare testing results on the publicly available UWHVF dataset. In short, our study utilizes novel AI methods for predicting future rates and patterns of glaucoma progression in order to expedite timely treatment for better patient quality of life. The code is available at https://github.com/AI4VSLab/GP-Detection-VF-Prediction.</t>
  </si>
  <si>
    <t>[Tian, Ye; Zang, Mingyang; Sharma, Anurag; Thakoor, Kaveri A.] Columbia Univ, Dept Biomed Engn, New York, NY 10027 USA; [Gu, Sophie Z.; Leshno, Ari; Thakoor, Kaveri A.] Columbia Univ, Irving Med Ctr, Dept Ophthalmol, New York, NY 10032 USA</t>
  </si>
  <si>
    <t>Columbia University; Columbia University; NewYork-Presbyterian Hospital</t>
  </si>
  <si>
    <t>Tian, Y (corresponding author), Columbia Univ, Dept Biomed Engn, New York, NY 10027 USA.</t>
  </si>
  <si>
    <t>yt2793@columbia.edu</t>
  </si>
  <si>
    <t>Zang, Mingyang/0009-0009-0830-6112; Leshno, Ari/0000-0002-8717-1659</t>
  </si>
  <si>
    <t>Research to Prevent Blindness</t>
  </si>
  <si>
    <t>Research to Prevent Blindness(Research to Prevent Blindness (RPB))</t>
  </si>
  <si>
    <t>The authors would like to thank Dr. Jeffrey M. Liebmann, Dr. George A. Cioffi, and Dr. Aaki G. Shukla for their guidance on clinical issues related to GP. This work was supported in part by an Unrestricted Grant from Research to Prevent Blindness awarded to Columbia Ophthalmology.</t>
  </si>
  <si>
    <t>978-3-031-44012-0; 978-3-031-44013-7</t>
  </si>
  <si>
    <t>10.1007/978-3-031-44013-7_7</t>
  </si>
  <si>
    <t>Computer Science, Artificial Intelligence; Computer Science, Theory &amp; Methods; Engineering, Biomedical; Ophthalmology</t>
  </si>
  <si>
    <t>Computer Science; Engineering; Ophthalmology</t>
  </si>
  <si>
    <t>BW2EE</t>
  </si>
  <si>
    <t>WOS:001116062200007</t>
  </si>
  <si>
    <t>Krstic, D; Petrovic, N; Suljovic, S; Al-Azzoni, I</t>
  </si>
  <si>
    <t>Krstic, Dragana; Petrovic, Nenad; Suljovic, Suad; Al-Azzoni, Issam</t>
  </si>
  <si>
    <t>AI-Enabled Framework for Mobile Network Experimentation Leveraging ChatGPT: Case Study of Channel Capacity Calculation for η-μ Fading and Co-Channel Interference</t>
  </si>
  <si>
    <t>Chat Generative Pre-trained Transformer (ChatGPT); machine learning; Neo4j; channel capacity (CC); selection combining (SC); eta-mu fading; co-channel interference (CCI)</t>
  </si>
  <si>
    <t>OUTAGE PROBABILITY ANALYSIS; MACRO-DIVERSITY SYSTEM; LEVEL-CROSSING RATE</t>
  </si>
  <si>
    <t>Artificial intelligence has been identified as one of the main driving forces of innovation in state-of-the-art mobile and wireless networks. It has enabled many novel usage scenarios, relying on predictive models for increasing network management efficiency. However, its adoption requires additional efforts, such as mastering the terminology, tools, and newly required steps of data importing and preparation, all of which increase the time required for experimentation. Therefore, we aimed to automate the manual steps as much as possible while reducing the overall cognitive load. In this paper, we explore the potential use of a novel Chat Generative Pre-trained Transformer (ChatGPT) conversational agent together with a model-driven approach relying on the Neo4j graph database in order to aid experimentation and analytics in the case of wireless network planning. As a case study, we present a derivation of the expression for the channel capacity (CC) metric in the case of eta-mu multipath fading and eta-mu co-channel interference. Moreover, the derived expression is leveraged for quality of service (QoS) estimation within the software simulation environment. ChatGPT, in synergy with a model-driven approach, is used to automate several steps: data importing, generation of graph construction, and machine learning-related Neo4j queries. According to the achieved outcomes, the proposed QoS estimation method, based on the derived CC expression (with precision up to the fifth significant digit), demonstrates satisfactory accuracy (up to 98%) and faster training than the deep neural network-based solution. On the other hand, compared to the manual approach based on our previous work, ChatGPT-based code generation reduces the time required for experimentation by more than 4 times.</t>
  </si>
  <si>
    <t>[Krstic, Dragana; Petrovic, Nenad] Univ Nis, Fac Elect Engn, Nish 18000, Serbia; [Suljovic, Suad] Acad Appl Tech Studies Belgrade, Beograd 11070, Serbia; [Al-Azzoni, Issam] Al Ain Univ, Coll Engn, Al Ain 64141, U Arab Emirates</t>
  </si>
  <si>
    <t>University of Nis</t>
  </si>
  <si>
    <t>Krstic, D; Petrovic, N (corresponding author), Univ Nis, Fac Elect Engn, Nish 18000, Serbia.</t>
  </si>
  <si>
    <t>dragana.krstic@elfak.ni.ac.rs; nenad.petrovic@elfak.ni.ac.rs; ssuljovic@atssb.edu.rs; issam.alazzoni@aau.ac.ae</t>
  </si>
  <si>
    <t>Krstic, Dragana/AFT-5078-2022</t>
  </si>
  <si>
    <t>Krstic, Dragana/0000-0002-2579-3911</t>
  </si>
  <si>
    <t>This paper was written partially under the Serbian Ministry of Science, Technological Development and Innovation.; Serbian Ministry of Science, Technological Development and Innovation</t>
  </si>
  <si>
    <t>This paper was written partially under the Serbian Ministry of Science, Technological Development and Innovation.</t>
  </si>
  <si>
    <t>10.3390/electronics12194088</t>
  </si>
  <si>
    <t>U4SG2</t>
  </si>
  <si>
    <t>WOS:001084708400001</t>
  </si>
  <si>
    <t>Nguyen, HT; Goebel, R; Toni, F; Stathis, K; Satoh, K</t>
  </si>
  <si>
    <t>Spanakis, J; VanDijck, G; Sileno, G</t>
  </si>
  <si>
    <t>Nguyen, Ha Thanh; Goebel, Randy; Toni, Francesca; Stathis, Kostas; Satoh, Ken</t>
  </si>
  <si>
    <t>LawGiBa - Combining GPT, Knowledge Bases, and Logic Programming in a Legal Assistance System</t>
  </si>
  <si>
    <t>LEGAL KNOWLEDGE AND INFORMATION SYSTEMS</t>
  </si>
  <si>
    <t>36th Annual International Conference on Legal Knowledge and Information Systems (JURIX)</t>
  </si>
  <si>
    <t>DEC 18-20, 2023</t>
  </si>
  <si>
    <t>Maastricht Univ, Maastricht, NETHERLANDS</t>
  </si>
  <si>
    <t>JURIX Fdn Legal Knowledge Based Syst</t>
  </si>
  <si>
    <t>Maastricht Univ</t>
  </si>
  <si>
    <t>interactive demonstration; ChatGPT; legal advice; knowledge base; logic programming; Prolog</t>
  </si>
  <si>
    <t>We present LawGiBa, a proof-of-concept demonstration system for legal assistance that combines GPT, legal knowledge bases, and Prolog's logic programming structure to provide explanations for legal queries. This novel combination effectively and feasibly addresses the hallucination issue of large language models (LLMs) in critical domains, such as law. Through this system, we demonstrate how incorporating a legal knowledge base and logical reasoning can enhance the accuracy and reliability of legal advice provided by AI models like GPT. Though our work is primarily a demonstration, it provides a framework to explore how knowledge bases and logic programming structures can be further integrated with generative AI systems, to achieve improved results across various natural languages and legal systems.</t>
  </si>
  <si>
    <t>[Nguyen, Ha Thanh; Satoh, Ken] Natl Inst Informat NII, Tokyo, Tokyo, Japan; [Goebel, Randy] Univ Alberta, Alberta Machine Intelligence Inst, Edmonton, AB, Canada; [Toni, Francesca] Imperial Coll London, London, England; [Stathis, Kostas] Univ London, Royal Holloway, London, England</t>
  </si>
  <si>
    <t>Research Organization of Information &amp; Systems (ROIS); National Institute of Informatics (NII) - Japan; University of Alberta; Imperial College London; University of London; Royal Holloway University London</t>
  </si>
  <si>
    <t>Nguyen, HT (corresponding author), Natl Inst Informat NII, Tokyo, Tokyo, Japan.</t>
  </si>
  <si>
    <t>AIP challenge funding related with JST, AIP Trilateral AI Research [JPMJCR20G4]</t>
  </si>
  <si>
    <t>AIP challenge funding related with JST, AIP Trilateral AI Research</t>
  </si>
  <si>
    <t>This work was supported by the AIP challenge funding related with JST, AIP Trilateral AI Research, Grant Number JPMJCR20G4.</t>
  </si>
  <si>
    <t>978-1-64368-472-7; 978-1-64368-473-4</t>
  </si>
  <si>
    <t>10.3233/FAIA230991</t>
  </si>
  <si>
    <t>Computer Science, Artificial Intelligence; Computer Science, Information Systems; Information Science &amp; Library Science; Law</t>
  </si>
  <si>
    <t>Computer Science; Information Science &amp; Library Science; Government &amp; Law</t>
  </si>
  <si>
    <t>BW6JJ</t>
  </si>
  <si>
    <t>WOS:001175464100050</t>
  </si>
  <si>
    <t>Crothers, EN; Japkowicz, N; Viktor, HL</t>
  </si>
  <si>
    <t>Crothers, Evan N.; Japkowicz, Nathalie; Viktor, Herna L.</t>
  </si>
  <si>
    <t>Machine-Generated Text: A Comprehensive Survey of Threat Models and Detection Methods</t>
  </si>
  <si>
    <t>Artificial intelligence; cybersecurity; disinformation; generative AI; large language models; machine learning; text generation; threat modeling; transformer; trustworthy AI</t>
  </si>
  <si>
    <t>Machine-generated text is increasingly difficult to distinguish from text authored by humans. Powerful open-source models are freely available, and user-friendly tools that democratize access to generative models are proliferating. ChatGPT, which was released shortly after the first edition of this survey, epitomizes these trends. The great potential of state-of-the-art natural language generation (NLG) systems is tempered by the multitude of avenues for abuse. Detection of machine-generated text is a key countermeasure for reducing the abuse of NLG models, and presents significant technical challenges and numerous open problems. We provide a survey that includes 1) an extensive analysis of threat models posed by contemporary NLG systems and 2) the most complete review of machine-generated text detection methods to date. This survey places machine-generated text within its cybersecurity and social context, and provides strong guidance for future work addressing the most critical threat models. While doing so, we highlight the importance that detection systems themselves demonstrate trustworthiness through fairness, robustness, and accountability.</t>
  </si>
  <si>
    <t>[Crothers, Evan N.; Viktor, Herna L.] Univ Ottawa, Sch Elect Engn &amp; Comp Sci, Ottawa, ON K1N 6N5, Canada; [Japkowicz, Nathalie] Amer Univ, Dept Comp Sci, Washington, DC 20016 USA</t>
  </si>
  <si>
    <t>University of Ottawa; American University</t>
  </si>
  <si>
    <t>Crothers, EN (corresponding author), Univ Ottawa, Sch Elect Engn &amp; Comp Sci, Ottawa, ON K1N 6N5, Canada.</t>
  </si>
  <si>
    <t>ecrot027@uottawa.ca</t>
  </si>
  <si>
    <t>Viktor, Herna L/0000-0003-1914-5077; Japkowicz, Nathalie/0000-0003-1176-1617; Crothers, Evan/0000-0001-6177-0525</t>
  </si>
  <si>
    <t>Natural Sciences and Engineering Research Council of Canada (NSERC) [RGPIN-2018-04047]</t>
  </si>
  <si>
    <t>Natural Sciences and Engineering Research Council of Canada (NSERC)(Natural Sciences and Engineering Research Council of Canada (NSERC))</t>
  </si>
  <si>
    <t>This work was supported by the Natural Sciences and Engineering Research Council of Canada (NSERC) under Reference RGPIN-2018-04047.</t>
  </si>
  <si>
    <t>10.1109/ACCESS.2023.3294090</t>
  </si>
  <si>
    <t>M9QS6</t>
  </si>
  <si>
    <t>WOS:001033493400001</t>
  </si>
  <si>
    <t>Daduna, JR; Liedtke, G; Shi, X; Voss, S</t>
  </si>
  <si>
    <t>Successfully Using ChatGPT in Logistics: Are We There Yet?</t>
  </si>
  <si>
    <t>COMPUTATIONAL LOGISTICS, ICCL 2023</t>
  </si>
  <si>
    <t>14th International Conferences on Computational Logistics (ICCL)</t>
  </si>
  <si>
    <t>SEP 06-08, 2023</t>
  </si>
  <si>
    <t>Generative artificial intelligence; ChatGPT; Computational logistics; Artificial intelligence; Stochastic vehicle routing problem with uncertain number of vehicles; Right-hand-side uncertainty</t>
  </si>
  <si>
    <t>ChatGPT is among the recent most-commonly discussed artificial intelligence systems. While many success stories as well as misuses are exemplified in different fields like, e.g., education, the usefulness in various academic disciplines with very close ties to practical applications still needs to be proven. In this paper we explore the use of this artificial intelligence (AI) tool within the logistics domain. As a lesson learned, one has to be careful. That is, answers cannot always be granted as being correct. Beyond diving into related literature, we explore the use of ChatGPT regarding an as yet underexplored (even without consulting generative AI tools) logistics problem, that is, the stochastic vehicle routing problem with uncertainty in the number of available vehicles.</t>
  </si>
  <si>
    <t>[Voss, Stefan] Univ Hamburg, Inst Informat Syst, Von Melle Pk 5, D-20146 Hamburg, Germany</t>
  </si>
  <si>
    <t>Voss, S (corresponding author), Univ Hamburg, Inst Informat Syst, Von Melle Pk 5, D-20146 Hamburg, Germany.</t>
  </si>
  <si>
    <t>978-3-031-43611-6; 978-3-031-43612-3</t>
  </si>
  <si>
    <t>10.1007/978-3-031-43612-3_1</t>
  </si>
  <si>
    <t>Computer Science, Interdisciplinary Applications; Operations Research &amp; Management Science; Transportation Science &amp; Technology</t>
  </si>
  <si>
    <t>Computer Science; Operations Research &amp; Management Science; Transportation</t>
  </si>
  <si>
    <t>BW5BX</t>
  </si>
  <si>
    <t>WOS:001158863600001</t>
  </si>
  <si>
    <t>Lo, E; Chen, PY</t>
  </si>
  <si>
    <t>Lo, Elvin; Chen, Pin-Yu</t>
  </si>
  <si>
    <t>Understanding and improving zeroth-order optimization methods on AI-driven molecule optimization</t>
  </si>
  <si>
    <t>Molecule optimization is an important problem in chemical discovery and has been approached using many techniques, including generative modeling, reinforcement learning, genetic algorithms, and much more. Recent work has also applied zeroth-order (ZO) optimization, a subset of gradient-free optimization that solves problems similarly to gradient-based methods, for optimizing latent vector representations from an autoencoder. In this paper, we study the effectiveness of various ZO optimization methods for optimizing molecular objectives, which are characterized by variable smoothness, infrequent optima, and other challenges. We provide insights into the robustness of various ZO optimizers in this setting, show the underperformance of the ZO gradient descent (ZO-GD) and advantages of the ZO sign-based gradient descent (ZO-signGD), discuss how ZO optimization can be used practically in realistic discovery tasks, and demonstrate the potential effectiveness of ZO optimization methods on widely used benchmark tasks from the Guacamol suite. The code is available at: https://github.com/IBM/QMO-bench. We benchmark zeroth-order methods for molecule optimization and discuss how they may be effectively used for practical molecule discovery.</t>
  </si>
  <si>
    <t>[Lo, Elvin] Horace Greeley High Sch, Chappaqua, NY 10514 USA; [Chen, Pin-Yu] IBM Res, Yorktown Hts, NY 10598 USA</t>
  </si>
  <si>
    <t>Chen, PY (corresponding author), IBM Res, Yorktown Hts, NY 10598 USA.</t>
  </si>
  <si>
    <t>elvinlo922@gmail.com; pin-yu.chen@ibm.com</t>
  </si>
  <si>
    <t>Chen, Pin-Yu/AAA-1059-2020</t>
  </si>
  <si>
    <t>Chen, Pin-Yu/0000-0003-1039-8369</t>
  </si>
  <si>
    <t>The authors thank Vijil Chenthamarakshan and Payel Das from IBM Research in acknowledgment of their valuable feedback.</t>
  </si>
  <si>
    <t>OCT 9</t>
  </si>
  <si>
    <t>10.1039/d3dd00076a</t>
  </si>
  <si>
    <t>X9OH5</t>
  </si>
  <si>
    <t>WOS:001101656600001</t>
  </si>
  <si>
    <t>Banerjee, A; Ahmad, A; Bhalla, P; Goyal, K</t>
  </si>
  <si>
    <t>Banerjee, Arijita; Ahmad, Aquil; Bhalla, Payal; Goyal, Kavita</t>
  </si>
  <si>
    <t>Assessing the Efficacy of ChatGPT in Solving Questions Based on the Core Concepts in Physiology</t>
  </si>
  <si>
    <t>artificial intelligence (ai); transfer of learning; core concepts; medical physiology; chat gpt</t>
  </si>
  <si>
    <t>Background and objectiveChatGPT is a large language model (LLM) generative artificial intelligence (AI) chatbot trained through deep learning to produce human-like language skills and analysis of simple problems across a wide variety of subject areas. However, in terms of facilitating the transfer of learning in medical education, a concern has arisen that while AI is adept at applying surface-level understanding, it does not have the necessary indepth knowledge to act at an expert level, particularly in addressing the core concepts. In this study, we explored the efficacy of ChatGPT in solving various reasoning questions based on the five core concepts applied to different modules in the subject of physiology.Materials and methodsIn this study, a total of 82 reasoning-type questions from six modules applicable to the five core concepts were created by the subject experts. The questions were used to chat with the conversational AI tool and the responses generated at first instance were considered for scoring and analysis. To compare the scores among various modules and five core concepts separately, the Kruskal-Wallis test along with post hoc analysis were used.ResultsThe overall mean score for the modules (60 questions) was 3.72 +0.26 while the average score obtained for the core concepts (60 questions) was 3.68 +0.30. Furthermore, statistically significant differences (p=0.05 for modules and p=0.024 for core concepts) were observed among various modules as well as core concepts. ConclusionThe significant differences observed in the scores among various modules and core concepts highlight the varying execution of the same software tool, thereby necessitating the need for further evaluation of AI enabled learning applications to enhance the transfer of learning among undergraduates.</t>
  </si>
  <si>
    <t>[Banerjee, Arijita] Indian Inst Technol Kharagpur, Physiol, Kharagpur, India; [Ahmad, Aquil; Bhalla, Payal] Maulana Azad Med Coll, Physiol, New Delhi, India; [Goyal, Kavita] Shri Atal Bihari Vajpayee Med Coll, Physiol, Faridabad, India</t>
  </si>
  <si>
    <t>Indian Institute of Technology System (IIT System); Indian Institute of Technology (IIT) - Kharagpur; Maulana Azad Medical College</t>
  </si>
  <si>
    <t>Banerjee, A (corresponding author), Indian Inst Technol Kharagpur, Physiol, Kharagpur, India.</t>
  </si>
  <si>
    <t>b.arijita@gmail.com</t>
  </si>
  <si>
    <t>10.7759/cureus.43314</t>
  </si>
  <si>
    <t>Q0KC2</t>
  </si>
  <si>
    <t>WOS:001054475400028</t>
  </si>
  <si>
    <t>Dong, L; Qiu, JW; Fu, ZW; Chen, LY; Cui, XH; Shen, ZD</t>
  </si>
  <si>
    <t>Dong, Liang; Qiu, Jiawei; Fu, Zhongwang; Chen, Leiyang; Cui, Xiaohui; Shen, Zhidong</t>
  </si>
  <si>
    <t>Stealthy dynamic backdoor attack against neural networks for image classification</t>
  </si>
  <si>
    <t>Information hiding; Backdoor attack; Deep Neural Network; Generative Adversarial Network; AI security</t>
  </si>
  <si>
    <t>Deep Neural Networks (DNNs) are vulnerable to backdoor attacks, which are external entity model providers that can inject backdoors into the network for illegal purposes. Current attack methods rely on manipulated images with embedded triggers to infiltrate carrier networks, but they suffer from detectable distortions and limited integration into neural networks. To delve further into the potential vulnerabilities of these models, this study introduces an innovative backdoor attack strategy, leveraging deep learning steganography through a Generative Adversarial Network (GAN). Our approach utilizes steganography to create manipulated images, capitalizing on the unique sensitivity of neural networks to minute perturbations. The network is then trained de novo with these manipulated images, creating a backdoor-infused model. Fundamentally, our method harnesses the pronounced sensitivity of DNNs to nuanced alterations. Experimental outcomes substantiate that our backdoor can be effectively integrated into the models, yielding high attack success rates. Notably, it also adeptly circumvents both contemporary state-of-the-art defense mechanisms and human inspection. Our source code is publicly accessible at https://github.com/DLAIResearch/NNSDB.</t>
  </si>
  <si>
    <t>[Dong, Liang; Qiu, Jiawei; Fu, Zhongwang; Chen, Leiyang; Cui, Xiaohui; Shen, Zhidong] Wuhan Univ, Sch Cyber Sci &amp; Engn, Wuhan, Peoples R China; [Dong, Liang; Qiu, Jiawei; Fu, Zhongwang; Chen, Leiyang; Cui, Xiaohui; Shen, Zhidong] Minist Educ, Key Lab Aerosp Informat Secur &amp; Trusted Comp, Wuhan, Peoples R China</t>
  </si>
  <si>
    <t>Cui, XH; Shen, ZD (corresponding author), Wuhan Univ, Sch Cyber Sci &amp; Engn, Wuhan, Peoples R China.;Cui, XH; Shen, ZD (corresponding author), Minist Educ, Key Lab Aerosp Informat Secur &amp; Trusted Comp, Wuhan, Peoples R China.</t>
  </si>
  <si>
    <t>dongliang0607@whu.edu.cn; xcui@whu.edu.cn; shenzd@whu.edu.cn</t>
  </si>
  <si>
    <t>Wang, Peiyun/JVE-1196-2024; Dong, Liang/JZD-4605-2024</t>
  </si>
  <si>
    <t>Liang, Dong/0000-0002-9708-5391</t>
  </si>
  <si>
    <t>Science and Technology Department of Yunnan Province (Research and Application of Object Detection based on Artificial Intelligence), China; Key R&amp;D projects in Hubei Province, China [2022BAA041]</t>
  </si>
  <si>
    <t>Science and Technology Department of Yunnan Province (Research and Application of Object Detection based on Artificial Intelligence), China; Key R&amp;D projects in Hubei Province, China</t>
  </si>
  <si>
    <t>The work was supported by the program of the Science and Technology Department of Yunnan Province (Research and Application of Object Detection based on Artificial Intelligence), China and the Key R &amp; D projects in Hubei Province, China under Grant (No. 2022BAA041). The numerical calculations in this paper have been done on the super-computing system in the Supercomputing Center of Wuhan University.</t>
  </si>
  <si>
    <t>10.1016/j.asoc.2023.110993</t>
  </si>
  <si>
    <t>Z0CG0</t>
  </si>
  <si>
    <t>WOS:001108842700001</t>
  </si>
  <si>
    <t>Cuthbert, R; Simpson, A</t>
  </si>
  <si>
    <t>Cuthbert, Rory; Simpson, Ashley, I</t>
  </si>
  <si>
    <t>Artificial intelligence in orthopaedics: can Chat Generative Pre-trained Transformer (ChatGPT) pass Section 1 of the Fellowship of the Royal College of Surgeons (Trauma &amp; Orthopaedics) examination?</t>
  </si>
  <si>
    <t>artificial intelligence; trauma; orthopaedics; surgeons; examination</t>
  </si>
  <si>
    <t>Purpose Chat Generative Pre-trained Transformer (ChatGPT) is a large language artificial intelligence (AI) model which generates contextually relevant text in response to questioning. After ChatGPT successfully passed the United States Medical Licensing Examinations, proponents have argued it should play an increasing role in medical service provision and education. AI in healthcare remains in its infancy, and the reliability of AI systems must be scrutinized. This study assessed whether ChatGPT could pass Section 1 of the Fellowship of the Royal College of Surgeons (FRCS) examination in Trauma and Orthopaedic Surgery. Methods The UK and Ireland In-Training Examination (UKITE) was used as a surrogate for the FRCS. Papers 1 and 2 of UKITE 2022 were directly inputted into ChatGPT. All questions were in a single-best-answer format without wording alterations. Imaging was trialled to ensure ChatGPT utilized this information. Results ChatGPT scored 35.8%: 30% lower than the FRCS pass rate and 8.2% lower than the mean score achieved by human candidates of all training levels. Subspecialty analysis demonstrated ChatGPT scored highest in basic science (53.3%) and lowest in trauma (0%). In 87 questions answered incorrectly, ChatGPT only stated it did not know the answer once and gave incorrect explanatory answers for the remaining questions. Conclusion ChatGPT is currently unable to exert the higher-order judgement and multilogical thinking required to pass the FRCS examination. Further, the current model fails to recognize its own limitations. ChatGPT's deficiencies should be publicized equally as much as its successes to ensure clinicians remain aware of its fallibility. Key messages What is already known on this topic Following ChatGPT's much-publicized success in passing the United States Medical Licensing Examinations, clinicians and medical students are using the model increasingly frequently for medical service provision and education. However ChatGPT remains in its infancy, and the model's reliability and accuracy remain unproven. What this study adds This study demonstrates ChatGPT is currently unable to exert the higher-order judgement and multilogical thinking required to pass the Fellowship of the Royal College of Surgeons (FRCS) (Trauma &amp; Orthopaedics) examination. Further, the current model fails to recognize its own limitations when offering both direct and explanatory answers. How this study might affect research, practice, or policy This study highlights the need for medical students and clinicians to exert caution when employing ChatGPT as a revision tool or applying it in clinical practice, and for patients to be aware of its fallibilities when using it as a health resource. Future research questions include: How can the reliability of ChatGPT's responses be regulated moving forward? Do postgraduate examinations adequately focus on higher-order judgement and multilogical thinking rather than simple fact recall? Will future models of ChatGPT develop the higher-order judgement to pass the FRCS (Trauma &amp; Orthopaedics) examination?</t>
  </si>
  <si>
    <t>[Cuthbert, Rory; Simpson, Ashley, I] Guys &amp; St Thomas Hosp Natl Hlth Serv Fdn Trust, London SE1 9RT, England</t>
  </si>
  <si>
    <t>Guy's &amp; St Thomas' NHS Foundation Trust</t>
  </si>
  <si>
    <t>Simpson, A (corresponding author), Guys &amp; St Thomas Hosp Natl Hlth Serv Fdn Trust, London SE1 9RT, England.</t>
  </si>
  <si>
    <t>rory.cuthbert@nhs.net</t>
  </si>
  <si>
    <t>Li, Meng/JRY-4275-2023</t>
  </si>
  <si>
    <t>Cuthbert, Rory/0000-0001-6211-3789; Simpson, Ashley/0000-0001-6232-536X</t>
  </si>
  <si>
    <t>10.1093/postmj/qgad053</t>
  </si>
  <si>
    <t>WOS:001022984800001</t>
  </si>
  <si>
    <t>Zang, SR; Chen, M; Ai, ZH; Chi, JR; Yang, GW; Chen, C; Yu, T</t>
  </si>
  <si>
    <t>Zang, Shengrui; Chen, Min; Ai, Zhenhua; Chi, Jieru; Yang, Guowei; Chen, Chenglizhao; Yu, Teng</t>
  </si>
  <si>
    <t>Texture-aware gray-scale image colorization using a bistream generative adversarial network with multi scale attention structure</t>
  </si>
  <si>
    <t>Image colorization; Bistream structure; Multi-scale attention</t>
  </si>
  <si>
    <t>Various methods based on deep neural networks have been proposed to generate color images from gray-scale images, meanwhile, Generative adversarial networks (GANs) are also gradually applied to image colorization. However, the existing methods are texture-unaware, resulting in dullish color and color bleeding artifacts in the output images. This paper attempt to integrate a novel texture-aware bistream GAN into the conventional encoder-decoder structure for image colorization. In this study, the proposed bistream feature extraction module (BSFEM) and the feature boosting module (FBM), extract the global and local features from two parallel encoders and fuse them via a novel hybrid attention structure, this novel structure could emphasize the importance of certain channels and locations of features that may potentially benefit image colorization. In addition, the texture colors can be better recovered though the proposed multi-scale feature attention module (MSFAM). The quantitative experiments demonstrate that, compared to the state-of-the-art approaches, the proposed method has improved the PSNR and SSIM metrics by 18% and 8% respectively. Moreover, the qualitative results show that this method is capable of producing visually pleasant color images especially in terms of recovering texture details and eliminating color bleeding along the edges. The source code and data are available online at https://github.com/JarryZang/Image-Colorization-.</t>
  </si>
  <si>
    <t>[Zang, Shengrui; Chen, Min; Ai, Zhenhua; Chi, Jieru; Yang, Guowei; Yu, Teng] Qingdao Univ, 308 Ningxia Rd, Qingdao 260000, Peoples R China; [Chen, Chenglizhao] China Univ Petr East China, Coll Comp Sci &amp; Technol, 66 Changjiang West Rd, Qingdao 266580, Peoples R China</t>
  </si>
  <si>
    <t>Qingdao University; China University of Petroleum</t>
  </si>
  <si>
    <t>Yu, T (corresponding author), Qingdao Univ, 308 Ningxia Rd, Qingdao 260000, Peoples R China.</t>
  </si>
  <si>
    <t>yuteng@qdu.edu.cn</t>
  </si>
  <si>
    <t>National Natural Sci-ence Foundation of China [62172229]; Natural Science Foundation of Shandong Province, China [ZR2021MF025]</t>
  </si>
  <si>
    <t>National Natural Sci-ence Foundation of China(National Natural Science Foundation of China (NSFC)); Natural Science Foundation of Shandong Province, China(Natural Science Foundation of Shandong Province)</t>
  </si>
  <si>
    <t>Acknowledgments This work was supported in part by the National Natural Sci-ence Foundation of China under Grant 62172229 and Natural Science Foundation of Shandong Province, China under Grant ZR2021MF025.</t>
  </si>
  <si>
    <t>10.1016/j.engappai.2023.106094</t>
  </si>
  <si>
    <t>A1DC1</t>
  </si>
  <si>
    <t>WOS:000952594200001</t>
  </si>
  <si>
    <t>Straub, VJ; Morgan, D; Bright, J; Margetts, H</t>
  </si>
  <si>
    <t>Straub, Vincent J.; Morgan, Deborah; Bright, Jonathan; Margetts, Helen</t>
  </si>
  <si>
    <t>Artificial intelligence in government: Concepts, standards, and a unified framework</t>
  </si>
  <si>
    <t>GOVERNMENT INFORMATION QUARTERLY</t>
  </si>
  <si>
    <t>Government; Public administration; Artificial intelligence; Machine learning; Review; Typology; Standards</t>
  </si>
  <si>
    <t>BLACK-BOX; BIG DATA; DISCRETION; ETHICS; FORM; AI</t>
  </si>
  <si>
    <t>Recent advances in artificial intelligence (AI), especially in generative language modelling, hold the promise of transforming government. Given the advanced capabilities of new AI systems, it is critical that these are embedded using standard operational procedures, clear epistemic criteria, and behave in alignment with the normative expectations of society. Scholars in multiple domains have subsequently begun to conceptualize the different forms that AI applications may take, highlighting both their potential benefits and pitfalls. However, the literature remains fragmented, with researchers in social science disciplines like public administration and political science, and the fast-moving fields of AI, ML, and robotics, all developing concepts in relative isolation. Although there are calls to formalize the emerging study of AI in government, a balanced account that captures the full depth of theoretical perspectives needed to understand the consequences of embedding AI into a public sector context is lacking. Here, we unify efforts across social and technical disciplines by first conducting an integrative literature review to identify and cluster 69 key terms that frequently co-occur in the multidisciplinary study of AI. We then build on the results of this bibliometric analysis to propose three new multifaceted concepts for understanding and analysing AI-based systems for government (AI-GOV) in a more unified way: (1) operational fitness, (2) epistemic alignment, and (3) normative divergence. Finally, we put these concepts to work by using them as dimensions in a conceptual typology of AI-GOV and connecting each with emerging AI technical measurement standards to encourage operationalization, foster cross-disciplinary dialogue, and stimulate debate among those aiming to rethink government with AI.</t>
  </si>
  <si>
    <t>[Straub, Vincent J.; Morgan, Deborah; Bright, Jonathan; Margetts, Helen] Alan Turing Inst, London NW1 2DB, England; [Morgan, Deborah] Univ Bath, Dept Comp Sci, Accountable Responsible &amp; Transparent AI CDT, Bath, England; [Margetts, Helen] Univ Oxford, Oxford Internet Inst, Oxford, England; [Straub, Vincent J.] Univ Oxford, Leverhulme Ctr Demog Sci, Nuffield Dept Populat Hlth, Oxford, England</t>
  </si>
  <si>
    <t>University of Bath; University of Oxford; University of Oxford</t>
  </si>
  <si>
    <t>Straub, VJ; Bright, J (corresponding author), Alan Turing Inst, London NW1 2DB, England.;Straub, VJ (corresponding author), Univ Oxford, Leverhulme Ctr Demog Sci, Nuffield Dept Populat Hlth, Oxford, England.</t>
  </si>
  <si>
    <t>vincent.straub@ndph.ox.ac.uk; jbright@turing.ac.uk</t>
  </si>
  <si>
    <t>Straub, Vincent/0000-0003-3393-6027</t>
  </si>
  <si>
    <t>Towards Turing 2.0 under the EPSRC [EP/W037211/1]; Alan Turing Institute</t>
  </si>
  <si>
    <t>Towards Turing 2.0 under the EPSRC; Alan Turing Institute</t>
  </si>
  <si>
    <t>This work was supported by Towards Turing 2.0 under the EPSRC Grant EP/W037211/1 and The Alan Turing Institute.</t>
  </si>
  <si>
    <t>ELSEVIER INC</t>
  </si>
  <si>
    <t>525 B STREET, STE 1900, SAN DIEGO, CA 92101-4495 USA</t>
  </si>
  <si>
    <t>0740-624X</t>
  </si>
  <si>
    <t>1872-9517</t>
  </si>
  <si>
    <t>GOV INFORM Q</t>
  </si>
  <si>
    <t>Gov. Inf. Q.</t>
  </si>
  <si>
    <t>10.1016/j.giq.2023.101881</t>
  </si>
  <si>
    <t>Z4II9</t>
  </si>
  <si>
    <t>WOS:001111724600001</t>
  </si>
  <si>
    <t>Liu, JY; Li, CC; Liu, LP; Chen, HB; Han, H; Zhang, B; Zhang, Q</t>
  </si>
  <si>
    <t>Liu, Jieyi; Li, Changchun; Liu, Liping; Chen, Haobo; Han, Hong; Zhang, Bo; Zhang, Qi</t>
  </si>
  <si>
    <t>Speckle noise reduction for medical ultrasound images based on cycle-consistent generative adversarial network</t>
  </si>
  <si>
    <t>BIOMEDICAL SIGNAL PROCESSING AND CONTROL</t>
  </si>
  <si>
    <t>Ultrasound; Speckle; Image denoising; Deep learning; CycleGAN</t>
  </si>
  <si>
    <t>ANISOTROPIC DIFFUSION; NEURAL-NETWORK; ERROR; CRITERION; REMOVAL; FILTER</t>
  </si>
  <si>
    <t>Medical ultrasound (US) images are corrupted by speckle noise, which can adversely affect the disease diagnosis and treatment. Recently, the cycle-consistent adversarial network (CycleGAN) has been used in the style transfer for both natural and medical images. In this study, we aim to develop a US despeckling method based on the CycleGAN by the style transfer between the speckled noisy data domain and noise-free data domain by forming a bi-directional universal mapping. The inputs of noisy and noise-free images are designed in the CycleGAN model. For simulation work, we use both the multiplicative model and the spatial impulse response model to obtain noisy images from noise-free images. However, noise-free US images are not clinically available. Hence, for the real US despeckling scenario, the clinical images of hearts, lymph nodes, and breast tumors are used as noisy images; and the high-quality images that are derived from the clinical images by despeckling with the Gaborbased anisotropic diffusion (GAD) and selected with a new metric named the edge-to-noise ratio, are used as the noise-free images. We compare our CycleGAN based denoising method with nine existing denoising methods, i.e., the speckle reduction anisotropic diffusion, GAD, non-local means, wavelet transform, unbiased non-local means, statistical nearest-neighbors, TVHTVM, improved non-local self-similarity measures, and generative adversarial network. Our method outperforms other methods by visual assessment and quantitative comparison, which demonstrates its superiority for noise reduction and detail preservation.</t>
  </si>
  <si>
    <t>[Liu, Jieyi; Li, Changchun; Chen, Haobo; Zhang, Qi] Shanghai Univ, Shanghai Inst Adv Commun &amp; Data Sci, SMART Smart Med &amp; AI Based Radiol Technol Lab, Shanghai, Peoples R China; [Liu, Jieyi; Li, Changchun; Chen, Haobo; Zhang, Qi] Shanghai Univ, Sch Commun &amp; Informat Engn, Shanghai, Peoples R China; [Han, Hong] Fudan Univ, Zhongshan Hosp, Dept Ultrasound, Shanghai, Peoples R China; [Han, Hong] Shanghai Inst Med Imaging, Shanghai, Peoples R China; [Liu, Liping; Zhang, Bo] Tongji Univ, Sch Med, Shanghai East Hosp, Dept Ultrasound Med, Shanghai, Peoples R China; [Zhang, Bo; Zhang, Qi] Shanghai Univ, Sch Commun &amp; Informat Engn, Room 803,Xiangying Bldg, 333,Nanchen Rd, Shanghai 200444, Peoples R China; [Zhang, Bo; Zhang, Qi] Tongji Univ Sch Med, Shanghai East Hosp, Dept Ultrasound Med, Shanghai 200120, Peoples R China</t>
  </si>
  <si>
    <t>Shanghai University; Shanghai University; Fudan University; Tongji University; Shanghai University; Tongji University</t>
  </si>
  <si>
    <t>Zhang, B; Zhang, Q (corresponding author), Shanghai Univ, Sch Commun &amp; Informat Engn, Room 803,Xiangying Bldg, 333,Nanchen Rd, Shanghai 200444, Peoples R China.;Zhang, B; Zhang, Q (corresponding author), Tongji Univ Sch Med, Shanghai East Hosp, Dept Ultrasound Med, Shanghai 200120, Peoples R China.</t>
  </si>
  <si>
    <t>zhangbo2016@tongji.edu.cn; zhangq@t.shu.edu.cn</t>
  </si>
  <si>
    <t>Zhang, Qi/0000-0001-7041-643X</t>
  </si>
  <si>
    <t>National Natural Science Foundation of China [62071285]</t>
  </si>
  <si>
    <t>This work was supported by the National Natural Science Foundation of China [grant number 62071285] .</t>
  </si>
  <si>
    <t>1746-8094</t>
  </si>
  <si>
    <t>1746-8108</t>
  </si>
  <si>
    <t>BIOMED SIGNAL PROCES</t>
  </si>
  <si>
    <t>Biomed. Signal Process. Control</t>
  </si>
  <si>
    <t>10.1016/j.bspc.2023.105150</t>
  </si>
  <si>
    <t>M4SS2</t>
  </si>
  <si>
    <t>WOS:001030131600001</t>
  </si>
  <si>
    <t>Peppes, N; Tsakanikas, P; Daskalakis, E; Alexakis, T; Adamopoulou, E; Demestichas, K</t>
  </si>
  <si>
    <t>Peppes, Nikolaos; Tsakanikas, Panagiotis; Daskalakis, Emmanouil; Alexakis, Theodoros; Adamopoulou, Evgenia; Demestichas, Konstantinos</t>
  </si>
  <si>
    <t>FoGGAN: Generating Realistic Parkinson's Disease Freezing of Gait Data Using GANs</t>
  </si>
  <si>
    <t>Parkinson's Disease; freezing of gait (FoG); GAN; DNN; artificial intelligence (AI)</t>
  </si>
  <si>
    <t>Data scarcity in the healthcare domain is a major drawback for most state-of-the-art technologies engaging artificial intelligence. The unavailability of quality data due to both the difficulty to gather and label them as well as due to their sensitive nature create a breeding ground for data augmentation solutions. Parkinson's Disease (PD) which can have a wide range of symptoms including motor impairments consists of a very challenging case for quality data acquisition. Generative Adversarial Networks (GANs) can help alleviate such data availability issues. In this light, this study focuses on a data augmentation solution engaging Generative Adversarial Networks (GANs) using a freezing of gait (FoG) symptom dataset as input. The data generated by the so-called FoGGAN architecture presented in this study are almost identical to the original as concluded by a variety of similarity metrics. This highlights the significance of such solutions as they can provide credible synthetically generated data which can be utilized as training dataset inputs to AI applications. Additionally, a DNN classifier's performance is evaluated using three different evaluation datasets and the accuracy results were quite encouraging, highlighting that the FOGGAN solution could lead to the alleviation of the data shortage matter.</t>
  </si>
  <si>
    <t>[Peppes, Nikolaos; Tsakanikas, Panagiotis; Daskalakis, Emmanouil; Alexakis, Theodoros; Adamopoulou, Evgenia] Natl Tech Univ Athens, Inst Commun &amp; Comp Syst, Athens 15773, Greece; [Demestichas, Konstantinos] Agr Univ Athens, Dept Agr Econ &amp; Rural Dev, Athens 11855, Greece</t>
  </si>
  <si>
    <t>National Technical University of Athens; Agricultural University of Athens</t>
  </si>
  <si>
    <t>Peppes, N (corresponding author), Natl Tech Univ Athens, Inst Commun &amp; Comp Syst, Athens 15773, Greece.</t>
  </si>
  <si>
    <t>npeppes@cn.ntua.gr; ptsakanikas@cn.ntua.gr; edaskalakis@cn.ntua.gr; talexakis@cn.ntua.gr; eadam@cn.ntua.gr; cdemest@aua.gr</t>
  </si>
  <si>
    <t>Tsakanikas, Panagiotis/I-5068-2019</t>
  </si>
  <si>
    <t>Tsakanikas, Panagiotis/0000-0002-9361-5922; Demestichas, Konstantinos/0000-0002-8858-6389</t>
  </si>
  <si>
    <t>European Union through the Horizon 2020 Research and Innovation Programme [GA 101017558]</t>
  </si>
  <si>
    <t>European Union through the Horizon 2020 Research and Innovation Programme(Horizon 2020)</t>
  </si>
  <si>
    <t>This research was funded by the European Union through the Horizon 2020 Research and Innovation Programme, in the context of the ALAMEDA (Bridging the Early Diagnosis and Treatment Gap of Brain Diseases via Smart, Connected, Proactive and Evidence-based Technological Interventions) project under grant agreement No. GA 101017558.</t>
  </si>
  <si>
    <t>10.3390/s23198158</t>
  </si>
  <si>
    <t>X3IO3</t>
  </si>
  <si>
    <t>WOS:001097424600001</t>
  </si>
  <si>
    <t>Malihi, L; Hübner, U; Richter, ML; Moelleken, M; Przysucha, M; Busch, D; Heggemann, J; Hafer, G; Wiemeyer, S; Heidemann, G; Dissemond, J; Erfurt-Berge, C; Barkhau, C; Hendriks, A; Hüsers, J</t>
  </si>
  <si>
    <t>Hagglund, M; Pelayo, S; Moen, A; Blusi, M; Bonacina, S; Nilsson, L; Madsen, IC; Benis, A; Lindskold, L; Gallos, P</t>
  </si>
  <si>
    <t>Malihi, Leila; Huebner, Ursula; Richter, Mats L.; Moelleken, Maurice; Przysucha, Mareike; Busch, Dorothee; Heggemann, Jan; Hafer, Guido; Wiemeyer, Stefan; Heidemann, Gunther; Dissemond, Joachim; Erfurt-Berge, Cornelia; Barkhau, Carlotta; Hendriks, Achim; Huesers, Jens</t>
  </si>
  <si>
    <t>Can Synthetic Images Improve CNN Performance in Wound Image Classification?</t>
  </si>
  <si>
    <t>CARING IS SHARING-EXPLOITING THE VALUE IN DATA FOR HEALTH AND INNOVATION-PROCEEDINGS OF MIE 2023</t>
  </si>
  <si>
    <t>Studies in Health Technology and Informatics</t>
  </si>
  <si>
    <t>33rd Medical Informatics Europe Conference (MIE) - Caring is Sharing - Exploiting the Value in Data for Health and Innovation</t>
  </si>
  <si>
    <t>MAY 22-25, 2023</t>
  </si>
  <si>
    <t>European Federat Med Informat, Gothenburg, SWEDEN</t>
  </si>
  <si>
    <t>Swedish Med Informat Assoc</t>
  </si>
  <si>
    <t>European Federat Med Informat</t>
  </si>
  <si>
    <t>wound imaging; data augmentation; convolutional neural network; classification; artificial intelligence; generative adversarial networks; synthetic images</t>
  </si>
  <si>
    <t>For artificial intelligence (AI) based systems to become clinically relevant, they must perform well. Machine Learning (ML) based AI systems require a large amount of labelled training data to achieve this level. In cases of a shortage of such large amounts, Generative Adversarial Networks (GAN) are a standard tool for synthesising artificial training images that can be used to augment the data set. We investigated the quality of synthetic wound images regarding two aspects: (i) improvement of wound-type classification by a Convolutional Neural Network (CNN) and (ii) how realistic such images look to clinical experts (n = 217). Concerning (i), results show a slight classification improvement. However, the connection between classification performance and the size of the artificial data set is still unclear. Regarding (ii), although the GAN could produce highly realistic images, the clinical experts took them for real in only 31% of the cases. It can be concluded that image quality may play a more significant role than data size in improving the CNN-based classification result.</t>
  </si>
  <si>
    <t>[Malihi, Leila; Richter, Mats L.; Heidemann, Gunther] Osnabruck Univ, Inst Cognit Sci, Osnabruck, Germany; [Huebner, Ursula; Przysucha, Mareike; Huesers, Jens] Osnabruck Univ AS, Hlth Informat Res Grp, Osnabruck, Germany; [Moelleken, Maurice; Dissemond, Joachim] Univ Hosp Essen, Dept Dermatol Venerol &amp; Allergol, Essen, Germany; [Busch, Dorothee; Erfurt-Berge, Cornelia] Friedrich Alexander Univ Erlangen Nurnberg, Univ Hosp Erlangen, Dept Dermatol, Erlangen, Germany; [Heggemann, Jan; Hafer, Guido; Wiemeyer, Stefan] Niels Stensen Hosp, Christian Hosp Melle, Melle, Germany; [Barkhau, Carlotta; Hendriks, Achim] Symbic GmbH, Osnabruck, Germany</t>
  </si>
  <si>
    <t>University Osnabruck; University of Duisburg Essen; University of Erlangen Nuremberg</t>
  </si>
  <si>
    <t>Hüsers, J (corresponding author), Osnabruck Univ AS, Hlth Informat Res Grp, POB 1940, D-49009 Osnabruck, Germany.</t>
  </si>
  <si>
    <t>German Ministry of Education and Research (BMBF) [16SV8616]; IFI program of the German Academic Exchange Service (DAAD); University Osnabruck New Public Health; apenio GmbH</t>
  </si>
  <si>
    <t>German Ministry of Education and Research (BMBF)(Federal Ministry of Education &amp; Research (BMBF)); IFI program of the German Academic Exchange Service (DAAD); University Osnabruck New Public Health; apenio GmbH</t>
  </si>
  <si>
    <t>This study is part of a project funded by the German Ministry of Education and Research (BMBF Grant No. 16SV8616). We thank our project partners of the University Osnabruck New Public Health and apenio GmbH for their support and cooperation. This work was supported by a fellowship within the IFI program of the German Academic Exchange Service (DAAD).</t>
  </si>
  <si>
    <t>0926-9630</t>
  </si>
  <si>
    <t>1879-8365</t>
  </si>
  <si>
    <t>978-1-64368-389-8</t>
  </si>
  <si>
    <t>STUD HEALTH TECHNOL</t>
  </si>
  <si>
    <t>10.3233/SHTI230311</t>
  </si>
  <si>
    <t>Computer Science, Interdisciplinary Applications; Health Care Sciences &amp; Services; Public, Environmental &amp; Occupational Health; Medical Informatics</t>
  </si>
  <si>
    <t>Computer Science; Health Care Sciences &amp; Services; Public, Environmental &amp; Occupational Health; Medical Informatics</t>
  </si>
  <si>
    <t>BV7SI</t>
  </si>
  <si>
    <t>WOS:001071432900247</t>
  </si>
  <si>
    <t>Hernandez, DRM; de Campos, C</t>
  </si>
  <si>
    <t>Hernandez, David Ricardo Montalvan; de Campos, Cassio</t>
  </si>
  <si>
    <t>Portfolio Optimization via Credal Probabilistic Circuits</t>
  </si>
  <si>
    <t>Portfolio optimization; generative models; credal probabilistic circuits; imprecise probabilities; exact inference; epistemic uncertainty</t>
  </si>
  <si>
    <t>Portfolio optimization is a crucial part of many investment approaches and is arguably employed by almost all traders in a way or another. We introduce novel approaches for determining optimal weights for portfolios using a class of robust probabilistic generative models. Specifically, we utilize credal probabilistic circuits, a type of generative model known for their ability to perform efficient exact probabilistic inferences and to handle uncertainty in a sound manner. To account for model or epistemic uncertainty, these models use the theory of imprecise probability. Sets of parameter values represent perturbations of the probabilistic circuit model and can be interpreted as an uncertainty-aware correction of the parameters of an underlying portfolio. We call the result as credal portfolio. We propose a method for determining the amount of perturbation that well-captures the uncertainty of the problem, which is employed for the analysis of investments with real-world daily stock market data, showing promising results when compared to usual approaches.</t>
  </si>
  <si>
    <t>[Hernandez, David Ricardo Montalvan; de Campos, Cassio] Eindhoven Univ Technol, Eindhoven, Netherlands</t>
  </si>
  <si>
    <t>Eindhoven University of Technology</t>
  </si>
  <si>
    <t>Hernandez, DRM (corresponding author), Eindhoven Univ Technol, Eindhoven, Netherlands.</t>
  </si>
  <si>
    <t>d.r.montalvan.hernandez@tue.nl; c.decampos@tue.nl</t>
  </si>
  <si>
    <t>Eindhoven Artificial Intelligence Systems Institute; Department of Mathematics and Computer Science of TU Eindhoven; EU European Defence Fund Project KOIOS [EDF-2021-DIGIT-R-FL-KOIOS]; Dutch NWO Perspectief 2022 Project PersOn [P21-03]</t>
  </si>
  <si>
    <t>Eindhoven Artificial Intelligence Systems Institute; Department of Mathematics and Computer Science of TU Eindhoven; EU European Defence Fund Project KOIOS; Dutch NWO Perspectief 2022 Project PersOn</t>
  </si>
  <si>
    <t>The authors thank the support from the Eindhoven Artificial Intelligence Systems Institute and the Department of Mathematics and Computer Science of TU Eindhoven. Cassio de Campos thanks the support of EU European Defence Fund Project KOIOS (EDF-2021-DIGIT-R-FL-KOIOS) and Dutch NWO Perspectief 2022 Project PersOn (P21-03).</t>
  </si>
  <si>
    <t>10.1145/3604237.3626853</t>
  </si>
  <si>
    <t>WOS:001124982700075</t>
  </si>
  <si>
    <t>Arras, P; Yoo, HB; Pekar, L; Clarke, T; Friedrich, L; Schröter, C; Schanz, J; Tonillo, J; Siegmund, V; Doerner, A; Krah, S; Guarnera, E; Zielonka, S; Evers, A</t>
  </si>
  <si>
    <t>Arras, Paul; Yoo, Han Byul; Pekar, Lukas; Clarke, Thomas; Friedrich, Lukas; Schroeter, Christian; Schanz, Jennifer; Tonillo, Jason; Siegmund, Vanessa; Doerner, Achim; Krah, Simon; Guarnera, Enrico; Zielonka, Stefan; Evers, Andreas</t>
  </si>
  <si>
    <t>AI/ML combined with next-generation sequencing of VHH immune repertoires enables the rapid identification of de novo humanized and sequence-optimized single domain antibodies: a prospective case study</t>
  </si>
  <si>
    <t>FRONTIERS IN MOLECULAR BIOSCIENCES</t>
  </si>
  <si>
    <t>artificial intelligence and machine learning (ML); deep learning; in silico developability; long short-term memory (LSTM); next-generation sequencing (NGS); single domain antibodies (VHH); yeast surface display (YSD); protein engineering</t>
  </si>
  <si>
    <t>AFFINITY; DEVELOPABILITY; DISCOVERY; PLATFORM; DESIGN</t>
  </si>
  <si>
    <t>Introduction: In this study, we demonstrate the feasibility of yeast surface display (YSD) and nextgeneration sequencing (NGS) in combination with artificial intelligence and machine learning methods (AI/ML) for the identification of de novo humanized single domain antibodies (sdAbs) with favorable early developability profiles.Methods: The display library was derived from a novel approach, in which VHH-based CDR3 regions obtained from a llama (Lama glama), immunized against NKp46, were grafted onto a humanized VHH backbone library that was diversified in CDR1 and CDR2. Following NGS analysis of sequence pools from two rounds of fluorescence-activated cell sorting we focused on four sequence clusters based on NGS frequency and enrichment analysis as well as in silico developability assessment. For each cluster, long short-term memory (LSTM) based deep generative models were trained and used for the in silico sampling of new sequences. Sequences were subjected to sequence- and structure-based in silico developability assessment to select a set of less than 10 sequences per cluster for production.Results: As demonstrated by binding kinetics and early developability assessment, this procedure represents a general strategy for the rapid and efficient design of potent and automatically humanized sdAb hits from screening selections with favorable early developability profiles.</t>
  </si>
  <si>
    <t>[Arras, Paul; Yoo, Han Byul; Pekar, Lukas; Doerner, Achim; Krah, Simon; Guarnera, Enrico; Zielonka, Stefan; Evers, Andreas] Merck Healthcare KGaA, Antibody Discovery &amp; Prot Engn, Darmstadt, Germany; [Arras, Paul; Zielonka, Stefan] Tech Univ Darmstadt, Inst Organ Chem &amp; Biochem, Darmstadt, Germany; [Clarke, Thomas] EMD Serono, Bioinformat, Billerica, MA USA; [Friedrich, Lukas] Merck Healthcare KGaA, Computat Chem &amp; Biol, Darmstadt, Germany; [Schroeter, Christian; Schanz, Jennifer; Tonillo, Jason] Merck KGaA, ADCs &amp; Targeted NBE Therapeut, Darmstadt, Germany; [Siegmund, Vanessa] Merck Healthcare KGaA, Early Prot Supply &amp; Characterizat, Darmstadt, Germany</t>
  </si>
  <si>
    <t>Technical University of Darmstadt; Merck KGaA</t>
  </si>
  <si>
    <t>Evers, A (corresponding author), Merck Healthcare KGaA, Antibody Discovery &amp; Prot Engn, Darmstadt, Germany.</t>
  </si>
  <si>
    <t>Andreas.evers@merckgroup.com</t>
  </si>
  <si>
    <t>Guarnera, Enrico/JPA-2524-2023; Guarnera, Enrico/ABF-8814-2021</t>
  </si>
  <si>
    <t>Guarnera, Enrico/0000-0002-6780-3313; Pekar, Lukas/0000-0001-9259-0965</t>
  </si>
  <si>
    <t>We would like to thank Jakub Gunera, Maria Borisovska, Andreas Hildebrandt, Daniel Kuhn, Friedrich Rippmann, Satyendra Kumar, Sigrid Auth and Vanessa Lautenbach for their feedback and support for this research.</t>
  </si>
  <si>
    <t>2296-889X</t>
  </si>
  <si>
    <t>FRONT MOL BIOSCI</t>
  </si>
  <si>
    <t>Front. Mol. Biosci.</t>
  </si>
  <si>
    <t>SEP 28</t>
  </si>
  <si>
    <t>10.3389/fmolb.2023.1249247</t>
  </si>
  <si>
    <t>U2TJ2</t>
  </si>
  <si>
    <t>WOS:001083375200001</t>
  </si>
  <si>
    <t>Orrù, G; Piarulli, A; Conversano, C; Gemignani, A</t>
  </si>
  <si>
    <t>Orru, Graziella; Piarulli, Andrea; Conversano, Ciro; Gemignani, Angelo</t>
  </si>
  <si>
    <t>Human-like problem-solving abilities in large language models using ChatGPT</t>
  </si>
  <si>
    <t>FRONTIERS IN ARTIFICIAL INTELLIGENCE</t>
  </si>
  <si>
    <t>ChatGPT; machine learning; NLP; problem-solving; AI; Artificial Intelligence</t>
  </si>
  <si>
    <t>MACHINE</t>
  </si>
  <si>
    <t>BackgroundsThe field of Artificial Intelligence (AI) has seen a major shift in recent years due to the development of new Machine Learning (ML) models such as Generative Pre-trained Transformer (GPT). GPT has achieved previously unheard-of levels of accuracy in most computerized language processing tasks and their chat-based variations. AimThe aim of this study was to investigate the problem-solving abilities of ChatGPT using two sets of verbal insight problems, with a known performance level established by a sample of human participants. Materials and methodsA total of 30 problems labeled as practice problems and transfer problems were administered to ChatGPT. ChatGPT's answers received a score of 0 for each incorrectly answered problem and a score of 1 for each correct response. The highest possible score for both the practice and transfer problems was 15 out of 15. The solution rate for each problem (based on a sample of 20 subjects) was used to assess and compare the performance of ChatGPT with that of human subjects. ResultsThe study highlighted that ChatGPT can be trained in out-of-the-box thinking and demonstrated potential in solving verbal insight problems. The global performance of ChatGPT equalled the most probable outcome for the human sample in both practice problems and transfer problems as well as upon their combination. Additionally, ChatGPT answer combinations were among the 5% of most probable outcomes for the human sample both when considering practice problems and pooled problem sets. These findings demonstrate that ChatGPT performance on both set of problems was in line with the mean rate of success of human subjects, indicating that it performed reasonably well. ConclusionsThe use of transformer architecture and self-attention in ChatGPT may have helped to prioritize inputs while predicting, contributing to its potential in verbal insight problem-solving. ChatGPT has shown potential in solving insight problems, thus highlighting the importance of incorporating AI into psychological research. However, it is acknowledged that there are still open challenges. Indeed, further research is required to fully understand AI's capabilities and limitations in verbal problem-solving.</t>
  </si>
  <si>
    <t>[Orru, Graziella; Piarulli, Andrea; Conversano, Ciro; Gemignani, Angelo] Univ Pisa, Dept Surg Med Mol &amp; Crit Area Pathol, Pisa, Italy</t>
  </si>
  <si>
    <t>University of Pisa</t>
  </si>
  <si>
    <t>Orrù, G (corresponding author), Univ Pisa, Dept Surg Med Mol &amp; Crit Area Pathol, Pisa, Italy.</t>
  </si>
  <si>
    <t>graziella.orru@unipi.it</t>
  </si>
  <si>
    <t>Orru, Graziella/AAT-2410-2020</t>
  </si>
  <si>
    <t>Orru, Graziella/0000-0002-8769-7693; piarulli, andrea/0000-0003-4516-2671</t>
  </si>
  <si>
    <t>2624-8212</t>
  </si>
  <si>
    <t>FRONT ARTIF INTELL</t>
  </si>
  <si>
    <t>Front. Artif. Intell.</t>
  </si>
  <si>
    <t>MAY 24</t>
  </si>
  <si>
    <t>10.3389/frai.2023.1199350</t>
  </si>
  <si>
    <t>I5GS3</t>
  </si>
  <si>
    <t>WOS:001003069300001</t>
  </si>
  <si>
    <t>Carvalho, VM; Rodrigues, MAF</t>
  </si>
  <si>
    <t>Carvalho, Vitor Marques; Formico Rodrigues, Maria Andreia</t>
  </si>
  <si>
    <t>Investigating and Comparing the Perceptions of Voice Interaction in Digital Games: Opportunities for Health and Wellness Applications</t>
  </si>
  <si>
    <t>2023 IEEE 11TH INTERNATIONAL CONFERENCE ON SERIOUS GAMES AND APPLICATIONS FOR HEALTH, SEGAH</t>
  </si>
  <si>
    <t>IEEE International Conference on Serious Games and Applications for Health</t>
  </si>
  <si>
    <t>IEEE 11th International Conference on Serious Games and Applications for Health (SeGAH)</t>
  </si>
  <si>
    <t>AUG 27-30, 2023</t>
  </si>
  <si>
    <t>voice interaction; digital games; comparative study; human and AI generative participants; health and wellness</t>
  </si>
  <si>
    <t>This study investigates and compares perceptions of voice interaction in digital games, focusing on three scenarios: game interacts with the player through voice, player interacts with another player through voice, and player interacts with the game through voice. We analyze the state-of-the-art, particularly in AAA games, and conduct a comparative study involving game expert participants from academia and industry, undergraduate students, and generative AIs. The study aims to provide insights to improve gameplay experiences, reduce disruptive behaviours, and identify the influence of different voice interaction modalities on player engagement, experience, motivations, and limitations concerning current technology. Based on this comparative analysis, we expect to identify opportunities for enhancing voice interaction in digital games, particularly in health and wellness applications, and anticipate future trends in this field.</t>
  </si>
  <si>
    <t>[Carvalho, Vitor Marques; Formico Rodrigues, Maria Andreia] Univ Fortaleza, PPGIA, Fortaleza, Ceara, Brazil</t>
  </si>
  <si>
    <t>Universidade Fortaleza</t>
  </si>
  <si>
    <t>Carvalho, VM (corresponding author), Univ Fortaleza, PPGIA, Fortaleza, Ceara, Brazil.</t>
  </si>
  <si>
    <t>vitor96mc@gmail.com; andreia.formico@gmail.com</t>
  </si>
  <si>
    <t>Rodrigues, Maria/KFR-3007-2024</t>
  </si>
  <si>
    <t>Universidade de Fortaleza (UNIFOR) [DPDI 79/2020]</t>
  </si>
  <si>
    <t>Universidade de Fortaleza (UNIFOR)</t>
  </si>
  <si>
    <t>The authors would like to thank the Universidade de Fortaleza (UNIFOR) for its financial support (Ed. DPDI 79/2020).</t>
  </si>
  <si>
    <t>2330-5649</t>
  </si>
  <si>
    <t>979-8-3503-4607-7</t>
  </si>
  <si>
    <t>IEEE INT CONF SERIOU</t>
  </si>
  <si>
    <t>10.1109/SEGAH57547.2023.10253798</t>
  </si>
  <si>
    <t>Computer Science, Interdisciplinary Applications; Engineering, Biomedical</t>
  </si>
  <si>
    <t>BV7YG</t>
  </si>
  <si>
    <t>WOS:001073633800041</t>
  </si>
  <si>
    <t>Aramkul, S; Sugunnasil, P</t>
  </si>
  <si>
    <t>Aramkul, Somrawee; Sugunnasil, Prompong</t>
  </si>
  <si>
    <t>Intelligent IoT framework with GAN-synthesized images for enhanced defect detection in manufacturing</t>
  </si>
  <si>
    <t>COMPUTATIONAL INTELLIGENCE</t>
  </si>
  <si>
    <t>defect detection; generative adversary network; internet of things; manufacturing; synthetic image generation</t>
  </si>
  <si>
    <t>ADVERSARIAL NETWORKS; DATA AUGMENTATION</t>
  </si>
  <si>
    <t>The manufacturing industry is always exploring techniques to optimize processes, increase product quality, and more accurately identify defects. The technique of deep learning is the strategy that will be used to handle the issues presented. However, the challenge of using AI in this domain is the small and imbalanced dataset for training affected by the severe shortage of defective data. Moreover, data acquisition requires significant labor, time, and resources. In response to these demands, this research presents an intelligent internet of things (IoT) framework enriched by generative adversarial network (GAN). This framework was developed in response to the needs outlined above. The framework applies the IoT for real-time data collection and communication, while GAN are utilized to synthesize high-fidelity images of manufacturing defects. The quality of the GAN-synthesized image is quantified by the average FID score of 8.312 for non-defective images and 7.459 for defective images. As evidenced by the similarity between the distributions of synthetic and real images, the proposed generative model can generate visually authentic and high-fidelity images. As demonstrated by the results of the defect detection experiments, the accuracy can be enhanced to the maximum of 96.5% by integrating the GAN-synthesized images with the real images. Concurrently, this integration reduces the occurrence of false alarms.</t>
  </si>
  <si>
    <t>[Aramkul, Somrawee] Chiang Mai Univ, Fac Engn, Data Sci Consortium, Chiang Mai, Thailand; [Sugunnasil, Prompong] Chiang Mai Univ, Data Analyt &amp; Knowledge Synth Healthcare DAKSH Res, Chiang Mai 50200, Thailand</t>
  </si>
  <si>
    <t>Chiang Mai University; Chiang Mai University</t>
  </si>
  <si>
    <t>Sugunnasil, P (corresponding author), Chiang Mai Univ, Data Analyt &amp; Knowledge Synth Healthcare DAKSH Res, Chiang Mai 50200, Thailand.</t>
  </si>
  <si>
    <t>prompong.sugunnasil@cmu.ac.th</t>
  </si>
  <si>
    <t>Data Analytics and Knowledge Synthesis for Healthcare (DAKSH) Research Group, Chiang Mai University, Chiang Mai, Thailand.; Erawan HPC Project, Information Technology Service Center (ITSC), Chiang Mai University, Chiang Mai, Thailand; Data Analytics and Knowledge Synthesis for Healthcare</t>
  </si>
  <si>
    <t>This work was supported by Erawan HPC Project, Information Technology Service Center (ITSC), Chiang Mai University, Chiang Mai, Thailand. The availability of access to the high performance computer infrastructure has greatly contributed to the effective execution and optimization of the machine learning models used in this work. This work is also supported by Data Analytics and Knowledge Synthesis for Healthcare (DAKSH) Research Group, Chiang Mai University, Chiang Mai, Thailand.</t>
  </si>
  <si>
    <t>0824-7935</t>
  </si>
  <si>
    <t>1467-8640</t>
  </si>
  <si>
    <t>COMPUT INTELL-US</t>
  </si>
  <si>
    <t>Comput. Intell.</t>
  </si>
  <si>
    <t>2023 DEC 18</t>
  </si>
  <si>
    <t>10.1111/coin.12619</t>
  </si>
  <si>
    <t>CP5I1</t>
  </si>
  <si>
    <t>WOS:001126458000001</t>
  </si>
  <si>
    <t>Riedel, M; Kaefinger, K; Stuehrenberg, A; Ritter, V; Amann, N; Graf, A; Recker, F; Klein, E; Kiechle, M; Riedel, F; Meyer, B</t>
  </si>
  <si>
    <t>Riedel, Maximilian; Kaefinger, Katharina; Stuehrenberg, Antonia; Ritter, Viktoria; Amann, Niklas; Graf, Anna; Recker, Florian; Klein, Evelyn; Kiechle, Marion; Riedel, Fabian; Meyer, Bastian</t>
  </si>
  <si>
    <t>ChatGPT's performance in German OB/GYN exams - paving the way for AI-enhanced medical education and clinical practice</t>
  </si>
  <si>
    <t>artificial intelligence; ChatGPT; medical education; machine learning; obstetrics and gynecology; students</t>
  </si>
  <si>
    <t>BackgroundChat Generative Pre-Trained Transformer (ChatGPT) is an artificial learning and large language model tool developed by OpenAI in 2022. It utilizes deep learning algorithms to process natural language and generate responses, which renders it suitable for conversational interfaces. ChatGPT's potential to transform medical education and clinical practice is currently being explored, but its capabilities and limitations in this domain remain incompletely investigated. The present study aimed to assess ChatGPT's performance in medical knowledge competency for problem assessment in obstetrics and gynecology (OB/GYN).MethodsTwo datasets were established for analysis: questions (1) from OB/GYN course exams at a German university hospital and (2) from the German medical state licensing exams. In order to assess ChatGPT's performance, questions were entered into the chat interface, and responses were documented. A quantitative analysis compared ChatGPT's accuracy with that of medical students for different levels of difficulty and types of questions. Additionally, a qualitative analysis assessed the quality of ChatGPT's responses regarding ease of understanding, conciseness, accuracy, completeness, and relevance. Non-obvious insights generated by ChatGPT were evaluated, and a density index of insights was established in order to quantify the tool's ability to provide students with relevant and concise medical knowledge.ResultsChatGPT demonstrated consistent and comparable performance across both datasets. It provided correct responses at a rate comparable with that of medical students, thereby indicating its ability to handle a diverse spectrum of questions ranging from general knowledge to complex clinical case presentations. The tool's accuracy was partly affected by question difficulty in the medical state exam dataset. Our qualitative assessment revealed that ChatGPT provided mostly accurate, complete, and relevant answers. ChatGPT additionally provided many non-obvious insights, especially in correctly answered questions, which indicates its potential for enhancing autonomous medical learning.ConclusionChatGPT has promise as a supplementary tool in medical education and clinical practice. Its ability to provide accurate and insightful responses showcases its adaptability to complex clinical scenarios. As AI technologies continue to evolve, ChatGPT and similar tools may contribute to more efficient and personalized learning experiences and assistance for health care providers.</t>
  </si>
  <si>
    <t>[Riedel, Maximilian; Kaefinger, Katharina; Stuehrenberg, Antonia; Ritter, Viktoria; Graf, Anna; Klein, Evelyn; Kiechle, Marion; Meyer, Bastian] Tech Univ Munich TU, Klinikum Rechts Isar, Dept Gynecol &amp; Obstet, Munich, Germany; [Amann, Niklas] Friedrich Alexander Univ Erlangen Nuremberg FAU, Dept Gynecol &amp; Obstet, Erlangen, Germany; [Recker, Florian] Bonn Univ Hosp, Dept Gynecol &amp; Obstet, Bonn, Germany; [Riedel, Fabian] Heidelberg Univ Hosp, Dept Gynecol &amp; Obstet, Heidelberg, Germany</t>
  </si>
  <si>
    <t>Technical University of Munich; University of Erlangen Nuremberg; University of Bonn; Ruprecht Karls University Heidelberg</t>
  </si>
  <si>
    <t>Riedel, M (corresponding author), Tech Univ Munich TU, Klinikum Rechts Isar, Dept Gynecol &amp; Obstet, Munich, Germany.</t>
  </si>
  <si>
    <t>maximilian.riedel@mri.tum.de</t>
  </si>
  <si>
    <t>Recker, Florian/ABP-4557-2022</t>
  </si>
  <si>
    <t>Recker, Florian/0000-0001-9135-4338</t>
  </si>
  <si>
    <t>10.3389/fmed.2023.1296615</t>
  </si>
  <si>
    <t>DE2U7</t>
  </si>
  <si>
    <t>WOS:001130296800001</t>
  </si>
  <si>
    <t>Utama, NP; Muzakki, MF</t>
  </si>
  <si>
    <t>Utama, Nugraha Priya; Muzakki, Muhammad Faris</t>
  </si>
  <si>
    <t>Utilizing Generative Adversarial Network for Synthetic Image Generation to Address Imbalance Challenges in Chest X-Ray Image Classification</t>
  </si>
  <si>
    <t>chest X-ray datasets; Covid-19; generative adversarial networks (GANs); data augmentation; imbalanced data; medical imaging; pneumonia classification; synthetic X-ray images.</t>
  </si>
  <si>
    <t>Deep learning-based classifiers need lots of image data to train. Unfortunately, not all real-world cases are supported by a huge amount of image data. One of the cases are images for classification of pneumonia infections with chest X-rays images. This study proposes a way of synthesizing chest X-rays with abnormal conditions in order to use the synthesized images for classification purposes. A GAN-based technique can generate synthetic images with greater quality that resemble original images thus can provide a more balanced data distribution than other approaches. To indirectly evaluate the quality of our GANbased synthetic images, we used CNN-based classification architectures on diverse datasets. Three scenarios examined the effects of synthetic picture categorization. Scenario-1: adding 90% of synthesized images to the original images into the training dataset. Scenario-2: adding 50% of synthesized images to the original images. Scenario-3: adding 10% of synthesized image to the original images. The classification test revealed significantly increased F1 scores in all scenarios. Our study also emphasizes the significance of addressing the problem of imbalanced collections of chest X-ray images and the capability of GANs to alleviate this issue.</t>
  </si>
  <si>
    <t>[Utama, Nugraha Priya; Muzakki, Muhammad Faris] Inst Teknol Bandung, Sch Elect Engn &amp; Informat, Jalan Ganesha 10, Bandung 40132, Indonesia; [Utama, Nugraha Priya] Inst Teknol Bandung, Ctr Artificial Intelligence U CoE AI VLB, Jalan Ganesha 10, Bandung 40132, Indonesia</t>
  </si>
  <si>
    <t>Institute Technology of Bandung; Institute Technology of Bandung</t>
  </si>
  <si>
    <t>Utama, NP (corresponding author), Inst Teknol Bandung, Sch Elect Engn &amp; Informat, Jalan Ganesha 10, Bandung 40132, Indonesia.;Utama, NP (corresponding author), Inst Teknol Bandung, Ctr Artificial Intelligence U CoE AI VLB, Jalan Ganesha 10, Bandung 40132, Indonesia.</t>
  </si>
  <si>
    <t>utama@staff.stei.itb.ac.id</t>
  </si>
  <si>
    <t>10.5614/itbj.ict.res.appl.2023.17.3.6</t>
  </si>
  <si>
    <t>GY1K0</t>
  </si>
  <si>
    <t>WOS:001156141300005</t>
  </si>
  <si>
    <t>Doonyapisut, D; Kim, B; Kim, JK; Lee, E; Chung, CH</t>
  </si>
  <si>
    <t>Doonyapisut, Dulyawat; Kim, Byeongkyu; Kim, Jung Kyu; Lee, Eunseok; Chung, Chan-Hwa</t>
  </si>
  <si>
    <t>Deep generative learning for exploration in large electrochemical impedance dataset</t>
  </si>
  <si>
    <t>Electrochemical impedance spectroscopy; Equivalent circuit model; Variational autoencoder; Impedance optimization; Impedance visualization</t>
  </si>
  <si>
    <t>GROUNDWATER LEVEL; ION BATTERIES; SPECTROSCOPY; PERFORMANCE; ELECTRODES</t>
  </si>
  <si>
    <t>The fields of energy storage, photocatalysis, and sensors have undergone substantial technological advancements, which have led to the generation of vast amounts of data on electrochemical impedance (EIS). The interpretation of large amounts of EIS data is a challenging task since the analysis of EIS data requires multiple steps to get a suitable equivalent circuit. Recently, some progress has been made in the machine learning (ML) model for EIS classification. However, most of the ML models are performed as a black box model, which provides only the classification result and lacks physical descriptor representation. Here, we apply variational autoencoders (VAE) to EIS data analysis, which includes classification, parameter prediction, and the visualization of physical descriptors. The VAE model performed well in the classification task, with an accuracy of 82.0%-92.4%. In the prediction task, VAE shows a high R-squared value on the Randles circuit. Additionally, the VAE model can map physical descriptors to the latent space, allowing the latent space to transform into a property space, which plays an important role in the optimization and exploration of novel materials research.</t>
  </si>
  <si>
    <t>[Doonyapisut, Dulyawat; Kim, Byeongkyu; Kim, Jung Kyu; Chung, Chan-Hwa] Sungkyunkwan Univ, Sch Chem Engn, Suwon 16419, South Korea; [Lee, Eunseok] Sungkyunkwan Univ, Coll Comp &amp; Informat, Suwon 16419, South Korea</t>
  </si>
  <si>
    <t>Chung, CH (corresponding author), Sungkyunkwan Univ, Sch Chem Engn, Suwon 16419, South Korea.</t>
  </si>
  <si>
    <t>chchung@skku.edu</t>
  </si>
  <si>
    <t>; Chung, Chan-Hwa/D-5194-2011</t>
  </si>
  <si>
    <t>Kim, Byeongkyu/0009-0005-8551-6114; Chung, Chan-Hwa/0000-0003-2808-1001</t>
  </si>
  <si>
    <t>Basic Science Research Program and Basic Research Laboratory through the National Research Foundation of Korea (NRF) - Ministry of Science [NRF-2022R1A2B5B01001764, NRF-2021R1A4A1024129]; AI Convergence Research Fund, Sungkyunkwan University</t>
  </si>
  <si>
    <t>Basic Science Research Program and Basic Research Laboratory through the National Research Foundation of Korea (NRF) - Ministry of Science; AI Convergence Research Fund, Sungkyunkwan University</t>
  </si>
  <si>
    <t>This work was supported by the Basic Science Research Program and Basic Research Laboratory through the National Research Foundation of Korea (NRF), funded by grants from the Ministry of Science [NRF-2022R1A2B5B01001764, NRF-2021R1A4A1024129] and AI Convergence Research Fund, Sungkyunkwan University, 2022.</t>
  </si>
  <si>
    <t>10.1016/j.engappai.2023.107027</t>
  </si>
  <si>
    <t>R9AX7</t>
  </si>
  <si>
    <t>WOS:001067219100001</t>
  </si>
  <si>
    <t>Park, SW; Kim, JY; Park, J; Jung, SH; Sim, CB</t>
  </si>
  <si>
    <t>Park, Sung-Wook; Kim, Jun-Yeong; Park, Jun; Jung, Se-Hoon; Sim, Chun-Bo</t>
  </si>
  <si>
    <t>How to train your pre-trained GAN models</t>
  </si>
  <si>
    <t>Deep learning; Generative adversarial networks (GAN); Computer vision (CV); Artificial intelligence (AI)</t>
  </si>
  <si>
    <t>Generative Adversarial Networks (GAN) show excellent performance in various problems of computer vision, computer graphics, and machine learning, but require large amounts of data and huge computational resources. There is also the issue of unstable training. If the generator and discriminator diverge during the training process, the GAN is subsequently difficult to converge. In order to tackle these problems, various transfer learning methods have been introduced; however, mode collapse, which is a form of overfitting, often arises. Moreover, there were limitations in learning the distribution of the training data. In this paper, we provide a comprehensive review of the latest transfer learning methods as a solution to the problem, propose the most effective method of fixing some layers of the generator and discriminator, and discuss future prospects. The model to be used for the experiment is StyleGAN, and the performance evaluation uses Frechet Inception Distance (FID), coverage, and density. Results of the experiment revealed that the proposed method did not overfit. The model was able to learn the distribution of the training data relatively well compared to the previously proposed methods. Moreover, it outperformed existing methods at the Stanford Cars, Stanford Dogs, Oxford Flower, Caltech-256, CUB-200-2011, and Insect-30 datasets.</t>
  </si>
  <si>
    <t>[Park, Sung-Wook; Kim, Jun-Yeong; Park, Jun; Sim, Chun-Bo] Sunchon Natl Univ, Interdisciplinary Program IT Bio Convergence Syst, Sunchon 57922, South Korea; [Jung, Se-Hoon] Sunchon Natl Univ, Dept Comp Engn, Sunchon 57922, South Korea</t>
  </si>
  <si>
    <t>Sunchon National University; Sunchon National University</t>
  </si>
  <si>
    <t>Sim, CB (corresponding author), Sunchon Natl Univ, Interdisciplinary Program IT Bio Convergence Syst, Sunchon 57922, South Korea.;Jung, SH (corresponding author), Sunchon Natl Univ, Dept Comp Engn, Sunchon 57922, South Korea.</t>
  </si>
  <si>
    <t>cbsim@scnu.ac.kr</t>
  </si>
  <si>
    <t>Park, Sung-Wook/0000-0003-1051-9263</t>
  </si>
  <si>
    <t>Gwangju-Jeonnam local Energy Cluster Manpower training grant of the Korea Institute of Energy Technology Evaluation and Planning (KETEP) - Korea government Ministry of Knowledge Economy [20214000000560]; Basic Science Research Program through the National Research Foundation of Korea (NRF) - Ministry of Education [2020R1I1A3054843]</t>
  </si>
  <si>
    <t>Gwangju-Jeonnam local Energy Cluster Manpower training grant of the Korea Institute of Energy Technology Evaluation and Planning (KETEP) - Korea government Ministry of Knowledge Economy; Basic Science Research Program through the National Research Foundation of Korea (NRF) - Ministry of Education(National Research Foundation of KoreaMinistry of Education (MOE), Republic of KoreaNational Research Council for Economics, Humanities &amp; Social Sciences, Republic of Korea)</t>
  </si>
  <si>
    <t>This work was supported by a Gwangju-Jeonnam local Energy Cluster Manpower training grant of the Korea Institute of Energy Technology Evaluation and Planning (KETEP), funded by the Korea government Ministry of Knowledge Economy (20214000000560); and this research was also supported by the Basic Science Research Program through the National Research Foundation of Korea (NRF), funded by the Ministry of Education (2020R1I1A3054843).</t>
  </si>
  <si>
    <t>10.1007/s10489-023-04807-x</t>
  </si>
  <si>
    <t>EW2P7</t>
  </si>
  <si>
    <t>WOS:001062465600007</t>
  </si>
  <si>
    <t>Vázquez-Ingelmo, A; García-Holgado, A; Therón, R; Shoeibi, N; García-Peñalvo, FJ</t>
  </si>
  <si>
    <t>Saltiveri, TGI; Veloso, MS; Navarro, JEG; Gonzalez, RG; Cairol, MT; Sole, MO; Iranzo, RMG; Almenara, AP; Barrantes, SS; Maritorena, KL; Llados, FJL; Goma, JV</t>
  </si>
  <si>
    <t>Vazquez-Ingelmo, Andrea; Garcia-Holgado, Alicia; Theron, Roberto; Shoeibi, Nastaran; Garcia-Penalvo, Francisco Jose</t>
  </si>
  <si>
    <t>Design and development of the LATILL platform for retrieving adequate texts to foster reading skills in German</t>
  </si>
  <si>
    <t>PROCEEDINGS OF THE XXIII INTERNATIONAL CONFERENCE ON HUMAN-COMPUTER INTERACTION, INTERACCION 2023</t>
  </si>
  <si>
    <t>23rd International Conference on Human-Computer Interaction (INTERACCION)</t>
  </si>
  <si>
    <t>SEP 04-06, 2023</t>
  </si>
  <si>
    <t>Univ Lleida, Cappont Campus, Lleida, SPAIN</t>
  </si>
  <si>
    <t>Univ Lleida, Igualada Campus,IFR,Tobii,AIPO,Diputacio Lleida,Escola Politecnica Super</t>
  </si>
  <si>
    <t>Univ Lleida, Cappont Campus</t>
  </si>
  <si>
    <t>Artificial Intelligence; AI; reading skills; language learning; German; user testing</t>
  </si>
  <si>
    <t>Reading and comprehending information in different languages is becoming increasingly important in our interconnected world. However, teaching such abilities can be challenging, and prepackaged materials found in textbooks and readers may not always meet the needs of individual learners. To address this, the LATILL project aims to enhance the reading competencies of young Europeans by providing foreign language teachers with digital tools that enable them to select level-appropriate and engaging texts for their students. The project proposes a platform to ease the search and analysis of German literature based on specific topics and CEFR levels, along with additional tools and materials for working with authentic texts. The platform's features include generative AI in creating new elements (translations, simplifications, and generated images) and the development of text bundles, making it easier for teachers to find, share, and use appropriate materials. The initial user evaluations of the platform's prototype are promising, with the pilot users finding their features helpful and innovative.</t>
  </si>
  <si>
    <t>[Vazquez-Ingelmo, Andrea; Garcia-Holgado, Alicia; Theron, Roberto; Shoeibi, Nastaran; Garcia-Penalvo, Francisco Jose] Univ Salamanca, Res Inst Educ Sci, GRIAL Res Grp, Salamanca, Spain</t>
  </si>
  <si>
    <t>Vázquez-Ingelmo, A (corresponding author), Univ Salamanca, Res Inst Educ Sci, GRIAL Res Grp, Salamanca, Spain.</t>
  </si>
  <si>
    <t>andreavazquez@usal.es; aliciagh@usal.es; theron@usal.es; nastaran@usal.es; fgarcia@usal.es</t>
  </si>
  <si>
    <t>GARCÍA-PEÑALVO, Francisco José/D-5445-2013; García-Holgado, Alicia/I-1713-2014; Vazquez Ingelmo, Andrea/A-1133-2019</t>
  </si>
  <si>
    <t>GARCÍA-PEÑALVO, Francisco José/0000-0001-9987-5584; García-Holgado, Alicia/0000-0001-9663-1103; Vazquez Ingelmo, Andrea/0000-0002-7284-5593</t>
  </si>
  <si>
    <t>Erasmus+ Programme of the European Union: KA2 -Cooperation partnership in school education. Level-Adequate Texts in Language Learning (LATILL) [2021-1-AT01-KA220-SCH-000029604]</t>
  </si>
  <si>
    <t>Erasmus+ Programme of the European Union: KA2 -Cooperation partnership in school education. Level-Adequate Texts in Language Learning (LATILL)</t>
  </si>
  <si>
    <t>This project was undertaken with the support of the Erasmus+ Programme of the European Union: KA2 -Cooperation partnership in school education. Level-Adequate Texts in Language Learning (LATILL) (Reference number 2021-1-AT01-KA220-SCH-000029604). Views and opinions expressed are those of the author(s) only and do not necessarily reflect those of the European Union or the European Education and Culture Executive Agency (EACEA). Neither the European Union nor EACEA can be held responsible for them.</t>
  </si>
  <si>
    <t>979-8-4007-0790-2</t>
  </si>
  <si>
    <t>10.1145/3612783.3612796</t>
  </si>
  <si>
    <t>BW4XH</t>
  </si>
  <si>
    <t>WOS:001156726000012</t>
  </si>
  <si>
    <t>Lin, TT; Yang, LY; Lin, CY; Wang, CT; Lai, CW; Ko, CF; Shih, YH; Chen, SH</t>
  </si>
  <si>
    <t>Lin, Tzu-Tang; Yang, Li-Yen; Lin, Chung-Yen; Wang, Ching-Tien; Lai, Chia-Wen; Ko, Chi-Fong; Shih, Yang-Hsin; Chen, Shu-Hwa</t>
  </si>
  <si>
    <t>Intelligent De Novo Design of Novel Antimicrobial Peptides against Antibiotic-Resistant Bacteria Strains</t>
  </si>
  <si>
    <t>antimicrobial peptides; generative adversarial network; drug design</t>
  </si>
  <si>
    <t>Because of the growing number of clinical antibiotic resistance cases in recent years, novel antimicrobial peptides (AMPs) may be ideal for next-generation antibiotics. This study trained a Wasserstein generative adversarial network with gradient penalty (WGAN-GP) based on known AMPs to generate novel AMP candidates. The quality of the GAN-designed peptides was evaluated in silico, and eight of them, named GAN-pep 1-8, were selected by an AMP Artificial Intelligence (AI) classifier and synthesized for further experiments. Disc diffusion testing and minimum inhibitory concentration (MIC) determinations were used to identify the antibacterial effects of the synthesized GAN-designed peptides. Seven of the eight synthesized GAN-designed peptides displayed antibacterial activity. Additionally, GAN-pep 3 and GAN-pep 8 presented a broad spectrum of antibacterial effects and were effective against antibiotic-resistant bacteria strains, such as methicillin-resistant Staphylococcus aureus and carbapenem-resistant Pseudomonas aeruginosa. GAN-pep 3, the most promising GAN-designed peptide candidate, had low MICs against all the tested bacteria. In brief, our approach shows an efficient way to discover AMPs effective against general and antibiotic-resistant bacteria strains. In addition, such a strategy also allows other novel functional peptides to be quickly designed, identified, and synthesized for validation on the wet bench.</t>
  </si>
  <si>
    <t>[Lin, Tzu-Tang; Yang, Li-Yen; Lin, Chung-Yen; Wang, Ching-Tien] Acad Sinica, Inst Informat Sci, Taipei 11529, Taiwan; [Lai, Chia-Wen; Ko, Chi-Fong; Shih, Yang-Hsin] Natl Taiwan Univ, Dept Agr Chem, Taipei 10617, Taiwan; [Chen, Shu-Hwa] Taipei Med Univ, TMU Res Ctr Canc Translat Med, Taipei 110301, Taiwan</t>
  </si>
  <si>
    <t>Academia Sinica - Taiwan; National Taiwan University</t>
  </si>
  <si>
    <t>Chen, SH (corresponding author), Taipei Med Univ, TMU Res Ctr Canc Translat Med, Taipei 110301, Taiwan.</t>
  </si>
  <si>
    <t>sophia0715@tmu.edu.tw</t>
  </si>
  <si>
    <t>Lin, Chung-Yen/AAQ-3833-2021; Shih, Yang-hsin/AAP-5257-2021</t>
  </si>
  <si>
    <t>Lin, Chung-Yen/0000-0002-4733-9488; Shih, Yang-hsin/0000-0002-1326-0720</t>
  </si>
  <si>
    <t>National Science and Technology Council (NSTC), Taiwan; Academia Sinica, Taiwan [111-2311-B-001-025-, 111-2314-B-001-004-, 110-2320-B-038-087]</t>
  </si>
  <si>
    <t>National Science and Technology Council (NSTC), Taiwan(National Science and Technology Council (NSTC) Zambia); Academia Sinica, Taiwan(Academia Sinica - Taiwan)</t>
  </si>
  <si>
    <t>The authors thank the National Science and Technology Council (NSTC), Taiwan, and Academia Sinica, Taiwan, for financially supporting this study and publication through 111-2311-B-001-025-, 111-2314-B-001-004-, and 110-2320-B-038-087.</t>
  </si>
  <si>
    <t>10.3390/ijms24076788</t>
  </si>
  <si>
    <t>D6GH3</t>
  </si>
  <si>
    <t>WOS:000969689800001</t>
  </si>
  <si>
    <t>Dai, XM; Wang, C; Li, HH; Lin, SQ; Dong, L; Wu, JF; Wang, J</t>
  </si>
  <si>
    <t>Dai, Xinmiao; Wang, Chong; Li, Haohe; Lin, Sunqi; Dong, Li; Wu, Jiafei; Wang, Jun</t>
  </si>
  <si>
    <t>Synthetic Feature Assessment for Zero-Shot Object Detection</t>
  </si>
  <si>
    <t>2023 IEEE INTERNATIONAL CONFERENCE ON MULTIMEDIA AND EXPO, ICME</t>
  </si>
  <si>
    <t>IEEE International Conference on Multimedia and Expo</t>
  </si>
  <si>
    <t>IEEE International Conference on Multimedia and Expo (ICME)</t>
  </si>
  <si>
    <t>Brisbane, AUSTRALIA</t>
  </si>
  <si>
    <t>IEEE,IEEE Circuits &amp; Syst Soc,IEEE Commun Soc,IEEE Comp Soc,IEEE Signal Proc Soc,TENCENT,Meta,Youtube,Google</t>
  </si>
  <si>
    <t>zero-shot object detection; generative model; contrastive learning; feature assessment</t>
  </si>
  <si>
    <t>Zero-shot object detection aims to simultaneously identify and localize classes that were not presented during training. Many generative model-based methods have shown promising performance by synthesizing the visual features of unseen classes from semantic embeddings. However, these synthetic features are inevitably of varied quality, which may be far from the ground truth. It degrades the performance of trained unseen classifier. Instead of tweaking the generative model, a new idea of feature quality assessment is proposed to utilize both the good and bad features to optimize the classifier in the right direction. Moreover, contrastive learning is also introduced to enhance the feature uniqueness between unseen and seen classes, which helps the feature assessment implicitly. To demonstrate the effectiveness of the proposed algorithm, comprehensive experiments are conducted on the MS COCO dataset and PASCAL VOC dataset, the state-of-the-art performance is achieved. Our code is available at: https://github.com/Dai1029/SFA-ZSD.</t>
  </si>
  <si>
    <t>[Dai, Xinmiao; Wang, Chong; Li, Haohe; Lin, Sunqi; Dong, Li] Ningbo Univ, Ningbo, Peoples R China; [Wu, Jiafei] SenseTime Res, Shenzhen, Peoples R China; [Wang, Jun] China Univ Min &amp; Technol, Xuzhou, Jiangsu, Peoples R China</t>
  </si>
  <si>
    <t>Ningbo University; China University of Mining &amp; Technology</t>
  </si>
  <si>
    <t>Wang, C (corresponding author), Ningbo Univ, Ningbo, Peoples R China.;Wu, JF (corresponding author), SenseTime Res, Shenzhen, Peoples R China.</t>
  </si>
  <si>
    <t>daixinmiao99@163.com; wangchong@nbu.edu.cn; lihaohe1023@163.com; sunqi1209@gmail.com; dongli@nbu.edu.cn; wujiafei@sensetime.com; jrbot@126.com</t>
  </si>
  <si>
    <t>Ningbo Municipal Natural Science Foundation of China [2022J114]; Scientific Innovation 2030 Major Project for New Generation of AI, Ministry of Science and Technology of the People's Republic of China [2020AAA0107300]; Innovation Challenge Project of China (Ningbo) [2022T001]</t>
  </si>
  <si>
    <t>Ningbo Municipal Natural Science Foundation of China; Scientific Innovation 2030 Major Project for New Generation of AI, Ministry of Science and Technology of the People's Republic of China; Innovation Challenge Project of China (Ningbo)</t>
  </si>
  <si>
    <t>This work was supported by the Ningbo Municipal Natural Science Foundation of China (No. 2022J114), Scientific Innovation 2030 Major Project for New Generation of AI, Ministry of Science and Technology of the People's Republic of China (No. 2020AAA0107300), Innovation Challenge Project of China (Ningbo) (No. 2022T001).</t>
  </si>
  <si>
    <t>1945-7871</t>
  </si>
  <si>
    <t>978-1-6654-6891-6</t>
  </si>
  <si>
    <t>IEEE INT CON MULTI</t>
  </si>
  <si>
    <t>10.1109/ICME55011.2023.00083</t>
  </si>
  <si>
    <t>BV6UD</t>
  </si>
  <si>
    <t>WOS:001062707300074</t>
  </si>
  <si>
    <t>Song, D; Shen, JX; Ma, TC; Xu, FY</t>
  </si>
  <si>
    <t>Song, Di; Shen, Junxian; Ma, Tianchi; Xu, Feiyun</t>
  </si>
  <si>
    <t>Acoustic Sensor Placement Optimization for Compressor Based on Adversarial Transfer Learning and Vibro-Acoustic Simulation</t>
  </si>
  <si>
    <t>IEEE SENSORS JOURNAL</t>
  </si>
  <si>
    <t>Acoustic sensors; Data models; Acoustics; Acoustic measurements; Sensors; Load modeling; Blades; Adversarial transfer learning (ATL); conditional generative adversarial network (CGAN); optimal sensor placement (OSP); structural health monitoring (SHM); vibro-acoustic simulation</t>
  </si>
  <si>
    <t>GENERATIVE ADVERSARIAL; DIAGNOSIS</t>
  </si>
  <si>
    <t>Generally, the success of the optimal sensor placement (OSP) method based on artificial intelligence (AI) highly depends on signals at all feasible placements, which may be unavailable or expensive. Therefore, the acoustic sensor placement optimization method is proposed based on adversarial transfer learning (ATL) and vibro-acoustic simulation. First, the vibro-acoustic simulation is applied to provide sufficient simulation signals for all feasible placements. To bridge the deviation of simulation and measured signals, the ATL-based conditional generative adversarial network (CGAN) is presented, which can transfer signals from limited measured placements to unmeasured placements. In addition, a multi-objective optimization model is proposed to obtain the OSP from three aspects, and it is useful for structural health monitoring (SHM). The acoustic signals obtained from the experimental platform are utilized to explore the feasibility and effectiveness of the proposed method. It can accurately detect the fault with an average accuracy of 98.35% under four working conditions. The comparison investigations demonstrate that the proposed method can obtain high-quality signals at all feasible placements, which can realize SHM with the OSPs and the least sensor cost.</t>
  </si>
  <si>
    <t>[Song, Di; Shen, Junxian; Ma, Tianchi; Xu, Feiyun] Southeast Univ, Sch Mech Engn, Nanjing 211189, Peoples R China</t>
  </si>
  <si>
    <t>Southeast University - China</t>
  </si>
  <si>
    <t>Xu, FY (corresponding author), Southeast Univ, Sch Mech Engn, Nanjing 211189, Peoples R China.</t>
  </si>
  <si>
    <t>230208485@seu.edu.cn; 230218566@seu.edu.cn; mtc7820@163.com; fyxu@seu.edu.cn</t>
  </si>
  <si>
    <t>Shen, Junxian/HHS-7789-2022; Song, Di/W-3339-2017; song, di/JWP-6640-2024</t>
  </si>
  <si>
    <t>Shen, Junxian/0000-0002-2727-5886; Xu, Feiyun/0000-0002-2468-2697; Song, Di/0000-0003-2728-3672</t>
  </si>
  <si>
    <t>National Natural Science Foundation of China [51975117]; Postgraduate Research and Practice Innovation Program of Jiangsu Province [KYCX22_0195]; China Scholarship Council (CSC)</t>
  </si>
  <si>
    <t>National Natural Science Foundation of China(National Natural Science Foundation of China (NSFC)); Postgraduate Research and Practice Innovation Program of Jiangsu Province; China Scholarship Council (CSC)(China Scholarship Council)</t>
  </si>
  <si>
    <t>This work was supported in part by the National Natural Science Foundation of China under Grant 51975117, in part by the Postgraduate Research and Practice Innovation Program of Jiangsu Province under Grant KYCX22_0195, and in part by the China Scholarship Council (CSC). The associate editor coordinating the review of this article and approving it for publication was Prof. M. Jaleel Akhtar. (Corresponding author: Feiyun Xu.)</t>
  </si>
  <si>
    <t>1530-437X</t>
  </si>
  <si>
    <t>1558-1748</t>
  </si>
  <si>
    <t>IEEE SENS J</t>
  </si>
  <si>
    <t>IEEE Sens. J.</t>
  </si>
  <si>
    <t>JUN 15</t>
  </si>
  <si>
    <t>10.1109/JSEN.2023.3273464</t>
  </si>
  <si>
    <t>Engineering, Electrical &amp; Electronic; Instruments &amp; Instrumentation; Physics, Applied</t>
  </si>
  <si>
    <t>Engineering; Instruments &amp; Instrumentation; Physics</t>
  </si>
  <si>
    <t>K2EO9</t>
  </si>
  <si>
    <t>WOS:001014626700111</t>
  </si>
  <si>
    <t>Cheng, KY; Neisch, P; Cui, T</t>
  </si>
  <si>
    <t>Cheng, Kaiyu; Neisch, Paulina; Cui, Tong</t>
  </si>
  <si>
    <t>From concept to space: a new perspective on AIGC-involved attribute translation</t>
  </si>
  <si>
    <t>Architectural attributes; AI-generated content (AIGC); spatial translation; formal innovation; eclecticism</t>
  </si>
  <si>
    <t>INTUITION; DESIGN; HUSSERL</t>
  </si>
  <si>
    <t>Drawn inspiration from phenomenal attributes and translating them into heuristic model tools is one of the effective means to promote architectural form innovation. However, over-reliance on perception indicates greater risks in decision-making. Nowadays, AI-generated Content (AIGC) technology combines the advantages of information comprehensiveness and modelling efficiency, providing new possibilities for the translation of architectural attributes. Based on attribute study, this paper proposes a new approach to spatial translation that uses the Generative Adversarial Network (VQGAN + CLIP) to realize the visualization of abstract concepts and then adds multi-dimensional influence through the Keyframe Style Transfer technology. The eclectic attribute is used as an example for the 2D and virtual 3D translation feasibility experiments. The article aims to improve the scientificity and influence of spatial translation through a technical organization from the perspective of architects. While providing an innovative, democratic and efficient aided-design tool also highlights a new angle for AIGC-involved pre-design.</t>
  </si>
  <si>
    <t>[Cheng, Kaiyu; Cui, Tong] Univ Chinese Acad Sci UCAS, Ctr Architecture Res &amp; Design, Beijing, Peoples R China; [Cheng, Kaiyu; Neisch, Paulina] City Univ Hong Kong Cityu, Dept Architecture &amp; Civil Engn, Hong Kong, Peoples R China</t>
  </si>
  <si>
    <t>Cheng, KY (corresponding author), Univ Chinese Acad Sci UCAS, Ctr Architecture Res &amp; Design, Beijing, Peoples R China.;Cheng, KY (corresponding author), City Univ Hong Kong Cityu, Dept Architecture &amp; Civil Engn, Hong Kong, Peoples R China.</t>
  </si>
  <si>
    <t>kcheng224-c@my.cityu.edu.hk</t>
  </si>
  <si>
    <t>CHENG, Kaiyu/0000-0001-7390-034X</t>
  </si>
  <si>
    <t>2023 AUG 18</t>
  </si>
  <si>
    <t>10.1080/14626268.2023.2248103</t>
  </si>
  <si>
    <t>W7GU7</t>
  </si>
  <si>
    <t>WOS:001093280700001</t>
  </si>
  <si>
    <t>Sharma, S; White, E; Kinnula, M; Iivari, N; Monga, C</t>
  </si>
  <si>
    <t>Sharma, Sumita; White, Edward; Kinnula, Marianne; Iivari, Netta; Monga, Charu</t>
  </si>
  <si>
    <t>Age against the machine</t>
  </si>
  <si>
    <t>Design Fiction; Children and Artificial Intelligence; Ethics; Inclusion</t>
  </si>
  <si>
    <t>As AI-based applications permeate our everyday lives, their impact on children and their futures requires critically examination. While several global and national policy frameworks on Children and AI are being developed, there is still little discussion with children on the limitations, inherent biases, and lack of diversity in current design and development of AI-based applications. Further, as ethical aspects with regards to AI design and use come to the forefront, AI literacy for children becomes imperative. As part of our projects, we have been exploring approaches towards critical AI literacy for children - from hands-on design and making workshops reimagining the future of schooling, to activities with generative AI. We also conduct workshops with Child-Computer Interaction (CCI) experts, and those interested in CCI, to evaluate and extend our methods repertoire through our researchers' toolbox for the future workshop series in India, Finland, and Denmark (https://interact.oulu.fi/researcherstoolbox). As a part of this workshop series, we propose a workshop at the AfriCHI 2023 conference welcoming conference participants interested critical AI literacy, children and AI, speculative and critical design, and ethical AI.</t>
  </si>
  <si>
    <t>[Sharma, Sumita; Kinnula, Marianne; Iivari, Netta] Univ Oulu, INTERACT Res Unit, Oulu, Finland; [White, Edward] Tampere Univ, Tampere, Finland; [Monga, Charu] Indian Inst Technol New Delhi, New Delhi, India</t>
  </si>
  <si>
    <t>University of Oulu; Tampere University; Indian Institute of Technology System (IIT System); Indian Institute of Technology (IIT) - Delhi</t>
  </si>
  <si>
    <t>Sharma, S (corresponding author), Univ Oulu, INTERACT Res Unit, Oulu, Finland.</t>
  </si>
  <si>
    <t>sumitasharma@oulu.fi; edwardwhite@oulu.fi; mariannekinnula@oulu.fi; nettaiivari@oulu.fi; charumonga@oulu.fi</t>
  </si>
  <si>
    <t>Academy of Finland [340603, 318930, 324685]; University of Oulu</t>
  </si>
  <si>
    <t>Academy of Finland(Research Council of Finland); University of Oulu</t>
  </si>
  <si>
    <t>This research is connected to the Participatory AI with Schoolchildren (PAIZ) project and Make-A-Difference project (MAD) at the INTERACT Research Unit, and the GenZ project, a strategic profiling project in human sciences at the University of Oulu. The projects are supported by the Academy of Finland (Grant #340603, Grant #318930, and Grant #324685) and the University of Oulu.</t>
  </si>
  <si>
    <t>10.1145/3628096.3629079</t>
  </si>
  <si>
    <t>WOS:001159802500053</t>
  </si>
  <si>
    <t>Takagi, S; Watari, T; Erabi, A; Sakaguchi, K</t>
  </si>
  <si>
    <t>Takagi, Soshi; Watari, Takashi; Erabi, Ayano; Sakaguchi, Kota</t>
  </si>
  <si>
    <t>Performance of GPT-3.5 and GPT-4 on the Japanese Medical Licensing Examination: Comparison Study</t>
  </si>
  <si>
    <t>ChatGPT; Chat Generative Pre-trained Transformer; GPT-4; Generative Pre-trained Transformer 4; artificial intelligence; AI; medical education; Japanese Medical Licensing Examination; medical licensing; clinical support; learning model</t>
  </si>
  <si>
    <t>Background: The competence of ChatGPT (Chat Generative Pre-Trained Transformer) in non-English languages is not well studied. Objective: This study compared the performances of GPT-3.5 (Generative Pre-trained Transformer) and GPT-4 on the Japanese Medical Licensing Examination (JMLE) to evaluate the reliability of these models for clinical reasoning and medical knowledge Methods: This study used the default mode of ChatGPT, which is based on GPT-3.5; the GPT-4 model of ChatGPT Plus; and the 117th JMLE in 2023. A total of 254 questions were included in the final analysis, which were categorized into 3 types, namely general, clinical, and clinical sentence questions. Results: The results indicated that GPT-4 outperformed GPT-3.5 in terms of accuracy, particularly for general, clinical, and clinical sentence questions. GPT-4 also performed better on difficult questions and specific disease questions. Furthermore, GPT-4 achieved the passing criteria for the JMLE, indicating its reliability for clinical reasoning and medical knowledge in non-English languages. Conclusions: GPT-4 could become a valuable tool for medical education and clinical support in non-English-speaking regions, such as Japan.</t>
  </si>
  <si>
    <t>[Takagi, Soshi; Watari, Takashi; Erabi, Ayano] Shimane Univ, Fac Med, Izumo, Japan; [Watari, Takashi; Sakaguchi, Kota] Shimane Univ Hosp, Gen Med Ctr, Izumo, Japan; [Watari, Takashi] Univ Michigan, Dept Internal Med, Med Sch, Ann Arbor, MI USA; [Watari, Takashi] VA Ann Arbor Healthcare Syst, Med Serv, Ann Arbor, MI USA; [Watari, Takashi] Shimane Univ Hosp, Gen Med Ctr, 89-1 Enya, Izumo 6938501, Japan</t>
  </si>
  <si>
    <t>Shimane University; Shimane University; University of Michigan System; University of Michigan; US Department of Veterans Affairs; Veterans Health Administration (VHA); VA Ann Arbor Healthcare System; Shimane University</t>
  </si>
  <si>
    <t>Watari, T (corresponding author), Shimane Univ Hosp, Gen Med Ctr, 89-1 Enya, Izumo 6938501, Japan.</t>
  </si>
  <si>
    <t>wataritari@gmail.com</t>
  </si>
  <si>
    <t>sakaguchi, kota/0000-0002-5169-6613; Takagi, Soshi/0009-0004-3211-1626</t>
  </si>
  <si>
    <t>e48002</t>
  </si>
  <si>
    <t>10.2196/48002</t>
  </si>
  <si>
    <t>M3IV7</t>
  </si>
  <si>
    <t>WOS:001029158600002</t>
  </si>
  <si>
    <t>Guo, J; Knuth, F; Margreitter, C; Janet, JP; Papadopoulos, K; Engkvist, O; Patronov, A</t>
  </si>
  <si>
    <t>Guo, Jeff; Knuth, Franziska; Margreitter, Christian; Janet, Jon Paul; Papadopoulos, Kostas; Engkvist, Ola; Patronov, Atanas</t>
  </si>
  <si>
    <t>Link-INVENT: generative linker design with reinforcement learning</t>
  </si>
  <si>
    <t>ZIPPER KINASE DLK; ACCURATE DOCKING; FRAGMENT LINKING; DRUG DISCOVERY; GLIDE; PERMEABILITY; INHIBITORS; DATABASE; PROTACS</t>
  </si>
  <si>
    <t>In this work, we present Link-INVENT as an extension to the existing de novo molecular design platform REINVENT. We provide illustrative examples on how Link-INVENT can be applied to fragment linking, scaffold hopping, and PROTAC design case studies where the desirable molecules should satisfy a combination of different criteria. With the help of reinforcement learning, the agent used by Link-INVENT learns to generate favourable linkers connecting molecular subunits that satisfy diverse objectives, facilitating practical application of the model for real-world drug discovery projects. We also introduce a range of linker-specific objectives in the Scoring Function of REINVENT. The code is freely available at https://github.com/MolecularAI/Reinvent. Link-INVENT enables design of PROTACs, fragment linking, and scaffold hopping while satisfying multiple optimization criteria.</t>
  </si>
  <si>
    <t>[Guo, Jeff; Knuth, Franziska; Margreitter, Christian; Papadopoulos, Kostas; Engkvist, Ola; Patronov, Atanas] AstraZeneca, Mol AI, Discovery Sci, R&amp;D, Gothenburg, Sweden; [Knuth, Franziska] Norwegian Univ Sci &amp; Technol, Dept Phys, Trondheim, Norway; [Janet, Jon Paul] AstraZeneca, Res &amp; Early Dev, Cardiovasc Renal &amp; Metab CVRM, BioPharmaceut R&amp;D,Med Chem, Gothenburg, Sweden; [Engkvist, Ola] Chalmers Univ Technol, Dept Comp Sci &amp; Engn, S-41756 Gothenburg, Sweden; [Patronov, Atanas] Odyssey Therapeut, Cambridge, MA 02210 USA</t>
  </si>
  <si>
    <t>AstraZeneca; Norwegian University of Science &amp; Technology (NTNU); AstraZeneca; Chalmers University of Technology</t>
  </si>
  <si>
    <t>Patronov, A (corresponding author), AstraZeneca, Mol AI, Discovery Sci, R&amp;D, Gothenburg, Sweden.;Patronov, A (corresponding author), Odyssey Therapeut, Cambridge, MA 02210 USA.</t>
  </si>
  <si>
    <t>patronov@gmail.com</t>
  </si>
  <si>
    <t>Margreitter, Christian/0000-0002-5473-6318; Patronov, Atanas/0000-0002-9797-6573; Knuth, Franziska/0000-0002-6998-8681; Engkvist, Ola/0000-0003-4970-6461</t>
  </si>
  <si>
    <t>10.1039/d2dd00115b</t>
  </si>
  <si>
    <t>X9HA8</t>
  </si>
  <si>
    <t>WOS:001101467800001</t>
  </si>
  <si>
    <t>Ma, YM; Ren, JH</t>
  </si>
  <si>
    <t>Ma, Yumeng; Ren, Jiahao</t>
  </si>
  <si>
    <t>ProactiveAgent: Personalized Context-Aware Reminder System</t>
  </si>
  <si>
    <t>Human-AI interaction; generative AI; large language models</t>
  </si>
  <si>
    <t>We introduce ProactiveAgent, a proactive application that harnesses the capabilities of large language models (LLMs) and personal agents to provide context-aware, personalized reminders and suggestions. By assimilating real-time environmental data, user histories, and verbal interactions, the system discerns user intent and ofers tailored recommendations. The application captures visual activity and spoken interactions, integrating them into short and long-term memory storage for context-rich decision support. We propose scenarios where ProactiveAgent could be valuable: suggesting snack options depending on the time, ofering culinary options based on dietary preferences, and even guiding users in their daily tasks. In envisioned use cases, ProactiveAgent could potentially track user attributes during their shopping experience, such as time spent on items and other cues, leading towards insightful product recommendations. Our work represents a potential advancement in the realm of personalized assistance, merging LLM strengths with personal agent technologies to enhance user decision-making in dynamic real-world scenarios.</t>
  </si>
  <si>
    <t>[Ma, Yumeng; Ren, Jiahao] Brown Univ, Providence, RI 02912 USA</t>
  </si>
  <si>
    <t>Brown University</t>
  </si>
  <si>
    <t>Ma, YM (corresponding author), Brown Univ, Providence, RI 02912 USA.</t>
  </si>
  <si>
    <t>yumeng_ma1@brown.edu; jiahao_ren@brown.edu</t>
  </si>
  <si>
    <t>10.1145/3586182.3625115</t>
  </si>
  <si>
    <t>WOS:001125107000114</t>
  </si>
  <si>
    <t>Holla, S; Zamil, DH; Paidisetty, PS; Wang, LK; Katta, R</t>
  </si>
  <si>
    <t>Holla, Swathi; Zamil, Dina H.; Paidisetty, Praneet S.; Wang, Leonard K.; Katta, Rajani</t>
  </si>
  <si>
    <t>Using Artificial Intelligence to Assess the Teratogenic Risk of Vitamin A Supplements</t>
  </si>
  <si>
    <t>isotretinoin; vitamin a supplements; acne; ethics; teratogenic medications; ai &amp; robotics in healthcare</t>
  </si>
  <si>
    <t>Vitamin A in high doses has been found to be highly teratogenic, leading to severe fetal abnormalities if exposure occurs during pregnancy. Hence, prescription vitamin A acne medications like isotretinoin are highly regulated via programs such as iPledge, which intend to avert fetal exposure to isotretinoin and to educate healthcare providers, pharmacists, and patients about the significant risks associated with isotretinoin and its appropriate usage conditions. However, over-the-counter (OTC) vitamin A supplements are not subject to these requirements, and calculating the vitamin A content of these supplements can be difficult due to the lack of Food and Drug Administration (FDA) regulations and inconsistencies in labeling. If the necessary information is provided, ChatGPT, a generative artificial intelligence (AI) tool, can help the general public calculate the vitamin A content of supplements. Nonetheless, supplement manufacturers do not always provide the data necessary for these calculations.</t>
  </si>
  <si>
    <t>[Holla, Swathi; Zamil, Dina H.] Baylor Coll Med, Dermatol, Houston, TX 77030 USA; [Paidisetty, Praneet S.; Katta, Rajani] Univ Texas Hlth Sci Ctr Houston, McGovern Med Sch, Dermatol, Houston, TX USA; [Wang, Leonard K.] Univ Texas Med Branch, John Sealy Sch Med, Dermatol, Galveston, TX USA</t>
  </si>
  <si>
    <t>Baylor College of Medicine; University of Texas System; University of Texas Health Science Center Houston; University of Texas System; University of Texas Medical Branch Galveston</t>
  </si>
  <si>
    <t>Zamil, DH (corresponding author), Baylor Coll Med, Dermatol, Houston, TX 77030 USA.</t>
  </si>
  <si>
    <t>dina.zamil@bcm.edu</t>
  </si>
  <si>
    <t>Wang, Leonard/HCH-7566-2022</t>
  </si>
  <si>
    <t>Wang, Leonard/0000-0003-1913-2778</t>
  </si>
  <si>
    <t>e45931</t>
  </si>
  <si>
    <t>10.7759/cureus.45931</t>
  </si>
  <si>
    <t>Y7CX5</t>
  </si>
  <si>
    <t>WOS:001106814100039</t>
  </si>
  <si>
    <t>Yüksel, N; Eren, O; Börklü, HR; Sezer, HK</t>
  </si>
  <si>
    <t>Yuksel, Nurullah; Eren, Ogulcan; Borklu, Huseyin Riza; Sezer, Huseyin Kursad</t>
  </si>
  <si>
    <t>Mechanical properties of additively manufactured lattice structures designed by deep learning</t>
  </si>
  <si>
    <t>THIN-WALLED STRUCTURES</t>
  </si>
  <si>
    <t>Lattice structure; Generative adversarial networks (GAN); Material jetting printing; Parametric design; Mechanical properties</t>
  </si>
  <si>
    <t>OPTIMIZATION; BEHAVIOR</t>
  </si>
  <si>
    <t>Lattice structures, characterized by their repetitive lightweight cellular forms, enable more effective load distribution compared to solid bodies. Designing lattice structures with tailored mechanical properties remains challenging due to the numerous design variables and their complex relationship with mechanical performance. This paper presents a novel approach employing a deep learning-based Generative Adversarial Network (GAN) model to address this engineering challenge. With its potential for creativity and innovation, GAN provides design diversity that cannot be achieved with traditional design methods or other generative design models. Distinct from previous studies, the GAN training data set consists of lattice structures with improved mechanical properties obtained using parametric design and simulated annealing method. This data set enables the GAN model to create lattice structures with high strength-to-weight ratio. These lattice designs were fabricated using a commercial Material Jetting Additive Manufacturing (MJ-AM) machine, allowing for the production of complex structures. The mechanical performance of the 3D-printed unit cell samples was evaluated through Finite Element Analysis (FEA), compression, and impact testing. The results reveal that the lattice structures generated using the GAN model demonstrated improved mechanical strength (i.e. up to 108 % and 150 % improved strength and elongation performance, respectively). This study shows AI's potential to widen lattice structure design space and create tailored parts with improved mechanical properties. The research also paves the way for future exploration of deep learning techniques in revolutionizing the design and fabrication of parts with tailored mechanical properties.</t>
  </si>
  <si>
    <t>[Yuksel, Nurullah; Eren, Ogulcan; Borklu, Huseyin Riza; Sezer, Huseyin Kursad] Gazi Univ, Dept Ind Design Engn, TR-06500 Ankara, Turkiye</t>
  </si>
  <si>
    <t>Gazi University</t>
  </si>
  <si>
    <t>Yüksel, N (corresponding author), Gazi Univ, Dept Ind Design Engn, TR-06500 Ankara, Turkiye.</t>
  </si>
  <si>
    <t>nurullahyuksel@gazi.edu.tr</t>
  </si>
  <si>
    <t>yüksel, nurullah/KFR-1128-2024; EREN, Ogulcan/AAK-7280-2021</t>
  </si>
  <si>
    <t>EREN, Ogulcan/0000-0003-1904-1868</t>
  </si>
  <si>
    <t>TUBITAK ARDEB [122E411]; Scientific Research Project [FGA- 2022-7532]</t>
  </si>
  <si>
    <t>TUBITAK ARDEB(Turkiye Bilimsel ve Teknolojik Arastirma Kurumu (TUBITAK)); Scientific Research Project</t>
  </si>
  <si>
    <t>This work was supported by TUBITAK ARDEB [grant number 122E411, 2022] and Scientific Research Project [grant numbers FGA- 2022-7532, 2022] .</t>
  </si>
  <si>
    <t>0263-8231</t>
  </si>
  <si>
    <t>1879-3223</t>
  </si>
  <si>
    <t>THIN WALL STRUCT</t>
  </si>
  <si>
    <t>Thin-Walled Struct.</t>
  </si>
  <si>
    <t>10.1016/j.tws.2023.111475</t>
  </si>
  <si>
    <t>Engineering, Civil; Engineering, Mechanical; Mechanics</t>
  </si>
  <si>
    <t>Engineering; Mechanics</t>
  </si>
  <si>
    <t>ES3L6</t>
  </si>
  <si>
    <t>WOS:001140871500001</t>
  </si>
  <si>
    <t>Amann, J; Vayena, E; Ormond, KE; Frey, D; Madai, VI; Blasimme, A</t>
  </si>
  <si>
    <t>Amann, Julia; Vayena, Effy; Ormond, Kelly E.; Frey, Dietmar; Madai, Vince I.; Blasimme, Alessandro</t>
  </si>
  <si>
    <t>Expectations and attitudes towards medical artificial intelligence: A qualitative study in the field of stroke</t>
  </si>
  <si>
    <t>HEALTH-CARE; BIG DATA; SOCIOLOGY; AI; ETHICS; TRUST; TIME; AGE</t>
  </si>
  <si>
    <t>Introduction Artificial intelligence (AI) has the potential to transform clinical decision-making as we know it. Powered by sophisticated machine learning algorithms, clinical decision support systems (CDSS) can generate unprecedented amounts of predictive information about individuals' health. Yet, despite the potential of these systems to promote proactive decision-making and improve health outcomes, their utility and impact remain poorly understood due to their still rare application in clinical practice. Taking the example of AI-powered CDSS in stroke medicine as a case in point, this paper provides a nuanced account of stroke survivors', family members', and healthcare professionals' expectations and attitudes towards medical AI. Methods We followed a qualitative research design informed by the sociology of expectations, which recognizes the generative role of individuals' expectations in shaping scientific and technological change. Semi-structured interviews were conducted with stroke survivors, family members, and healthcare professionals specialized in stroke based in Germany and Switzerland. Data was analyzed using a combination of inductive and deductive thematic analysis. Results Based on the participants' deliberations, we identified four presumed roles that medical AI could play in stroke medicine, including an administrative, assistive, advisory, and autonomous role AI. While most participants held positive attitudes towards medical AI and its potential to increase accuracy, speed, and efficiency in medical decision making, they also cautioned that it is not a stand-alone solution and may even lead to new problems. Participants particularly emphasized the importance of relational aspects and raised questions regarding the impact of AI on roles and responsibilities and patients' rights to information and decision-making. These findings shed light on the potential impact of medical AI on professional identities, role perceptions, and the doctor-patient relationship. Conclusion Our findings highlight the need for a more differentiated approach to identifying and tackling pertinent ethical and legal issues in the context of medical AI. We advocate for stakeholder and public involvement in the development of AI and AI governance to ensure that medical AI offers solutions to the most pressing challenges patients and clinicians face in clinical care.</t>
  </si>
  <si>
    <t>[Amann, Julia; Vayena, Effy; Ormond, Kelly E.; Blasimme, Alessandro] Swiss Fed Inst Technol, Dept Hlth Sci &amp; Technol, Hlth Eth &amp; Policy Lab, Zurich, Switzerland; [Frey, Dietmar; Madai, Vince I.] Charite Univ Med Berlin, CLAIM Charite Lab AI Med, Berlin, Germany; [Madai, Vince I.] Charite Univ Med Berlin, Berlin Inst Hlth BIH, QUEST Ctr Responsible Res, Berlin, Germany; [Madai, Vince I.] Birmingham City Univ, Sch Comp &amp; Digital Technol, Fac Comp Engn &amp; Built Environm, Birmingham, England</t>
  </si>
  <si>
    <t>Swiss Federal Institutes of Technology Domain; ETH Zurich; Free University of Berlin; Humboldt University of Berlin; Charite Universitatsmedizin Berlin; Free University of Berlin; Humboldt University of Berlin; Charite Universitatsmedizin Berlin; Berlin Institute of Health; Birmingham City University</t>
  </si>
  <si>
    <t>Amann, J; Blasimme, A (corresponding author), Swiss Fed Inst Technol, Dept Hlth Sci &amp; Technol, Hlth Eth &amp; Policy Lab, Zurich, Switzerland.</t>
  </si>
  <si>
    <t>julia.amann@hest.ethz.ch; alessandro.blasimme@hest.ethz.ch</t>
  </si>
  <si>
    <t>Madai, Vince/GYD-7365-2022; Ormond, Kelly E/I-5676-2019</t>
  </si>
  <si>
    <t>Madai, Vince/0000-0002-8552-6954; Ormond, Kelly E/0000-0002-1033-0818; Amann, Julia/0000-0003-2155-5286; Blasimme, Alessandro/0000-0001-5908-2002</t>
  </si>
  <si>
    <t>European Union [777107]</t>
  </si>
  <si>
    <t>This research has received funding from the European Union's Horizon 2020 research and innovation programme under grant agreement No. 777107 (PRECISE4Q), PI: DF. Funder website: https://ec.europa.eu/The funders had no role in study design, data collection and analysis, decision to publish, or preparation of the manuscript.</t>
  </si>
  <si>
    <t>JAN 11</t>
  </si>
  <si>
    <t>e0279088</t>
  </si>
  <si>
    <t>10.1371/journal.pone.0279088</t>
  </si>
  <si>
    <t>N3LV7</t>
  </si>
  <si>
    <t>WOS:001036077600029</t>
  </si>
  <si>
    <t>Lukauskas, M; Sarkauskaite, V; Pilinkiene, V; Stundziene, A; Grybauskas, A; Bruneckiene, J</t>
  </si>
  <si>
    <t>Lukauskas, Mantas; Sarkauskaite, Viktorija; Pilinkiene, Vaida; Stundziene, Alina; Grybauskas, Andrius; Bruneckiene, Jurgita</t>
  </si>
  <si>
    <t>Enhancing Skills Demand Understanding through Job Ad Segmentation Using NLP and Clustering Techniques</t>
  </si>
  <si>
    <t>clustering; natural language processing; NLP; jobs requirements; machine learning; generative AI; GPT</t>
  </si>
  <si>
    <t>The labor market has been significantly impacted by the rapidly evolving global landscape, characterized by increased competition, globalization, demographic shifts, and digitization, leading to a demand for new skills and professions. The rapid pace of technological advancements, economic transformations, and changes in workplace practices necessitate that employees continuously adapt to new skill requirements. A quick assessment of these changes enables the identification of skill profiles and the activities of economic fields. This paper aims to utilize natural language processing technologies and data clustering methods to analyze the skill needs of Lithuanian employees, perform a cluster analysis of these skills, and create automated job profiles. The hypothesis that applying natural language processing and clustering in job profile analyzes can allow the real-time assessment of job skill demand changes was investigated. Over five hundred thousand job postings were analyzed to build job/position profiles for further decision-making. In the first stage, data were extracted from the job requirements of entire job advertisement texts. The regex procedure was found to have demonstrated the best results. Data vectorization for initial feature extraction was performed using BERT structure transformers (sentence transformers). Five dimensionality reduction methods were compared, with the UMAP technique producing the best results. The HDBSCAN method proved to be the most effective for clustering, though RCBMIDE also demonstrated a robust performance. Finally, job profile descriptions were generated using generative artificial intelligence based on the compiled job profile skills. Upon expert assessment of the created job profiles and their descriptions, it was concluded that the automated job advertisement analysis algorithm had shown successful results and could therefore be applied in practice.</t>
  </si>
  <si>
    <t>[Lukauskas, Mantas] Kaunas Univ Technol, Fac Math &amp; Nat Sci, Dept Appl Math, LT-44249 Kaunas, Lithuania; [Pilinkiene, Vaida; Stundziene, Alina; Grybauskas, Andrius; Bruneckiene, Jurgita] Kaunas Univ Technol, Sch Econ &amp; Business, LT-44249 Kaunas, Lithuania</t>
  </si>
  <si>
    <t>Kaunas University of Technology; Kaunas University of Technology</t>
  </si>
  <si>
    <t>Lukauskas, M (corresponding author), Kaunas Univ Technol, Fac Math &amp; Nat Sci, Dept Appl Math, LT-44249 Kaunas, Lithuania.</t>
  </si>
  <si>
    <t>mantas.lukauskas@ktu.lt</t>
  </si>
  <si>
    <t>Bruneckiene, Jurgita/0000-0002-8281-1813; Lukauskas, Mantas/0000-0003-1439-578X; Pilinkiene, Vaida/0000-0002-8373-2471; Stundziene, Alina/0000-0001-6812-8471</t>
  </si>
  <si>
    <t>European Regional Development Fund [13.1.1-LMT-K-718-05-0012]; Research Council of Lithuania (LMTLT); European Union</t>
  </si>
  <si>
    <t>European Regional Development Fund(European Union (EU)); Research Council of Lithuania (LMTLT)(Research Council of Lithuania (LMTLT)); European Union(European Union (EU))</t>
  </si>
  <si>
    <t>This project has received funding from the European Regional Development Fund (project No 13.1.1-LMT-K-718-05-0012) under a grant agreement with the Research Council of Lithuania (LMTLT). Funded as the European Union's measure in response to the Cov-19 pandemic.</t>
  </si>
  <si>
    <t>MAY 16</t>
  </si>
  <si>
    <t>10.3390/app13106119</t>
  </si>
  <si>
    <t>H4GR8</t>
  </si>
  <si>
    <t>WOS:000995571000001</t>
  </si>
  <si>
    <t>Huo, SQ; Arabzadeh, N; Clarke, CLA</t>
  </si>
  <si>
    <t>Huo, Siqing; Arabzadeh, Negar; Clarke, Charles L. A.</t>
  </si>
  <si>
    <t>Retrieving Supporting Evidence for Generative Question Answering</t>
  </si>
  <si>
    <t>Current large language models (LLMs) can exhibit near-human levels of performance on many natural language-based tasks, including open-domain question answering. Unfortunately, at this time, they also convincingly hallucinate incorrect answers, so that responses to questions must be verified against external sources before they can be accepted at face value. In this paper, we report two simple experiments to automatically validate generated answers against a corpus. We base our experiments on questions and passages from the MS MARCO (V1) test collection, and a retrieval pipeline consisting of sparse retrieval, dense retrieval and neural rerankers. In the first experiment, we validate the generated answer in its entirety. After presenting a question to an LLM and receiving a generated answer, we query the corpus with the combination of the question + generated answer. We then present the LLM with the combination of the question + generated answer + retrieved answer, prompting it to indicate if the generated answer can be supported by the retrieved answer. In the second experiment, we consider the generated answer at a more granular level, prompting the LLM to extract a list of factual statements from the answer and verifying each statement separately. We query the corpus with each factual statement and then present the LLM with the statement and the corresponding retrieved evidence. The LLM is prompted to indicate if the statement can be supported and make necessary edits using the retrieved material. With an accuracy of over 80%, we find that an LLM is capable of verifying its generated answer when a corpus of supporting material is provided. However, manual assessment of a random sample of questions reveals that incorrect generated answers are missed by this verification process. While this verification process can reduce hallucinations, it can not entirely eliminate them.</t>
  </si>
  <si>
    <t>[Huo, Siqing; Arabzadeh, Negar; Clarke, Charles L. A.] Univ Waterloo, Waterloo, ON, Canada</t>
  </si>
  <si>
    <t>Huo, SQ (corresponding author), Univ Waterloo, Waterloo, ON, Canada.</t>
  </si>
  <si>
    <t>siqing.huo.canada@gmail.com; narabzad@uwaterloo.ca; claclark@gmail.com</t>
  </si>
  <si>
    <t>Clarke, Charles/0000-0001-8178-9194; Arabzadeh, Negar/0000-0002-4411-7089</t>
  </si>
  <si>
    <t>10.1145/3624918.3625336</t>
  </si>
  <si>
    <t>WOS:001122582700002</t>
  </si>
  <si>
    <t>Barrington, S; Barua, R; Koorma, G; Farid, H</t>
  </si>
  <si>
    <t>Barrington, Sarah; Barua, Romit; Koorma, Gautham; Farid, Hany</t>
  </si>
  <si>
    <t>Single and Multi-Speaker Cloned Voice Detection: From Perceptual to Learned Features</t>
  </si>
  <si>
    <t>2023 IEEE INTERNATIONAL WORKSHOP ON INFORMATION FORENSICS AND SECURITY, WIFS</t>
  </si>
  <si>
    <t>IEEE International Workshop on Information Forensics and Security</t>
  </si>
  <si>
    <t>IEEE International Workshop on Information Forensics and Security (WIFS)</t>
  </si>
  <si>
    <t>DEC 04-07, 2023</t>
  </si>
  <si>
    <t>Nurnberg, GERMANY</t>
  </si>
  <si>
    <t>IEEE,IEEE Signal Proc Soc,Friedrich Alexander Univ Erlangen Nurnberg,Cognitec,Univ Bundeswehr Munchen, Code Res Inst Cyber Def</t>
  </si>
  <si>
    <t>deepfakes; generative AI; audio forensics</t>
  </si>
  <si>
    <t>Synthetic-voice cloning technologies have seen significant advances in recent years, giving rise to a range of potential harms. From small- and large-scale financial fraud to disinformation campaigns, the need for reliable methods to differentiate real and synthesized voices is imperative. We describe three techniques for differentiating a real from a cloned voice designed to impersonate a specific person. These three approaches differ in their feature extraction stage with low-dimensional perceptual features offering high interpretability but lower accuracy, to generic spectral features, and end-to-end learned features offering less interpretability but higher accuracy. We show the efficacy of these approaches when trained on a single speaker's voice and when trained on multiple voices. The learned features consistently yield an equal error rate between 0% and 4%, and are reasonably robust to adversarial laundering.</t>
  </si>
  <si>
    <t>[Barrington, Sarah; Barua, Romit; Koorma, Gautham; Farid, Hany] Univ Calif Berkeley, Sch Informat, Berkeley, CA 94720 USA; [Farid, Hany] Univ Calif Berkeley, Elect Engn &amp; Comp Sci, Berkeley, CA USA</t>
  </si>
  <si>
    <t>University of California System; University of California Berkeley; University of California System; University of California Berkeley</t>
  </si>
  <si>
    <t>Barrington, S (corresponding author), Univ Calif Berkeley, Sch Informat, Berkeley, CA 94720 USA.</t>
  </si>
  <si>
    <t>sbarrington@berkeley.edu; romit_barua@berkeley.edu; gautham.koorma@berkeley.edu; hfarid@berkeley.edu</t>
  </si>
  <si>
    <t>UC Berkeley Center For Long-Term Cybersecurity (CLTC); Digital Public Goods Alliance; United Nations Development Program</t>
  </si>
  <si>
    <t>This work was partially funded by a grant from the UC Berkeley Center For Long-Term Cybersecurity (CLTC), an award for open-source innovation from the Digital Public Goods Alliance and United Nations Development Program, and from an unrestricted gift from Meta. The public codebase can be found at https://github.com/audio-df-ucb/ClonedVoiceDetection.</t>
  </si>
  <si>
    <t>2157-4766</t>
  </si>
  <si>
    <t>979-8-3503-2491-4</t>
  </si>
  <si>
    <t>IEEE INT WORKS INFOR</t>
  </si>
  <si>
    <t>10.1109/WIFS58808.2023.10374911</t>
  </si>
  <si>
    <t>Computer Science, Information Systems; Computer Science, Theory &amp; Methods; Engineering, Electrical &amp; Electronic</t>
  </si>
  <si>
    <t>BW4YD</t>
  </si>
  <si>
    <t>WOS:001156967300022</t>
  </si>
  <si>
    <t>Khosravi, B; Rouzrokh, P; Mickley, JP; Faghani, S; Mulford, K; Yang, LJ; Larson, AN; Howe, BM; Erickson, BJ; Taunton, MJ; Wyles, CC</t>
  </si>
  <si>
    <t>Khosravi, Bardia; Rouzrokh, Pouria; Mickley, John P.; Faghani, Shahriar; Mulford, Kellen; Yang, Linjun; Larson, A. Noelle; Howe, Benjamin M.; Erickson, Bradley J.; Taunton, Michael J.; Wyles, Cody C.</t>
  </si>
  <si>
    <t>Few-shot biomedical image segmentation using diffusion models: Beyond image generation</t>
  </si>
  <si>
    <t>COMPUTER METHODS AND PROGRAMS IN BIOMEDICINE</t>
  </si>
  <si>
    <t>Generative AI; Diffusion models; Synthetic data; Semantic segmentation; Pelvis radiographs; Orthopedics surgery</t>
  </si>
  <si>
    <t>Background: Medical image analysis pipelines often involve segmentation, which requires a large amount of annotated training data, which is time-consuming and costly. To address this issue, we proposed leveraging generative models to achieve few-shot image segmentation. Methods: We trained a denoising diffusion probabilistic model (DDPM) on 480,407 pelvis radiographs to generate 256 x 256 px synthetic images. The DDPM was conditioned on demographic and radiologic characteristics and was rigorously validated by domain experts and objective image quality metrics (Frechet inception distance [FID] and inception score [IS]). For the next step, three landmarks (greater trochanter [GT], lesser trochanter [LT], and obturator foramen [OF]) were annotated on 45 real-patient radiographs; 25 for training and 20 for testing. To extract features, each image was passed through the pre-trained DDPM at three timesteps and for each pass, features from specific blocks were extracted. The features were concatenated with the real image to form an image with 4225 channels. The feature-set was broken into random patches, which were fed to a U-Net. Dice Similarity Coefficient (DSC) was used to compare the performance with a vanilla U-Net trained on radiographs.Results: Expert accuracy was 57.5 % in determining real versus generated images, while the model reached an FID = 7.2 and IS = 210. The segmentation UNet trained on the 20 feature-sets achieved a DSC of 0.90, 0.84, and 0.61 for OF, GT, and LT segmentation, respectively, which was at least 0.30 points higher than the naively trained model. Conclusion: We demonstrated the applicability of DDPMs as feature extractors, facilitating medical image segmentation with few annotated samples.</t>
  </si>
  <si>
    <t>[Khosravi, Bardia; Rouzrokh, Pouria; Mickley, John P.; Mulford, Kellen; Yang, Linjun; Larson, A. Noelle; Taunton, Michael J.; Wyles, Cody C.] Mayo Clin, Dept Orthoped Surg, 200 First St SW, Rochester, MN 55905 USA; [Khosravi, Bardia; Rouzrokh, Pouria; Faghani, Shahriar; Howe, Benjamin M.; Erickson, Bradley J.] Mayo Clin, Dept Radiol, Rochester, MN USA; [Wyles, Cody C.] Mayo Clin, Dept Clin Anat, Rochester, MN USA</t>
  </si>
  <si>
    <t>Mayo Clinic; Mayo Clinic; Mayo Clinic</t>
  </si>
  <si>
    <t>Wyles, CC (corresponding author), Mayo Clin, Dept Orthoped Surg, 200 First St SW, Rochester, MN 55905 USA.</t>
  </si>
  <si>
    <t>Wyles.Cody@mayo.edu</t>
  </si>
  <si>
    <t>Khosravi, Bardia/AAQ-4321-2021; Rouzrokh, Pouria/KBB-2252-2024; Taunton, Michael J/I-4346-2013; Faghani, Shahriar/ABE-1888-2021</t>
  </si>
  <si>
    <t>Khosravi, Bardia/0000-0002-8024-339X; Rouzrokh, Pouria/0000-0003-4664-0751; Faghani, Shahriar/0000-0003-3275-2971; Yang, Linjun/0000-0003-1430-3355; Erickson, Bradley/0000-0001-7926-6095; Mulford, Kellen/0000-0003-1019-5035; Mickley, John/0000-0001-5975-530X</t>
  </si>
  <si>
    <t>0169-2607</t>
  </si>
  <si>
    <t>1872-7565</t>
  </si>
  <si>
    <t>COMPUT METH PROG BIO</t>
  </si>
  <si>
    <t>Comput. Meth. Programs Biomed.</t>
  </si>
  <si>
    <t>10.1016/j.cmpb.2023.107832</t>
  </si>
  <si>
    <t>Computer Science, Interdisciplinary Applications; Computer Science, Theory &amp; Methods; Engineering, Biomedical; Medical Informatics</t>
  </si>
  <si>
    <t>X1ME6</t>
  </si>
  <si>
    <t>WOS:001096149000001</t>
  </si>
  <si>
    <t>Zama, MH; Schwenker, F</t>
  </si>
  <si>
    <t>Zama, Md Haider; Schwenker, Friedhelm</t>
  </si>
  <si>
    <t>ECG Synthesis via Diffusion-Based State Space Augmented Transformer</t>
  </si>
  <si>
    <t>electrocardiography; generative models; diffusion models; signal processing; time series; ECG synthesis</t>
  </si>
  <si>
    <t>Cardiovascular diseases (CVDs) are a major global health concern, causing significant morbidity and mortality. AI's integration with healthcare offers promising solutions, with data-driven techniques, including ECG analysis, emerging as powerful tools. However, privacy concerns pose a major barrier to distributing healthcare data for addressing data-driven CVD classification. To address confidentiality issues related to sensitive health data distribution, we propose leveraging artificially synthesized data generation. Our contribution introduces a novel diffusion-based model coupled with a State Space Augmented Transformer. This synthesizes conditional 12-lead electrocardiograms based on the 12 multilabeled heart rhythm classes of the PTB-XL dataset, with each lead depicting the heart's electrical activity from different viewpoints. Recent advances establish diffusion models as groundbreaking generative tools, while the State Space Augmented Transformer captures long-term dependencies in time series data. The quality of generated samples was assessed using metrics like Dynamic Time Warping (DTW) and Maximum Mean Discrepancy (MMD). To evaluate authenticity, we assessed the similarity of performance of a pre-trained classifier on both generated and real ECG samples.</t>
  </si>
  <si>
    <t>[Zama, Md Haider] Jamia Millia Islamia, Dept Comp Engn, New Delhi 110025, India; [Schwenker, Friedhelm] Ulm Univ, Inst Neural Informat Proc, D-89081 Ulm, Germany</t>
  </si>
  <si>
    <t>Jamia Millia Islamia; Ulm University</t>
  </si>
  <si>
    <t>Schwenker, F (corresponding author), Ulm Univ, Inst Neural Informat Proc, D-89081 Ulm, Germany.</t>
  </si>
  <si>
    <t>haider1272002@gmail.com; friedhelm.schwenker@uni-ulm.de</t>
  </si>
  <si>
    <t>Schwenker, Friedhelm/G-6069-2015</t>
  </si>
  <si>
    <t>Schwenker, Friedhelm/0000-0001-5118-0812; Zama, Md Haider/0009-0002-5512-5516</t>
  </si>
  <si>
    <t>10.3390/s23198328</t>
  </si>
  <si>
    <t>U7UI0</t>
  </si>
  <si>
    <t>WOS:001086814600001</t>
  </si>
  <si>
    <t>Lattari, F; Santomarco, V; Santambrogio, R; Rucci, A; Matteucci, M</t>
  </si>
  <si>
    <t>Lattari, Francesco; Santomarco, Vincenzo; Santambrogio, Riccardo; Rucci, Alessio; Matteucci, Matteo</t>
  </si>
  <si>
    <t>CycleSAR: SAR Image Despeckling as Unpaired Image-to-Image Translation</t>
  </si>
  <si>
    <t>2023 INTERNATIONAL JOINT CONFERENCE ON NEURAL NETWORKS, IJCNN</t>
  </si>
  <si>
    <t>IEEE International Joint Conference on Neural Networks (IJCNN)</t>
  </si>
  <si>
    <t>International Joint Conference on Neural Networks (IJCNN)</t>
  </si>
  <si>
    <t>JUN 18-23, 2023</t>
  </si>
  <si>
    <t>Broadbeach, AUSTRALIA</t>
  </si>
  <si>
    <t>Int Neural Network Soc,IEEE Computat Intelligence Soc</t>
  </si>
  <si>
    <t>Synthetic Aperture Radar; despeckling; deep learning; unpaired image-to-image translation; generative adversarial networks</t>
  </si>
  <si>
    <t>Synthetic Aperture Radar (SAR) is a cutting-edge remote sensing technology that offers a unique perspective on the Earth's surface through its advanced microwave imaging, providing valuable insights into various aspects of the environment. However, SAR images are impacted by the speckle phenomenon, which acts as noise, hindering accurate interpretation of the scene and presenting a major challenge for SAR image analysis and understanding. Deep Learning has emerged as a powerful solution for despeckling SAR images, but acquiring large amounts of labeled data for training is a significant obstacle as obtaining ground truth in the SAR domain is not feasible. The proposed method overcomes this limitation with a novel unsupervised approach to single-look SAR image despeckling. Our method, CycleSAR, leverages the power of cycle-consistent generative adversarial networks (CycleGANs) to formulate the despeckling problem as an unpaired image-to-image translation, by effectively bypassing the need for ground truth data. Additionally, our method not only effectively reduces the speckle in single-look SAR images, but also enables, by construction, the simultaneous learning of a generative model to generate realistic speckled realizations of multi-look SAR images. The addition of a conditional variational autoencoder (CVAE) further enhances the method, enabling the one-to-many generation of speckled images and leading to an overall improvement in despeckling performance. The experimental results demonstrate the remarkable capabilities of the proposed method, CycleSAR, in providing high-quality despeckling and realistic speckle realizations. CycleSAR stands apart from existing state-of-the-art methods as it does not rely on data simulation or make any assumptions about the speckle distribution.</t>
  </si>
  <si>
    <t>[Lattari, Francesco; Santomarco, Vincenzo; Santambrogio, Riccardo; Matteucci, Matteo] Politecn Milan, Dipartimento Elettron Informazione &amp; Bioingn DEIB, I-20133 Milan, Italy; [Rucci, Alessio] TRE ALTAMIRA S r l, I-20143 Milan, Italy</t>
  </si>
  <si>
    <t>Polytechnic University of Milan</t>
  </si>
  <si>
    <t>Lattari, F (corresponding author), Politecn Milan, Dipartimento Elettron Informazione &amp; Bioingn DEIB, I-20133 Milan, Italy.</t>
  </si>
  <si>
    <t>francesco.lattari@polimi.it; riccardo.santambrogio@polimi.it; alessio.rucci@tre-altamira.com; matteo.matteucci@polimi.it</t>
  </si>
  <si>
    <t>PNRR-PE-AI FAIR project - NextGeneration EU program</t>
  </si>
  <si>
    <t>This paper is supported by the PNRR-PE-AI FAIR project funded by the NextGeneration EU program.</t>
  </si>
  <si>
    <t>2161-4393</t>
  </si>
  <si>
    <t>978-1-6654-8867-9</t>
  </si>
  <si>
    <t>IEEE IJCNN</t>
  </si>
  <si>
    <t>10.1109/IJCNN54540.2023.10191089</t>
  </si>
  <si>
    <t>Computer Science, Artificial Intelligence; Computer Science, Hardware &amp; Architecture; Engineering, Electrical &amp; Electronic</t>
  </si>
  <si>
    <t>BV5BH</t>
  </si>
  <si>
    <t>WOS:001046198700055</t>
  </si>
  <si>
    <t>Marquez, R; Barrios, N; Vera, RE; Mendez, ME; Tolosa, L; Zambrano, F; Li, YL</t>
  </si>
  <si>
    <t>Marquez, Ronald; Barrios, Nelson; Vera, Ramon E.; Mendez, Maria E.; Tolosa, Laura; Zambrano, Franklin; Li, Yali</t>
  </si>
  <si>
    <t>A perspective on the synergistic potential of artificial intelligence and product-based learning strategies in biobased materials education</t>
  </si>
  <si>
    <t>EDUCATION FOR CHEMICAL ENGINEERS</t>
  </si>
  <si>
    <t>Chemical engineering; Biobased; Materials; Formulation; Engineering education; Artificial intelligence; ChatGPT; Generative AI</t>
  </si>
  <si>
    <t>CIRCULAR ECONOMY; SUSTAINABLE DEVELOPMENT; ENGINEERING-EDUCATION; INTEGRATING SUSTAINABILITY; ENERGY USE; DESIGN; INDUSTRY; SCIENCE; BIOLOGY; WASTE</t>
  </si>
  <si>
    <t>The integration of product-based learning strategies in Materials in Chemical Engineering education is crucial for students to gain the skills and competencies required to thrive in the emerging circular bioeconomy. Traditional materials engineering education has often relied on a transmission teaching approach, in which students are expected to passively receive information from instructors. However, this approach has shown to be inadequate under the current circumstances, in which information is readily available and innovative tools such as artificial intelligence and virtual reality environments are becoming widespread (e.g., metaverse). Instead, we consider that a critical goal of education should be to develop aptitudes and abilities that enable students to generate solutions and products that address societal demands. In this work, we propose innovative strategies, such as product-based learning methods and GPT (Generative Pre-trained Transformer) artificial intelligence text generation models, to modify the focus of a Materials in Chemical Engineering course from non-sustainable materials to sustainable ones, aiming to address the critical challenges of our society. This approach aims to achieve two objectives: first to enable students to actively engage with raw materials and solve real-world challenges, and second, to foster creativity and entrepreneurship skills by providing them with the necessary tools to conduct brainstorming sessions and develop procedures following scientific methods. The incorporation of circular bioeconomy concepts, such as renewable resources, waste reduction, and resource efficiency into the curriculum provides a framework for students to understand the environmental, social, and economic implications in Chemical Engineering. It also allows them to make informed decisions within the circular bioeconomy framework, benefiting society by promoting the development and adoption of sustainable technologies and practices.</t>
  </si>
  <si>
    <t>[Marquez, Ronald; Barrios, Nelson; Vera, Ramon E.] PSL Univ, Ecole Super Phys &amp; Chim Ind Ville Paris ESPCI, 10 rue Vauquelin, F-75231 Paris, France; [Marquez, Ronald; Barrios, Nelson; Vera, Ramon E.] North Carolina State Univ, Dept Forest Biomat, Raleigh, NC USA; [Barrios, Nelson] Univ Carabobo, Lab Petr Hydrocarbons &amp; Derivat, Valencia, Venezuela; [Mendez, Maria E.; Tolosa, Laura] Univ Andes, Sch Chem Engn, Santiago, Venezuela; [Zambrano, Franklin] Solenis LLC, Wilmington, DE USA; [Li, Yali] Jiangxi Univ Sci &amp; Technol, Sch Business, Nanchang 330013, Peoples R China</t>
  </si>
  <si>
    <t>Universite PSL; Ecole Superieure de Physique et de Chimie Industrielles de la Ville de Paris (ESPCI); North Carolina State University; University of Los Andes Venezuela; Jiangxi University of Science &amp; Technology</t>
  </si>
  <si>
    <t>Marquez, R (corresponding author), PSL Univ, Ecole Super Phys &amp; Chim Ind Ville Paris ESPCI, 10 rue Vauquelin, F-75231 Paris, France.;Li, YL (corresponding author), Jiangxi Univ Sci &amp; Technol, Sch Business, Nanchang 330013, Peoples R China.</t>
  </si>
  <si>
    <t>marquezronald.ula.ve@gmail.com; liyali_maxspeci@outlook.com</t>
  </si>
  <si>
    <t>Marquez, Ronald/R-5626-2018; Tolosa, Laura/KFQ-8429-2024; Vera, Ramon/JXY-6042-2024</t>
  </si>
  <si>
    <t>Marquez, Ronald/0000-0001-6003-7487; Vera, Ramon/0000-0002-1791-738X; Barrios, Nelson/0000-0002-9932-9775; Tolosa Morales, Laura Isabel/0000-0002-9862-9733; Li, Yali/0000-0001-7950-9448</t>
  </si>
  <si>
    <t>1749-7728</t>
  </si>
  <si>
    <t>EDUC CHEM ENG</t>
  </si>
  <si>
    <t>Educ. Chem. Eng.</t>
  </si>
  <si>
    <t>10.1016/j.ece.2023.05.005</t>
  </si>
  <si>
    <t>Education, Scientific Disciplines; Engineering, Chemical</t>
  </si>
  <si>
    <t>Education &amp; Educational Research; Engineering</t>
  </si>
  <si>
    <t>Q0PV8</t>
  </si>
  <si>
    <t>WOS:001054630400001</t>
  </si>
  <si>
    <t>Wang, DJ; Fu, YJ; Liu, KP; Chen, FL; Wang, PY; Lu, CT</t>
  </si>
  <si>
    <t>Wang, Dongjie; Fu, Yanjie; Liu, Kunpeng; Chen, Fanglan; Wang, Pengyang; Lu, Chang-Tien</t>
  </si>
  <si>
    <t>Automated Urban Planning for Reimagining City Configuration via Adversarial Learning: Quantification, Generation, and Evaluation</t>
  </si>
  <si>
    <t>ACM TRANSACTIONS ON SPATIAL ALGORITHMS AND SYSTEMS</t>
  </si>
  <si>
    <t>Urban planning; representation learning; generative adversarial networks; graph neural networks</t>
  </si>
  <si>
    <t>NETWORKS; MODEL</t>
  </si>
  <si>
    <t>Urban planning refers to the efforts of designing land-use configurations given a region. However, to obtain effective urban plans, urban experts have to spend much time and effort analyzing sophisticated planning constraints based on domain knowledge and personal experiences. To alleviate the heavy burden of them and produce consistent urban plans, we want to ask that can AI accelerate the urban planning process, so that human planners only adjust generated configurations for specific needs? The recent advance of deep generative models provides a possible answer, which inspires us to automate urban planning from an adversarial learning perspective. However, three major challenges arise: (1) how to define a quantitative land-use configuration? (2) how to automate configuration planning? (3) how to evaluate the quality of a generated configuration? In this article, we systematically address the three challenges. Specifically, (1) We define a land-use configuration as a longitude-latitude-channel tensor. (2) We formulate the automated urban planning problem into a task of deep generative learning. The objective is to generate a configuration tensor given the surrounding contexts of a target region. In particular, we first construct spatial graphs using geographic and human mobility data crawled from websites to learn graph representations. We then combine each target area and its surrounding context representations as a tuple, and categorize all tuples into positive (well-planned areas) and negative samples (poorly-planned areas). Next, we develop an adversarial learning framework, in which a generator takes the surrounding context representations as input to generate a landuse configuration, and a discriminator learns to distinguish between positive and negative samples. (3) We provide quantitative evaluation metrics and conduct extensive experiments to demonstrate the effectiveness of our framework.</t>
  </si>
  <si>
    <t>[Wang, Dongjie; Fu, Yanjie; Liu, Kunpeng] Univ Cent Florida, 4328 Scorpius St, Orlando, FL 32816 USA; [Chen, Fanglan; Lu, Chang-Tien] Virginia Tech, 7054 Haycock Rd, Falls Church, VA USA; [Wang, Pengyang] Univ Macau, Taipa, Macao, Peoples R China</t>
  </si>
  <si>
    <t>State University System of Florida; University of Central Florida; Virginia Polytechnic Institute &amp; State University; University of Macau</t>
  </si>
  <si>
    <t>Wang, DJ (corresponding author), Univ Cent Florida, 4328 Scorpius St, Orlando, FL 32816 USA.</t>
  </si>
  <si>
    <t>wangdongjie@knights.ucf.edu; yanjie.fu@ucf.edu; kunpengliu@knights.ucf.edu; fanglanc@vt.edu; pywang@um.edu.mo; ctlu@vt.edu</t>
  </si>
  <si>
    <t>he, xi/JXN-3817-2024; Liu, Kunpeng/HHZ-6496-2022; Li, Ren/JVZ-9153-2024; Wang, Yanlin/JGC-6782-2023; zhang, xu/JXX-7692-2024; wang, KiKi/JFZ-3334-2023; FENG, X/JPL-4188-2023; Wang, Xingyu/JNE-0602-2023; zhang, jiayue/JUF-0129-2023; zhao, weiwei/JUU-6585-2023; Wang, zhenhua/KFA-8731-2024; sun, jiamin/JPY-2155-2023; Zhang, Wenkai/JWO-2030-2024; Li, Huizhen/JPX-2563-2023</t>
  </si>
  <si>
    <t>Li, Ren/0000-0002-2579-2580;</t>
  </si>
  <si>
    <t>National Science Foundation (NSF) [1755946, 2040950, 2006889, 2045567, CNS-2141095]</t>
  </si>
  <si>
    <t>National Science Foundation (NSF)(National Science Foundation (NSF))</t>
  </si>
  <si>
    <t>This research was partially supported by the National Science Foundation (NSF) via the grant numbers: 1755946, 2040950, 2006889, 2045567, CNS-2141095.</t>
  </si>
  <si>
    <t>2374-0353</t>
  </si>
  <si>
    <t>2374-0361</t>
  </si>
  <si>
    <t>ACM TRANS SPAT ALGOR</t>
  </si>
  <si>
    <t>ACM Trans. Spat. Algoritm. Syst.</t>
  </si>
  <si>
    <t>10.1145/3524302</t>
  </si>
  <si>
    <t>Remote Sensing</t>
  </si>
  <si>
    <t>H9GX5</t>
  </si>
  <si>
    <t>WOS:000998971200002</t>
  </si>
  <si>
    <t>Májovsky, M; Cerny, M; Kasal, ME; Komarc, M; Netuka, D</t>
  </si>
  <si>
    <t>Majovsky, Martin; Cerny, Martin; Kasal, Mat Ej; Komarc, Martin; Netuka, David</t>
  </si>
  <si>
    <t>Artificial Intelligence Can Generate Fraudulent but Authentic-Looking Scientific Medical Articles: Pandora's Box Has Been Opened</t>
  </si>
  <si>
    <t>artificial intelligence; publications; ethics; neurosurgery; ChatGPT; language models; fraudulent medical articles</t>
  </si>
  <si>
    <t>Background: Artificial intelligence (AI) has advanced substantially in recent years, transforming many industries and improving the way people live and work. In scientific research, AI can enhance the quality and efficiency of data analysis and publication. However, AI has also opened up the possibility of generating high-quality fraudulent papers that are difficult to detect, raising important questions about the integrity of scientific research and the trustworthiness of published papers.Objective: The aim of this study was to investigate the capabilities of current AI language models in generating high-quality fraudulent medical articles. We hypothesized that modern AI models can create highly convincing fraudulent papers that can easily deceive readers and even experienced researchers. Methods: This proof-of-concept study used ChatGPT (Chat Generative Pre-trained Transformer) powered by the GPT-3 (Generative Pre-trained Transformer 3) language model to generate a fraudulent scientific article related to neurosurgery. GPT-3 is a large language model developed by OpenAI that uses deep learning algorithms to generate human-like text in response to prompts given by users. The model was trained on a massive corpus of text from the internet and is capable of generating high-quality text in a variety of languages and on various topics. The authors posed questions and prompts to the model and refined them iteratively as the model generated the responses. The goal was to create a completely fabricated article including the abstract, introduction, material and methods, discussion, references, charts, etc. Once the article was generated, it was reviewed for accuracy and coherence by experts in the fields of neurosurgery, psychiatry, and statistics and compared to existing similar articles.Results: The study found that the AI language model can create a highly convincing fraudulent article that resembled a genuine scientific paper in terms of word usage, sentence structure, and overall composition. The AI-generated article included standard sections such as introduction, material and methods, results, and discussion, as well a data sheet. It consisted of 1992 words and 17 citations, and the whole process of article creation took approximately 1 hour without any special training of the human user. However, there were some concerns and specific mistakes identified in the generated article, specifically in the references.Conclusions: The study demonstrates the potential of current AI language models to generate completely fabricated scientific articles. Although the papers look sophisticated and seemingly flawless, expert readers may identify semantic inaccuracies and errors upon closer inspection. We highlight the need for increased vigilance and better detection methods to combat the potential misuse of AI in scientific research. At the same time, it is important to recognize the potential benefits of using AI language models in genuine scientific writing and research, such as manuscript preparation and language editing.</t>
  </si>
  <si>
    <t>[Majovsky, Martin; Cerny, Martin; Netuka, David] Charles Univ Prague, Fac Med 1, Dept Neurosurg &amp; Neurooncol, Prague, Czech Republic; [Kasal, Mat Ej] Charles Univ Prague, Fac Med Pilsen, Dept Psychiat, Plzen, Czech Republic; [Komarc, Martin] Charles Univ Prague, Inst Biophys &amp; Informat, Fac Med 1, Prague, Czech Republic; [Komarc, Martin] Charles Univ Prague, Fac Phys Educ &amp; Sport, Dept Methodol, Prague, Czech Republic; [Majovsky, Martin] Charles Univ Prague, Fac Med 1, Dept Neurosurg &amp; Neurooncol, Vojenske Nemocnice 1200, Prague 16000, Czech Republic</t>
  </si>
  <si>
    <t>Charles University Prague; Charles University Prague; Charles University Prague; Charles University Prague; Charles University Prague</t>
  </si>
  <si>
    <t>Májovsky, M (corresponding author), Charles Univ Prague, Fac Med 1, Dept Neurosurg &amp; Neurooncol, Vojenske Nemocnice 1200, Prague 16000, Czech Republic.</t>
  </si>
  <si>
    <t>majovmar@uvn.cz</t>
  </si>
  <si>
    <t>Majovsky, Martin/N-9262-2017; Černý, Martin/AHA-7099-2022; Komarc, Martin/A-7308-2017; Komarc, Martin/O-2575-2019</t>
  </si>
  <si>
    <t>Majovsky, Martin/0000-0001-7725-5181; Černý, Martin/0000-0002-8601-0554; Komarc, Martin/0000-0003-4106-5217; Kasal, Matej/0000-0001-6445-8983</t>
  </si>
  <si>
    <t>Ministry of Defence of the Czech Republic [MO1012]; Cooperatio Neuroscience UK - Charles University</t>
  </si>
  <si>
    <t>Ministry of Defence of the Czech Republic; Cooperatio Neuroscience UK - Charles University</t>
  </si>
  <si>
    <t>This study was supported by the Ministry of Defence of the Czech Republic (grant MO1012) and Cooperatio Neuroscience UK, which was funded by Charles University. The funding sources had no impact on the study design, collection, analysis, and interpretation of data; on the writing of the article; or on the decision to submit the article for publication. We used the generative AI tool ChatGPT to draft a fabricated article and a review. The original ChatGPT transcripts are made available as Multimedia Appendices 1-2.</t>
  </si>
  <si>
    <t>e46924</t>
  </si>
  <si>
    <t>10.2196/46924</t>
  </si>
  <si>
    <t>L3FT3</t>
  </si>
  <si>
    <t>WOS:001022158000003</t>
  </si>
  <si>
    <t>Kunitsu, Y</t>
  </si>
  <si>
    <t>Kunitsu, Yuki</t>
  </si>
  <si>
    <t>The Potential of GPT-4 as a Support Tool for Pharmacists: Analytical Study Using the Japanese National Examination for Pharmacists</t>
  </si>
  <si>
    <t>natural language processing; generative pretrained transformer; GPT-4; ChatGPT; artificial intelligence; AI; chatbot; pharmacy; pharmacist</t>
  </si>
  <si>
    <t>Background: The advancement of artificial intelligence (AI), as well as machine learning, has led to its application in various industries, including health care. AI chatbots, such as GPT-4, developed by OpenAI, have demonstrated potential in supporting health care professionals by providing medical information, answering examination questions, and assisting in medical education. However, the applicability of GPT-4 in the field of pharmacy remains unexplored.Objective: This study aimed to evaluate GPT-4's ability to answer questions from the Japanese National Examination for Pharmacists (JNEP) and assess its potential as a support tool for pharmacists in their daily practice.Methods: The question texts and answer choices from the 107th and 108th JNEP, held in February 2022 and February 2023, were input into GPT-4. As GPT-4 cannot process diagrams, questions that included diagram interpretation were not analyzed and were initially given a score of 0. The correct answer rates were calculated and compared with the passing criteria of each examination to evaluate GPT-4's performance.Results: For the 107th and 108th JNEP, GPT-4 achieved an accuracy rate of 64.5% (222/344) and 62.9% (217/345), respectively, for all questions. When considering only the questions that GPT-4 could answer, the accuracy rates increased to 78.2% (222/284) and 75.3% (217/287), respectively. The accuracy rates tended to be lower for physics, chemistry, and calculation questions.Conclusions: Although GPT-4 demonstrated the potential to answer questions from the JNEP and support pharmacists' capabilities, it also showed limitations in handling highly specialized questions, calculation questions, and questions requiring diagram recognition. Further evaluation is necessary to explore its applicability in real-world clinical settings, considering the complexities of patient scenarios and collaboration with health care professionals. By addressing these limitations, GPT-4 could become a more reliable tool for pharmacists in their daily practice.</t>
  </si>
  <si>
    <t>[Kunitsu, Yuki] Shiga Univ Med Sci Hosp, Dept Pharm, Seta Tukinowacho, Otsu, Shiga 5202121, Japan</t>
  </si>
  <si>
    <t>Shiga University of Medical Science</t>
  </si>
  <si>
    <t>Kunitsu, Y (corresponding author), Shiga Univ Med Sci Hosp, Dept Pharm, Seta Tukinowacho, Otsu, Shiga 5202121, Japan.</t>
  </si>
  <si>
    <t>ykunitsu@belle.shiga-med.ac.jp</t>
  </si>
  <si>
    <t>Kunitsu, Yuki/JXM-2994-2024</t>
  </si>
  <si>
    <t>Kunitsu, Yuki/0000-0003-0331-6417</t>
  </si>
  <si>
    <t>e48452</t>
  </si>
  <si>
    <t>10.2196/48452</t>
  </si>
  <si>
    <t>Y3RS3</t>
  </si>
  <si>
    <t>WOS:001104479100001</t>
  </si>
  <si>
    <t>Lonergan, RM; Curry, J; Dhas, K; Simmons, BI</t>
  </si>
  <si>
    <t>Lonergan, Rebecca Murphy; Curry, Jake; Dhas, Kallpana; Simmons, Benno I.</t>
  </si>
  <si>
    <t>Stratified Evaluation of GPT's Question Answering in Surgery Reveals Artificial Intelligence (AI) Knowledge Gaps</t>
  </si>
  <si>
    <t>artificial intelligence in medicine; artificial intelligence in surgery; surgery; large language models; chatgpt</t>
  </si>
  <si>
    <t>Large language models (LLMs) have broad potential applications in medicine, such as aiding with education, providing reassurance to patients, and supporting clinical decision-making. However, there is a notable gap in understanding their applicability and performance in the surgical domain and how their performance varies across specialties. This paper aims to evaluate the performance of LLMs in answering surgical questions relevant to clinical practice and to assess how this performance varies across different surgical specialties.We used the MedMCQA dataset, a large-scale multi-choice question-answer (MCQA) dataset consisting of clinical questions across all areas of medicine. We extracted the relevant 23,035 surgical questions and submitted them to the popular LLMs Generative Pre-trained Transformers (GPT)-3.5 and GPT-4 (OpenAI OpCo, LLC, San Francisco, CA). Generative Pre-trained Transformer is a large language model that can generate human-like text by predicting subsequent words in a sentence based on the context of the words that come before it. It is pre-trained on a diverse range of texts and can perform a variety of tasks, such as answering questions, without needing task-specific training. The question-answering accuracy of GPT was calculated and compared between the two models and across surgical specialties. Both GPT-3.5 and GPT-4 achieved accuracies of 53.3% and 64.4%, respectively, on surgical questions, showing a statistically significant difference in performance. When compared to their performance on the full MedMCQA dataset, the two models performed differently: GPT-4 performed worse on surgical questions than on the dataset as a whole, while GPT-3.5 showed the opposite pattern. Significant variations in accuracy were also observed across different surgical specialties, with strong performances in anatomy, vascular, and paediatric surgery and worse performances in orthopaedics, ENT, and neurosurgery.Large language models exhibit promising capabilities in addressing surgical questions, although the variability in their performance between specialties cannot be ignored. The lower performance of the latest GPT-4 model on surgical questions relative to questions across all medicine highlights the need for targeted improvements and continuous updates to ensure relevance and accuracy in surgical applications. Further research and continuous monitoring of LLM performance in surgical domains are crucial to fully harnessing their potential and mitigating the risks of misinformation.</t>
  </si>
  <si>
    <t>[Lonergan, Rebecca Murphy; Dhas, Kallpana] Chelsea &amp; Westminster Hosp NHS Fdn Trust, Dept Med Educ, London, England; [Curry, Jake; Simmons, Benno I.] Univ Exeter, Ctr Ecol &amp; Conservat, Penryn, England</t>
  </si>
  <si>
    <t>Imperial College London; University of Exeter</t>
  </si>
  <si>
    <t>Lonergan, RM (corresponding author), Chelsea &amp; Westminster Hosp NHS Fdn Trust, Dept Med Educ, London, England.</t>
  </si>
  <si>
    <t>rebeccamurphylonergan@gmail.com</t>
  </si>
  <si>
    <t>NOV 14</t>
  </si>
  <si>
    <t>e48788</t>
  </si>
  <si>
    <t>10.7759/cureus.48788</t>
  </si>
  <si>
    <t>Z1FI2</t>
  </si>
  <si>
    <t>WOS:001109604800025</t>
  </si>
  <si>
    <t>Han, K; Koo, H; Jung, SH; Park, HB; Hong, YT; Shim, H; Jeon, B; Chang, HJ</t>
  </si>
  <si>
    <t>Han, Kyunghoon; Koo, Heejoon; Jung, Sunghee; Park, Hyung-Bok; Hong, Youngtaek; Shim, Hackjoon; Jeon, Byunghwan; Chang, Hyuk-Jae</t>
  </si>
  <si>
    <t>Reconstruction of Partially Broken Vascular Structures in X-Ray Images via Vesselness-Loss-Based Multi-Scale Generative Adversarial Networks</t>
  </si>
  <si>
    <t>Coronary artery; X-ray angiography; procedure guidance</t>
  </si>
  <si>
    <t>REGISTRATION; SEGMENTATION; ANGIOGRAPHY</t>
  </si>
  <si>
    <t>Coronary artery procedures are primarily performed based on X-ray angiography images. However, coronary arteries in X-ray images are often partially broken, complicating diagnoses and procedures owing to lack of visibility. In this paper, we propose a fully automatic method to restore locally broken parts of coronary arteries in X-ray images without using any external information, such as computed tomography images. To this end, we design a new multi-scale generative adversarial network and a vesselness-loss function. The proposed method is optimized for focus on elongated structures and can be utilized in various clinical applications. The proposed method is evaluated and compared with four other existing methods using the performance metrics, PSNR, MSE, and SSIM, and the result shows 34.3, 0.18, and 0.91 averages, respectively for each metric. Based on the performance result, the blocked regions are plausibly reconstructed into such original shapes of blood vessels, which can aid in image-based guiding catheter manipulation during coronary artery procedures. Eventually, the proposed method can be utilized in various clinical applications, e.g., image-based planning and guidance of coronary procedures and prior simulation of results.</t>
  </si>
  <si>
    <t>[Han, Kyunghoon] Yonsei Univ, Grad Sch Med Sci, Dept Internal Med, Coll Med,Brain Korea 21 Project, Seoul 03722, South Korea; [Han, Kyunghoon; Koo, Heejoon; Park, Hyung-Bok; Hong, Youngtaek; Shim, Hackjoon; Chang, Hyuk-Jae] Yonsei Univ, Coll Med, CONNECT AI Res Ctr, Seoul 03721, South Korea; [Jung, Sunghee] Kookmin Univ, Sch Elect Engn, Seoul 02707, South Korea; [Park, Hyung-Bok] Catholic Kwandong Univ, Int St Marys Hosp, Dept Cardiol, Incheon 22711, South Korea; [Hong, Youngtaek; Chang, Hyuk-Jae] Ontact Hlth Inc, Seoul, South Korea; [Jeon, Byunghwan] Hankuk Univ Foreign Studies, Div Comp Engn, Yongin 17035, South Korea; [Chang, Hyuk-Jae] Yonsei Univ, Yonsei Univ Hlth Syst, Severance Cardiovasc Hosp, Coll Med,Div Cardiol, Seoul 03721, South Korea</t>
  </si>
  <si>
    <t>Yonsei University; Yonsei University Health System; Yonsei University; Yonsei University Health System; Kookmin University; Catholic Kwandong University; Hankuk University Foreign Studies; Yonsei University; Yonsei University Health System</t>
  </si>
  <si>
    <t>Jeon, B (corresponding author), Hankuk Univ Foreign Studies, Div Comp Engn, Yongin 17035, South Korea.</t>
  </si>
  <si>
    <t>bhjeon@hufs.ac.kr</t>
  </si>
  <si>
    <t>Han, Kyunghoon/0000-0001-9393-1565; Shim, Hackjoon/0000-0002-6731-0084; Chang, Hyuk-Jae/0000-0002-6139-7545; Jung, Sunghee/0000-0002-8042-457X; Park, Hyung-Bok/0000-0002-3773-2665</t>
  </si>
  <si>
    <t>Korea Medical Device Development-Korean Government (the Ministry of Science and ICT (MSIT; Ministry of Trade; Industry and Energy; Ministry of Health and Welfare, Republic of Korea; Ministry of Food and Drug Safety [202016B02]; Hankuk University of Foreign Studies Research Fund; MSIT, Korea, through the National Program for Excellence in SW; Institute of Information and Communications Technology Planning and Evaluation (IITP) [2019-0-00816]</t>
  </si>
  <si>
    <t>Korea Medical Device Development-Korean Government (the Ministry of Science and ICT (MSIT; Ministry of Trade; Industry and Energy; Ministry of Health and Welfare, Republic of Korea(Ministry of Health &amp; Welfare (MOHW), Republic of Korea); Ministry of Food and Drug Safety(Ministry of Food &amp; Drug Safety (MFDS), Republic of Korea); Hankuk University of Foreign Studies Research Fund; MSIT, Korea, through the National Program for Excellence in SW; Institute of Information and Communications Technology Planning and Evaluation (IITP)(Institute for Information &amp; Communication Technology Planning &amp; Evaluation (IITP), Republic of Korea)</t>
  </si>
  <si>
    <t>This work was supported in part by the Korea Medical Device Development Fund Grant funded by the Korean Government (the Ministry of Science and ICT (MSIT), the Ministry of Trade, Industry and Energy, the Ministry of Health and Welfare, Republic of Korea, and the Ministry of Food and Drug Safety) under Project 202016B02; in part by the Hankuk University of Foreign Studies Research Fund of 2023;and in part by MSIT, Korea, through the National Program for Excellence in SW, supervised by the Institute of Information and Communications Technology Planning and Evaluation (IITP) in 2023, under Grant 2019-0-00816.</t>
  </si>
  <si>
    <t>10.1109/ACCESS.2023.3301568</t>
  </si>
  <si>
    <t>P6HV6</t>
  </si>
  <si>
    <t>WOS:001051674800001</t>
  </si>
  <si>
    <t>Feldman, P; Fainstein, M; Siless, V; Delrieux, C; Iarussi, E</t>
  </si>
  <si>
    <t>Madabhushi, A; Greenspan, H; Mousavi, P; Salcudean, S; Duncan, J; Syeda-Mahmood, T; Taylor, R</t>
  </si>
  <si>
    <t>Feldman, Paula; Fainstein, Miguel; Siless, Viviana; Delrieux, Claudio; Iarussi, Emmanuel</t>
  </si>
  <si>
    <t>VesselVAE: Recursive Variational Autoencoders for 3D Blood Vessel Synthesis</t>
  </si>
  <si>
    <t>MEDICAL IMAGE COMPUTING AND COMPUTER ASSISTED INTERVENTION, MICCAI 2023, PT I</t>
  </si>
  <si>
    <t>Vascular 3D model; Generative modeling; Neural Networks</t>
  </si>
  <si>
    <t>We present a data-driven generative framework for synthesizing blood vessel 3D geometry. This is a challenging task due to the complexity of vascular systems, which are highly variating in shape, size, and structure. Existing model-based methods provide some degree of control and variation in the structures produced, but fail to capture the diversity of actual anatomical data. We developed VesselVAE, a recursive variational Neural Network that fully exploits the hierarchical organization of the vessel and learns a low-dimensional manifold encoding branch connectivity along with geometry features describing the target surface. After training, the VesselVAE latent space can be sampled to generate new vessel geometries. To the best of our knowledge, this work is the first to utilize this technique for synthesizing blood vessels. We achieve similarities of synthetic and real data for radius (.97), length (.95), and tortuosity (.96). By leveraging the power of deep neural networks, we generate 3D models of blood vessels that are both accurate and diverse, which is crucial for medical and surgical training, hemodynamic simulations, and many other purposes.</t>
  </si>
  <si>
    <t>[Feldman, Paula; Delrieux, Claudio; Iarussi, Emmanuel] Consejo Nacl Invest Cient &amp; Tecn, Buenos Aires, DF, Argentina; [Delrieux, Claudio] Univ Nacl Sur, Bahia Blanca, Buenos Aires, Argentina; [Feldman, Paula; Fainstein, Miguel; Siless, Viviana; Iarussi, Emmanuel] Univ Torcuato Tella, Buenos Aires, DF, Argentina</t>
  </si>
  <si>
    <t>Consejo Nacional de Investigaciones Cientificas y Tecnicas (CONICET); National University of the South; Universidad Torcuato Di Tella</t>
  </si>
  <si>
    <t>Feldman, P (corresponding author), Consejo Nacl Invest Cient &amp; Tecn, Buenos Aires, DF, Argentina.;Feldman, P (corresponding author), Univ Torcuato Tella, Buenos Aires, DF, Argentina.</t>
  </si>
  <si>
    <t>paulafeldman@conicet.gov.ar</t>
  </si>
  <si>
    <t>Salesforce, USA (Einstein AI 2020); National Scientific and Technical Research Council (CONICET), Argentina [PIP 2021-2023 GI -11220200102981CO]; Universidad Torcuato Di Tella, Argentina</t>
  </si>
  <si>
    <t>Salesforce, USA (Einstein AI 2020); National Scientific and Technical Research Council (CONICET), Argentina(Consejo Nacional de Investigaciones Cientificas y Tecnicas (CONICET)); Universidad Torcuato Di Tella, Argentina</t>
  </si>
  <si>
    <t>This project was supported by grants from Salesforce, USA (Einstein AI 2020), National Scientific and Technical Research Council (CONICET), Argentina (PIP 2021-2023 GI -11220200102981CO), and Universidad Torcuato Di Tella, Argentina.</t>
  </si>
  <si>
    <t>978-3-031-43906-3; 978-3-031-43907-0</t>
  </si>
  <si>
    <t>10.1007/978-3-031-43907-0_7</t>
  </si>
  <si>
    <t>BW1RH</t>
  </si>
  <si>
    <t>WOS:001109628700007</t>
  </si>
  <si>
    <t>Exhibiting the Heritage of COVID-19-A Conversation with ChatGPT</t>
  </si>
  <si>
    <t>artificial intelligence; ChatGPT; COVID-19; cultural heritage; exhibition planning; heritage futures; museums</t>
  </si>
  <si>
    <t>CULTURAL-HERITAGE; DIGITAL HERITAGE; AUSTRALIA; MUSEUMS; ERA; AI</t>
  </si>
  <si>
    <t>The documentation and management of the cultural heritage of the COVID-19 pandemic as well as the heritage of the digital age are emerging discourses in cultural heritage management. The enthusiastic uptake of a generative artificial intelligence application (ChatGPT) by the general public and academics alike has provided an opportunity to explore (i) whether, and to what extent, generative AI can conceptualize an emergent, not well-described field of cultural heritage (the heritage of COVID-19), (ii), whether it can design an exhibition on the topic, and (iii) whether it can identify sites associated with the pandemic that may become significant heritage. Drawing on an extended 'conversation' with ChatGPT, this paper shows that generative AI is capable of not only developing a concept for an exhibition of the heritage of COVID-19 but also that it can provide a defensible array of exhibition topics as well as a relevant selection of exhibition objects. ChatGPT is also capable of making suggestions on the selection of cultural heritage sites associated with the pandemic, but these lack specificity. The discrepancy between ChatGPT's responses to the exhibition concept and its responses regarding potential heritage sites suggests differential selection and access to the data that were used to train the model, with a seemingly heavy reliance on Wikipedia. The 'conversation' has shown that ChatGPT can serve as a brainstorming tool, but that a curator's considered interpretation of the responses is still essential.</t>
  </si>
  <si>
    <t>[Spennemann, Dirk H. R.] Charles Sturt Univ, Gulbali Inst, POB 789, Albury, NSW 2640, Australia</t>
  </si>
  <si>
    <t>Spennemann, DHR (corresponding author), Charles Sturt Univ, Gulbali Inst, POB 789, Albury, NSW 2640, Australia.</t>
  </si>
  <si>
    <t>10.3390/heritage6080302</t>
  </si>
  <si>
    <t>Q0MQ7</t>
  </si>
  <si>
    <t>WOS:001054545300001</t>
  </si>
  <si>
    <t>Browd, SR; Park, C; Donoho, DA</t>
  </si>
  <si>
    <t>Browd, Samuel R.; Park, Christine; Donoho, Daniel A.</t>
  </si>
  <si>
    <t>Potential Applications of Artificial Intelligence and Machine Learning in Spine Surgery Across the Continuum of Care</t>
  </si>
  <si>
    <t>INTERNATIONAL JOURNAL OF SPINE SURGERY</t>
  </si>
  <si>
    <t>artificial intelligence (AI); machine learning (ML); natural language processing; convolutional neural networks; computer vision; generative adversarial networks; electronic medical record</t>
  </si>
  <si>
    <t>The worlds of spinal surgery and computational science are intersecting at the nexus of the operating room and across the continuum of patient care. As medicine moves toward digitizing all aspects of a patient's care, immense amounts of patient data generated and aggregated across surgeons, procedures, and institutions will enable previously inaccessible computationally driven insights. These early insights from artificial intelligence (AI) and machine learning (ML)-enabled technologies are beginning to transform medicine and surgery. The complex pathologies facing spine surgeons and their patients require integrative, multimodal, data-driven management strategies. As these data and the technological tools to computationally process them become increasingly available to spine surgeons, AI and ML methods will inform patient selection, preoperatively risk-stratify patients based on myriad factors, and inform interoperative surgical decisions. Once these tools enter early clinical practice, their use creates a virtual flywheel whereby the use of these tools generates additional data that further accelerate the evolution of computational knowledge systems. At this digital crossroads, interested and motivated surgeons have an opportunity to understand these technologies, guide their application toward optimal care, and advocate for opportunities where these powerful new tools can deliver step changes in efficiency, accuracy, and intelligence. In the present article, we review the nomenclature and basics of AI and ML and highlight the current and future applications of these technologies across the care continuum of spinal surgery.</t>
  </si>
  <si>
    <t>[Browd, Samuel R.; Park, Christine] Univ Washington, Dept Neurol Surg, Seattle, WA USA; [Donoho, Daniel A.] Childrens Natl Hosp, Ctr Neurosci &amp; Behav, Div Neurol Surg, Washington, DC USA</t>
  </si>
  <si>
    <t>University of Washington; University of Washington Seattle; Children's National Health System</t>
  </si>
  <si>
    <t>Browd, SR (corresponding author), Univ Washington, Seattle Childrens Hosp, Dept Neurol Surg, 4800 Sand Point Way NE, Seattle, WA 98105 USA.</t>
  </si>
  <si>
    <t>Samuel.browd@seattlechildrens.org</t>
  </si>
  <si>
    <t>NIH [K23EB034110-01]</t>
  </si>
  <si>
    <t>Dr. Donoho's work is supported by NIH K23EB034110-01.</t>
  </si>
  <si>
    <t>INT SOC ADVANCEMENT SPINE SURGERY-ISASS</t>
  </si>
  <si>
    <t>WHEATON</t>
  </si>
  <si>
    <t>301 S COUNTY FARM RD, STE L, WHEATON, IL, UNITED STATES</t>
  </si>
  <si>
    <t>2211-4599</t>
  </si>
  <si>
    <t>INT J SPINE SURG</t>
  </si>
  <si>
    <t>Int. J. Spine Surg.</t>
  </si>
  <si>
    <t>S26</t>
  </si>
  <si>
    <t>S33</t>
  </si>
  <si>
    <t>10.14444/8507</t>
  </si>
  <si>
    <t>L6WA5</t>
  </si>
  <si>
    <t>WOS:001024632300005</t>
  </si>
  <si>
    <t>Golan, R; Ripps, SJ; Reddy, R; Loloi, J; Bernstein, AP; Connelly, ZM; Golan, NS; Ramasamy, R</t>
  </si>
  <si>
    <t>Golan, Roei; Ripps, Sarah J.; Reddy, Raghuram; Loloi, Justin; Bernstein, Ari P.; Connelly, Zachary M.; Golan, Noa S.; Ramasamy, Ranjith</t>
  </si>
  <si>
    <t>ChatGPT's Ability to Assess Quality and Readability of Online Medical Information: Evidence From a Cross-Sectional Study</t>
  </si>
  <si>
    <t>healthcare ai and robotics; shock wave therapy; online medical information; readability; chatgpt; artificial intelligence in medicine</t>
  </si>
  <si>
    <t>HEALTH INFORMATION</t>
  </si>
  <si>
    <t>Introduction Artificial Intelligence (AI) platforms have gained widespread attention for their distinct ability to generate automated responses to various prompts. However, its role in assessing the quality and readability of a provided text remains unclear. Thus, the purpose of this study is to evaluate the proficiency of the conversational generative pre-trained transformer (ChatGPT) in utilizing the DISCERN tool to evaluate the quality of online content regarding shock wave therapy for erectile dysfunction. Methods Websites were generated using a Google search of shock wave therapy for erectile dysfunction with location filters disabled. Readability was analyzed using Readable software (Readable.com, Horsham, United Kingdom). Quality was assessed independently by three reviewers using the DISCERN tool. The same plain text files collected were inputted into ChatGPT to determine whether they produced comparable metrics for readability and quality. Results The study results revealed a notable disparity between ChatGPT's readability assessment and that obtained from a reliable tool, Readable.com (p&lt;0.05). This indicates a lack of alignment between ChatGPT's algorithm and that of established tools, such as Readable.com. Similarly, the DISCERN score generated by ChatGPT differed significantly from the scores generated manually by human evaluators (p&lt;0.05), suggesting that ChatGPT may not be capable of accurately identifying poor-quality information sources regarding shock wave therapy as a treatment for erectile dysfunction. Conclusion ChatGPT's evaluation of the quality and readability of online text regarding shockwave therapy for erectile dysfunction differs from that of human raters and trusted tools. Therefore, ChatGPT's current capabilities were not sufficient for reliably assessing the quality and readability of textual content. Further research is needed to elucidate the role of AI in the objective evaluation of online medical content in other fields. Continued development in AI and incorporation of tools such as DISCERN into AI software may enhance the way patients navigate the web in search of high-quality medical content in the future.</t>
  </si>
  <si>
    <t>[Golan, Roei; Ripps, Sarah J.] Florida State Univ, Dept Clin Sci, Coll Med, Tallahassee, FL 32304 USA; [Reddy, Raghuram] Florida Int Univ, Herbert Wertheim Coll Med, Miami, FL USA; [Loloi, Justin] Montefiore Med Ctr, Dept Urol, Bronx, NY USA; [Bernstein, Ari P.] New York Univ Langone Hlth, Dept Urol, New York, NY USA; [Connelly, Zachary M.] Louisiana State Univ Hlth Shreveport, Dept Surg, Shreveport, LA USA; [Golan, Noa S.] Univ Florida, Dept Psychol, Gainesville, FL USA; [Ramasamy, Ranjith] Desai Sethi Urol Inst, Dept Urol, Miami, FL USA</t>
  </si>
  <si>
    <t>State University System of Florida; Florida State University; State University System of Florida; Florida International University; Montefiore Medical Center; Yeshiva University; Albert Einstein College of Medicine; New York University; Louisiana State University System; Louisiana State University Health Sciences Center at Shreveport; State University System of Florida; University of Florida</t>
  </si>
  <si>
    <t>Golan, R (corresponding author), Florida State Univ, Dept Clin Sci, Coll Med, Tallahassee, FL 32304 USA.</t>
  </si>
  <si>
    <t>rg15c@fsu.edu</t>
  </si>
  <si>
    <t>Ramasamy, Ranjith/ABD-7373-2020; Golan, Roei/GXM-8765-2022</t>
  </si>
  <si>
    <t>Ramasamy, Ranjith/0000-0003-1387-7904; Golan, Roei/0000-0002-7214-3073</t>
  </si>
  <si>
    <t>National Institutes of Health [R01 DK130991]; American Cancer Society</t>
  </si>
  <si>
    <t>National Institutes of Health(United States Department of Health &amp; Human ServicesNational Institutes of Health (NIH) - USA); American Cancer Society(American Cancer Society)</t>
  </si>
  <si>
    <t>This work was supported by the National Institutes of Health Grant R01 DK130991 and the Clinician Scientist Development Grant from the American Cancer Society to RR.</t>
  </si>
  <si>
    <t>JUL 20</t>
  </si>
  <si>
    <t>e42214</t>
  </si>
  <si>
    <t>10.7759/cureus.42214</t>
  </si>
  <si>
    <t>P0PR2</t>
  </si>
  <si>
    <t>WOS:001047751100017</t>
  </si>
  <si>
    <t>Yim, WW; Fu, YJ; Ben Abacha, A; Snider, N; Lin, TM; Yetisgen, M</t>
  </si>
  <si>
    <t>Yim, Wen-wai; Fu, Yujuan; Ben Abacha, Asma; Snider, Neal; Lin, Thomas; Yetisgen, Meliha</t>
  </si>
  <si>
    <t>Aci-bench: a Novel Ambient Clinical Intelligence Dataset for Benchmarking Automatic Visit Note Generation</t>
  </si>
  <si>
    <t>SCIENTIFIC DATA</t>
  </si>
  <si>
    <t>Recent immense breakthroughs in generative models such as in GPT4 have precipitated re-imagined ubiquitous usage of these models in all applications. One area that can benefit by improvements in artificial intelligence (AI) is healthcare. The note generation task from doctor-patient encounters, and its associated electronic medical record documentation, is one of the most arduous time-consuming tasks for physicians. It is also a natural prime potential beneficiary to advances in generative models. However with such advances, benchmarking is more critical than ever. Whether studying model weaknesses or developing new evaluation metrics, shared open datasets are an imperative part of understanding the current state-of-the-art. Unfortunately as clinic encounter conversations are not routinely recorded and are difficult to ethically share due to patient confidentiality, there are no sufficiently large clinic dialogue-note datasets to benchmark this task. Here we present the Ambient Clinical Intelligence Benchmark (aci-bench) corpus, the largest dataset to date tackling the problem of AI-assisted note generation from visit dialogue. We also present the benchmark performances of several common state-of-the-art approaches.</t>
  </si>
  <si>
    <t>[Yim, Wen-wai; Ben Abacha, Asma; Lin, Thomas] Microsoft, Hlth AI, Redmond, WA 98052 USA; [Fu, Yujuan; Yetisgen, Meliha] Univ Washington, Biomed &amp; Hlth Informat, Seattle, WA 98109 USA; [Snider, Neal] Nuance Commun, Healthcare R&amp;D, Burlington, MA 01803 USA</t>
  </si>
  <si>
    <t>Microsoft; University of Washington; University of Washington Seattle</t>
  </si>
  <si>
    <t>Yim, WW (corresponding author), Microsoft, Hlth AI, Redmond, WA 98052 USA.</t>
  </si>
  <si>
    <t>yimwenwai@microsoft.com</t>
  </si>
  <si>
    <t>2052-4463</t>
  </si>
  <si>
    <t>SCI DATA</t>
  </si>
  <si>
    <t>Sci. Data</t>
  </si>
  <si>
    <t>SEP 6</t>
  </si>
  <si>
    <t>10.1038/s41597-023-02487-3</t>
  </si>
  <si>
    <t>R3CH2</t>
  </si>
  <si>
    <t>WOS:001063157000004</t>
  </si>
  <si>
    <t>Hamed, E; Sharif, A; Eid, A; Alfehaidi, A; Alberry, M</t>
  </si>
  <si>
    <t>Hamed, Ehab; Sharif, Anna; Eid, Ahmad; Alfehaidi, Alanoud; Alberry, Medhat</t>
  </si>
  <si>
    <t>Advancing Artificial Intelligence for Clinical Knowledge Retrieval: A Case Study Using ChatGPT-4 and Link Retrieval Plug-In to Analyze Diabetic Ketoacidosis Guidelines</t>
  </si>
  <si>
    <t>clinical decision tool; clinical decision support system; clinical decision support; chatgpt; large language model; generative ai; artificial intelligence in medicine; chatgpt-4</t>
  </si>
  <si>
    <t>Introduction This case study aimed to enhance the traceability and retrieval accuracy of ChatGPT-4 in medical text by employing a step-by-step systematic approach. The focus was on retrieving clinical answers from three international guidelines on diabetic ketoacidosis (DKA). Methods A systematic methodology was developed to guide the retrieval process. One question was asked per guideline to ensure accuracy and maintain referencing. ChatGPT-4 was utilized to retrieve answers, and the 'Link Reader' plug-in was integrated to facilitate direct access to webpages containing the guidelines. Subsequently, ChatGPT-4 was employed to compile answers while providing citations to the sources. This process was iterated 30 times per question to ensure consistency. In this report, we present our observations regarding the retrieval accuracy, consistency of responses, and the challenges encountered during the process. Results Integrating ChatGPT-4 with the 'Link Reader' plug-in demonstrated notable traceability and retrieval accuracy benefits. The AI model successfully provided relevant and accurate clinical answers based on the analyzed guidelines. Despite occasional challenges with webpage access and minor memory drift, the overall performance of the integrated system was promising. The compilation of the answers was also impressive and held significant promise for further trials. Conclusion The findings of this case study contribute to the utilization of AI text-generation models as valuable tools for medical professionals and researchers. The systematic approach employed in this case study and the integration of the 'Link Reader' plug-in offer a framework for automating medical text synthesis, asking one question at a time before compilation from different sources, which has led to improving AI models' traceability and retrieval accuracy. Further advancements and refinement of AI models and integration with other software utilities hold promise for enhancing the utility and applicability of AI-generated recommendations in medicine and scientific academia. These advancements have the potential to drive significant improvements in everyday medical practice.</t>
  </si>
  <si>
    <t>[Hamed, Ehab] Qatar Univ Hlth Ctr, Primary Hlth Care Corp, Family Med, Doha, Qatar; [Sharif, Anna; Eid, Ahmad; Alfehaidi, Alanoud] Primary Hlth Care Corp, Family Med, Doha, Qatar; [Alberry, Medhat] Weill Cornell Med Qatar, Obstet &amp; Gynecol, Doha, Qatar; [Alberry, Medhat] Sidra Med, Fetal &amp; Maternal Med, Doha, Qatar</t>
  </si>
  <si>
    <t>Qatar University; Hamad Medical Corporation; Primary Health Care Corporation (PHCC); Hamad Medical Corporation; Primary Health Care Corporation (PHCC); Qatar Foundation (QF); Weill Cornell Medical College Qatar; Sidra Medical &amp; Research Center</t>
  </si>
  <si>
    <t>Hamed, E (corresponding author), Qatar Univ Hlth Ctr, Primary Hlth Care Corp, Family Med, Doha, Qatar.</t>
  </si>
  <si>
    <t>dr.ehabaziz@gmail.com</t>
  </si>
  <si>
    <t>Hamed, Ehab/R-2413-2018</t>
  </si>
  <si>
    <t>Hamed, Ehab/0000-0002-4404-1424</t>
  </si>
  <si>
    <t>JUL 15</t>
  </si>
  <si>
    <t>e41916</t>
  </si>
  <si>
    <t>10.7759/cureus.41916</t>
  </si>
  <si>
    <t>P9OJ9</t>
  </si>
  <si>
    <t>WOS:001053897100021</t>
  </si>
  <si>
    <t>Zhu, X; Liu, YX; Liang, LY; Wang, T; Li, ZY; Deng, QM; Liu, YB</t>
  </si>
  <si>
    <t>Zhu, Xing; Liu, Yuxuan; Liang, Lingyu; Wang, Tao; Li, Zuoyong; Deng, Qiaoming; Liu, Yubo</t>
  </si>
  <si>
    <t>Multiple Layout Design Generation via a GAN-Based Method with Conditional Convolution and Attention</t>
  </si>
  <si>
    <t>IEICE TRANSACTIONS ON INFORMATION AND SYSTEMS</t>
  </si>
  <si>
    <t>image generation; layout design generation; architectural lay-out parsing; generative adversarial networks</t>
  </si>
  <si>
    <t>Recently, many AI-aided layout design systems are developed to reduce tedious manual intervention based on deep learning. However, most methods focus on a specific generation task. This paper explores a challenging problem to obtain multiple layout design generation (LDG), which generates floor plan or urban plan from a boundary input under a unified framework. One of the main challenges of multiple LDG is to obtain reasonable topological structures of layout generation with irregular boundaries and layout elements for different types of design. This paper formulates the multiple LDG task as an image-to-image translation problem, and proposes a conditional generative adversarial network (GAN), called LDGAN, with adaptive modules. The framework of LDGAN is based on a generator-discriminator architecture, where the generator is integrated with conditional convolution constrained by the boundary input and the attention module with channel and spatial features. Qualitative and quantitative experiments were conducted on the SCUT-AutoALP and RPLAN datasets, and the comparison with the state-of-the-art methods illustrate the effec-tiveness and superiority of the proposed LDGAN.</t>
  </si>
  <si>
    <t>[Zhu, Xing; Liang, Lingyu] South China Univ Technol, Sch Elect &amp; Informat Engn, Guangzhou, Peoples R China; [Liu, Yuxuan] Waseda Univ, Kitakyushu 8080135, Japan; [Liang, Lingyu] Southeast Univ, Key Lab Comp Network &amp; Informat Integrat, Minist Educ, Nanjing, Peoples R China; [Liang, Lingyu] Pazhou Lab, Guangzhou, Peoples R China; [Wang, Tao; Li, Zuoyong] Minjiang Univ, Coll Comp &amp; Control Engn, Fujian Prov Key Lab Informat Proc &amp; Intelligent Co, Fuzhou, Peoples R China; [Wang, Tao] Wuyi Univ, Key Lab Cognit Comp &amp; Intelligent Informat Proc Fu, Jiangmen, Peoples R China; [Deng, Qiaoming; Liu, Yubo] South China Univ Technol, Sch Architecture, Guangzhou, Peoples R China</t>
  </si>
  <si>
    <t>South China University of Technology; Waseda University; Southeast University - China; Pazhou Lab; Minjiang University; Wuyi University; South China University of Technology</t>
  </si>
  <si>
    <t>Liang, LY (corresponding author), South China Univ Technol, Sch Elect &amp; Informat Engn, Guangzhou, Peoples R China.;Liang, LY (corresponding author), Southeast Univ, Key Lab Comp Network &amp; Informat Integrat, Minist Educ, Nanjing, Peoples R China.;Liang, LY (corresponding author), Pazhou Lab, Guangzhou, Peoples R China.</t>
  </si>
  <si>
    <t>lianglysky@gmail.com; twang@mju.edu.cn</t>
  </si>
  <si>
    <t>liu, yubo/ADF-0962-2022</t>
  </si>
  <si>
    <t>Fundamental Research Funds for the Central Universities, Science and Technology Program of Guangzhou [202102020692]; Open Fund of Ministry of Education Key Laboratory of Computer Network and Information Integration (Southeast University) [K93-9-2021-01]; Open Fund of Fujian Provincial Key Laboratory of Information Processing and Intelligent Control (Minjiang University) [MJUKF-IPIC202102]; Science and Technology Program of Pazhou Lab; CAAI-Huawei MindSpore Open Fund; National Natural Science Foundation of China [61972187]; Natural Science Foundation of Fujian Province [2020J02024]; Fujian~Provincial Natural Science Foundation General Project [2022J011112]; Research Project of Fashu Foundation [MFK23001]; Open Program of The Key Laboratory of Cognitive Computing and Intelligent Information Processing of Fujian Education Institutions, Wuyi University [KLCCIIP2020202]; National Nature Science Foundation of China [51978268, 51978269]; Natural Science Foundation of Guangdong Province [2023A1515010758]</t>
  </si>
  <si>
    <t>Fundamental Research Funds for the Central Universities, Science and Technology Program of Guangzhou; Open Fund of Ministry of Education Key Laboratory of Computer Network and Information Integration (Southeast University); Open Fund of Fujian Provincial Key Laboratory of Information Processing and Intelligent Control (Minjiang University); Science and Technology Program of Pazhou Lab; CAAI-Huawei MindSpore Open Fund; National Natural Science Foundation of China(National Natural Science Foundation of China (NSFC)); Natural Science Foundation of Fujian Province(Natural Science Foundation of Fujian Province); Fujian~Provincial Natural Science Foundation General Project; Research Project of Fashu Foundation; Open Program of The Key Laboratory of Cognitive Computing and Intelligent Information Processing of Fujian Education Institutions, Wuyi University; National Nature Science Foundation of China(National Natural Science Foundation of China (NSFC)); Natural Science Foundation of Guangdong Province(National Natural Science Foundation of Guangdong Province)</t>
  </si>
  <si>
    <t>Lingyu Liang was supported by the Fundamental Research Funds for the Central Universities, Science and Technology Program of Guangzhou (202102020692), the Open Fund of Ministry of Education Key Laboratory of Computer Network and Information Integration (Southeast University) (K93-9-2021-01), the Open Fund of Fujian Provincial Key Laboratory of Information Processing and Intelligent Control (Minjiang University) (MJUKF-IPIC202102), the Science and Technology Program of Pazhou Lab, and CAAI-Huawei MindSpore Open Fund. Zuoyong Li was supported by National Natural Science Foundation of China (61972187), Natural Science Foundation of Fujian Province (2020J02024). Tao Wang was supported by Fujian Provincial Natural Science Foundation General Project (2022J011112), Research Project of Fashu Foundation (MFK23001), The Open Program of The Key Laboratory of Cognitive Computing and Intelligent Information Processing of Fujian Education Institutions, Wuyi University (KLCCIIP2020202). Qiaoming Deng and Yubo Liu were supported by National Nature Science Foundation of China (No. 51978268, No. 51978269), and Natural Science Foundation of Guangdong Province (No. 2023A1515010758).</t>
  </si>
  <si>
    <t>IEICE-INST ELECTRONICS INFORMATION COMMUNICATION ENGINEERS</t>
  </si>
  <si>
    <t>TOKYO</t>
  </si>
  <si>
    <t>KIKAI-SHINKO-KAIKAN BLDG, 3-5-8, SHIBA-KOEN, MINATO-KU, TOKYO, 105-0011, JAPAN</t>
  </si>
  <si>
    <t>0916-8532</t>
  </si>
  <si>
    <t>1745-1361</t>
  </si>
  <si>
    <t>IEICE T INF SYST</t>
  </si>
  <si>
    <t>IEICE Trans. Inf. Syst.</t>
  </si>
  <si>
    <t>E106D</t>
  </si>
  <si>
    <t>10.1587/transinf.2022EDL8106</t>
  </si>
  <si>
    <t>R6FE8</t>
  </si>
  <si>
    <t>WOS:001065284900032</t>
  </si>
  <si>
    <t>Yarahmadi, AM; Breuss, M; Mohammadi, MK</t>
  </si>
  <si>
    <t>Tsapatsoulis, N; Lanitis, A; Pattichis, M; Pattichis, C; Kyrkou, C; Kyriacou, E; Theodosiou, Z; Panayides, A</t>
  </si>
  <si>
    <t>Yarahmadi, Ashkan Mansouri; Breuss, Michael; Mohammadi, Mohsen Khan</t>
  </si>
  <si>
    <t>Explaining StyleGAN Synthesized Swimmer Images in Low-Dimensional Space</t>
  </si>
  <si>
    <t>COMPUTER ANALYSIS OF IMAGES AND PATTERNS, CAIP 2023, PT I</t>
  </si>
  <si>
    <t>20th International Conference on Computer Analysis of Images and Patterns (CAIP)</t>
  </si>
  <si>
    <t>SEP 25-28, 2023</t>
  </si>
  <si>
    <t>Limassol, CYPRUS</t>
  </si>
  <si>
    <t>StyleGAN; Explainable AI; Dimension reduction; Deep learning; t-distributed stochastic neighbor embedding</t>
  </si>
  <si>
    <t>In many existing AI methods, the reasons behind the decisions made by a trained model are not easy to explain. This often leads to a black-box design that is not interpretable, which makes it a delicate issue to adopt such methods in an application related to safety. We consider generative adversarial networks that are often used to generate data for further use in deep learning applications where not much data is available. In particular, we deal with the StyleGAN approach for generating synthetic observations of swimmers. This paper provides a pipeline that can clearly explain the synthesized images after projecting them to a lower dimensional space. These understood images can later be chosen to train a swimmer safety observation framework. The main goal of our paper is to achieve a higher level of abstraction by which one can explain the variation of synthesized swimmer images in low dimension space. A standard similarity measure is used to evaluate our pipeline and validate a low intra-class variation of established swimmer clusters representing similar swimming style within a low dimensional space.</t>
  </si>
  <si>
    <t>[Yarahmadi, Ashkan Mansouri; Breuss, Michael; Mohammadi, Mohsen Khan] Brandenburg Tech Univ Cottbus, Inst Math, Pl Deutsch Einheit 1, D-03046 Cottbus, Germany</t>
  </si>
  <si>
    <t>Brandenburg University of Technology Cottbus</t>
  </si>
  <si>
    <t>Mohammadi, MK (corresponding author), Brandenburg Tech Univ Cottbus, Inst Math, Pl Deutsch Einheit 1, D-03046 Cottbus, Germany.</t>
  </si>
  <si>
    <t>khanmohammadi@b-tu.de</t>
  </si>
  <si>
    <t>Bundesministerium fur Digitales und Verkehr (BMDV); Bundesministerium fur Bildung und Forschung (BMBF)</t>
  </si>
  <si>
    <t>Bundesministerium fur Digitales und Verkehr (BMDV); Bundesministerium fur Bildung und Forschung (BMBF)(Federal Ministry of Education &amp; Research (BMBF))</t>
  </si>
  <si>
    <t>The authors acknowledge partial funding of their work by Bundesministerium fur Digitales und Verkehr (BMDV) within the project RescueFly as well as by Bundesministerium fur Bildung und Forschung (BMBF) within the project KI@MINT.</t>
  </si>
  <si>
    <t>978-3-031-44236-0; 978-3-031-44237-7</t>
  </si>
  <si>
    <t>10.1007/978-3-031-44237-7_16</t>
  </si>
  <si>
    <t>BW4ZC</t>
  </si>
  <si>
    <t>WOS:001157329400016</t>
  </si>
  <si>
    <t>Del Ser, J; Barredo-Arrieta, A; Díaz-Rodríguez, N; Herrera, F; Saranti, A; Holzinger, A</t>
  </si>
  <si>
    <t>Del Ser, Javier; Barredo-Arrieta, Alejandro; Diaz-Rodriguez, Natalia; Herrera, Francisco; Saranti, Anna; Holzinger, Andreas</t>
  </si>
  <si>
    <t>On generating trustworthy counterfactual explanations</t>
  </si>
  <si>
    <t>INFORMATION SCIENCES</t>
  </si>
  <si>
    <t>Explainable artificial intelligence; Deep learning; Counterfactual explanations; Generative adversarial networks; Multi-objective optimization</t>
  </si>
  <si>
    <t>Deep learning models like chatGPT exemplify AI success but necessitate a deeper understanding of trust in critical sectors. Trust can be achieved using counterfactual explanations, which is how humans become familiar with unknown processes; by understanding the hypothetical input circumstances under which the output changes. We argue that the generation of counterfactual explanations requires several aspects of the generated counterfactual instances, not just their counterfactual ability. We present a framework for generating counterfactual explanations that formulate its goal as a multiobjective optimization problem balancing three objectives: plausibility; the intensity of changes; and adversarial power. We use a generative adversarial network to model the distribution of the input, along with a multiobjective counterfactual discovery solver balancing these objectives. We demonstrate the usefulness of six classification tasks with image and 3D data confirming with evidence the existence of a trade-off between the objectives, the consistency of the produced counterfactual explanations with human knowledge, and the capability of the framework to unveil the existence of concept -based biases and misrepresented attributes in the input domain of the audited model. Our pioneering effort shall inspire further work on the generation of plausible counterfactual explanations in real -world scenarios where attribute -/concept -based annotations are available for the domain under analysis.</t>
  </si>
  <si>
    <t>[Del Ser, Javier] TECNALIA, Basque Res &amp; Technol Alliance BRTA, P Tecnol Ed 700, Derio 48160, Spain; [Del Ser, Javier] Univ Basque Country, UPV EHU, Dept Commun Engn, E-48013 Bilbao, Spain; [Barredo-Arrieta, Alejandro] Kurago Software, Bilbao 48011, Spain; [Diaz-Rodriguez, Natalia; Herrera, Francisco] Univ Granada, DaSCI Andalusian Inst Data Sci &amp; Computat Intellig, Data Sci &amp; Computat Intelligence, Granada 18071, Spain; [Saranti, Anna; Holzinger, Andreas] Univ Nat Resources &amp; Life Sci Vienna, Human Ctr AI Lab, A-1190 Vienna, Austria; [Saranti, Anna; Holzinger, Andreas] Med Univ Graz, A-8036 Graz, Austria; [Holzinger, Andreas] Alberta Machine Intelligence Inst, xAI Lab, Edmonton, AB, Canada; [Holzinger, Andreas] Univ Nat Resources &amp; Life Sci Vienna, Peter Jordan Str 82, A-1190 Vienna, Austria</t>
  </si>
  <si>
    <t>University of Basque Country; University of Granada; BOKU University; Medical University of Graz; BOKU University</t>
  </si>
  <si>
    <t>Holzinger, A (corresponding author), Univ Nat Resources &amp; Life Sci Vienna, Peter Jordan Str 82, A-1190 Vienna, Austria.</t>
  </si>
  <si>
    <t>andreas.holzinger@human-centered.ai</t>
  </si>
  <si>
    <t>Holzinger, Andreas/E-9530-2010; Díaz-Rodríguez, Natalia/B-1843-2019; Del Ser, Javier/J-2187-2014</t>
  </si>
  <si>
    <t>Holzinger, Andreas/0000-0002-6786-5194; Díaz-Rodríguez, Natalia/0000-0003-3362-9326; Del Ser, Javier/0000-0002-1260-9775; Saranti, Anna/0000-0002-1085-8428</t>
  </si>
  <si>
    <t>Basque Government (Eusko Jaurlaritza) through Consolidated Research Group MATHMODE [IT1256-22]; The Centro para el Desarrollo Tecnologico Industrial (CDTI); European Union (AI4ES project) [CER-20211030]; Austrian Science Fund (FWF) [P-32554]; European Union [826078]; Spanish Government Juan de la Cierva Incorporacion contract [IJC2019-039152-I]; Google Research Scholar Programme 2021; Marie Sklodowska-Curie Actions (MSCA) Postdoctoral Fellowship [101059332]</t>
  </si>
  <si>
    <t>Basque Government (Eusko Jaurlaritza) through Consolidated Research Group MATHMODE; The Centro para el Desarrollo Tecnologico Industrial (CDTI); European Union (AI4ES project)(European Union (EU)Marie Curie Actions); Austrian Science Fund (FWF)(Austrian Science Fund (FWF)); European Union(European Union (EU)); Spanish Government Juan de la Cierva Incorporacion contract; Google Research Scholar Programme 2021; Marie Sklodowska-Curie Actions (MSCA) Postdoctoral Fellowship</t>
  </si>
  <si>
    <t>This work has received funding support from the Basque Government (Eusko Jaurlaritza) through the Consolidated Research Group MATHMODE (IT1256-22) and by the Centro para el Desarrollo Tecnologico Industrial (CDTI) and the European Union (AI4ES project, grant no. CER-20211030) . Parts of this work have been funded by the Austrian Science Fund (FWF) , Project: P-32554. Parts of this work have received funding from the European Union's Horizon 2020 research and innovation programme under grant agreement No. 826078 (Feature Cloud) . This publication reflects only the authors' view and the European Commission is not responsible for any use that may be made of the information it contains. N. Diaz-Rodriguez was supported by the Spanish Government Juan de la Cierva Incorporacion contract (IJC2019-039152-I) , the Google Research Scholar Programme 2021 and a Marie Sklodowska-Curie Actions (MSCA) Postdoctoral Fellowship with agreement ID: 101059332.</t>
  </si>
  <si>
    <t>0020-0255</t>
  </si>
  <si>
    <t>1872-6291</t>
  </si>
  <si>
    <t>INFORM SCIENCES</t>
  </si>
  <si>
    <t>Inf. Sci.</t>
  </si>
  <si>
    <t>10.1016/j.ins.2023.119898</t>
  </si>
  <si>
    <t>HU6B5</t>
  </si>
  <si>
    <t>WOS:001162048100001</t>
  </si>
  <si>
    <t>Shen, SL; Wu, AG; Xu, Y</t>
  </si>
  <si>
    <t>Shen, Shi-Long; Wu, Ai-Guo; Xu, Yong</t>
  </si>
  <si>
    <t>Multi-Scale Correspondence Learning for Person Image Generation</t>
  </si>
  <si>
    <t>generative models; generative adversarial networks; person image generation</t>
  </si>
  <si>
    <t>A generative model is presented for two types of person image generation in this paper. First, this model is applied to pose-guided person image generation, i.e., converting the pose of a source person im-age to the target pose while preserving the texture of that source person image. Second, this model is also used for clothing-guided person image generation, i.e., changing the clothing texture of a source person image to the desired clothing texture. The core idea of the proposed model is to establish the multi-scale correspondence, which can effectively address the misalignment introduced by transferring pose, thereby preserving richer in-formation on appearance. Specifically, the proposed model consists of two stages: 1) It first generates the target semantic map imposed on the target pose to provide more accurate guidance during the generation process. 2) After obtaining the multi-scale feature map by the encoder, the multi-scale correspondence is established, which is useful for a fine-grained genera-tion. Experimental results show the proposed method is superior to state-of-the-art methods in pose-guided person image generation and show its effectiveness in clothing-guided person image generation.</t>
  </si>
  <si>
    <t>[Shen, Shi-Long; Wu, Ai-Guo] Harbin Inst Technol Shenzhen, Shenzhen, Peoples R China; [Xu, Yong] Shenzhen Key Lab Visual Object Detect &amp; Recognit, Shenzhen, Peoples R China</t>
  </si>
  <si>
    <t>Harbin Institute of Technology</t>
  </si>
  <si>
    <t>Wu, AG (corresponding author), Harbin Inst Technol Shenzhen, Shenzhen, Peoples R China.</t>
  </si>
  <si>
    <t>19s153199@stu.hit.edu.cn; ag.wu@163.com; yongxu@ymail.com</t>
  </si>
  <si>
    <t>Wu, Aiguo/A-5414-2008</t>
  </si>
  <si>
    <t>National Key Research and Development Program of China [2018AAA0100102]; Innovation and Entrepreneurship Team Project of Chaozhou [220217157150517]</t>
  </si>
  <si>
    <t>National Key Research and Development Program of China; Innovation and Entrepreneurship Team Project of Chaozhou</t>
  </si>
  <si>
    <t>This work was supported by the National Key Research and Development Program of China under Project No.2018AAA0100102 and by Innovation and Entrepreneurship Team Project of Chaozhou with Contract No. 220217157150517.</t>
  </si>
  <si>
    <t>10.1587/transinf.2022DLP0058</t>
  </si>
  <si>
    <t>F9MX2</t>
  </si>
  <si>
    <t>WOS:000985526700023</t>
  </si>
  <si>
    <t>Kim, J; Lee, YG; Ko, D; Kim, T; Ham, SY; Woo, SS</t>
  </si>
  <si>
    <t>Kim, Jeongho; Lee, Yun-Gyoo; Ko, Donggeun; Kim, Taejune; Ham, Soo-Youn; Woo, Simon S.</t>
  </si>
  <si>
    <t>MGCMA: Multi-scale Generator with Channel-wise Mask Attention to generate Synthetic Contrast-enhanced Chest Computed Tomography</t>
  </si>
  <si>
    <t>38TH ANNUAL ACM SYMPOSIUM ON APPLIED COMPUTING, SAC 2023</t>
  </si>
  <si>
    <t>38th Annual ACM Symposium on Applied Computing (ACM SAC)</t>
  </si>
  <si>
    <t>MAR 27-31, 2023</t>
  </si>
  <si>
    <t>Tallinn, ESTONIA</t>
  </si>
  <si>
    <t>Assoc Comp Machinery,ACM Special Interest Grp Appl Comp</t>
  </si>
  <si>
    <t>Generative models; Generative adversarial network; Medical image synthesis</t>
  </si>
  <si>
    <t>MEDIA</t>
  </si>
  <si>
    <t>Medical images, including computed tomography (CT) assist doctors and physicians in diagnosing anatomic structures and various internal pathologies. In CT, intravenous contrast media is often applied, which are chemicals developed to aid in the characterization of pathology by enhancing the capabilities of an imaging modality to differentiate between different biological tissues. Especially, with the use of contrast media, thorough examinations of the patients can be possible. However, contrast media can have severe adverse and side effects such as hypersensitive reaction to generalized seizures. Yet, without contrast media, it is difficult to diagnose patients that have disorders in the internal organs. With the help of DNN models, especially generative adversarial network (GAN), contrast-enhanced CT (CECT) images can be synthetically generated from non-contrast CT (NCCT) images. GANs or autoencoder-based models have been proposed to generate contrast-enhanced CT images; however, the synthesized image does not fully reflect and have crucial spots where contrast has not been synthesized. Thus, in order to enhance the quality of the CECT image, we propose MGCMA, a multi-scale generator with a channel-wise mask attention module for generating synthetic CECT images from NCCT images. Our extensive experiments demonstrate that our model outperforms other baseline models in various metrics such as SSIM and LPIPS. Also, generated images from our approach achieve plausible outcomes from the domain experts' (e.g., physicians and radiologists) evaluations.</t>
  </si>
  <si>
    <t>[Kim, Jeongho] Sungkyunkwan Univ, Dept Artificial Intelligence, Seoul, South Korea; [Lee, Yun-Gyoo] Sungkyunkwan Univ, Kangbuk Samsung Hosp, Sch Med, Dept Internal Med, Seoul, South Korea; [Ko, Donggeun] Sungkyunkwan Univ, Dept Appl Artificial Intelligence, Seoul, South Korea; [Kim, Taejune] Sungkyunkwan Univ, Dept Comp Sci, Seoul, South Korea; [Ham, Soo-Youn] Sungkyunkwan Univ, Kangbuk Samsung Hosp, Sch Med, Dept Radiol, Seoul, South Korea; [Woo, Simon S.] Sungkyunkwan Univ, Dept Artificial Intelligence, Dept Appl Data Sci, Seoul, South Korea</t>
  </si>
  <si>
    <t>Sungkyunkwan University (SKKU); Sungkyunkwan University (SKKU); Samsung Medical Center; Sungkyunkwan University (SKKU); Sungkyunkwan University (SKKU); Sungkyunkwan University (SKKU); Samsung Medical Center; Sungkyunkwan University (SKKU)</t>
  </si>
  <si>
    <t>Ham, SY (corresponding author), Sungkyunkwan Univ, Kangbuk Samsung Hosp, Sch Med, Dept Radiol, Seoul, South Korea.;Woo, SS (corresponding author), Sungkyunkwan Univ, Dept Artificial Intelligence, Dept Appl Data Sci, Seoul, South Korea.</t>
  </si>
  <si>
    <t>rlawjdghek@g.skku.edu; yungyoolee@skku.edu; seanko@g.skku.edu; taemo@g.skku.edu; sooyoun.ham@samsung.com; swoo@g.skku.edu</t>
  </si>
  <si>
    <t>Kim, Taejune/0000-0002-7581-5402</t>
  </si>
  <si>
    <t>Basic Science Research Program through National Research Foundation of Korea (NRF) - Korean Ministry of Science and ICT (MSIT) [2020R1C1C1006004]; Institute for Information &amp; communication Technology Planning &amp; evaluation (IITP) - Korean MSIT [2022-0-01199, 2022-0-01045, 2022-0-00688, 2021-0-02068, 2019-0-00421, 2021-0-02309]</t>
  </si>
  <si>
    <t>Basic Science Research Program through National Research Foundation of Korea (NRF) - Korean Ministry of Science and ICT (MSIT); Institute for Information &amp; communication Technology Planning &amp; evaluation (IITP) - Korean MSIT</t>
  </si>
  <si>
    <t>This work was partially supported by the Basic Science Research Program through National Research Foundation of Korea (NRF) grant funded by the Korean Ministry of Science and ICT (MSIT) under No. 2020R1C1C1006004 and Institute for Information &amp; communication Technology Planning &amp; evaluation (IITP) grants funded by the Korean MSIT: (No. 2022-0-01199, Graduate School of Convergence Security at Sungkyunkwan University), (No. 2022-0-01045, Self-directed Multi-Modal Intelligence for solving unknown, open domain problems), (No. 2022-0-00688, AI Platform to Fully Adapt and Reflect Privacy-Policy Changes), (No. 2021-0-02068, Artificial Intelligence Innovation Hub), (No. 2019-0-00421, AI Graduate School Support Program at Sungkyunkwan University), and (No. 2021-0-02309, Object Detection Research under Low Quality Video Condition). This Paper was supported by AI Convergence Research Fund, Sungkyunkwan University, 2021.</t>
  </si>
  <si>
    <t>978-1-4503-9517-5</t>
  </si>
  <si>
    <t>10.1145/3555776.3578618</t>
  </si>
  <si>
    <t>BW2SJ</t>
  </si>
  <si>
    <t>WOS:001124308100082</t>
  </si>
  <si>
    <t>Okey, OD; Udo, EU; Rosa, RL; Rodríguez, DZ; Kleinschmidt, JH</t>
  </si>
  <si>
    <t>Okey, Ogobuchi Daniel; Udo, Ekikere Umoren; Rosa, Renata Lopes; Rodriguez, Demostenes Zegarra; Kleinschmidt, Joao Henrique</t>
  </si>
  <si>
    <t>Investigating ChatGPT and cybersecurity: A perspective on topic modeling and sentiment analysis</t>
  </si>
  <si>
    <t>ChatGPT; Cybersecurity; Sentiment analysis; Generative pre-trained transformers; Artificial intelligence; Data security</t>
  </si>
  <si>
    <t>In early 2023, the Artificial Intelligence (AI) industry experienced a significant advancement with the emergence of OpenAI's ChatGPT, a research product that demonstrated remarkable capabilities and garnered widespread attention. ChatGPT is an advanced chatbot powered by the Generative Pretrained Transformers (GPT) architecture, designed to generate human-like conversations encompassing a wide range of knowledge domains. Many AI researchers are currently engaging with the new technology to understand its functionality and limitations. Various expressions across a range of social media platforms, including Twitter, YouTube, Facebook, and numerous others, are currently under investigation. This research seeks to analyze the opinions of ChatGPT users as it regards cybersecurity. This research is important due to its contribution towards gaining enhanced understanding and devising intricate improvements for the chatbot. The Latent Dirichlet Allocation (LDA) algorithm is utilized to extract relevant topics from the texts. Additionally, to analyze user opinions and decipher the sentiments as either positive, negative, or neutral, we use the Natural language tool kit Valence Aware Dictionary for sEntiment Reasoning (NLTK's VADER) and Robustly Optimized BERT Pretraining Approach (roBERTa) libraries. The data used is obtained from Twitter via the SNScrape library, which aided in the retrieval of over 700,000 tweets via the search terms #chatgptsecurity, #chatgpthackers, #chatgptcybersecurity, and #chatgptcyberthreats. The analysis of the results by the VADER model shows 43.8% positive, 36.3% neutral, and 19.9% negative sentiments. Similarly, the roBERTa model shows 14.1% positive, 53.2% neutral, and 32.7% negative. These results show that there is an ongoing concern about ChatGPT and cybersecurity, especially in malware code generation, hacking, intelligence gathering, and phishing attacks.</t>
  </si>
  <si>
    <t>[Okey, Ogobuchi Daniel; Kleinschmidt, Joao Henrique] Fed Univ ABC, Ctr Engn Modeling &amp; Appl Social Sci, BR-09210580 Santo Andre, SP, Brazil; [Rosa, Renata Lopes; Rodriguez, Demostenes Zegarra] Univ Fed Lavras, Dept Comp Sci, BR-37200900 Lavras, Brazil; [Okey, Ogobuchi Daniel; Udo, Ekikere Umoren] Michael Okpara Univ Agr, Dept Elect Elect Engn, Umudike 7267, Um Abia State, Nigeria</t>
  </si>
  <si>
    <t>Universidade Federal de Lavras</t>
  </si>
  <si>
    <t>Kleinschmidt, JH (corresponding author), Fed Univ ABC, Ctr Engn Modeling &amp; Appl Social Sci, BR-09210580 Santo Andre, SP, Brazil.</t>
  </si>
  <si>
    <t>joao.kleinschmidt@ufabc.edu.br</t>
  </si>
  <si>
    <t>Zegarra Rodriguez, Demostenes/L-8322-2013; Okey, Ogobuchi Daniel/CAF-0836-2022; Kleinschmidt, João Henrique/E-9372-2012</t>
  </si>
  <si>
    <t>Zegarra Rodriguez, Demostenes/0000-0001-5401-7551; Okey, Ogobuchi Daniel/0000-0003-0686-2763; Kleinschmidt, João Henrique/0000-0001-6706-455X</t>
  </si>
  <si>
    <t>Tertiary Education Trust Fund (TET-Fund, Nigeria); Forum for Agricultural Research in Africa (FARA, Ghana); Coordenacao de Aperfeicoamento de Pessoal de Nivel Superior (CAPES, Brazil)</t>
  </si>
  <si>
    <t>Tertiary Education Trust Fund (TET-Fund, Nigeria); Forum for Agricultural Research in Africa (FARA, Ghana); Coordenacao de Aperfeicoamento de Pessoal de Nivel Superior (CAPES, Brazil)(Coordenacao de Aperfeicoamento de Pessoal de Nivel Superior (CAPES))</t>
  </si>
  <si>
    <t>The research is funded by the Tertiary Education Trust Fund (TET-Fund, Nigeria) in collaboration with the Forum for Agricultural Research in Africa (FARA, Ghana) and the Coordenacao de Aperfeicoamento de Pessoal de Nivel Superior (CAPES, Brazil) . The sponsors had no direct role in study design, data collection, and analysis, decision to publish, or manuscript preparation.</t>
  </si>
  <si>
    <t>10.1016/j.cose.2023.103476</t>
  </si>
  <si>
    <t>U2KI0</t>
  </si>
  <si>
    <t>WOS:001083140000001</t>
  </si>
  <si>
    <t>Tuli, S; Casale, G; Jennings, NR</t>
  </si>
  <si>
    <t>Tuli, Shreshth; Casale, Giuliano; Jennings, Nicholas R.</t>
  </si>
  <si>
    <t>DRAGON: Decentralized Fault Tolerance in Edge Federations</t>
  </si>
  <si>
    <t>IEEE TRANSACTIONS ON NETWORK AND SERVICE MANAGEMENT</t>
  </si>
  <si>
    <t>Edge computing; decentralized management; fault-tolerance; federated computing; generative optimization networks</t>
  </si>
  <si>
    <t>CLOUD; OPTIMIZATION; ALGORITHM</t>
  </si>
  <si>
    <t>Edge Federation is a new computing paradigm that seamlessly interconnects the resources of multiple edge service providers. A key challenge in such systems is the deployment of latency-critical and AI based resource-intensive applications in constrained devices. To address this challenge, we propose a novel memory-efficient deep learning based model, namely generative optimization networks (GON). Unlike GANs, GONs use a single network to both discriminate input and generate samples, significantly reducing their memory footprint. Leveraging the low memory footprint of GONs, we propose a decentralized fault-tolerance method called DRAGON that runs simulations (as per a digital modeling twin) to quickly predict and optimize the performance of the edge federation. Extensive experiments with real-world edge computing benchmarks on multiple Raspberry-Pi based federated edge configurations show that DRAGON can outperform the baseline methods in fault-detection and Quality of Service (QoS) metrics. Specifically, the proposed method gives higher F1 scores for fault-detection than the best deep learning (DL) method, while consuming lower memory than the heuristic methods. This allows for improvement in energy consumption, response time and service level agreement violations by up to 74, 63 and 82 percent, respectively.</t>
  </si>
  <si>
    <t>[Tuli, Shreshth; Casale, Giuliano] Imperial Coll London, Dept Comp, London SW7 2AZ, England; [Jennings, Nicholas R.] Loughborough Univ, Dept Comp, Loughborough LE11 3TU, England</t>
  </si>
  <si>
    <t>Imperial College London; Loughborough University</t>
  </si>
  <si>
    <t>Tuli, S (corresponding author), Imperial Coll London, Dept Comp, London SW7 2AZ, England.</t>
  </si>
  <si>
    <t>s.tuli20@imperial.ac.uk; g.casale@imperial.ac.uk; n.r.jennings@lboro.ac.uk</t>
  </si>
  <si>
    <t>Casale, Giuliano/W-5595-2019; Tuli, Shreshth/AAK-1236-2020; Jennings, Nick/F-7358-2011; Jennings, Nick/HGU-8308-2022</t>
  </si>
  <si>
    <t>Tuli, Shreshth/0000-0003-2960-1128; Jennings, Nick/0000-0003-0166-248X; Casale, Giuliano/0000-0003-4548-7951</t>
  </si>
  <si>
    <t>President's Ph.D. scholarship at Imperial College London</t>
  </si>
  <si>
    <t>Shreshth Tuli is supported by the President's Ph.D. scholarship at Imperial College London. A preliminary version of the GON frameworkwas presented at the Neural Information Processing Systems, Workshop onMachine Learning for Systems 2021 [1]. The code and datasets are availableat https://github.com/imperial-qore/GON.</t>
  </si>
  <si>
    <t>1932-4537</t>
  </si>
  <si>
    <t>IEEE T NETW SERV MAN</t>
  </si>
  <si>
    <t>IEEE Trans. Netw. Serv. Manag.</t>
  </si>
  <si>
    <t>10.1109/TNSM.2022.3199886</t>
  </si>
  <si>
    <t>D0BT8</t>
  </si>
  <si>
    <t>WOS:000965474500001</t>
  </si>
  <si>
    <t>Lee, JA; Park, J; Choi, YT; Kim, RE; Jung, JMY; Lee, SC; Seo, MH; Kim, HS</t>
  </si>
  <si>
    <t>Lee, Jeong Ah; Park, Jaejung; Choi, Yeon Taek; Kim, Rae Eon; Jung, Jaimyun; Lee, Seungchul; Seo, Min Hong; Kim, Hyoung Seop</t>
  </si>
  <si>
    <t>Influence of tensile properties on hole expansion ratio investigated using a generative adversarial imputation network with explainable artificial intelligence</t>
  </si>
  <si>
    <t>STRETCH-FLANGEABILITY; FRACTURE-TOUGHNESS; STEEL SHEETS; DUAL-PHASE; PREDICTION; PERFORMANCE</t>
  </si>
  <si>
    <t>Hole expansion ratio is widely used to estimate the stretch flangeability of sheet metals which is a critical property of formability and to evaluate the efficiency of a forming process. Although many experiments were conducted in the past to identify the key tensile properties affecting hole expansion ratio, their results failed due to the data scarcity. This work demonstrates a machine learning framework coupled with imputation methods to augment both the quantity and quality of collected experimental data. Especially, a generative adversarial imputation network (GAIN) is used to impute the missing tensile properties in the collected experimental data. With the imputed data, the hole expansion ratio is predicted through an extra tree regressor. In terms of the imputation performance, GAIN resulted in the lowest root mean square error of 0.09146 when 50 known tensile properties are randomly removed and imputed with GAIN. In terms of the hole expansion ratio prediction performance, the extra tree regressor showed the lowest root mean square error of 0.124 compared to other machine learning models. Finally, the influence of each tensile property on the hole expansion ratio is analyzed using Shapley additive explanations, an explainable artificial intelligence technique. In this study, the influences of various tensile properties on hole expansion ratio were quantitatively determined for the first time via machine learning and this analysis will accelerate the exploration of sheet metals with high formability performances.</t>
  </si>
  <si>
    <t>[Lee, Jeong Ah; Choi, Yeon Taek; Kim, Hyoung Seop] Pohang Univ Sci &amp; Technol POSTECH, Dept Mat Sci &amp; Engn, Pohang 37673, South Korea; [Park, Jaejung; Lee, Seungchul] Pohang Univ Sci &amp; Technol POSTECH, Dept Mech Engn, Pohang 37673, South Korea; [Kim, Rae Eon; Kim, Hyoung Seop] Pohang Univ Sci &amp; Technol POSTECH, Grad Inst Ferrous Technol, Pohang 37673, South Korea; [Jung, Jaimyun] Korea Inst Mat Sci KIMS, Dept Mat AI &amp; Big Data, Chang Won, South Korea; [Lee, Seungchul; Kim, Hyoung Seop] Yonsei Univ, Inst Convergence Res &amp; Educ Adv Technol, Seoul 03722, South Korea; [Lee, Seungchul] Pohang Univ Sci &amp; Technol POSTECH, Grad Sch Artificial Intelligence, Pohang 37673, South Korea; [Seo, Min Hong] POSCO, Tech Res Lab, Incheon 21985, South Korea; [Kim, Hyoung Seop] Tohoku Univ, Adv Inst Mat Res WPI AIMR, Sendai 9808577, Japan</t>
  </si>
  <si>
    <t>Pohang University of Science &amp; Technology (POSTECH); Pohang University of Science &amp; Technology (POSTECH); Pohang University of Science &amp; Technology (POSTECH); Korea Institute of Materials Science (KIMS); Yonsei University; Pohang University of Science &amp; Technology (POSTECH); POSCO; Tohoku University</t>
  </si>
  <si>
    <t>Kim, HS (corresponding author), Pohang Univ Sci &amp; Technol POSTECH, Dept Mat Sci &amp; Engn, Pohang 37673, South Korea.;Lee, SC (corresponding author), Pohang Univ Sci &amp; Technol POSTECH, Dept Mech Engn, Pohang 37673, South Korea.;Kim, HS (corresponding author), Pohang Univ Sci &amp; Technol POSTECH, Grad Inst Ferrous Technol, Pohang 37673, South Korea.;Jung, JMY (corresponding author), Korea Inst Mat Sci KIMS, Dept Mat AI &amp; Big Data, Chang Won, South Korea.;Lee, SC; Kim, HS (corresponding author), Yonsei Univ, Inst Convergence Res &amp; Educ Adv Technol, Seoul 03722, South Korea.;Lee, SC (corresponding author), Pohang Univ Sci &amp; Technol POSTECH, Grad Sch Artificial Intelligence, Pohang 37673, South Korea.;Kim, HS (corresponding author), Tohoku Univ, Adv Inst Mat Res WPI AIMR, Sendai 9808577, Japan.</t>
  </si>
  <si>
    <t>jjm0475@kims.re.kr; seunglee@postech.ac.kr; hskim@postech.ac.kr</t>
  </si>
  <si>
    <t>Kim, Hyoung Seop/C-2166-2009</t>
  </si>
  <si>
    <t>Kim, Hyoung Seop/0000-0002-3155-583X</t>
  </si>
  <si>
    <t>National Research Foundation of Korea (NRF) - Korea government (MSIP) [NRF-2021R1A2C3006662]; POSCO [2022Y006]; Basic Science Research Program Fostering the Next Generation of Researcher through the NRF - Ministry of Education [2022R1A6A3A13073824]</t>
  </si>
  <si>
    <t>National Research Foundation of Korea (NRF) - Korea government (MSIP)(National Research Foundation of KoreaMinistry of Science, ICT &amp; Future Planning, Republic of Korea); POSCO; Basic Science Research Program Fostering the Next Generation of Researcher through the NRF - Ministry of Education(National Research Foundation of Korea)</t>
  </si>
  <si>
    <t>This work was supported by the National Research Foundation of Korea (NRF) grant funded by the Korea government (MSIP) [grant number NRF-2021R1A2C3006662] and also this work was supported by POSCO (2022Y006). Yeon Taek Choi was supported by the Basic Science Research Program Fostering the Next Generation of Researcher through the NRF funded by the Ministry of Education [grant number 2022R1A6A3A13073824]</t>
  </si>
  <si>
    <t>10.1007/s10853-023-08315-8</t>
  </si>
  <si>
    <t>9V7GC</t>
  </si>
  <si>
    <t>WOS:000946186600002</t>
  </si>
  <si>
    <t>Rao, JM; Gao, S; Zhu, SJ</t>
  </si>
  <si>
    <t>Rao, Jinmeng; Gao, Song; Zhu, Sijia</t>
  </si>
  <si>
    <t>CATS: Conditional Adversarial Trajectory Synthesis for privacy-preserving trajectory data publication using deep learning approaches</t>
  </si>
  <si>
    <t>INTERNATIONAL JOURNAL OF GEOGRAPHICAL INFORMATION SCIENCE</t>
  </si>
  <si>
    <t>Geoprivacy; generative adversarial network; human mobility; GeoAI; synthetic data generation</t>
  </si>
  <si>
    <t>HUMAN MOBILITY; HEALTH DATA; PREDICTABILITY; INFORMATION; GENERATION; PROTECTION; GEOPRIVACY; ANONYMITY; URBAN</t>
  </si>
  <si>
    <t>The prevalence of ubiquitous location-aware devices and mobile Internet enables us to collect massive individual-level trajectory dataset from users. Such trajectory big data bring new opportunities to human mobility research but also raise public concerns with regard to location privacy. In this work, we present the Conditional Adversarial Trajectory Synthesis (CATS), a deep-learning-based GeoAI methodological framework for privacy-preserving trajectory data generation and publication. CATS applies K-anonymity to the underlying spatiotemporal distributions of human movements, which provides a distributional-level strong privacy guarantee. By leveraging conditional adversarial training on K-anonymized human mobility matrices, trajectory global context learning using the attention-based mechanism, and recurrent bipartite graph matching of adjacent trajectory points, CATS is able to reconstruct trajectory topology from conditionally sampled locations and generate high-quality individual-level synthetic trajectory data, which can serve as supplements or alternatives to raw data for privacy-preserving trajectory data publication. The experiment results on over 90k GPS trajectories show that our method has a better performance in privacy preservation, spatiotemporal characteristic preservation, and downstream utility compared with baseline methods, which brings new insights into privacy-preserving human mobility research using generative AI techniques and explores data ethics issues in GIScience.</t>
  </si>
  <si>
    <t>[Rao, Jinmeng; Gao, Song; Zhu, Sijia] Univ Wisconsin, Dept Geog, GeoDS Lab, Madison, WI USA; [Zhu, Sijia] Columbia Univ, Data Sci Inst, New York, NY USA</t>
  </si>
  <si>
    <t>University of Wisconsin System; University of Wisconsin Madison; Columbia University</t>
  </si>
  <si>
    <t>Gao, S (corresponding author), Univ Wisconsin, Dept Geog, GeoDS Lab, Madison, WI USA.</t>
  </si>
  <si>
    <t>song.gao@wisc.edu</t>
  </si>
  <si>
    <t>Gao, Song/N-9573-2019; Rao, Jinmeng/HTP-8502-2023</t>
  </si>
  <si>
    <t>Gao, Song/0000-0003-4359-6302;</t>
  </si>
  <si>
    <t>American Family Insurance; American Family Insurance Data Science Institute Funding Initiative at the University of Wisconsin-Madison</t>
  </si>
  <si>
    <t>The authors acknowledge the funding support provided by the American Family Insurance Data Science Institute Funding Initiative at the University of Wisconsin-Madison. Any opinions, findings, and conclusions or recommendations expressed in this material are those of the author(s) and do not necessarily reflect the views of the funder(s).</t>
  </si>
  <si>
    <t>1365-8816</t>
  </si>
  <si>
    <t>1362-3087</t>
  </si>
  <si>
    <t>INT J GEOGR INF SCI</t>
  </si>
  <si>
    <t>Int. J. Geogr. Inf. Sci.</t>
  </si>
  <si>
    <t>DEC 2</t>
  </si>
  <si>
    <t>10.1080/13658816.2023.2262550</t>
  </si>
  <si>
    <t>Computer Science, Information Systems; Geography; Geography, Physical; Information Science &amp; Library Science</t>
  </si>
  <si>
    <t>Computer Science; Geography; Physical Geography; Information Science &amp; Library Science</t>
  </si>
  <si>
    <t>FJ8T1</t>
  </si>
  <si>
    <t>WOS:001119353800001</t>
  </si>
  <si>
    <t>Ellis, AR; Slade, E</t>
  </si>
  <si>
    <t>Ellis, Amanda R.; Slade, Emily</t>
  </si>
  <si>
    <t>A New Era of Learning: Considerations for ChatGPT as a Tool to Enhance Statistics and Data Science Education</t>
  </si>
  <si>
    <t>JOURNAL OF STATISTICS AND DATA SCIENCE EDUCATION</t>
  </si>
  <si>
    <t>Artificial intelligence; Data science; Educational techniques; Statistics education; &gt;</t>
  </si>
  <si>
    <t>ChatGPT is one of many generative artificial intelligence (AI) tools that has emerged recently, creating controversy in the education community with concerns about its potential to be used for plagiarism and to undermine students' ability to think independently. Recent publications have criticized the use of ChatGPT and other generative AI tools in the classroom, with little focus on the potential benefits. This article focuses on the potential of ChatGPT as an educational tool for statistics and data science. It encourages readers to consider the history of trepidation surrounding introducing new technology in the classroom, such as the calculator. We explore the possibility of leveraging ChatGPT's capabilities in statistics and data science education, providing examples of how ChatGPT can aid in developing course materials and suggestions for how educators can prompt students to interact with ChatGPT responsibly. As educators, we can guide the use of generative AI tools in statistics and data science classrooms so that students and educators can leverage the benefits of this technology.</t>
  </si>
  <si>
    <t>[Ellis, Amanda R.; Slade, Emily] Univ Kentucky, Dept Biostat, Lexington, KY USA; [Ellis, Amanda R.] Univ Kentucky, Dept Biostat, 725 Rose St, MDS 201, Lexington, KY 40536 USA</t>
  </si>
  <si>
    <t>University of Kentucky; University of Kentucky</t>
  </si>
  <si>
    <t>Ellis, AR (corresponding author), Univ Kentucky, Dept Biostat, 725 Rose St, MDS 201, Lexington, KY 40536 USA.</t>
  </si>
  <si>
    <t>amanda.ellis@uky.edu</t>
  </si>
  <si>
    <t>2693-9169</t>
  </si>
  <si>
    <t>J STAT DATA SCI EDUC</t>
  </si>
  <si>
    <t>J. Stat. Data Sci. Educ.</t>
  </si>
  <si>
    <t>MAY 4</t>
  </si>
  <si>
    <t>10.1080/26939169.2023.2223609</t>
  </si>
  <si>
    <t>M7FZ8</t>
  </si>
  <si>
    <t>WOS:001025535500001</t>
  </si>
  <si>
    <t>Wei, XK; Gonugondla, SK; Wang, SQ; Ahmad, W; Ray, B; Qian, HF; Li, XP; Kumar, V; Wang, ZJ; Tian, YC; Sun, Q; Athiwaratkun, B; Shang, MY; Ramanathan, MK; Bhatia, P; Xiang, B</t>
  </si>
  <si>
    <t>Chandra, S; Blincoe, K; Tonella, P</t>
  </si>
  <si>
    <t>Wei, Xiaokai; Gonugondla, Sujan Kumar; Wang, Shiqi; Ahmad, Wasi; Ray, Baishakhi; Qian, Haifeng; Li, Xiaopeng; Kumar, Varun; Wang, Zijian; Tian, Yuchen; Sun, Qing; Athiwaratkun, Ben; Shang, Mingyue; Ramanathan, Murali Krishna; Bhatia, Parminder; Xiang, Bing</t>
  </si>
  <si>
    <t>Towards Greener Yet Powerful Code Generation via Quantization: An Empirical Study</t>
  </si>
  <si>
    <t>PROCEEDINGS OF THE 31ST ACM JOINT MEETING EUROPEAN SOFTWARE ENGINEERING CONFERENCE AND SYMPOSIUM ON THE FOUNDATIONS OF SOFTWARE ENGINEERING, ESEC/FSE 2023</t>
  </si>
  <si>
    <t>31st ACM Joint Meeting of the European Software Engineering Conference / Symposium on the Foundations-of-Software-Engineering (ESEC/FSE)</t>
  </si>
  <si>
    <t>DEC 03-09, 2023</t>
  </si>
  <si>
    <t>Assoc Comp Machinery,Fdn Software Engn,ACM SIGSOFT,Google,Ant Grp,Meta,JetBrains,ByteDance,Uber,Dragon Testing,Huawei</t>
  </si>
  <si>
    <t>Quantization; Code Generation; Large Language Models; Generative AI; Model Hosting</t>
  </si>
  <si>
    <t>ML-powered code generation aims to assist developers to write code in a more productive manner by intelligently generating code blocks based on natural language prompts. Recently, large pretrained deep learning models have pushed the boundary of code generation and achieved impressive performance.] However, the huge number of model parameters poses a significant challenge to their adoption in a typical software development environment, where a developer might use a standard laptop or mid-size server to develop code. Such large models cost significant resources in terms of memory, latency, dollars, as well as carbon footprint. Model compression is a promising approach to address these challenges. We have identified quantization as one of the most promising compression techniques for code-generation as it avoids expensive retraining costs. As quantization represents model parameters with lower-bit integer (e.g., int8), the model size and runtime latency would both benefit.] We empirically evaluate quantized models on code generation tasks across different dimensions: (i) resource usage and carbon footprint, (ii) accuracy, and (iii) robustness. Through systematic experiments we find a code-aware quantization recipe that could run even a 6-billion-parameter model in a regular laptop without significant accuracy or robustness degradation. We find that the recipe is readily applicable to code summarization task as well.</t>
  </si>
  <si>
    <t>[Wei, Xiaokai; Gonugondla, Sujan Kumar; Wang, Shiqi; Ahmad, Wasi; Ray, Baishakhi; Qian, Haifeng; Li, Xiaopeng; Kumar, Varun; Wang, Zijian; Tian, Yuchen; Sun, Qing; Athiwaratkun, Ben; Shang, Mingyue; Ramanathan, Murali Krishna; Bhatia, Parminder; Xiang, Bing] AWS AI Labs, Palo Alto, CA 94303 USA</t>
  </si>
  <si>
    <t>Wei, XK (corresponding author), AWS AI Labs, Palo Alto, CA 94303 USA.</t>
  </si>
  <si>
    <t>xiaokaiw@amazon.com; gsujan@amazon.com; wshiqi@amazon.com; wuahmad@amazon.com; rabaisha@amazon.com; qianhf@amazon.com; xiaopel@amazon.com; kuvrun@amazon.com; zijwan@amazon.com; tiayuche@amazon.com; qinsun@amazon.com; benathi@amazon.com; myshang@amazon.com; mkraman@amazon.com; parmib@amazon.com; bxiang@amazon.com</t>
  </si>
  <si>
    <t>979-8-4007-0327-0</t>
  </si>
  <si>
    <t>10.1145/3611643.3616302</t>
  </si>
  <si>
    <t>BW4HZ</t>
  </si>
  <si>
    <t>WOS:001148157800020</t>
  </si>
  <si>
    <t>Jiang, JF; Rui, YK; Ran, B; Luo, P</t>
  </si>
  <si>
    <t>Jiang, Junfeng; Rui, Yikang; Ran, Bin; Luo, Peng</t>
  </si>
  <si>
    <t>Design of an Intelligent Vehicle Behavior Decision Algorithm Based on DGAIL</t>
  </si>
  <si>
    <t>intelligent driving; driving decision; imitation learning; generative adversarial imitation learning</t>
  </si>
  <si>
    <t>With the development of AI, the intelligence level of vehicles is increasing. Structured roads, as common and important traffic scenes, are the most typical application scenarios for realizing autonomous driving. The driving behavior decision-making of intelligent vehicles has always been a controversial and difficult research topic. Currently, the mainstream decision-making methods, which are mainly based on rules, lack adaptability and generalization to the environment. Aimed at the particularity of intelligent vehicle behavior decisions and the complexity of the environment, this thesis proposes an intelligent vehicle driving behavior decision method based on DQN generative adversarial imitation learning (DGAIL) in the structured road traffic environment, in which the DQN algorithm is utilized as a GAIL generator. The results show that the DGAIL method can preserve the design of the reward value function, ensure the effectiveness of training, and achieve safe and efficient driving on structured roads. The experimental results show that, compared with A3C, DQN and GAIL, the model based on DGAIL spends less average training time to achieve a 95% success rate in the straight road scene and merging road scene, respectively. Apparently, this algorithm can effectively accelerate the selection of actions, reduce the randomness of actions during the exploration, and improve the effect of the decision-making model.</t>
  </si>
  <si>
    <t>[Jiang, Junfeng; Rui, Yikang; Ran, Bin] Southeast Univ, Sch Transportat, Nanjing 211189, Peoples R China; [Luo, Peng] Wuhan Univ Technol, Intelligent Transportat Syst Res Ctr, Wuhan 430063, Peoples R China</t>
  </si>
  <si>
    <t>Southeast University - China; Wuhan University of Technology</t>
  </si>
  <si>
    <t>Rui, YK (corresponding author), Southeast Univ, Sch Transportat, Nanjing 211189, Peoples R China.</t>
  </si>
  <si>
    <t>101012189@seu.edu.cn</t>
  </si>
  <si>
    <t>Key R&amp;D Program of Shandong Province, China [2020CXGC010118]; National Natural Science Foundation of China [41971342]</t>
  </si>
  <si>
    <t>Key R&amp;D Program of Shandong Province, China; National Natural Science Foundation of China(National Natural Science Foundation of China (NSFC))</t>
  </si>
  <si>
    <t>This research was funded by the Key R&amp;D Program of Shandong Province, China (grant no. 2020CXGC010118), the National Natural Science Foundation of China grant no. 41971342).</t>
  </si>
  <si>
    <t>10.3390/app13095648</t>
  </si>
  <si>
    <t>G0VV0</t>
  </si>
  <si>
    <t>WOS:000986446400001</t>
  </si>
  <si>
    <t>Wang, DQ; Wen, ZY; Ye, F; Li, L; Zhou, H</t>
  </si>
  <si>
    <t>Wang, Danqing; Wen, Zeyu; Ye, Fei; Li, Lei; Zhou, Hao</t>
  </si>
  <si>
    <t>Accelerating Antimicrobial Peptide Discovery with Latent Structure</t>
  </si>
  <si>
    <t>Generative Model; Drug Discovery; Peptide Generation</t>
  </si>
  <si>
    <t>Antimicrobial peptides (AMPs) are promising therapeutic approaches against drug-resistant pathogens. Recently, deep generative models are used to discover new AMPs. However, previous studies mainly focus on peptide sequence attributes and do not consider crucial structure information. In this paper, we propose a latent sequence-structure model for designing AMPs (LSSAMP). LSSAMP exploits multi-scale vector quantization in the latent space to represent secondary structures (e.g. alpha helix and beta sheet). By sampling in the latent space, LSSAMP can simultaneously generate peptides with ideal sequence attributes and secondary structures. Experimental results show that the peptides generated by LSSAMP have a high probability of antimicrobial activity. Our wet laboratory experiments verified that two of the 21 candidates exhibit strong antimicrobial activity. The code is released at https://github.com/dqwang122/LSSAMP.</t>
  </si>
  <si>
    <t>[Wang, Danqing; Li, Lei] Univ Calif Santa Barbara, Santa Barbara, CA 93106 USA; [Wen, Zeyu] Huazhong Univ Sci &amp; Technol, Wuhan, Peoples R China; [Ye, Fei] ByteDance Res, Shanghai, Peoples R China; [Zhou, Hao] Tsinghua Univ, Inst AI Ind Res, Beijing, Peoples R China</t>
  </si>
  <si>
    <t>University of California System; University of California Santa Barbara; Huazhong University of Science &amp; Technology; Tsinghua University</t>
  </si>
  <si>
    <t>Li, L (corresponding author), Univ Calif Santa Barbara, Santa Barbara, CA 93106 USA.;Zhou, H (corresponding author), Tsinghua Univ, Inst AI Ind Res, Beijing, Peoples R China.</t>
  </si>
  <si>
    <t>danqingwang@ucsb.edu; D201780029@hust.edu.cn; yefei.joyce@bytedance.com; leili@cs.ucsb.edu; zhouhao@air.tsinghua.edu.cn</t>
  </si>
  <si>
    <t>Li, Lei/0000-0003-3095-9776</t>
  </si>
  <si>
    <t>ByteDance Research</t>
  </si>
  <si>
    <t>We thank Wuxi AppTec for conducting the wet laboratory experiments. The work was supported by ByteDance Research.</t>
  </si>
  <si>
    <t>10.1145/3580305.3599249</t>
  </si>
  <si>
    <t>WOS:001118896302027</t>
  </si>
  <si>
    <t>Yun, J; Sohn, JE; Kyeong, S</t>
  </si>
  <si>
    <t>Yun, Jiseon; Sohn, Jae Eui; Kyeong, Sunghyon</t>
  </si>
  <si>
    <t>Fine-Tuning Pretrained Language Models to Enhance Dialogue Summarization in Customer Service Centers</t>
  </si>
  <si>
    <t>fine-tuning; instruct tuning; dialogue summarization; Korean language model</t>
  </si>
  <si>
    <t>The application of pretrained language models in real-world business domains has gained significant attention. However, research on the practical use of generative artificial intelligence (AI) to address real-world downstream tasks is limited. This study aims to enhance the routine tasks of customer service (CS) representatives, particularly in the finance domain, by applying a fine-tuning method to dialogue summarization in CS centers. KakaoBank handles an average of 15,000 CS calls daily. By employing a fine-tuning method using real-world CS dialogue data, we can reduce the time required to summarize CS dialogues and standardize summarization skills. To ensure effective dialogue summarization in the finance domain, pretrained language models should acquire additional knowledge and skills, such as specific knowledge of financial products, problem-solving abilities, and the capacity to handle emotionally charged customers. In this study, we developed a reference fine-tuned model using Polyglot-Ko (5.8B) as the baseline PLM and a dataset containing a wide range of zero-shot instructions and partially containing summarization instructions. We compared this reference model with another model fine-tuned using KakaoBank's CS dialogues and summarization data as the instruct dataset. The results demonstrated that the fine-tuned model based on KakaoBank's internal datasets outperformed the reference model, showing a 199% and 12% improvement in ROUGE-L and RDASS, respectively. This study emphasizes the significance of task-specific fine-tuning using appropriate instruct datasets for effective performance in specific downstream tasks. Considering its practical use, we suggest that fine-tuning using real-world instruct datasets is a powerful and cost-effective technique for developing generative AI in the business domain.</t>
  </si>
  <si>
    <t>[Yun, Jiseon; Sohn, Jae Eui; Kyeong, Sunghyon] KakaoBank Corp, Seongnam Si, Kyeonggi Do, South Korea</t>
  </si>
  <si>
    <t>Kyeong, S (corresponding author), KakaoBank Corp, Seongnam Si, Kyeonggi Do, South Korea.</t>
  </si>
  <si>
    <t>sunny.yun@kakaobank.com; mark.sohn@kakaobank.com; devyn.k@kakaobank.com</t>
  </si>
  <si>
    <t>Kyeong, Sunghyon/0000-0002-9095-5219</t>
  </si>
  <si>
    <t>10.1145/3604237.3626838</t>
  </si>
  <si>
    <t>WOS:001124982700043</t>
  </si>
  <si>
    <t>Shen, YQ; Sowmya, A; Luo, YL; Liang, XY; Shen, DG; Ke, J</t>
  </si>
  <si>
    <t>Shen, Yiqing; Sowmya, Arcot; Luo, Yulin; Liang, Xiaoyao; Shen, Dinggang; Ke, Jing</t>
  </si>
  <si>
    <t>A Federated Learning System for Histopathology Image Analysis With an Orchestral Stain-Normalization GAN</t>
  </si>
  <si>
    <t>IEEE TRANSACTIONS ON MEDICAL IMAGING</t>
  </si>
  <si>
    <t>Histopathology; federated learning; generative adversarial network; stain normalization</t>
  </si>
  <si>
    <t>COLOR NORMALIZATION</t>
  </si>
  <si>
    <t>Currently, data-driven based machine learning is considered one of the best choices in clinical pathology analysis, and its success is subject to the sufficiency of digitized slides, particularly those with deep annotations. Although centralized training on a large data set may be more reliable and more generalized, the slides to the examination are more often than not collected from many distributed medical institutes. This brings its own challenges, and the most important is the assurance of privacy and security of incoming data samples. In the discipline of histopathology image, the universal stain-variation issue adds to the difficulty of an automatic system as different clinical institutions provide distinct stain styles. To address these two important challenges in AI-based histopathology diagnoses, this work proposes a novel conditional Generative Adversarial Network (GAN) with one orchestration generator and multiple distributed discriminators, to cope with multiple-client based stain-style normalization. Implemented within a Federated Learning (FL) paradigm, this framework well preserves data privacy and security. Additionally, the training consistency and stability of the distributed system are further enhanced by a novel temporal self-distillation regularization scheme. Empirically, on large cohorts of histopathology datasets as a benchmark, the proposed model matches the performance of conventional centralized learning very closely. It also outperforms state-of-the-art stain-style transfer methods on the downstream Federated Learning image classification task, with an accuracy increase of over 20.0% in comparison to the baseline classification model.</t>
  </si>
  <si>
    <t>[Shen, Yiqing] Shanghai Jiao Tong Univ, Sch Math Sci, Shanghai 200240, Peoples R China; [Sowmya, Arcot; Ke, Jing] Univ New South Wales, Sch Comp Sci &amp; Engn, Sydney, NSW 2052, Australia; [Luo, Yulin; Liang, Xiaoyao; Ke, Jing] Shanghai Jiao Tong Univ, Sch Elect Informat &amp; Elect Engn, Shanghai 200240, Peoples R China; [Shen, Dinggang] ShanghaiTech Univ, Sch Biomed Engn, Shanghai 201210, Peoples R China; [Shen, Dinggang] ShanghaiUnited Imaging Intelligence Co Ltd, Shanghai 200230, Peoples R China; [Shen, Dinggang] Shanghai Clin Res &amp; Trial Ctr, Shanghai 201210, Peoples R China</t>
  </si>
  <si>
    <t>Shanghai Jiao Tong University; University of New South Wales Sydney; Shanghai Jiao Tong University; ShanghaiTech University</t>
  </si>
  <si>
    <t>Ke, J (corresponding author), Univ New South Wales, Sch Comp Sci &amp; Engn, Sydney, NSW 2052, Australia.;Ke, J (corresponding author), Shanghai Jiao Tong Univ, Sch Elect Informat &amp; Elect Engn, Shanghai 200240, Peoples R China.</t>
  </si>
  <si>
    <t>shenyq@sjtu.edu.cn; a.sowmya@unsw.edu.au; lyl010221@sjtu.edu.cn; liang-xy@cs.sjtu.edu.cn; dgshen@shanghaitech.edu.cn; kejing@sjtu.edu.cn</t>
  </si>
  <si>
    <t>Shen, Yiqing/AAO-2811-2021</t>
  </si>
  <si>
    <t>Shen, Yiqing/0000-0001-7866-3339</t>
  </si>
  <si>
    <t>National Institutes of Health (NIH) [R01CA256890, R01CA227713, U01CA242879, R01HL155410, R01LM012966]</t>
  </si>
  <si>
    <t>National Institutes of Health (NIH)(United States Department of Health &amp; Human ServicesNational Institutes of Health (NIH) - USA)</t>
  </si>
  <si>
    <t>&amp; nbsp; This work was supported by the National Institutes of Health (NIH) under Grant R01CA256890, Grant R01CA227713, Grant U01CA242879, Grant R01HL155410, and Grant R01LM012966.&amp; nbsp;</t>
  </si>
  <si>
    <t>0278-0062</t>
  </si>
  <si>
    <t>1558-254X</t>
  </si>
  <si>
    <t>IEEE T MED IMAGING</t>
  </si>
  <si>
    <t>IEEE Trans. Med. Imaging</t>
  </si>
  <si>
    <t>10.1109/TMI.2022.3221724</t>
  </si>
  <si>
    <t>Computer Science, Interdisciplinary Applications; Engineering, Biomedical; Engineering, Electrical &amp; Electronic; Imaging Science &amp; Photographic Technology; Radiology, Nuclear Medicine &amp; Medical Imaging</t>
  </si>
  <si>
    <t>Computer Science; Engineering; Imaging Science &amp; Photographic Technology; Radiology, Nuclear Medicine &amp; Medical Imaging</t>
  </si>
  <si>
    <t>L3FA4</t>
  </si>
  <si>
    <t>WOS:001022138900006</t>
  </si>
  <si>
    <t>Nikolic, S; Daniel, S; Haque, R; Belkina, M; Hassan, GM; Grundy, S; Lyden, S; Neal, P; Sandison, C</t>
  </si>
  <si>
    <t>Nikolic, Sasha; Daniel, Scott; Haque, Rezwanul; Belkina, Marina; Hassan, Ghulam M. M.; Grundy, Sarah; Lyden, Sarah; Neal, Peter; Sandison, Caz</t>
  </si>
  <si>
    <t>ChatGPT versus engineering education assessment: a multidisciplinary and multi-institutional benchmarking and analysis of this generative artificial intelligence tool to investigate assessment integrity</t>
  </si>
  <si>
    <t>EUROPEAN JOURNAL OF ENGINEERING EDUCATION</t>
  </si>
  <si>
    <t>Artificial intelligence (AI); assessment; ChatGPT; engineering education; GPT-3; integrity</t>
  </si>
  <si>
    <t>ChatGPT, a sophisticated online chatbot, sent shockwaves through many sectors once reports filtered through that it could pass exams. In higher education, it has raised many questions about the authenticity of assessment and challenges in detecting plagiarism. Amongst the resulting frenetic hubbub, hints of potential opportunities in how ChatGPT could support learning and the development of critical thinking have also emerged. In this paper, we examine how ChatGPT may affect assessment in engineering education by exploring ChatGPT responses to existing assessment prompts from ten subjects across seven Australian universities. We explore the strengths and weaknesses of current assessment practice and discuss opportunities on how ChatGPT can be used to facilitate learning. As artificial intelligence is rapidly improving, this analysis sets a benchmark for ChatGPT's performance as of early 2023 in responding to engineering education assessment prompts. ChatGPT did pass some subjects and excelled with some assessment types. Findings suggest that changes in current practice are needed, as typically with little modification to the input prompts, ChatGPT could generate passable responses to many of the assessments, and it is only going to get better as future versions are trained on larger data sets.</t>
  </si>
  <si>
    <t>[Nikolic, Sasha; Sandison, Caz] Univ Wollongong, Fac Engn &amp; Informat Sci, Wollongong, Australia; [Daniel, Scott] Univ Technol Sydney, Sch Profess Practice &amp; Leadership, Sydney, Australia; [Haque, Rezwanul] Univ Sunshine Coast, Sch Sci Technol &amp; Engn, Sippy Downs, Australia; [Belkina, Marina] Western Sydney Univ, Coll, Sydney, Australia; [Hassan, Ghulam M. M.] Univ Western Australia, Sch Comp Sci &amp; Software Engn, Perth, Australia; [Grundy, Sarah; Neal, Peter] Univ New South Wales, Sch Chem Engn, Sydney, Australia; [Lyden, Sarah] Univ Tasmania, Sch Engn, Hobart, Australia</t>
  </si>
  <si>
    <t>University of Wollongong; University of Technology Sydney; University of the Sunshine Coast; Western Sydney University; University of Western Australia; University of New South Wales Sydney; University of Tasmania</t>
  </si>
  <si>
    <t>Nikolic, S (corresponding author), Univ Wollongong, Fac Engn &amp; Informat Sci, Wollongong, Australia.</t>
  </si>
  <si>
    <t>sasha@uow.edu.au</t>
  </si>
  <si>
    <t>Haque, Rezwanul/L-6950-2018; Daniel, Scott/AAQ-9251-2020; Neal, Peter/B-7243-2008; Lyden, Sarah/O-6350-2017</t>
  </si>
  <si>
    <t>Haque, Rezwanul/0000-0002-8641-4479; Daniel, Scott/0000-0002-7528-9713; Hassan, Ghulam Mubashar/0000-0002-6636-8807; Sandison, Carolyn/0000-0002-5475-9640; Neal, Peter/0000-0002-8831-5327; Grundy, Sarah/0009-0009-9018-7385; Belkina, Marina/0009-0006-2660-2845; Lyden, Sarah/0000-0002-5364-6011</t>
  </si>
  <si>
    <t>0304-3797</t>
  </si>
  <si>
    <t>1469-5898</t>
  </si>
  <si>
    <t>EUR J ENG EDUC</t>
  </si>
  <si>
    <t>Eur. J. Eng. Educ.</t>
  </si>
  <si>
    <t>JUL 4</t>
  </si>
  <si>
    <t>10.1080/03043797.2023.2213169</t>
  </si>
  <si>
    <t>J2WQ1</t>
  </si>
  <si>
    <t>WOS:000993944200001</t>
  </si>
  <si>
    <t>Alwan, E; Volakis, J; Islam, MK; De Silva, U; Madanayake, A; Sanchez, JA; Sklivanitis, G; Pados, DA; Beckwith, L; Azarderakhsh, R; Muralkrishan, M; Rastogi, R; Hore, A; Burger, EW</t>
  </si>
  <si>
    <t>Alwan, Elias; Volakis, John; Islam, Md Khadimul; De Silva, Udara; Madanayake, Arjuna; Sanchez, Jose Angel; Sklivanitis, George; Pados, Dimitris A.; Beckwith, Luke; Azarderakhsh, Reza; Muralkrishan, Madhuvanti; Rastogi, Rishabh; Hore, Aniruddha; Burger, Eric W.</t>
  </si>
  <si>
    <t>Covert and Quantum-Safe Tunneling of Multi-Band Military-RF Communication Waveforms Through Non-Cooperative 5G Networks</t>
  </si>
  <si>
    <t>MILCOM 2023 - 2023 IEEE MILITARY COMMUNICATIONS CONFERENCE</t>
  </si>
  <si>
    <t>IEEE Military Communications Conference</t>
  </si>
  <si>
    <t>41st IEEE Military Communications Conference (IEEE MILCOM) - Communications Supporting Military Operations in a Contested Environment</t>
  </si>
  <si>
    <t>OCT 30-NOV 03, 2023</t>
  </si>
  <si>
    <t>Boston, MA</t>
  </si>
  <si>
    <t>5G; security; data hiding; steganography; PQC; IQ signal compression; AI fingerprinting</t>
  </si>
  <si>
    <t>We have built a prototype universal radio adapter which furnishes seamless and secure wireless communication through non-cooperative indigenous 5G networks for military and government users. The adapter consists of a waveformagnostic hardware add-on that tunnels DoD terrestrial and satellite data. The adapter uses secure protocols for crossconnecting military-grade wireless RF communications equipment using spectrum in the range from UHF to Ka-band. A 5G data transport channel replaces the captured spectrum for transporting information at the IQ-sample level. In a sense, we replace the antenna-air interface and wireless channel with a transparent 5G data network. A plurarity of legacy military systems can operate through modern 5G networks in a seamless way without any knowledge of the characteristics of military waveforms. The adapter incorporates AI/ML based methods for smart spectrum sensing and autonomous radio reconfiguration. This enables intelligent interconnection of a number of military radios through non-cooperative (potentially adversarial) 5G commercial cellular networks. The adapter is built on four technical pillars: 1) ultra-wideband apertures for multi-functional and flexible software-defined radios (SDRs) with agile, wideband, and dual-band tunable RF transceivers for FR1/FR2 bands; 2) physical layer operation that involve device authentication via deep-learning based RF fingerprinting and compression of acquired IQ data; 3) secure and reconfigurable cryptographic coprocessors employing the new quantum-safe algorithms selected by NIST to achieve authentication, key exchange, and encryption with focus on resource-constrained low size, weight, power, and cost (SWaP-C) devices; and 4) generative artificial intelligence and spread-spectrum steganography to hide DoD traffic passed through 5G networks and improve resiliency against real-time traffic analysis by nation-state carriers and intelligence agencies.</t>
  </si>
  <si>
    <t>[Alwan, Elias; Volakis, John; Islam, Md Khadimul; De Silva, Udara; Madanayake, Arjuna] Florida Int Univ, Dept Elect &amp; Comp Engn, Miami, FL 33199 USA; [Sanchez, Jose Angel; Sklivanitis, George; Pados, Dimitris A.] Florida Atlantic Univ, Ctr Connected Auton &amp; AI, Boca Raton, FL 33431 USA; [Beckwith, Luke; Azarderakhsh, Reza] PQSecure Technol LLC, Boca Raton, FL USA; [Muralkrishan, Madhuvanti; Rastogi, Rishabh; Hore, Aniruddha; Burger, Eric W.] Virginia Tech, Commonwealth Cyber Initiat, Arlington, VA USA</t>
  </si>
  <si>
    <t>State University System of Florida; Florida International University; State University System of Florida; Florida Atlantic University; Virginia Polytechnic Institute &amp; State University</t>
  </si>
  <si>
    <t>Alwan, E (corresponding author), Florida Int Univ, Dept Elect &amp; Comp Engn, Miami, FL 33199 USA.</t>
  </si>
  <si>
    <t>ealwan@fiu.edu; jvolakis@fiu.edu; misla081@fiu.edu; udesi001@fiu.edu; amadanay@fiu.edu; josesanchez2019@fau.edu; gsklivanitis@fau.edu; dpados@fau.edu; luke.beckwith@pqsecurity.com; razarder@pqsecurity.com; madhuvantim@vt.edu; rrishabh@vt.edu; aniruddah@vt.edu</t>
  </si>
  <si>
    <t>; Volakis, John/N-7900-2016</t>
  </si>
  <si>
    <t>Madanayake, Arjuna/0000-0003-3478-6702; Volakis, John/0000-0002-0115-2079</t>
  </si>
  <si>
    <t>NSF Convergence Accelerator Track G award [ITE-2226392]</t>
  </si>
  <si>
    <t>NSF Convergence Accelerator Track G award</t>
  </si>
  <si>
    <t>This research is supported through the NSF Convergence Accelerator Track G award ITE-2226392.</t>
  </si>
  <si>
    <t>2155-7578</t>
  </si>
  <si>
    <t>979-8-3503-2181-4</t>
  </si>
  <si>
    <t>IEEE MILIT COMMUN C</t>
  </si>
  <si>
    <t>10.1109/MILCOM58377.2023.10356300</t>
  </si>
  <si>
    <t>BW4XR</t>
  </si>
  <si>
    <t>WOS:001156887600014</t>
  </si>
  <si>
    <t>Nisticò, S; Palopoli, L; Romano, AP</t>
  </si>
  <si>
    <t>Nistico, Simona; Palopoli, Luigi; Romano, Adele Pia</t>
  </si>
  <si>
    <t>Audio super-resolution via vision transformer</t>
  </si>
  <si>
    <t>Audio Super-resolution; Music Enhancement; Generative Adversarial Networks; Transformers; Vision Transformer</t>
  </si>
  <si>
    <t>Audio super-resolution refers to techniques that improve the audio signals quality, usually by exploiting bandwidth extension methods, whereby audio enhancement is obtained by expanding the phase and the spectrogram of the input audio traces. These techniques are therefore much significant for all those cases where audio traces miss relevant parts of the audible spectrum. In several cases, the given input signal contains the low-band frequencies (the easiest to capture with low-quality recording instruments) whereas the high-band must be generated. In this paper, we illustrate techniques implemented into a system for bandwidth extension that works on musical tracks and generates the high-band frequencies starting from the low-band ones. The system, called ViT Super-resolution (ViT-SR), features an architecture based on a Generative Adversarial Network and Vision Transformer model. In particular, two versions of the architecture will be presented in this paper, that work on different input frequency ranges. Experiments, which are accounted for in the paper, prove the effectiveness of our approach. In particular, the objective has been attained to demonstrate that it is possible to faithfully reconstruct the high-band signal of an audio file having only its low-band spectrum available as the input, therewith including the usually difficult to synthetically generate harmonics occurring in the audio tracks, which significantly contribute to the final perceived sound quality.</t>
  </si>
  <si>
    <t>[Nistico, Simona; Palopoli, Luigi; Romano, Adele Pia] Univ Calabria, DIMES Dept, Arcavacata Di Rende, Italy</t>
  </si>
  <si>
    <t>Nisticò, S (corresponding author), Univ Calabria, DIMES Dept, Arcavacata Di Rende, Italy.</t>
  </si>
  <si>
    <t>simona.nistico@dimes.unical.it; luigi.palopoli@dimes.unical.it; adelepia.romano@dimes.unical.it</t>
  </si>
  <si>
    <t>Nistico, Simona/0000-0002-7386-2512</t>
  </si>
  <si>
    <t>PNRR FAIR - Future AI Research [PE00000013]; EU</t>
  </si>
  <si>
    <t>PNRR FAIR - Future AI Research; EU(European Union (EU))</t>
  </si>
  <si>
    <t>This work has been partially supported by PNRR FAIR - Future AI Research (PE00000013), Spoke9 - Green-aware AI, under the PNNR program funded by EU in the context of NextGenerationEU.</t>
  </si>
  <si>
    <t>10.1007/s10844-023-00833-w</t>
  </si>
  <si>
    <t>CA1P3</t>
  </si>
  <si>
    <t>WOS:001122439700001</t>
  </si>
  <si>
    <t>de Curtò, J; de Zarzà, I; Roig, G; Calafate, CT</t>
  </si>
  <si>
    <t>de Curto, J.; de Zarza, I.; Roig, Gemma; Calafate, Carlos T.</t>
  </si>
  <si>
    <t>Signature and Log-Signature for the Study of Empirical Distributions Generated with GANs</t>
  </si>
  <si>
    <t>GAN; FID; generative models; Signature Transform; PCA; t-SNE; clustering</t>
  </si>
  <si>
    <t>In this paper, we address the research gap in efficiently assessing Generative Adversarial Network (GAN) convergence and goodness of fit by introducing the application of the Signature Transform to measure similarity between image distributions. Specifically, we propose the novel use of Root Mean Square Error (RMSE) and Mean Absolute Error (MAE) Signature, along with Log-Signature, as alternatives to existing methods such as Frechet Inception Distance (FID) and Multi-Scale Structural Similarity Index Measure (MS-SSIM). Our approach offers advantages in terms of efficiency and effectiveness, providing a comprehensive understanding and extensive evaluations of GAN convergence and goodness of fit. Furthermore, we present innovative analytical measures based on statistics by means of Kruskal-Wallis to evaluate the goodness of fit of GAN sample distributions. Unlike existing GAN measures, which are based on deep neural networks and require extensive GPU computations, our approach significantly reduces computation time and is performed on the CPU while maintaining the same level of accuracy. Our results demonstrate the effectiveness of the proposed method in capturing the intrinsic structure of the generated samples, providing meaningful insights into GAN performance. Lastly, we evaluate our approach qualitatively using Principal Component Analysis (PCA) and adaptive t-Distributed Stochastic Neighbor Embedding (t-SNE) for data visualization, illustrating the plausibility of our method.</t>
  </si>
  <si>
    <t>[de Curto, J.; de Zarza, I.] Ctr Intelligent Multidimens Data Anal, Shatin, HK Sci Pk, Hong Kong, Peoples R China; [de Curto, J.; de Zarza, I.; Calafate, Carlos T.] Univ Politecn Valencia, Dept Informat Sistemas &amp; Comp, Valencia 46022, Spain; [de Curto, J.; de Zarza, I.; Roig, Gemma] GOETHE Univ Frankfurt Main, Informat &amp; Math, D-60323 Frankfurt, Germany; [de Curto, J.; de Zarza, I.] Univ Oberta Catalunya, Estudis Informat Multimedia &amp; Telecomunicac, Barcelona 08018, Spain; [Roig, Gemma] HESSIAN Ctr AI Hessian AI, D-64293 Darmstadt, Germany</t>
  </si>
  <si>
    <t>Universitat Politecnica de Valencia; Goethe University Frankfurt; UOC Universitat Oberta de Catalunya</t>
  </si>
  <si>
    <t>de Curtò, J (corresponding author), Ctr Intelligent Multidimens Data Anal, Shatin, HK Sci Pk, Hong Kong, Peoples R China.;de Curtò, J (corresponding author), Univ Politecn Valencia, Dept Informat Sistemas &amp; Comp, Valencia 46022, Spain.;de Curtò, J (corresponding author), GOETHE Univ Frankfurt Main, Informat &amp; Math, D-60323 Frankfurt, Germany.;de Curtò, J (corresponding author), Univ Oberta Catalunya, Estudis Informat Multimedia &amp; Telecomunicac, Barcelona 08018, Spain.</t>
  </si>
  <si>
    <t>decurto@em.uni-frankfurt.de; dezarza@em.uni-frankfurt.de; roig@cs.uni-frankfurt.de; calafate@disca.upv.es</t>
  </si>
  <si>
    <t>de Curto y Diaz, J./0000-0002-8334-4719; de Zarza i Cubero, I./0000-0002-5844-7871; Roig, Gemma/0000-0002-6439-8076</t>
  </si>
  <si>
    <t>HK Innovation and Technology Commission (InnoHK Project CIMDA); MCIN/AEI [PID2021-122580NB-I00]; ERDF; GOETHE-University Frankfurt am Main; Center for Data Science AI; DePP-Dezentrale Plannung von Platoons im Strassengueterverkehr mit Hilfe einer KI auf Basis einzelner LKW'</t>
  </si>
  <si>
    <t>HK Innovation and Technology Commission (InnoHK Project CIMDA); MCIN/AEI; ERDF(European Union (EU)); GOETHE-University Frankfurt am Main; Center for Data Science AI; DePP-Dezentrale Plannung von Platoons im Strassengueterverkehr mit Hilfe einer KI auf Basis einzelner LKW'</t>
  </si>
  <si>
    <t>This work was supported by the HK Innovation and Technology Commission (InnoHK Project CIMDA). We acknowledge the support of R &amp; D project PID2021-122580NB-I00, funded by MCIN/AEI/10.13039/501100011033 and ERDF. We thank the following funding sources from GOETHE-University Frankfurt am Main; DePP-Dezentrale Plannung von Platoons im Strassengueterverkehr mit Hilfe einer KI auf Basis einzelner LKW' and Center for Data Science &amp; AI'.</t>
  </si>
  <si>
    <t>MAY 11</t>
  </si>
  <si>
    <t>10.3390/electronics12102192</t>
  </si>
  <si>
    <t>H8DI1</t>
  </si>
  <si>
    <t>WOS:000998198900001</t>
  </si>
  <si>
    <t>Tan, RD; Patade, O; Wang, HX; Yang, C; Lee, D</t>
  </si>
  <si>
    <t>Tan, Roe Djer; Patade, Omkar; Wang, Huaxia; Yang, Chulho; Lee, Dongchan</t>
  </si>
  <si>
    <t>Optimizing Spatial Sensing Performance with Kriging and SRGAN - A Feasibility Study</t>
  </si>
  <si>
    <t>2023 IEEE SENSORS</t>
  </si>
  <si>
    <t>IEEE Sensors</t>
  </si>
  <si>
    <t>IEEE Sensors Conference</t>
  </si>
  <si>
    <t>Vienna, AUSTRIA</t>
  </si>
  <si>
    <t>IEEE,IEEE Sensor Council,ST,Force Technol,IEEE MEMS Tech Community,TDK,IEEE Stand Assoc</t>
  </si>
  <si>
    <t>Kriging; Super Resolution Generative Adversarial Networks; Force Sensitive Resistor; Sensor Matrix; Deep Learning; Autonomous Vehicles</t>
  </si>
  <si>
    <t>Several studies have aimed at improving sensor performance through deep learning. In this paper, we explore the feasibility of using advanced machine learning techniques, specifically Kriging and Super Resolution Generative Adversarial Networks, to enhance the performance and accuracy of simulated force sensitive resistor matrices with a low number of sensors. Kriging is a geostatistical method that uses spatial correlations to interpolate or predict values at unsampled locations, while Super Resolution Generative Adversarial Networks are a type of generative adversarial network that can generate high-resolution images from low-resolution inputs. Our results suggest that machine learning techniques can provide a powerful tool for enhancing the accuracy performance of force sensing technologies, with potential applications in a wide range of fields, especially in autonomous vehicles.</t>
  </si>
  <si>
    <t>[Tan, Roe Djer; Patade, Omkar; Lee, Dongchan] Oklahoma State Univ, Watson Grad Sch Management, Stillwater, OK 74078 USA; [Wang, Huaxia; Yang, Chulho] Oklahoma State Univ, Div Engn Technol, Stillwater, OK 74078 USA; Inst Adv Engn IAE, AI&amp;Mech Syst Ctr, Yongin, South Korea</t>
  </si>
  <si>
    <t>Oklahoma State University System; Oklahoma State University - Stillwater; Oklahoma State University System; Oklahoma State University - Stillwater</t>
  </si>
  <si>
    <t>Tan, RD (corresponding author), Oklahoma State Univ, Watson Grad Sch Management, Stillwater, OK 74078 USA.</t>
  </si>
  <si>
    <t>roetan@okstate.edu</t>
  </si>
  <si>
    <t>Technology Innovation Program - Korea Ministry of Trade, Industry Energy (MOTIE) [20025750]</t>
  </si>
  <si>
    <t>Technology Innovation Program - Korea Ministry of Trade, Industry Energy (MOTIE)</t>
  </si>
  <si>
    <t>This work has been supported by the Technology Innovation Program funded by the Korea Ministry of Trade, Industry &amp; Energy (MOTIE) (Alchemist Project-20025750).</t>
  </si>
  <si>
    <t>1930-0395</t>
  </si>
  <si>
    <t>979-8-3503-0387-2</t>
  </si>
  <si>
    <t>IEEE SENSOR</t>
  </si>
  <si>
    <t>10.1109/SENSORS56945.2023.10325319</t>
  </si>
  <si>
    <t>Engineering, Biomedical; Instruments &amp; Instrumentation; Materials Science, Biomaterials</t>
  </si>
  <si>
    <t>Engineering; Instruments &amp; Instrumentation; Materials Science</t>
  </si>
  <si>
    <t>BW2HN</t>
  </si>
  <si>
    <t>WOS:001116741300467</t>
  </si>
  <si>
    <t>Rodrigues, OS; Rodrigues, KS</t>
  </si>
  <si>
    <t>Rodrigues, Olira Saraiva; Rodrigues, Karoline Santos</t>
  </si>
  <si>
    <t>Artificial intelligence in education: the challenges of ChatGPT</t>
  </si>
  <si>
    <t>TEXTO LIVRE-LINGUAGEM E TECNOLOGIA</t>
  </si>
  <si>
    <t>Artificial intelligence; Chatbots; Increased intelligence; Philosophy of technology; ChatGPT</t>
  </si>
  <si>
    <t>To discuss the impacts of the diffusion of access to language model platforms in education, this study points to methodological and substantive issues around generative Artificial Intelligence (AI) for the field of digital humanities, which has concerned educators, mainly in Higher Education, in situations such as plagiarism, critical development and creativity in contemporary textuality. Thus, the study aims to reflect, based on Andrew Feenberg's Critical Theory of Technology, how AI can be enhanced in the face of the common aversive embarrassment that requires changes. Methodologically, the research is of a qualitative, exploratory nature and the study takes advantage of a bibliographical research, whose inherent contributions to the conception of AI are based on the productions of Kaufman (2022) and Santaella (2021, 2023), which serve as a premise for to relate AI problematizations with Feenberg (2003, 2004) Critical Theory of Technology. Data point to two aspects: the first that places generative AI as an event to be inhibited by educational institutions, due to the lack of ethical regulations, and the other that guides to enhance the use of these products with a critical purpose, in the perspective of increased intelligence. In short, the study points out that generative AI is a field that lacks regulations, but that can be conducted collectively, mainly within Higher Education Institutions, which have the potential to discuss these issues critically and with the possibility of social action effect, to consider technology a way of life.</t>
  </si>
  <si>
    <t>[Rodrigues, Olira Saraiva; Rodrigues, Karoline Santos] Univ Estadual Goias, Programa Posgrad Interdisciplinar Educ Linguagem &amp;, Anapolis, GO, Brazil</t>
  </si>
  <si>
    <t>Universidade Estadual de Goias</t>
  </si>
  <si>
    <t>Rodrigues, OS (corresponding author), Univ Estadual Goias, Programa Posgrad Interdisciplinar Educ Linguagem &amp;, Anapolis, GO, Brazil.</t>
  </si>
  <si>
    <t>ksr.karol@gmail.com; olira.rodrigues@ueg.br</t>
  </si>
  <si>
    <t>SARAIVA RODRIGUES, OLIRA/0000-0003-2371-3030</t>
  </si>
  <si>
    <t>UNIV FED MINAS GERAIS, FAC LETRAS</t>
  </si>
  <si>
    <t>BELO HORIZONTE MS</t>
  </si>
  <si>
    <t>AV ANTONIO CARLOS, 6627 4 ANDAR-4036, BELO HORIZONTE MS, 31270-901, BRAZIL</t>
  </si>
  <si>
    <t>1983-3652</t>
  </si>
  <si>
    <t>TEXTO LIVRE</t>
  </si>
  <si>
    <t>Texto Livre</t>
  </si>
  <si>
    <t>e45997</t>
  </si>
  <si>
    <t>10.1590/1983-3652.2023.45997</t>
  </si>
  <si>
    <t>Language &amp; Linguistics</t>
  </si>
  <si>
    <t>R3GD1</t>
  </si>
  <si>
    <t>WOS:001063259100001</t>
  </si>
  <si>
    <t>Nov, O; Singh, N; Mann, D</t>
  </si>
  <si>
    <t>Nov, Oded; Singh, Nina; Mann, Devin</t>
  </si>
  <si>
    <t>Putting ChatGPT's Medical Advice to the (Turing) Test: Survey Study</t>
  </si>
  <si>
    <t>artificial intelligence; AI; ChatGPT; Chat Generative Pre-trained Transformer; large language model; patient-provider interaction; chatbot; feasibility; ethics; privacy; language model; machine learning</t>
  </si>
  <si>
    <t>PATIENT; IMPACT</t>
  </si>
  <si>
    <t>Background: Chatbots are being piloted to draft responses to patient questions, but patients' ability to distinguish between provider and chatbot responses and patients' trust in chatbots' functions are not well established. Objective: This study aimed to assess the feasibility of using ChatGPT (Chat Generative Pre-trained Transformer) or a similar artificial intelligence-based chatbot for patient-provider communication. Methods: A survey study was conducted in January 2023. Ten representative, nonadministrative patient-provider interactions were extracted from the electronic health record. Patients' questions were entered into ChatGPT with a request for the chatbot to respond using approximately the same word count as the human provider's response. In the survey, each patient question was followed by a provider- or ChatGPT-generated response. Participants were informed that 5 responses were provider generated and 5 were chatbot generated. Participants were asked-and incentivized financially-to correctly identify the response source. Participants were also asked about their trust in chatbots' functions in patient-provider communication, using a Likert scale from 1-5. Results: A US-representative sample of 430 study participants aged 18 and older were recruited on Prolific, a crowdsourcing platform for academic studies. In all, 426 participants filled out the full survey. After removing participants who spent less than 3 minutes on the survey, 392 respondents remained. Overall, 53.3% (209/392) of respondents analyzed were women, and the average age was 47.1 (range 18-91) years. The correct classification of responses ranged between 49% (192/392) to 85.7% (336/392) for different questions. On average, chatbot responses were identified correctly in 65.5% (1284/1960) of the cases, and human provider responses were identified correctly in 65.1% (1276/1960) of the cases. On average, responses toward patients' trust in chatbots' functions were weakly positive (mean Likert score 3.4 out of 5), with lower trust as the health-related complexity of the task in the questions increased. Conclusions: ChatGPT responses to patient questions were weakly distinguishable from provider responses. Laypeople appear to trust the use of chatbots to answer lower-risk health questions. It is important to continue studying patient-chatbot interaction as chatbots move from administrative to more clinical roles in health care.</t>
  </si>
  <si>
    <t>[Nov, Oded] NYU, Tandon Sch Engn, Dept Technol Management, New York, NY USA; [Singh, Nina; Mann, Devin] NYU, Grossman Sch Med, Dept Populat Hlth, New York, NY USA; [Mann, Devin] NYU, Med Ctr Informat Technol, Langone Hlth, New York, NY USA; [Nov, Oded] NYU, Tandon Sch Engn, Dept Technol Management, 5 Metrotech, New York, NY 11201 USA</t>
  </si>
  <si>
    <t>New York University; New York University Tandon School of Engineering; New York University; New York University; New York University; New York University Tandon School of Engineering</t>
  </si>
  <si>
    <t>Nov, O (corresponding author), NYU, Tandon Sch Engn, Dept Technol Management, 5 Metrotech, New York, NY 11201 USA.</t>
  </si>
  <si>
    <t>onov@nyu.edu</t>
  </si>
  <si>
    <t>Mann, Devin/0000-0002-2099-0852; Singh, Nina/0000-0002-4623-2451</t>
  </si>
  <si>
    <t>US National Science Foundation [1928614, 2129076]</t>
  </si>
  <si>
    <t>US National Science Foundation(National Science Foundation (NSF))</t>
  </si>
  <si>
    <t>Acknowledgments The authors receive financial support from the US National Science Foundation (awards 1928614 and 2129076) for the submitted work. The funding source had no further role in this study. We used the generative artificial intelligence tool ChatGPT (Chat Generative Pre-trained Transformer) by OpenAI [1] to draft the chatbot responses for the research survey.</t>
  </si>
  <si>
    <t>e46939</t>
  </si>
  <si>
    <t>10.2196/46939</t>
  </si>
  <si>
    <t>M9JT4</t>
  </si>
  <si>
    <t>WOS:001033309800002</t>
  </si>
  <si>
    <t>Hirosawa, T; Mizuta, K; Harada, Y; Shimizu, T</t>
  </si>
  <si>
    <t>Hirosawa, Takanobu; Mizuta, Kazuya; Harada, Yukinori; Shimizu, Taro</t>
  </si>
  <si>
    <t>Comparative Evaluation of Diagnostic Accuracy Between Google Bard and Physicians</t>
  </si>
  <si>
    <t>AMERICAN JOURNAL OF MEDICINE</t>
  </si>
  <si>
    <t>Clinical decision supporting system; Diagnosis; Diagnostic excellence; Generative artificial intelligence; Large language model; Natural language processing</t>
  </si>
  <si>
    <t>BACKGROUND: In this study, we evaluated the diagnostic accuracy of Google Bard, a generative artificial intelligence (AI) platform. METHODS: We searched published case reports from our department for difficult or uncommon case descriptions and mock cases created by physicians for common case descriptions. We entered the case descriptions into the prompt of Google Bard to generate the top 10 differential-diagnosis lists. As in previous studies, other physicians created differential-diagnosis lists by reading the same clinical descriptions.RESULTS: A total of 82 clinical descriptions (52 case reports and 30 mock cases) were used. The accuracy rates of physicians were still higher than Google Bard in the top 10 (56.1% vs 82.9%, P &lt; .001), the top 5 (53.7% vs 78.0%, P = .002), and the top differential diagnosis (40.2% vs 64.6%, P = .003). Even within the specific context of case reports, physicians consistently outperformed Google Bard. When it came to mock cases, the performances of the differential-diagnosis lists by Google Bard were no different from those of the physicians in the top 10 (80.0% vs 96.6%, P = .11) and the top 5 (76.7% vs 96.6%, P = .06), except for those in the top diagnoses (60.0% vs 90.0%, P = .02).CONCLUSION: While physicians excelled overall, and particularly with case reports, Google Bard dis -played comparable diagnostic performance in common cases. This suggested that Google Bard possesses room for further improvement and refinement in its diagnostic capabilities. Generative AIs, including Google Bard, are anticipated to become increasingly beneficial in augmenting diagnostic accuracy.</t>
  </si>
  <si>
    <t>[Hirosawa, Takanobu; Mizuta, Kazuya; Harada, Yukinori; Shimizu, Taro] Dokkyo Med Univ, Dept Diagnost &amp; Generalist Med, Mibu, Tochigi, Japan; [Hirosawa, Takanobu] Dokkyo Med Univ, Dept Diagnost &amp; Generalist Med, 880 Kitakobayashi, Mibu, Tochigi 3210293, Japan</t>
  </si>
  <si>
    <t>Dokkyo Medical University; Dokkyo Medical University</t>
  </si>
  <si>
    <t>Hirosawa, T (corresponding author), Dokkyo Med Univ, Dept Diagnost &amp; Generalist Med, 880 Kitakobayashi, Mibu, Tochigi 3210293, Japan.</t>
  </si>
  <si>
    <t>0002-9343</t>
  </si>
  <si>
    <t>1555-7162</t>
  </si>
  <si>
    <t>AM J MED</t>
  </si>
  <si>
    <t>Am. J. Med.</t>
  </si>
  <si>
    <t>10.1016/j.amjmed.2023.08.003</t>
  </si>
  <si>
    <t>W9YU2</t>
  </si>
  <si>
    <t>WOS:001095121700001</t>
  </si>
  <si>
    <t>Cowling, M; Crawford, J; Allen, KA; Wehmeyer, M</t>
  </si>
  <si>
    <t>Cowling, Michael; Crawford, Joseph; Allen, Kelly -Ann; Wehmeyer, Michael</t>
  </si>
  <si>
    <t>Using leadership to leverage ChatGPT and artificial intelligence for undergraduate and postgraduate research supervision</t>
  </si>
  <si>
    <t>higher education; generative AI; ChatGPT-3; large language model; research; student; doctoral student; research supervision</t>
  </si>
  <si>
    <t>HIGHER-EDUCATION</t>
  </si>
  <si>
    <t>ChatGPT and other artificial intelligence (AI) and large language models (LLMs) have hit higher education by storm. Much of the research focuses on how this - and similar - tools can be leveraged for effective education of undergraduate coursework students. In this study, we explore the emerging benefits and limitations of ChatGPT and LLMs in the context of undergraduate and postgraduate research supervision. What we found was that psychological need fulfilment, research student autonomy and relatedness were key outcomes that could be cultivated at the student level. At a unit or subject level, the opportunity for formative feedback was seen as a strength. We also discuss some key limitations to the tool, including how limited its ability to deconstruct social injustice and generate content appropriate to context. We used an example of leadership research to highlight that it may preference good outcomes and likewise present information related to current and normative practices rather than desired future practices. We conclude by considering the broad implications of this work on research supervision relationships.</t>
  </si>
  <si>
    <t>[Cowling, Michael] CQUniv, Rockhampton, Australia; [Crawford, Joseph] Univ Tasmania, Hobart, Tas, Australia; [Allen, Kelly -Ann] Monash Univ, Monash, Australia; [Wehmeyer, Michael] Univ Kansas, Kansas City, MO USA</t>
  </si>
  <si>
    <t>Central Queensland University; University of Tasmania; Monash University; University of Kansas</t>
  </si>
  <si>
    <t>Joseph.crawford@utas.edu.au</t>
  </si>
  <si>
    <t>; Allen, Kelly-Ann/L-4989-2018</t>
  </si>
  <si>
    <t>Crawford, Joseph/0000-0002-2191-6216; Allen, Kelly-Ann/0000-0002-6813-0034</t>
  </si>
  <si>
    <t>10.14742/ajet.8598</t>
  </si>
  <si>
    <t>WOS:001115427000006</t>
  </si>
  <si>
    <t>Dang, H; Goller, S; Lehmann, F; Buschek, D</t>
  </si>
  <si>
    <t>Dang, Hai; Goller, Sven; Lehmann, Florian; Buschek, Daniel</t>
  </si>
  <si>
    <t>Choice Over Control: How Users Write with Large Language Models using Diegetic and Non-Diegetic Prompting</t>
  </si>
  <si>
    <t>Large language models; Co-creative systems; Human-AI collaboration; User-centric natural language generation</t>
  </si>
  <si>
    <t>We propose a conceptual perspective on prompts for Large Language Models (LLMs) that distinguishes between (1) diegetic prompts (part of the narrative, e.g. Once upon a time, I saw a fox...), and (2) non-diegetic prompts (external, e.g. Write about the adventures of the fox.). With this lens, we study how 129 crowd workers on Prolific write short texts with different user interfaces (1 vs 3 suggestions, with/out non-diegetic prompts; implemented with GPT-3): When the interface offered multiple suggestions and provided an option for non-diegetic prompting, participants preferred choosing from multiple suggestions over controlling them via non-diegetic prompts. When participants provided non-diegetic prompts it was to ask for inspiration, topics or facts. Single suggestions in particular were guided both with diegetic and non-diegetic information. This work informs human-AI interaction with generative models by revealing that (1) writing non-diegetic prompts requires effort, (2) people combine diegetic and non-diegetic prompting, and (3) they use their draft (i.e. diegetic information) and suggestion timing to strategically guide LLMs.</t>
  </si>
  <si>
    <t>[Dang, Hai; Goller, Sven; Lehmann, Florian; Buschek, Daniel] Univ Bayreuth, Bayreuth, Bavaria, Germany</t>
  </si>
  <si>
    <t>University of Bayreuth</t>
  </si>
  <si>
    <t>Dang, H (corresponding author), Univ Bayreuth, Bayreuth, Bavaria, Germany.</t>
  </si>
  <si>
    <t>hai.dang@uni-hayreuth.de; sven.goller@uni-bayreuth.de; florianiehmanti@uni-bayreuth.de; daniel.buschek@uni-bayreuth.de</t>
  </si>
  <si>
    <t>Dang, Hai/0000-0003-3617-5657; Goller, Sven/0000-0001-5263-5372</t>
  </si>
  <si>
    <t>Bavarian State Ministry of Science and the Arts</t>
  </si>
  <si>
    <t>We thank Lukas Mecke for feedback on the manuscript. This project is funded by the Bavarian State Ministry of Science and the Arts and coordinated by the Bavarian Research Institute for Digital Transformation (bidt).</t>
  </si>
  <si>
    <t>10.1145/3544548.3580969</t>
  </si>
  <si>
    <t>WOS:001037809505006</t>
  </si>
  <si>
    <t>Goshtasbpour, S; Perez-Cruz, F</t>
  </si>
  <si>
    <t>Goshtasbpour, Shirin; Perez-Cruz, Fernando</t>
  </si>
  <si>
    <t>Optimization of Annealed Importance Sampling Hyperparameters</t>
  </si>
  <si>
    <t>MACHINE LEARNING AND KNOWLEDGE DISCOVERY IN DATABASES, ECML PKDD 2022, PT V</t>
  </si>
  <si>
    <t>Annealed importance sampling; Partition function estimation; Generative models</t>
  </si>
  <si>
    <t>INFERENCE</t>
  </si>
  <si>
    <t>Annealed Importance Sampling (AIS) is a popular algorithm used to estimates the intractable marginal likelihood of deep generative models. Although AIS is guaranteed to provide unbiased estimate for any set of hyperparameters, the common implementations rely on simple heuristics such as the geometric average bridging distributions between initial and the target distribution which affect the estimation performance when the computation budget is limited. In order to reduce the number of sampling iterations, we present a parameteric AIS process with flexible intermediary distributions defined by a residual density with respect to the geometric mean path. Our method allows parameter sharing between annealing distributions, the use of fix linear schedule for discretization and amortization of hyperparameter selection in latent variable models. We assess the performance of Optimized-Path AIS for marginal likelihood estimation of deep generative models and compare it to compare it to more computationally intensive AIS.</t>
  </si>
  <si>
    <t>[Goshtasbpour, Shirin; Perez-Cruz, Fernando] Swiss Fed Inst Technol, Dept Comp Sci, Ramistr 101, CH-8092 Zurich, Switzerland; [Goshtasbpour, Shirin; Perez-Cruz, Fernando] Swiss Data Sci Ctr, Turnerstr 1, CH-8092 Zurich, Switzerland</t>
  </si>
  <si>
    <t>Goshtasbpour, S (corresponding author), Swiss Fed Inst Technol, Dept Comp Sci, Ramistr 101, CH-8092 Zurich, Switzerland.;Goshtasbpour, S (corresponding author), Swiss Data Sci Ctr, Turnerstr 1, CH-8092 Zurich, Switzerland.</t>
  </si>
  <si>
    <t>shirin.goshtasbpour@inf.ethz.ch</t>
  </si>
  <si>
    <t>European Union [813999]</t>
  </si>
  <si>
    <t>This work is supported by funding from the European Union's Horizon 2020 research and innovation program under the Marie Sklodowska-Curie grant agreement No 813999 for this project.</t>
  </si>
  <si>
    <t>978-3-031-26418-4; 978-3-031-26419-1</t>
  </si>
  <si>
    <t>10.1007/978-3-031-26419-1_11</t>
  </si>
  <si>
    <t>BV1UK</t>
  </si>
  <si>
    <t>hybrid, Green Submitted, Green Published</t>
  </si>
  <si>
    <t>WOS:000999148200011</t>
  </si>
  <si>
    <t>Grewal, H; Dhillon, G; Monga, V; Sharma, P; Buddhavarapu, VS; Sidhu, G; Kashyap, R</t>
  </si>
  <si>
    <t>Grewal, Harpreet; Dhillon, Gagandeep; Monga, Varun; Sharma, Pranjal; Buddhavarapu, Venkata S.; Sidhu, Gurmanpreet; Kashyap, Rahul</t>
  </si>
  <si>
    <t>Radiology Gets Chatty: The ChatGPT Saga Unfolds</t>
  </si>
  <si>
    <t>openai; ai chatbot; language learning model; general radiology; chat gpt; artificial intelligence in radiology</t>
  </si>
  <si>
    <t>GPT-4</t>
  </si>
  <si>
    <t>As artificial intelligence (AI) continues to evolve and mature, it is increasingly finding applications in the field of healthcare, particularly in specialties like radiology that are data-heavy and image-focused. Language learning models (LLMs) such as OpenAI's Generative Pre-trained Transformer-4 (GPT-4) are new in the field of medicine and there is a paucity of literature regarding the possible utilities of GPT-4 given its novelty. We aim to present an in-depth exploration of the role of GPT-4, an advanced language model, in radiology. Giving the GPT-4 model prompts for generating reports, template generation, enhancing clinical decision-making, and suggesting captivating titles for research articles, patient communication, and education, can occasionally be quite generic, and at times, it may present factually incorrect content, which could lead to errors. The responses were then analyzed in detail regarding their potential utility in day-to-day radiologist workflow, patient education, and research processes. Further research is required to evaluate LLMs' accuracy and safety in clinical practice and to develop comprehensive guidelines for their implementation.</t>
  </si>
  <si>
    <t>[Grewal, Harpreet] Florida State Univ, Radiol, Coll Med, Pensacola, FL 32514 USA; [Dhillon, Gagandeep] Baltimore Washington Med Ctr, Internal Med, Glen Burnie, MD USA; [Monga, Varun] Banner Hlth, Psychiat, Phoenix, AZ USA; [Sharma, Pranjal] Northeast Ohio Med Univ, Nephrol, Rootstown, OH USA; [Buddhavarapu, Venkata S.] Banner Hlth, Hosp Med, Phoenix, AZ USA; [Sidhu, Gurmanpreet] Govt Med Coll, Pathol, Patiala, India; [Kashyap, Rahul] Drexel Univ, Med, Coll Med, Philadelphia, PA USA; [Kashyap, Rahul] Harvard Med Sch, Global Clin Scholars Res Training, Boston, MA USA; [Kashyap, Rahul] Global Remote Res Scholars Program, Res, St Paul, MN USA; [Kashyap, Rahul] Mayo Clin, Crit Care Med, Rochester, MN USA</t>
  </si>
  <si>
    <t>State University System of Florida; Florida State University; Banner Research; Banner Health; University System of Ohio; Northeast Ohio Medical University (NEOMED); Banner Research; Banner Health; Drexel University; Harvard University; Harvard Medical School; Mayo Clinic</t>
  </si>
  <si>
    <t>Grewal, H (corresponding author), Florida State Univ, Radiol, Coll Med, Pensacola, FL 32514 USA.</t>
  </si>
  <si>
    <t>harpreetsinghgrewal@gmail.com</t>
  </si>
  <si>
    <t>Kashyap, Rahul/AEM-3686-2022</t>
  </si>
  <si>
    <t>Kashyap, Rahul/0000-0002-4383-3411; Monga, Varun/0000-0002-2994-0085; Dhillon, Gagandeep/0000-0002-4780-0537</t>
  </si>
  <si>
    <t>JUN 8</t>
  </si>
  <si>
    <t>E40135</t>
  </si>
  <si>
    <t>10.7759/cureus.40135</t>
  </si>
  <si>
    <t>L3AK8</t>
  </si>
  <si>
    <t>WOS:001022016800005</t>
  </si>
  <si>
    <t>Bao, H; Zhou, X; Xie, YQ; Li, YH; Jia, XW</t>
  </si>
  <si>
    <t>Bao, Han; Zhou, Xun; Xie, Yiqun; Li, Yanhua; Jia, Xiaowei</t>
  </si>
  <si>
    <t>STORM-GAN plus : spatio-temporal meta-GAN for cross-city estimation of heterogeneous human mobility responses to COVID-19</t>
  </si>
  <si>
    <t>KNOWLEDGE AND INFORMATION SYSTEMS</t>
  </si>
  <si>
    <t>Meta-learning; Generative adversarial networks; Spatio-temporal; Graph embedding; COVID-19</t>
  </si>
  <si>
    <t>Estimating human mobility is essential during the COVID-19 pandemic because it provides policymakers with important information for non-pharmaceutical actions. Deep learning methods perform better on tasks with enough training data than traditional estimating techniques. However, estimating human mobility during the rapidly developing pandemic is challenging because of data non-stationarity, a lack of observations, and complicated social situations. Prior studies on estimating mobility either concentrate on a single city or cannot represent the spatio-temporal relationships across cities and time periods. To address these issues, we solve the cross-city human mobility estimation problem using a deep meta-generative framework. Recently, we proposed the Spatio-Temporal Meta-Generative Adversarial Network (STORM-GAN) model, which estimates dynamic human mobility responses under social and policy conditions relevant to COVID-19 and is facilitated by a novel spatio-temporal task-based graph (STTG) embedding. Although STORM-GAN achieves a good average estimation accuracy, it creates higher errors and exhibits over-fitting in particular cities due to spatial heterogeneity. To address these issues, in this paper, we extend our prior work by introducing an improved spatio-temporal deep generative model, namely STORM-GAN+. STORM-GAN+ deals with the difficulties by including a distance-based weighted training technique into the STTG embedding component to better represent the variety of knowledge transfer across cities. Furthermore, to mitigate the issue of overfitting, we modify the meta-learning training objective to teach estimated mobility. Finally, we propose a conditional meta-learning algorithm that explicitly tailors transferable knowledge to various task clusters. We perform comprehensive evaluations, and STORM-GAN+ approximates real-world human mobility responses more accurately than previous methods, including STORM-GAN.</t>
  </si>
  <si>
    <t>[Bao, Han; Zhou, Xun] Univ Iowa, Iowa City, IA 52242 USA; [Xie, Yiqun] Univ Maryland, College Pk, MD USA; [Li, Yanhua] Worcester Polytech Inst, Worcester, MA USA; [Jia, Xiaowei] Univ Pittsburgh, Pittsburgh, PA USA</t>
  </si>
  <si>
    <t>University of Iowa; University System of Maryland; University of Maryland College Park; Worcester Polytechnic Institute; Pennsylvania Commonwealth System of Higher Education (PCSHE); University of Pittsburgh</t>
  </si>
  <si>
    <t>Zhou, X (corresponding author), Univ Iowa, Iowa City, IA 52242 USA.</t>
  </si>
  <si>
    <t>han-bao@uiowa.edu; xun-zhou@uiowa.edu; xie@umd.edu; yli15@wpi.edu; xiaowei@pitt.edu</t>
  </si>
  <si>
    <t>SAFER-SIM - U.S. Department of Transportation's University Transportation Centers Program; U.S. Department of Transportation's University Transportation Centers Program [2105133]; NSF [2126474, 2147195, IIS-1942680, CNS-1952085, CMMI-1831140, DGE-2021871, G21AC10207]; Google's AI for Social Good Impact Scholars program; DRI award at the University of Maryland; USGS; Pitt Momentum Funds award; CRC at the University of Pittsburgh; [69A3551747131]</t>
  </si>
  <si>
    <t>SAFER-SIM - U.S. Department of Transportation's University Transportation Centers Program; U.S. Department of Transportation's University Transportation Centers Program; NSF(National Science Foundation (NSF)); Google's AI for Social Good Impact Scholars program; DRI award at the University of Maryland; USGS(United States Geological Survey); Pitt Momentum Funds award; CRC at the University of Pittsburgh;</t>
  </si>
  <si>
    <t>This paper is funded in part by Safety Research using Simulation University Transportation Center (SAFER-SIM). SAFER-SIM is funded by a grant from the U.S. Department of Transportation's University Transportation Centers Program (69A3551747131). However, the U.S. Government assumes no liability for the contents or use thereof. Yiqun Xie is supported in part by NSF Grants 2105133, 2126474, 2147195, Google's AI for Social Good Impact Scholars program, and the DRI award at the University of Maryland; and Xiaowei Jia is supported in part by NSF award 2147195, USGS award G21AC10207, Pitt Momentum Funds award, and CRC at the University of Pittsburgh. Yanhua Li was supported in part by NSF Grants IIS-1942680 (CAREER), CNS-1952085, CMMI-1831140, and DGE-2021871.</t>
  </si>
  <si>
    <t>0219-1377</t>
  </si>
  <si>
    <t>0219-3116</t>
  </si>
  <si>
    <t>KNOWL INF SYST</t>
  </si>
  <si>
    <t>Knowl. Inf. Syst.</t>
  </si>
  <si>
    <t>10.1007/s10115-023-01921-7</t>
  </si>
  <si>
    <t>R5YN4</t>
  </si>
  <si>
    <t>WOS:001031314100001</t>
  </si>
  <si>
    <t>Sarangi, PK; Narayan, RK; Mohakud, S; Vats, A; Sahani, D; Mondal, H</t>
  </si>
  <si>
    <t>Sarangi, Pradosh Kumar; Narayan, Ravi Kant; Mohakud, Sudipta; Vats, Aditi; Sahani, Debabrata; Mondal, Himel</t>
  </si>
  <si>
    <t>Assessing the Capability of ChatGPT, Google Bard, and Microsoft Bing in Solving Radiology Case Vignettes</t>
  </si>
  <si>
    <t>INDIAN JOURNAL OF RADIOLOGY AND IMAGING</t>
  </si>
  <si>
    <t>artificial intelligence; Bard; Bing; ChatGPT; natural language processing; radiology; FRCR2A; fellowship</t>
  </si>
  <si>
    <t>Background The field of radiology relies on accurate interpretation of medical images for effective diagnosis and patient care. Recent advancements in artificial intelligence (AI) and natural language processing have sparked interest in exploring the potential of AI models in assisting radiologists. However, limited research has been conducted to assess the performance of AI models in radiology case interpretation, particularly in comparison to human experts.Objective This study aimed to evaluate the performance of ChatGPT, Google Bard, and Bing in solving radiology case vignettes (Fellowship of the Royal College of Radiologists 2A [FRCR2A] examination style questions) by comparing their responses to those provided by two radiology residents.Methods A total of 120 multiple-choice questions based on radiology case vignettes were formulated according to the pattern of FRCR2A examination. The questions were presented to ChatGPT, Google Bard, and Bing. Two residents wrote the examination with the same questions in 3 hours. The responses generated by the AI models were collected and compared to the answer keys and explanation of the answers was rated by the two radiologists. A cutoff of 60% was set as the passing score.Results The two residents (63.33 and 57.5%) outperformed the three AI models: Bard (44.17%), Bing (53.33%), and ChatGPT (45%), but only one resident passed the examination. The response patterns among the five respondents were significantly different ( p = 0.0117). In addition, the agreement among the generative AI models was significant (intraclass correlation coefficient [ICC] = 0.628), but there was no agreement between the residents (Kappa = -0.376). The explanation of generative AI models in support of answer was 44.72% accurate.Conclusion Humans exhibited superior accuracy compared to the AI models, showcasing a stronger comprehension of the subject matter. All three AI models included in the study could not achieve the minimum percentage needed to pass an FRCR2A examination. However, generative AI models showed significant agreement in their answers where the residents exhibited low agreement, highlighting a lack of consistency in their responses.</t>
  </si>
  <si>
    <t>[Sarangi, Pradosh Kumar] All India Inst Med Sci, Dept Radiodiag, Deoghar, Jharkhand, India; [Narayan, Ravi Kant] ES Med Coll &amp; Hosp, Dept Anat, Patna, Bihar, India; [Mohakud, Sudipta; Vats, Aditi; Sahani, Debabrata] All India Inst Med Sci, Dept Radiodiag, Bhubaneswar, Odisha, India; [Mondal, Himel] All India Inst Med Sci, Dept Physiol, Deoghar, Jharkhand, India; [Mondal, Himel] All India Inst Med Sci, Dept Physiol, Deoghar 814152, Jharkhand, India</t>
  </si>
  <si>
    <t>All India Institute of Medical Sciences (AIIMS) Bhubaneswar</t>
  </si>
  <si>
    <t>Mondal, H (corresponding author), All India Inst Med Sci, Dept Physiol, Deoghar 814152, Jharkhand, India.</t>
  </si>
  <si>
    <t>himelmkcg@gmail.com</t>
  </si>
  <si>
    <t>Narayan, Ravi Kant/Y-7912-2019; Mondal, Himel/G-5111-2017; Sarangi, Pradosh Kumar/M-2964-2016</t>
  </si>
  <si>
    <t>Narayan, Ravi Kant/0000-0003-2510-6744; Mondal, Himel/0000-0001-6950-5857; Sarangi, Pradosh Kumar/0000-0002-9434-946X</t>
  </si>
  <si>
    <t>THIEME MEDICAL PUBL INC</t>
  </si>
  <si>
    <t>333 SEVENTH AVE, NEW YORK, NY 10001 USA</t>
  </si>
  <si>
    <t>0971-3026</t>
  </si>
  <si>
    <t>1998-3808</t>
  </si>
  <si>
    <t>INDIAN J RADIOL IMAG</t>
  </si>
  <si>
    <t>Indian J. Radiol. Imaging</t>
  </si>
  <si>
    <t>10.1055/s-0043-1777746</t>
  </si>
  <si>
    <t>DT3M4</t>
  </si>
  <si>
    <t>WOS:001134285800001</t>
  </si>
  <si>
    <t>Fecher, B; Hebing, M; Laufer, M; Pohle, J; Sofsky, F</t>
  </si>
  <si>
    <t>Fecher, Benedikt; Hebing, Marcel; Laufer, Melissa; Pohle, Joerg; Sofsky, Fabian</t>
  </si>
  <si>
    <t>Friend or foe? Exploring the implications of large language models on the science system</t>
  </si>
  <si>
    <t>Large language models; Science system; Delphi study; Scholarly communication</t>
  </si>
  <si>
    <t>The advent of ChatGPT by OpenAI has prompted extensive discourse on its potential implications for science and higher education. While the impact on education has been a primary focus, there is limited empirical research on the effects of large language models (LLMs) and LLM-based chatbots on science and scientific practice. To investigate this further, we conducted a Delphi study involving 72 researchers specializing in AI and digitization. The study focused on applications and limitations of LLMs, their effects on the science system, ethical and legal considerations, and the required competencies for their effective use. Our findings highlight the transformative potential of LLMs in science, particularly in administrative, creative, and analytical tasks. However, risks related to bias, misinformation, and quality assurance need to be addressed through proactive regulation and science education. This research contributes to informed discussions on the impact of generative AI in science and helps identify areas for future action.</t>
  </si>
  <si>
    <t>[Fecher, Benedikt; Hebing, Marcel; Laufer, Melissa; Pohle, Joerg; Sofsky, Fabian] Alexander von Humboldt Inst Internet &amp; Soc, Berlin, Germany; [Fecher, Benedikt] Wissensch Dialog, Berlin, Germany; [Hebing, Marcel] DBU Digital Business Univ Appl Sci, Berlin, Germany</t>
  </si>
  <si>
    <t>Fecher, B (corresponding author), Alexander von Humboldt Inst Internet &amp; Soc, Berlin, Germany.;Fecher, B (corresponding author), Wissensch Dialog, Berlin, Germany.</t>
  </si>
  <si>
    <t>fecher@hiig.de; marcel.hebing@hiig.de; melissa.laufer@hiig.de; joerg.pohle@hiig.de; fabian.sofsky@hiig.de</t>
  </si>
  <si>
    <t>Alexander von Humboldt Institute for Internet and Society</t>
  </si>
  <si>
    <t>This study was funded and primarily conducted by the Alexander von Humboldt Institute for Internet and Society</t>
  </si>
  <si>
    <t>2023 OCT 26</t>
  </si>
  <si>
    <t>10.1007/s00146-023-01791-1</t>
  </si>
  <si>
    <t>AL4D5</t>
  </si>
  <si>
    <t>WOS:001118598200001</t>
  </si>
  <si>
    <t>Scherr, R; Halaseh, FF; Spina, A; Andalib, S; Rivera, R</t>
  </si>
  <si>
    <t>Scherr, Riley; Halaseh, Faris F.; Spina, Aidin; Andalib, Saman; Rivera, Ronald</t>
  </si>
  <si>
    <t>ChatGPT Interactive Medical Simulations for Early Clinical Education: Case Study</t>
  </si>
  <si>
    <t>ChatGPT; medical school simulations; preclinical curriculum; artificial intelligence; AI; AI in medical education; medical education; simulation; generative; curriculum; clinical education; simulations</t>
  </si>
  <si>
    <t>Background: The transition to clinical clerkships can be difficult for medical students, as it requires the synthesis and application of preclinical information into diagnostic and therapeutic decisions. ChatGPT-a generative language model with many medical applications due to its creativity, memory, and accuracy-can help students in this transition. Objective: This paper models ChatGPT 3.5's ability to perform interactive clinical simulations and shows this tool's benefit to medical education. Methods: Simulation starting prompts were refined using ChatGPT 3.5 in Google Chrome. Starting prompts were selected based on assessment format, stepwise progression of simulation events and questions, free-response question type, responsiveness to user inputs, postscenario feedback, and medical accuracy of the feedback. The chosen scenarios were advanced cardiac life support and medical intensive care (for sepsis and pneumonia). Results: Two starting prompts were chosen. Prompt 1 was developed through 3 test simulations and used successfully in 2 simulations. Prompt 2 was developed through 10 additional test simulations and used successfully in 1 simulation. Conclusions: ChatGPT is capable of creating simulations for early clinical education. These simulations let students practice novel parts of the clinical curriculum, such as forming independent diagnostic and therapeutic impressions over an entire patient encounter. Furthermore, the simulations can adapt to user inputs in a way that replicates real life more accurately than premade question bank clinical vignettes. Finally, ChatGPT can create potentially unlimited free simulations with specific feedback, which increases access for medical students with lower socioeconomic status and underresourced medical schools. However, no tool is perfect, and ChatGPT is no exception; there are concerns about simulation accuracy and replicability that need to be addressed to further optimize ChatGPT's performance as an educational resource.</t>
  </si>
  <si>
    <t>[Scherr, Riley; Halaseh, Faris F.; Spina, Aidin; Andalib, Saman] Univ Calif Irvine, Irvine Sch Med, Irvine, CA USA; [Rivera, Ronald] Univ Calif Irvine, Irvine Sch Med, Dept Emergency Med, Irvine, CA USA; [Scherr, Riley] Univ Calif Irvine, Irvine Sch Med, 1001 Hlth Sci Rd, Irvine, CA 92617 USA</t>
  </si>
  <si>
    <t>University of California System; University of California Irvine; University of California System; University of California Irvine; University of California System; University of California Irvine</t>
  </si>
  <si>
    <t>Scherr, R (corresponding author), Univ Calif Irvine, Irvine Sch Med, 1001 Hlth Sci Rd, Irvine, CA 92617 USA.</t>
  </si>
  <si>
    <t>rscherr@hs.uci.edu</t>
  </si>
  <si>
    <t>Andalib, Saman/0009-0002-3281-8256; Rivera, Ronald/0000-0002-2221-9877</t>
  </si>
  <si>
    <t>e49877</t>
  </si>
  <si>
    <t>10.2196/49877</t>
  </si>
  <si>
    <t>Y3NO7</t>
  </si>
  <si>
    <t>WOS:001104371500001</t>
  </si>
  <si>
    <t>Korneeva, E; Salge, TO; Teubner, T; Antons, D</t>
  </si>
  <si>
    <t>Korneeva, Ekaterina; Salge, Torsten Oliver; Teubner, Timm; Antons, David</t>
  </si>
  <si>
    <t>Tracing the legitimacy of Artificial Intelligence: A longitudinal analysis of media discourse</t>
  </si>
  <si>
    <t>Artificial Intelligence; Legitimacy; Media framing; Automated content analysis; Text mining; Appeals of persuasion</t>
  </si>
  <si>
    <t>CORPORATE SOCIAL-RESPONSIBILITY; NEW-YORK-TIMES; ORGANIZATIONAL LEGITIMACY; PRIVACY CONCERNS; FORMAL-STRUCTURE; PUBLIC-OPINION; STRATEGIES; CONSTRUCTION; TECHNOLOGY; INSTITUTIONS</t>
  </si>
  <si>
    <t>Artificial Intelligence (AI) is one of the most relevant technologies of our time. During the last decade, AI has made major technological breakthroughs most recently in the space of generative AI. This development is enabled by an increase in computing power, a decrease in its price, and the emergence of ubiquitous computing, resulting in vast amounts of storable and processable data. However, the diffusion of AI depends on its legitimacy in society, whereby legitimacy is understood as the congruence between organizational activities and their cultural environment. This study aims at understanding the process whereby AI is being (de)legitimated across key industries and over time. To capture and trace the process of legitimation, we rely on media coverage as a form of societal discourse reflecting the legitimation process of AI. We find that the legitimation process gathers momentum in the mid-2010s and the legitimacy of AI increases over time. Furthermore, we identify four types of legitimacy discourse, which integrate sentiment, specific media frames, and appeals of persuasion. Uncovering the four types of legitimacy discourse, we aim at supporting organizations seeking to understand the legitimacy of specific AI applications and how these legitimacy judgments can shift.</t>
  </si>
  <si>
    <t>[Korneeva, Ekaterina; Salge, Torsten Oliver] Rhein Westfal TH Aachen, Inst Technol &amp; Innovat Management, Templergraben 55, D-52062 Aachen, Germany; [Antons, David] Rhein Westfal TH Aachen, Templergraben 55, D-52062 Aachen, Germany; [Teubner, Timm] TU Berlin, Fac Econ &amp; Management, Trust Digital Serv, Einsteinufer 17, D-10587 Berlin, Germany</t>
  </si>
  <si>
    <t>RWTH Aachen University; RWTH Aachen University; Technical University of Berlin</t>
  </si>
  <si>
    <t>Korneeva, E (corresponding author), Rhein Westfal TH Aachen, Inst Technol &amp; Innovat Management, Templergraben 55, D-52062 Aachen, Germany.</t>
  </si>
  <si>
    <t>korneeva@time.rwth-aachen.de; salge@time.rwth-aachen.de; teubner@tu-berlin.de; antons@time.rwth-aachen.de</t>
  </si>
  <si>
    <t>Korneeva, Ekaterina/0000-0003-1881-9957; Salge, Torsten Oliver/0000-0002-7801-8636</t>
  </si>
  <si>
    <t>state of North Rhine-Westphalia (Germany); [005-2011-0052]</t>
  </si>
  <si>
    <t>state of North Rhine-Westphalia (Germany);</t>
  </si>
  <si>
    <t>Ekaterina Korneeva, David Antons and Torsten Oliver Salge would like to thank the state of North Rhine-Westphalia (Germany) for its financial support within the framework of the lighthouse project on certified AI (ZERTIFIZIERTE KI; grant ID 005-2011-0052) .</t>
  </si>
  <si>
    <t>10.1016/j.techfore.2023.122467</t>
  </si>
  <si>
    <t>Q6IV9</t>
  </si>
  <si>
    <t>WOS:001058549200001</t>
  </si>
  <si>
    <t>Wang, W; Wu, ZW; Zhang, MW; Li, Y</t>
  </si>
  <si>
    <t>Wang, Wei; Wu, Ziwen; Zhang, Mingwei; Li, Yue</t>
  </si>
  <si>
    <t>SDWD: STYLE DIVERSITY WEIGHTED DISTANCE EVALUATES THE INTRA-CLASS DATA DIVERSITY OF DISTRIBUTED GANS</t>
  </si>
  <si>
    <t>2023 IEEE INTERNATIONAL CONFERENCE ON IMAGE PROCESSING, ICIP</t>
  </si>
  <si>
    <t>30th IEEE International Conference on Image Processing (ICIP)</t>
  </si>
  <si>
    <t>OCT 08-11, 2023</t>
  </si>
  <si>
    <t>Kuala Lumpur, MALAYSIA</t>
  </si>
  <si>
    <t>IEEE,Inst Elect &amp; Elect Engineers, Signal Proc Soc</t>
  </si>
  <si>
    <t>distributed GANs; generative adversarial networks; Siamese network</t>
  </si>
  <si>
    <t>Due to the distributed storage of massive data, efficient deployment of Generative Adversarial Networks (GANs) in distributed scenarios has become a hot topic. This paper analyzes the characteristics of existing distributed GANs. Moreover, it discusses the evaluation methods of these models. Through experiments, we found that Frechet Inception Distance (FID) cannot sensitively reflect the diversity of intra-class data, and the evaluation effect of different distributed GANs is greatly affected by different datasets, so we cannot accurately rank the models. To more accurately evaluate the generation capability of distributed GANs, we propose a novel evaluation model, Style Diversity Weighted Distance (SDWD), which introduces a Siamese network to measure data similarity. We conduct experiments on two datasets, and the results prove that SDWD can sensitively reflect the intra-class diversity of data and can reliably evaluate different models and frameworks.</t>
  </si>
  <si>
    <t>[Wang, Wei; Wu, Ziwen; Zhang, Mingwei; Li, Yue] Nankai Univ, Tianjin Key Lab Network &amp; Data Secur Technol, Coll Comp Sci, Trusted AI Lab, Tianjin, Peoples R China</t>
  </si>
  <si>
    <t>Nankai University</t>
  </si>
  <si>
    <t>Li, Y (corresponding author), Nankai Univ, Tianjin Key Lab Network &amp; Data Secur Technol, Coll Comp Sci, Trusted AI Lab, Tianjin, Peoples R China.</t>
  </si>
  <si>
    <t>Beijing Nova Program of Science and Technology [Z191100001119129]; Qian Xuesen Laboratory of Space Technology, CAST [GZ-ZKFJJ2020002]</t>
  </si>
  <si>
    <t>Beijing Nova Program of Science and Technology; Qian Xuesen Laboratory of Space Technology, CAST</t>
  </si>
  <si>
    <t>This work was supported by the Beijing Nova Program of Science and Technology under Grant Z191100001119129, and Qian Xuesen Laboratory of Space Technology, CAST (GZ-ZKFJJ2020002).</t>
  </si>
  <si>
    <t>978-1-7281-9835-4</t>
  </si>
  <si>
    <t>10.1109/ICIP49359.2023.10222285</t>
  </si>
  <si>
    <t>BW1IU</t>
  </si>
  <si>
    <t>WOS:001106821002004</t>
  </si>
  <si>
    <t>Adkins, S; Sarmento, P; Barthet, M</t>
  </si>
  <si>
    <t>Adkins, Sara; Sarmento, Pedro; Barthet, Mathieu</t>
  </si>
  <si>
    <t>LooperGP: A Loopable Sequence Model for Live Coding Performance Using GuitarPro Tablature</t>
  </si>
  <si>
    <t>Controllable Music Generation; Sequence Models; Live Coding; Transformers; AI Music; Loops; Guitar Tabs</t>
  </si>
  <si>
    <t>GENERATIVE MUSIC</t>
  </si>
  <si>
    <t>Despite their impressive offline results, deep learning models for symbolic music generation are not widely used in live performances due to a deficit of musically meaningful control parameters and a lack of structured musical form in their outputs. To address these issues we introduce LooperGP, a method for steering a Transformer-XL model towards generating loopable musical phrases of a specified number of bars and time signature, enabling a tool for live coding performances. We show that by training LooperGP on a dataset of 93,681 musical loops extracted from the DadaGP dataset [22], we are able to steer its generative output towards generating 3x as many loopable phrases as our baseline. In a subjective listening test conducted by 31 participants, LooperGP loops achieved positive median ratings in originality, musical coherence and loop smoothness, demonstrating its potential as a performance tool.</t>
  </si>
  <si>
    <t>[Adkins, Sara; Sarmento, Pedro; Barthet, Mathieu] Queen Mary Univ London, Ctr Digital Music, London, England</t>
  </si>
  <si>
    <t>Adkins, S (corresponding author), Queen Mary Univ London, Ctr Digital Music, London, England.</t>
  </si>
  <si>
    <t>sara.adkins65@gmail.com; p.p.sarmento@qmul.ac.uk; m.barthet@qmul.ac.uk</t>
  </si>
  <si>
    <t>Barthet, Mathieu/0000-0002-9869-1668</t>
  </si>
  <si>
    <t>EPSRC UKRI Centre for Doctoral Training in Artificial Intelligence and Music [EP/S022694/1]</t>
  </si>
  <si>
    <t>EPSRC UKRI Centre for Doctoral Training in Artificial Intelligence and Music(UK Research &amp; Innovation (UKRI)Engineering &amp; Physical Sciences Research Council (EPSRC))</t>
  </si>
  <si>
    <t>This work has been partly supported by the EPSRC UKRI Centre for Doctoral Training in Artificial Intelligence and Music (Grant no. EP/S022694/1).</t>
  </si>
  <si>
    <t>10.1007/978-3-031-29956-8_1</t>
  </si>
  <si>
    <t>WOS:000999872400001</t>
  </si>
  <si>
    <t>Bellegarda, JR</t>
  </si>
  <si>
    <t>Matsumi, H; Hallinan. D; Dimitrova, D; Kosta, E; DeHert, P</t>
  </si>
  <si>
    <t>Bellegarda, Jerome R.</t>
  </si>
  <si>
    <t>Synthetic Data Generation in Service of Privacy-Preserving Deep Learning: Three Practical Case Studies</t>
  </si>
  <si>
    <t>DATA PROTECTION AND PRIVACY, VOL. 15: In Transitional Times</t>
  </si>
  <si>
    <t>Computers Privacy and Data Protection</t>
  </si>
  <si>
    <t>Article; Book Chapter</t>
  </si>
  <si>
    <t>Large-scale deep learning; model robustness; data augmentation; style transfer; generative modelling; training diversity; responsible AI</t>
  </si>
  <si>
    <t>Artificial Intelligence (AI) technologies, fast becoming pervasive across a growing variety of application domains, typically involve deep machine learning (ML) models that must be trained on very large volumes of data. As training corpora scale up to unprecedented sizes, it is increasingly unrealistic to assume that they can be thoroughly curated. This state of affairs raises serious privacy concerns because of the risk of leakage of private, secure or otherwise sensitive information. Training ML models with synthetic data naturally promotes data privacy and protection, by virtue of reducing the amount of real data to collect. But synthetic data generation has additional benefits as well, in terms of both training diversity and model deployment. This chapter illustrates such benefits through the analysis of three practical use cases associated with common day-to-day features affecting millions of users. These three case studies illuminate key messages associated with synthetic data generation, including inherent limitations and possible mitigation measures.</t>
  </si>
  <si>
    <t>[Bellegarda, Jerome R.] Etsy Inc, Brooklyn, NY 11201 USA</t>
  </si>
  <si>
    <t>Bellegarda, JR (corresponding author), Etsy Inc, Brooklyn, NY 11201 USA.</t>
  </si>
  <si>
    <t>HART PUBLISHING LTD</t>
  </si>
  <si>
    <t>KEMP HOUSE, CHAWLEY BUSINESS PARK, CUMNOR HILL, OXFORD, OX2 9PH, ENGLAND</t>
  </si>
  <si>
    <t>978-1-50996-592-2; 978-1-50996-590-8</t>
  </si>
  <si>
    <t>Computers Privacy Da</t>
  </si>
  <si>
    <t>Book Citation Index – Science (BKCI-S)</t>
  </si>
  <si>
    <t>BW1DP</t>
  </si>
  <si>
    <t>WOS:001105787900003</t>
  </si>
  <si>
    <t>Dogoulis, P; Kordopatis-Zilos, G; Kompatsiaris, I; Papadopoulos, S</t>
  </si>
  <si>
    <t>Dogoulis, Pantelis; Kordopatis-Zilos, Giorgos; Kompatsiaris, Ioannis; Papadopoulos, Symeon</t>
  </si>
  <si>
    <t>Improving Synthetically Generated Image Detection in Cross-Concept Settings</t>
  </si>
  <si>
    <t>synthetically generated images; deepfake detection; generalization</t>
  </si>
  <si>
    <t>New advancements for the detection of synthetic images are critical for fighting disinformation, as the capabilities of generative AI models continuously evolve and can lead to hyper-realistic synthetic imagery at unprecedented scale and speed. In this paper, we focus on the challenge of generalizing across different concept classes, e.g., when training a detector on human faces and testing on synthetic animal images - highlighting the ineffectiveness of existing approaches that randomly sample generated images to train their models. By contrast, we propose an approach based on the premise that the robustness of the detector can be enhanced by training it on realistic synthetic images that are selected based on their quality scores according to a probabilistic quality estimation model. We demonstrate the effectiveness of the proposed approach by conducting experiments with generated images from two seminal architectures, StyleGAN2 and Latent Diffusion, and using three different concepts for each, so as to measure the cross-concept generalization ability. Our results show that our quality-based sampling method leads to higher detection performance for nearly all concepts, improving the overall effectiveness of the synthetic image detectors.</t>
  </si>
  <si>
    <t>[Dogoulis, Pantelis; Kompatsiaris, Ioannis; Papadopoulos, Symeon] CERTH, Informat Technol Inst, Thessaloniki, Greece; [Kordopatis-Zilos, Giorgos] Czech Tech Univ, Inst Informat Technol, CERTH, Prague, Czech Republic</t>
  </si>
  <si>
    <t>Centre for Research &amp; Technology Hellas; Czech Technical University Prague</t>
  </si>
  <si>
    <t>Dogoulis, P (corresponding author), CERTH, Informat Technol Inst, Thessaloniki, Greece.</t>
  </si>
  <si>
    <t>dogoulis@iti.gr; kordogeo@fel.cvut.cz; ikom@iti.gr; papadop@iti.gr</t>
  </si>
  <si>
    <t>Kordopatis-Zilos, Giorgos/JVO-5332-2024; Papadopoulos, Symeon/AET-0683-2022; Kompatsiaris, Ioannis/P-8594-2015</t>
  </si>
  <si>
    <t>Kordopatis-Zilos, Giorgos/0000-0003-2297-4802; Kompatsiaris, Ioannis/0000-0001-6447-9020; Dogoulis, Pantelis/0000-0003-3843-9927; Papadopoulos, Symeon/0000-0002-5441-7341</t>
  </si>
  <si>
    <t>[101070093]; [951911]</t>
  </si>
  <si>
    <t>;</t>
  </si>
  <si>
    <t>This work was partially funded by the projects vera.ai: VERification Assisted by Artificial Intelligence (GA no. 101070093) and AI4Media: A European Excellence Centre for Media, Society and Democracy (GA no. 951911).</t>
  </si>
  <si>
    <t>10.1145/3592572.3592846</t>
  </si>
  <si>
    <t>Green Submitted, Green Published</t>
  </si>
  <si>
    <t>WOS:001059176200005</t>
  </si>
  <si>
    <t>MeLM, a generative pretrained language modeling framework that solves forward and inverse mechanics problems</t>
  </si>
  <si>
    <t>JOURNAL OF THE MECHANICS AND PHYSICS OF SOLIDS</t>
  </si>
  <si>
    <t>Mechanics; Attention; Transformer; Language model; Forward; Inverse; Design; Modeling; Multiscale; Atomistic; Encoding; Representation; Causal; Emergent; Collective; Graph neural network; GPT; Human -machine interaction</t>
  </si>
  <si>
    <t>TRANSFORMER</t>
  </si>
  <si>
    <t>We report a flexible multi-modal mechanics language model, MeLM, applied to solve various nonlinear forward and inverse problems, that can deal with a set of instructions, numbers and microstructure data. The framework is applied to various examples including bio-inspired hierarchical honeycomb design, carbon nanotube mechanics, and protein unfolding. In spite of the adaptable nature of the model-which allows us to easily incorporate diverse materials, scales, and mechanical features-it performs well across disparate forward and inverse tasks. Based on an autoregressive attention-model, MeLM effectively represents a large multi-particle system consisting of hundreds of millions of neurons, where the interaction potentials are discovered through graph-forming self-attention mechanisms that are then used to identify relationships from emergent structures, while taking advantage of synergies discovered in the training data. We show that the model can solve complex degenerate mechanics design problems and determine novel material architectures across a range of hierarchical levels, providing an avenue for materials discovery and analysis. To illustrate the use case for broader possibilities, we outline a human-machine interactive MechGPT model, here trained on a set of 1,103 Wikipedia articles related to mechanics, showing how the general framework can be used not only to solve forward and inverse problems but in addition, for complex language tasks like summarization, generation of new research concepts, and knowledge extraction. Looking beyond the demonstrations reported in this paper, we discuss other opportunities in applied mechanics and general considerations about the use of large language models in modeling, design, and analysis that can span a broad spectrum of material properties from mechanical, thermal, optical, to electronic.</t>
  </si>
  <si>
    <t>Buehler, MJ (corresponding author), MIT, Lab Atomist &amp; Mol Mech LAMM, 77 Massachusetts Ave, Cambridge, MA 02139 USA.</t>
  </si>
  <si>
    <t>MIT-IBM Watson AI Lab; Army Research Office [W911NF1920098, W911NF2220213]; ONR [N00014-19-1-2375, N00014-20-1-2189]; USDA [2021-69012-35978]</t>
  </si>
  <si>
    <t>MIT-IBM Watson AI Lab(International Business Machines (IBM)); Army Research Office; ONR(Office of Naval Research); USDA(United States Department of Agriculture (USDA))</t>
  </si>
  <si>
    <t>This work was supported by the MIT-IBM Watson AI Lab, the Army Research Office (W911NF1920098 &amp; W911NF2220213) , ONR (N00014-19-1-2375 and N00014-20-1-2189) , as well as USDA (2021-69012-35978) .</t>
  </si>
  <si>
    <t>0022-5096</t>
  </si>
  <si>
    <t>1873-4782</t>
  </si>
  <si>
    <t>J MECH PHYS SOLIDS</t>
  </si>
  <si>
    <t>J. Mech. Phys. Solids</t>
  </si>
  <si>
    <t>10.1016/j.jmps.2023.105454</t>
  </si>
  <si>
    <t>Materials Science, Multidisciplinary; Mechanics; Physics, Condensed Matter</t>
  </si>
  <si>
    <t>Materials Science; Mechanics; Physics</t>
  </si>
  <si>
    <t>Y7HE3</t>
  </si>
  <si>
    <t>WOS:001106926600001</t>
  </si>
  <si>
    <t>Nguyen-Mau, T; Le, AC; Pham, DH; Huynh, V</t>
  </si>
  <si>
    <t>Nguyen-Mau, Toan; Le, Anh-Cuong; Pham, Duc-Hong; Huynh, Van-Nam</t>
  </si>
  <si>
    <t>An information fusion based approach to context-based fine-tuning of GPT models</t>
  </si>
  <si>
    <t>Machine learning; Generative pre-trained transformers (GPT); Chatbot; Evidence theory; Information fusion</t>
  </si>
  <si>
    <t>EVIDENTIAL REASONING APPROACH; DECISION-MAKING; UNCERTAINTY</t>
  </si>
  <si>
    <t>In the new era of Artificial Intelligence (AI), Generative Pre-Trained Transformer (GPT) has emerged as a central technique for generating human-like texts. Over recent years, there has been a growing trend towards using GPT for building chatbot systems. However, pre-trained GPT models lack context awareness which can result in awkward dialogue in specific contexts. In this research, we propose a new information fusion based approach to fine tuning GPT models based on contextual data and two scenarios of evidence combination by means of Dempster-Shafer theory of evidence. To this end, we first design a Transformers-based dialog classification model to be trained with the contextual data, which is then used jointly with additional pre -trained models as sources of evidence for judging the output of a GPT model as a context-appropriate response. Two scenarios for modeling and combining evidence provided by the context-based dialog classification model and pre-trained models are also proposed. We conduct a set of experiments on several datasets associated with specific contexts to demonstrate the effectiveness of the proposed approach. The empirical results show that it can improve the contextuality of general GPT-2 and GPT-3.5 models in most cases of the testing datasets.</t>
  </si>
  <si>
    <t>[Nguyen-Mau, Toan; Huynh, Van-Nam] Japan Adv Inst Sci &amp; Technol, Sch Adv Sci &amp; Technol, Nomi, Ishikawa, Japan; [Le, Anh-Cuong] Ton Duc Thang Univ, Fac Informat Technol, Nat Language Proc &amp; Knowledge Discovery Lab, Ho Chi Minh City, Vietnam; [Pham, Duc-Hong] Elect Power Univ, Fac Informat Technol, Hanoi, Vietnam</t>
  </si>
  <si>
    <t>Japan Advanced Institute of Science &amp; Technology (JAIST); Ton Duc Thang University; Electric Power University</t>
  </si>
  <si>
    <t>Le, AC (corresponding author), Ton Duc Thang Univ, Fac Informat Technol, Nat Language Proc &amp; Knowledge Discovery Lab, Ho Chi Minh City, Vietnam.</t>
  </si>
  <si>
    <t>leanhcuong@tdtu.edu.ven</t>
  </si>
  <si>
    <t>HUYNH, Van-Nam/D-1500-2012</t>
  </si>
  <si>
    <t>HUYNH, Van-Nam/0000-0002-3860-7815</t>
  </si>
  <si>
    <t>Vietnam National Foundation for Sci-ence and Technology Development (NAFOSTED) [102.05-2020.26]; Office of Naval Research (ONR); Office of Naval Research Global (ONRG) [N62909-23-1-2058]</t>
  </si>
  <si>
    <t>Vietnam National Foundation for Sci-ence and Technology Development (NAFOSTED)(National Foundation for Science &amp; Technology Development (NAFOSTED)); Office of Naval Research (ONR)(Office of Naval Research); Office of Naval Research Global (ONRG)(Office of Naval Research)</t>
  </si>
  <si>
    <t>This work was funded by Vietnam National Foundation for Sci-ence and Technology Development (NAFOSTED) under Grant number 102.05-2020.26. This work was also sponsored by the Office of Naval Research (ONR) and the Office of Naval Research Global (ONRG) under grant number N62909-23-1-2058. The views and conclusions contained herein are those of the authors only and should not be interpreted as representing those of the U.S. Government.</t>
  </si>
  <si>
    <t>10.1016/j.inffus.2023.102202</t>
  </si>
  <si>
    <t>FZ6A1</t>
  </si>
  <si>
    <t>WOS:001149703800001</t>
  </si>
  <si>
    <t>Johansson, SV; Chehreghani, MH; Engkvist, O; Schliep, A</t>
  </si>
  <si>
    <t>Johansson, Simon Viet; Chehreghani, Morteza Haghir; Engkvist, Ola; Schliep, Alexander</t>
  </si>
  <si>
    <t>De novo generated combinatorial library design</t>
  </si>
  <si>
    <t>DNA-ENCODED LIBRARIES; LEAD GENERATION; DRUG DISCOVERY; OPTIMIZATION; INFORMATION; ALGORITHM; SELECTION; METHODOLOGY; DIVERSITY; MOLECULES</t>
  </si>
  <si>
    <t>Artificial intelligence (AI) contributes new methods for designing compounds in drug discovery, ranging from de novo design models suggesting new molecular structures or optimizing existing leads to predictive models evaluating their toxicological properties. However, a limiting factor for the effectiveness of AI methods in drug discovery is the lack of access to high-quality data sets leading to a focus on approaches optimizing data generation. Combinatorial library design is a popular approach for bioactivity testing as a large number of molecules can be synthesized from a limited number of building blocks. We propose a framework for designing combinatorial libraries using a molecular generative model to generate building blocks de novo, followed by using k-determinantal point processes and Gibbs sampling to optimize a selection from the generated blocks. We explore optimization of biological activity, Quantitative Estimate of Drug-likeness (QED) and diversity and the trade-offs between them, both in single-objective and in multi-objective library design settings. Using retrosynthesis models to estimate building block availability, the proposed framework is able to explore the prospective benefit from expanding a stock of available building blocks by synthesis or by purchasing the preferred building blocks before designing a library. In simulation experiments with building block collections from all available commercial vendors near-optimal libraries could be found without synthesis of additional building blocks; in other simulation experiments we showed that even one synthesis step to increase the number of available building blocks could improve library designs when starting with an in-house building block collection of reasonable size.</t>
  </si>
  <si>
    <t>[Johansson, Simon Viet; Engkvist, Ola] AstraZeneca, Mol AI, Discovery Sci, R&amp;D, Gothenburg, Sweden; [Johansson, Simon Viet; Chehreghani, Morteza Haghir; Engkvist, Ola; Schliep, Alexander] Univ Gothenburg, Chalmers Univ Technol, Dept Comp Sci &amp; Engn, Gothenburg, Sweden; [Schliep, Alexander] Brandenburg Univ Technol Cottbus Senftenberg, Fac Hlth Sci, Cottbus, Germany</t>
  </si>
  <si>
    <t>AstraZeneca; Chalmers University of Technology; University of Gothenburg; Brandenburg University of Technology Cottbus</t>
  </si>
  <si>
    <t>Johansson, SV (corresponding author), AstraZeneca, Mol AI, Discovery Sci, R&amp;D, Gothenburg, Sweden.;Johansson, SV (corresponding author), Univ Gothenburg, Chalmers Univ Technol, Dept Comp Sci &amp; Engn, Gothenburg, Sweden.</t>
  </si>
  <si>
    <t>simon.johansson@astrazeneca.com</t>
  </si>
  <si>
    <t>Schliep, Alexander/0000-0002-3555-3188; Engkvist, Ola/0000-0003-4970-6461</t>
  </si>
  <si>
    <t>Knut och Alice Wallenbergs Stiftelse; Molecular AI department at AstraZeneca; Knut and Alice Wallenberg foundation; WASP program</t>
  </si>
  <si>
    <t>Knut och Alice Wallenbergs Stiftelse(Knut &amp; Alice Wallenberg Foundation); Molecular AI department at AstraZeneca; Knut and Alice Wallenberg foundation(Knut &amp; Alice Wallenberg Foundation); WASP program</t>
  </si>
  <si>
    <t>The authors would like to thank Dr Samuel Genheden for help with AiZynthFinder and discussions regarding building blocks, Dr Thierry Kogej for discussions on filtering stock files for building block types and different entry formats. The authors also thank Mr Hampus Gummesson Svensson for scientific discussions and for reviewing this manuscript. Additionally, the authors want to thank the Molecular AI department at AstraZeneca and the Department of Computer Science and Engineering at Chalmers for many discussions and support. Finally, the authors thank the Knut and Alice Wallenberg foundation and the WASP program for financial support.</t>
  </si>
  <si>
    <t>10.1039/d3dd00095h</t>
  </si>
  <si>
    <t>EX6C5</t>
  </si>
  <si>
    <t>WOS:001113404700001</t>
  </si>
  <si>
    <t>Bao, KQ; Zhang, JZ; Zhang, Y; Wang, WJ; Feng, FL; He, X</t>
  </si>
  <si>
    <t>Bao, Keqin; Zhang, Jizhi; Zhang, Yang; Wang, Wenjie; Feng, Fuli; He, Xiangnan</t>
  </si>
  <si>
    <t>Large Language Models for Recommendation: Progresses and Future Directions</t>
  </si>
  <si>
    <t>Large Language Models; Recommender Systems; Generative Recommendation; Generative Models</t>
  </si>
  <si>
    <t>The powerful large language models (LLMs) have played a pivotal role in advancing recommender systems. Recently, in both academia and industry, there has been a surge of interest in developing LLMs for recommendation, referred to as LLM4Rec. This includes endeavors like leveraging LLMs for generative item retrieval and ranking, as well as the exciting possibility of building universal LLMs for diverse open-ended recommendation tasks. These developments hold the potential to reshape the traditional recommender paradigm, paving the way for the next-generation recommender systems. In this tutorial, we aim to retrospect the evolution of LLM4Rec and conduct a comprehensive review of existing research. In particular, we will clarify how recommender systems benefit from LLMs through a variety of perspectives, including the model architecture, learning paradigm, and the strong abilities of LLMs such as chatting, generalization, planning, and generation. Furthermore, we will discuss the critical challenges and open problems in this emerging field, for instance, the trustworthiness, efficiency, and model retraining issues. Lastly, we will summarize the implications of previous work and outline future research directions. We believe that this tutorial will assist the audience in better understanding the progress and prospects of LLM4Rec, inspiring them for future exploration. This, in turn, will drive the prosperity of LLM4Rec, possibly fostering a paradigm shift in recommendation systems.</t>
  </si>
  <si>
    <t>[Bao, Keqin; Zhang, Jizhi; Zhang, Yang; Feng, Fuli; He, Xiangnan] Univ Sci &amp; Technol China, Hefei, Peoples R China; [Wang, Wenjie] Natl Univ Singapore, Singapore, Singapore</t>
  </si>
  <si>
    <t>Chinese Academy of Sciences; University of Science &amp; Technology of China, CAS; National University of Singapore</t>
  </si>
  <si>
    <t>Bao, KQ (corresponding author), Univ Sci &amp; Technol China, Hefei, Peoples R China.</t>
  </si>
  <si>
    <t>baokq@mail.ustc.edu.cn; cdzhangjizhi@mail.ustc.edu.cn; zy2015@mail.ustc.edu.cn; wenjiewang96@gmail.com; fulifeng93@gmail.com; xiangnanhe@gmail.com</t>
  </si>
  <si>
    <t>10.1145/3624918.3629550</t>
  </si>
  <si>
    <t>WOS:001122582700036</t>
  </si>
  <si>
    <t>Kumi, S; Hilton, M; Snow, C; Lomotey, RK; Deters, R</t>
  </si>
  <si>
    <t>Chang, CK; Chang, RN; Fan, J; Fox, GC; Jin, Z; Pravadelli, G; Shahriar, H</t>
  </si>
  <si>
    <t>Kumi, Sandra; Hilton, Maxwell; Snow, Charled; Lomotey, Richard K.; Deters, Ralph</t>
  </si>
  <si>
    <t>SleepSynth: Evaluating the use of Synthetic Data in Health Digital Twins</t>
  </si>
  <si>
    <t>2023 IEEE INTERNATIONAL CONFERENCE ON DIGITAL HEALTH, ICDH</t>
  </si>
  <si>
    <t>IEEE International Conference on Digital Health (IEEE ICDH) at the IEEE World Congress on Services (SERVICES)</t>
  </si>
  <si>
    <t>JUL 02-08, 2023</t>
  </si>
  <si>
    <t>IEEE,IEEE Comp Soc,IEEE Tech Comm Serv Comp,IEEE TSC,IBM,China Comp Federat, Tech Comm Serv Comp</t>
  </si>
  <si>
    <t>Digital Twin; Privacy; Synthetic Data; Wearable Data; Machine Learning; Copulas; Generative Adversarial Network (GAN)</t>
  </si>
  <si>
    <t>Health Digital Twins (HDTs) are virtual replicas of a patients physical/actual data. The major setbacks for applying Machine Learning (ML) in HDTs are the lack of availability of patients data due to privacy concerns and Artificial Intelligence (AI) bias. Given these shortcomings, synthetic data has been leveraged to solve privacy issues and increase diversity in datasets. In this paper, we evaluate four synthetic data generation models namely, Gaussian Copula, Conditional Tabular Generative Adversarial Network (CTGAN), CopulaGAN, and Tabular Variational Autoencoder (TVAE) which are used to generate synthetic data for actual sleep data retrieved from a wearable device. Gaussian Copula performed best in capturing the correlation between the variables with the real data with a quality score of approximately 96%. Additionally, we evaluate the efficacy of the synthetic generation models by training five well-known ML models on the generated synthetic data. Our experimental results show that the ML models trained on the synthetic data achieve an MAE (Mean Absolute Error) of less than 10% in the prediction of sleep quality score. The results from this work indicate that synthetic data could be used for ML tasks while preserving the privacy of data subjects.</t>
  </si>
  <si>
    <t>[Kumi, Sandra; Deters, Ralph] Univ Saskatchewan, Dept Computer Sci, Saskatoon, SK S7N 0W0, Canada; [Hilton, Maxwell; Snow, Charled; Lomotey, Richard K.] Penn State Univ, University Pk, PA 16802 USA</t>
  </si>
  <si>
    <t>University of Saskatchewan; Pennsylvania Commonwealth System of Higher Education (PCSHE); Pennsylvania State University; Pennsylvania State University - University Park</t>
  </si>
  <si>
    <t>Kumi, S (corresponding author), Univ Saskatchewan, Dept Computer Sci, Saskatoon, SK S7N 0W0, Canada.</t>
  </si>
  <si>
    <t>sandra.kumi@usask.ca; mih5601@psu.edu; ces6047@psu.edu; rk15197@psu.edu; deters@cs.usask.ca</t>
  </si>
  <si>
    <t>979-8-3503-4103-4</t>
  </si>
  <si>
    <t>10.1109/ICDH60066.2023.00027</t>
  </si>
  <si>
    <t>Computer Science, Interdisciplinary Applications; Engineering, Biomedical; Medical Informatics</t>
  </si>
  <si>
    <t>BV6SO</t>
  </si>
  <si>
    <t>WOS:001062475200017</t>
  </si>
  <si>
    <t>Zhang, Y; Wang, ZX; Zhang, Z; Liu, JZ; Feng, Y; Wee, L; Dekker, A; Chen, QS; Traverso, A</t>
  </si>
  <si>
    <t>Zhang, Ye; Wang, Zhixiang; Zhang, Zhen; Liu, Junzhuo; Feng, Ying; Wee, Leonard; Dekker, Andre; Chen, Qiaosong; Traverso, Alberto</t>
  </si>
  <si>
    <t>GAN-based one dimensional medical data augmentation</t>
  </si>
  <si>
    <t>SOFT COMPUTING</t>
  </si>
  <si>
    <t>Generative adversarial networks; SMOTE; Medical data augmentation; Deep learning; Artificial intelligence</t>
  </si>
  <si>
    <t>With the continuous development of human life and society, the medical field is constantly improving. However, modern medicine still faces many limitations, including challenging and previously unsolvable problems. In these cases, artificial intelligence (AI) can provide solutions. The research and application of generative adversarial networks (GAN) are a clear example. While most researchers focus on image augmentation, there are few one-dimensional data augmentation examples. The radiomics feature extracted from RT and CT images is one-dimensional data. As far as we know, we are the first to apply the WGAN-GP algorithm to generate radiomics data in the medical field. In this paper, we input a portion of the original real data samples into the model. The model learns the distribution of the input data samples and generates synthetic data samples with similar distribution to the original real data, which can solve the problem of obtaining annotated medical data samples. We have conducted experiments on the public dataset Heart Disease Cleveland and the private dataset. Compared with the traditional method of Synthetic Minority Oversampling Technique (SMOTE) and common GAN for data augmentation, our method has significantly improved the AUC and SEN values under different data proportions. At the same time, our method has also shown varying levels of improvement in ACC and SPE values. This demonstrates that our method is effective and feasible.</t>
  </si>
  <si>
    <t>[Zhang, Ye; Liu, Junzhuo; Chen, Qiaosong] Chongqing Univ Posts &amp; Telecommun, Key Lab Data Engn &amp; Visual Comp, Chongqing 400065, Peoples R China; [Wang, Zhixiang; Zhang, Zhen; Wee, Leonard; Dekker, Andre; Traverso, Alberto] Maastricht Univ, GROW Sch Oncol, Dept Radiat Oncol Maastro, Med Ctr, Maastricht, Netherlands; [Feng, Ying] Capital Med Univ, Beijing Friendship Hosp, Dept Ultrasound, Beijing, Peoples R China</t>
  </si>
  <si>
    <t>Chongqing University of Posts &amp; Telecommunications; Maastricht University; Capital Medical University</t>
  </si>
  <si>
    <t>Chen, QS (corresponding author), Chongqing Univ Posts &amp; Telecommun, Key Lab Data Engn &amp; Visual Comp, Chongqing 400065, Peoples R China.;Traverso, A (corresponding author), Maastricht Univ, GROW Sch Oncol, Dept Radiat Oncol Maastro, Med Ctr, Maastricht, Netherlands.</t>
  </si>
  <si>
    <t>chenqs@cqupt.edu.cn; alberto.traverso@maastro.nl</t>
  </si>
  <si>
    <t>lan, lan/JWO-3679-2024; zhang, chen/JES-0371-2023; Dekker, Andre/AAE-4830-2019</t>
  </si>
  <si>
    <t>Dekker, Andre/0000-0002-0422-7996; Liu, Junzhuo/0000-0002-5155-5781</t>
  </si>
  <si>
    <t>1432-7643</t>
  </si>
  <si>
    <t>1433-7479</t>
  </si>
  <si>
    <t>SOFT COMPUT</t>
  </si>
  <si>
    <t>Soft Comput.</t>
  </si>
  <si>
    <t>10.1007/s00500-023-08345-z</t>
  </si>
  <si>
    <t>J9CG6</t>
  </si>
  <si>
    <t>WOS:000999177200005</t>
  </si>
  <si>
    <t>Chen, ZX; Wang, GC; Liu, ZW</t>
  </si>
  <si>
    <t>Chen, Zhaoxi; Wang, Guangcong; Liu, Ziwei</t>
  </si>
  <si>
    <t>SceneDreamer: Unbounded 3D Scene Generation From 2D Image Collections</t>
  </si>
  <si>
    <t>Three-dimensional displays; Solid modeling; Semantics; Cameras; Training; Rendering (computer graphics); Geometry; 3D generative model; GAN; neural rendering; unbounded scene generation</t>
  </si>
  <si>
    <t>In this work, we present SceneDreamer, an unconditional generative model for unbounded 3D scenes, which synthesizes large-scale 3D landscapes from random noise. Our framework is learned from in-the-wild 2D image collections only, without any 3D annotations. At the core of SceneDreamer is a principled learning paradigm comprising: 1) an efficient yet expressive 3D scene representation, 2) a generative scene parameterization, and 3) an effective renderer that can leverage the knowledge from 2D images. Our approach begins with an efficient bird's-eye-view (BEV) representation generated from simplex noise, which includes a height field for surface elevation and a semantic field for detailed scene semantics. This BEV scene representation enables: 1) representing a 3D scene with quadratic complexity, 2) disentangled geometry and semantics, and 3) efficient training. Moreover, we propose a novel generative neural hash grid to parameterize the latent space based on 3D positions and scene semantics, aiming to encode generalizable features across various scenes. Lastly, a neural volumetric renderer, learned from 2D image collections through adversarial training, is employed to produce photorealistic images. Extensive experiments demonstrate the effectiveness of SceneDreamer and superiority over state-of-the-art methods in generating vivid yet diverse unbounded 3D worlds.</t>
  </si>
  <si>
    <t>[Chen, Zhaoxi; Wang, Guangcong; Liu, Ziwei] Nanyang Technol Univ, S Lab, Singapore 639798, Singapore</t>
  </si>
  <si>
    <t>Liu, ZW (corresponding author), Nanyang Technol Univ, S Lab, Singapore 639798, Singapore.</t>
  </si>
  <si>
    <t>zhaoxi001@ntu.edu.sg; guangcong.wang@ntu.edu.sg; ziwei.liu@ntu.edu.sg</t>
  </si>
  <si>
    <t>Chen, Zhaoxi/0000-0003-3998-7044</t>
  </si>
  <si>
    <t>National Research Foundation, Singapore under its AI Singapore Programme (AISG) [AISG2-PhD-2021-08-019]; NTU NAP; MOE AcRF Tier 2 [T2EP20221-0012]; RIE2020 Industry Alignment Fund - Industry Collaboration Projects (IAF-ICP) Funding Initiative</t>
  </si>
  <si>
    <t>National Research Foundation, Singapore under its AI Singapore Programme (AISG); NTU NAP; MOE AcRF Tier 2; RIE2020 Industry Alignment Fund - Industry Collaboration Projects (IAF-ICP) Funding Initiative</t>
  </si>
  <si>
    <t>This work was supported in part by National Research Foundation, Singapore under its AI Singapore Programme (AISG) under Grant AISG2-PhD-2021-08-019, in part by NTU NAP, in part by MOE AcRF Tier 2 under Grant T2EP20221-0012, and in part by RIE2020 Industry Alignment Fund - Industry Collaboration Projects (IAF-ICP) Funding Initiative, as well as cash and in-kind contribution from the industry partner(s).</t>
  </si>
  <si>
    <t>10.1109/TPAMI.2023.3321857</t>
  </si>
  <si>
    <t>WOS:001104973300093</t>
  </si>
  <si>
    <t>Hijji, M; Khan, A; Alwakeel, MM; Harrabi, R; Aradah, F; Cheikh, FA; Sajjad, M; Muhammad, K</t>
  </si>
  <si>
    <t>Hijji, Mohammad; Khan, Abbas; Alwakeel, Mohammed M.; Harrabi, Rafika; Aradah, Fahad; Cheikh, Faouzi Alaya; Sajjad, Muhammad; Muhammad, Khan</t>
  </si>
  <si>
    <t>Intelligent Image Super-Resolution for Vehicle License Plate in Surveillance Applications</t>
  </si>
  <si>
    <t>MATHEMATICS</t>
  </si>
  <si>
    <t>AI; SRGAN; image super-resolution; generator; discriminator; generative adversarial networks; motion blur; surveillance; SRGAN-LP; machine learning</t>
  </si>
  <si>
    <t>NETWORK; RECOGNITION</t>
  </si>
  <si>
    <t>Vehicle license plate images are often low resolution and blurry because of the large distance and relative motion between the vision sensor and vehicle, making license plate identification arduous. The extensive use of expensive, high-quality vision sensors is uneconomical in most cases; thus, images are initially captured and then translated from low resolution to high resolution. For this purpose, several traditional techniques such as bilinear, bicubic, super-resolution convolutional neural network, and super-resolution generative adversarial network (SRGAN) have been developed over time to upgrade low-quality images. However, most studies in this area pertain to the conversion of low-resolution images to super-resolution images, and little attention has been paid to motion de-blurring. This work extends SRGAN by adding an intelligent motion-deblurring method (termed SRGAN-LP), which helps to enhance the image resolution and remove motion blur from the given images. A comprehensive and new domain-specific dataset was developed to achieve improved results. Moreover, maintaining higher quantitative and qualitative results in comparison to the ground truth images, this study upscales the provided low-resolution image four times and removes the motion blur to a reasonable extent, making it suitable for surveillance applications.</t>
  </si>
  <si>
    <t>[Hijji, Mohammad; Alwakeel, Mohammed M.; Harrabi, Rafika; Aradah, Fahad] Univ Tabuk, Fac Comp &amp; Informat Technol, Tabuk 47711, Saudi Arabia; [Khan, Abbas; Sajjad, Muhammad] Islamia Coll Peshawar, Dept Comp Sci, Digital Image Proc Lab, Peshawar 25000, Pakistan; [Cheikh, Faouzi Alaya; Sajjad, Muhammad] Norwegian Univ Sci &amp; Technol NTNU, Dept Comp Sci, Software Data &amp; Digital Ecosyst SDDE Res Grp, N-2815 Gjovik, Norway; [Muhammad, Khan] Sungkyunkwan Univ, Coll Comp &amp; Informat, Sch Convergence, Dept Appl Artificial Intelligence, Seoul 03063, South Korea</t>
  </si>
  <si>
    <t>University of Tabuk; University of Peshawar; Norwegian University of Science &amp; Technology (NTNU); Sungkyunkwan University (SKKU)</t>
  </si>
  <si>
    <t>Hijji, M (corresponding author), Univ Tabuk, Fac Comp &amp; Informat Technol, Tabuk 47711, Saudi Arabia.;Sajjad, M (corresponding author), Islamia Coll Peshawar, Dept Comp Sci, Digital Image Proc Lab, Peshawar 25000, Pakistan.;Sajjad, M (corresponding author), Norwegian Univ Sci &amp; Technol NTNU, Dept Comp Sci, Software Data &amp; Digital Ecosyst SDDE Res Grp, N-2815 Gjovik, Norway.;Muhammad, K (corresponding author), Sungkyunkwan Univ, Coll Comp &amp; Informat, Sch Convergence, Dept Appl Artificial Intelligence, Seoul 03063, South Korea.</t>
  </si>
  <si>
    <t>m.hijji@ut.edu.sa; muhammad.sajjad@ntnu.no; khan.muhammad@ieee.org</t>
  </si>
  <si>
    <t>HARRABI, RAFIKA/HSE-4591-2023; Muhammad, Khan/L-9059-2016; Alwakeel, MOHAMMED/AGV-7118-2022; Sajjad, Muhammad/L-5269-2016; Alwakeel, Mohammed/ABE-5956-2020; Khan, Muhammad/IXN-8470-2023</t>
  </si>
  <si>
    <t>Muhammad, Khan/0000-0003-4055-7412; Sajjad, Muhammad/0000-0001-5646-0338; Alwakeel, Mohammed/0000-0001-6897-3050; , Abbas/0000-0002-7551-6082</t>
  </si>
  <si>
    <t>Deanship of Scientific Research at the University of Tabuk [0254-1443-S]</t>
  </si>
  <si>
    <t>Deanship of Scientific Research at the University of Tabuk</t>
  </si>
  <si>
    <t>This work was supported by the Deanship of Scientific Research at the University of Tabuk through Research No. 0254-1443-S.</t>
  </si>
  <si>
    <t>2227-7390</t>
  </si>
  <si>
    <t>MATHEMATICS-BASEL</t>
  </si>
  <si>
    <t>10.3390/math11040892</t>
  </si>
  <si>
    <t>9K4IT</t>
  </si>
  <si>
    <t>WOS:000940834200001</t>
  </si>
  <si>
    <t>Raina, A; Cagan, J; McComb, C</t>
  </si>
  <si>
    <t>Raina, Ayush; Cagan, Jonathan; McComb, Christopher</t>
  </si>
  <si>
    <t>Learning to Design Without Prior Data: Discovering Generalizable Design Strategies Using Deep Learning and Tree Search</t>
  </si>
  <si>
    <t>design automation; artificial intelligence; deep learning; generalizability; agent-based design; data-driven design; design representation; generative design; machine learning; Monte Carlo Tree Search</t>
  </si>
  <si>
    <t>GO; LEVEL; GAME</t>
  </si>
  <si>
    <t>Building an Artificial Intelligence (AI) agent that can design on its own has been a goal since the 1980s. Recently, deep learning has shown the ability to learn from large-scale data, enabling significant advances in data-driven design. However, learning over prior data limits us only to solve problems that have been solved before and biases data-driven learning toward existing solutions. The ultimate goal for a design agent is the ability to learn generalizable design behavior in a problem space without having seen it before. We introduce a self-learning agent framework in this work that achieves this goal. This framework integrates a deep policy network with a novel tree search algorithm, where the tree search explores the problem space, and the deep policy network leverages self-generated experience to guide the search further. This framework first demonstrates an ability to discover high-performing generative strategies without any prior data, and second, it illustrates a zero-shot generalization of generative strategies across various unseen boundary conditions. This work evaluates the effectiveness and versatility of the framework by solving multiple versions of two engineering design problems without retraining. Overall, this paper presents a methodology to self-learn high-performing and generalizable problem-solving behavior in an arbitrary problem space, circumventing the need for expert data, existing solutions, and problem-specific learning.</t>
  </si>
  <si>
    <t>[Raina, Ayush; Cagan, Jonathan; McComb, Christopher] Carnegie Mellon Univ, Dept Mech Engn, Pittsburgh, PA 15213 USA</t>
  </si>
  <si>
    <t>Raina, A (corresponding author), Carnegie Mellon Univ, Dept Mech Engn, Pittsburgh, PA 15213 USA.</t>
  </si>
  <si>
    <t>araina@andrew.cmu.edu; cagan@cmu.edu; ccm@cmu.edu</t>
  </si>
  <si>
    <t>McComb, Christopher/I-8322-2019</t>
  </si>
  <si>
    <t>McComb, Christopher/0000-0002-5024-7701; Cagan, Jonathan/0000-0002-3935-9219</t>
  </si>
  <si>
    <t>Defense Advanced Research Projects Agency [N66001-17-1-4064]</t>
  </si>
  <si>
    <t>Defense Advanced Research Projects Agency(United States Department of DefenseDefense Advanced Research Projects Agency (DARPA))</t>
  </si>
  <si>
    <t>We thank B. Kara and H. Liao for providing their agent and environment code repository5 for the circuit routing problem along with their valuable guidance. A version of this paper has been accepted for publication in the 2022 Design Automation Conference (IDETC) [71]. This material is based upon work supported by the Defense Advanced Research Projects Agency through cooperative agreement No. N66001-17-1-4064. Any opinions, findings, conclusions, or recommendations expressed in this paper are those of the authors and do not necessarily reflect the views of the sponsors.</t>
  </si>
  <si>
    <t>10.1115/1.4056221</t>
  </si>
  <si>
    <t>9G7BD</t>
  </si>
  <si>
    <t>WOS:000938302900016</t>
  </si>
  <si>
    <t>Jacob, J</t>
  </si>
  <si>
    <t>Jacob, Jerry</t>
  </si>
  <si>
    <t>ChatGPT: Friend or Foe?-Utility in Trauma Triage</t>
  </si>
  <si>
    <t>INDIAN JOURNAL OF CRITICAL CARE MEDICINE</t>
  </si>
  <si>
    <t>Comorbidities; Intensive care specialist; Treatment guideline</t>
  </si>
  <si>
    <t>Artificial intelligence (AI) has been growing rapidly in the health and production industry. The most recent AI program that has caught everyone's eye is, Chat Generative Pre-trained Transformer (ChatGPT). It is a program based on Open AI and was released in November 2022 to the public. It is a chatbot that helps with analyzing and learning data from the net, based on human literature and data.</t>
  </si>
  <si>
    <t>[Jacob, Jerry] M S Ramaiah Med Coll, Dept Emergency Med, Bengaluru, Karnataka, India</t>
  </si>
  <si>
    <t>Jacob, J (corresponding author), M S Ramaiah Med Coll, Dept Emergency Med, Bengaluru, Karnataka, India.</t>
  </si>
  <si>
    <t>jerryjacob123@gmail.com</t>
  </si>
  <si>
    <t>JAYPEE BROTHERS MEDICAL PUBLISHERS PVT LTD</t>
  </si>
  <si>
    <t>NEW DEHLI</t>
  </si>
  <si>
    <t>4347-B/4C, Madan Mohan Street, Ansari Road, Daryaganj, NEW DEHLI, 110 002, INDIA</t>
  </si>
  <si>
    <t>0972-5229</t>
  </si>
  <si>
    <t>1998-359X</t>
  </si>
  <si>
    <t>INDIAN J CRIT CARE M</t>
  </si>
  <si>
    <t>Indian J. Crit. Care Med.</t>
  </si>
  <si>
    <t>10.5005/jp-journals-10071-24498</t>
  </si>
  <si>
    <t>Critical Care Medicine</t>
  </si>
  <si>
    <t>P5OJ2</t>
  </si>
  <si>
    <t>WOS:001051165500010</t>
  </si>
  <si>
    <t>Deitke, M; Schwenk, D; Salvador, J; Weihs, L; Michel, O; VanderBilt, E; Schmidt, L; Ehsani, K; Kembhavi, A; Farhadi, A</t>
  </si>
  <si>
    <t>Deitke, Matt; Schwenk, Dustin; Salvador, Jordi; Weihs, Luca; Michel, Oscar; VanderBilt, Eli; Schmidt, Ludwig; Ehsani, Kiana; Kembhavi, Aniruddha; Farhadi, Ali</t>
  </si>
  <si>
    <t>Objaverse: A Universe of Annotated 3D Objects</t>
  </si>
  <si>
    <t>DATABASE</t>
  </si>
  <si>
    <t>Massive data corpora like WebText, Wikipedia, Conceptual Captions, WebImageText, and LAION have propelled recent dramatic progress in AI. Large neural models trained on such datasets produce impressive results and top many of today's benchmarks. A notable omiss1ion within this family of large-scale datasets is 3D data. Despite considerable interest and potential applications in 3D vision, datasets of high-fidelity 3D models continue to be mid-sized with limited diversity of object categories. Addressing this gap, we present Objaverse 1.0, a large dataset of objects with 800K+ (and growing) 3D models with descriptive captions, tags, and animations. Objaverse improves upon present day 3D repositories in terms of scale, number of categories, and in the visual diversity of instances within a category. We demonstrate the large potential of Objaverse via four diverse applications: training generative 3D models, improving tail category segmentation on the LVIS benchmark, training open-vocabulary object-navigation models for Embodied AI, and creating a new benchmark for robustness analysis of vision models. Objaverse can open new directions for research and enable new applications across the field of AI.</t>
  </si>
  <si>
    <t>[Deitke, Matt; Schwenk, Dustin; Salvador, Jordi; Weihs, Luca; Michel, Oscar; VanderBilt, Eli; Ehsani, Kiana; Kembhavi, Aniruddha] PRIOR Allen Inst AI, Seattle, WA 98103 USA; [Deitke, Matt; Schmidt, Ludwig; Kembhavi, Aniruddha; Farhadi, Ali] Univ Washington, Seattle, WA 98195 USA</t>
  </si>
  <si>
    <t>Deitke, M (corresponding author), PRIOR Allen Inst AI, Seattle, WA 98103 USA.;Deitke, M (corresponding author), Univ Washington, Seattle, WA 98195 USA.</t>
  </si>
  <si>
    <t>mattd@allenai.org</t>
  </si>
  <si>
    <t>10.1109/CVPR52729.2023.01263</t>
  </si>
  <si>
    <t>WOS:001062522105044</t>
  </si>
  <si>
    <t>Xu, LK; Peng, X; Xi, ZH; Yuan, ZQ; Zhong, WM</t>
  </si>
  <si>
    <t>Xu, Liukou; Peng, Xin; Xi, Zhenhao; Yuan, Zhiqing; Zhong, Weimin</t>
  </si>
  <si>
    <t>Predicting organic structures directing agents for zeolites with conditional deep learning generative model</t>
  </si>
  <si>
    <t>CHEMICAL ENGINEERING SCIENCE</t>
  </si>
  <si>
    <t>predict OSDAs; Specific zeolite structures; LSTM networks; Self-attention mechanism; Gel chemistry; OSDA molecules modeling</t>
  </si>
  <si>
    <t>Organic structures directing agents (OSDAs) are important components of the synthesis of zeolites, and their molecular properties play a significant role in the design of zeolite structures. As of yet, scientists have usually used priori knowledge to select suitable OSDAs for synthesis of specific structures of zeolites. We utilize a comprehensive database of OSDAs, zeolites, and gel chemistry to develop a computationally efficient model with fewer parameters based on self-attention mechanism and Long and Short-term Memory networks (LSTM) for modeling the interactions between OSDAs, zeolite structures and gel chemistry. Our model is able to learn the simplified molecules input line-entry system (SMILES) syntax and grasp molecular physicochemical properties by comparing the custom metric and weighted holistic invariant molecular (WHIM) descriptor after dimensionality reduction. Our model is capable of producing OSDA-like molecules under the conditions of zeolite structures and chemical gels, and predicting OSDA molecules for the specific structures of zeolites.</t>
  </si>
  <si>
    <t>[Xu, Liukou; Peng, Xin; Zhong, Weimin] East China Univ Sci &amp; Technol, Key Lab Smart Mfg Energy Chem Proc, Minist Educ, Shanghai 200237, Peoples R China; [Xi, Zhenhao] East China Univ Sci &amp; Technol, Sch Chem Engn, Shanghai 200237, Peoples R China; [Yuan, Zhiqing] Sinopec Shanghai Res Inst Petrochem Technol, Shanghai 201208, Peoples R China</t>
  </si>
  <si>
    <t>East China University of Science &amp; Technology; East China University of Science &amp; Technology; Sinopec</t>
  </si>
  <si>
    <t>Peng, X; Zhong, WM (corresponding author), East China Univ Sci &amp; Technol, Key Lab Smart Mfg Energy Chem Proc, Minist Educ, Shanghai 200237, Peoples R China.</t>
  </si>
  <si>
    <t>xinpeng@ecust.edu.cn; wmzhong@ecust.edu.cn</t>
  </si>
  <si>
    <t>wang, yifang/KEI-3766-2024; Zhang, Yulin/KEI-1610-2024; Liu, Xinru/KEH-2341-2024; zhang, xiaoyu/KEJ-0657-2024; Li, Yuanyuan/KEH-6935-2024; Liu, Donghua/KEJ-1974-2024; liu, yang/KFA-8402-2024; Liu, Zhen/KFS-2748-2024; liu, zhen/KFS-0275-2024; yan, xu/KCY-8174-2024; liu, qi/KFA-4047-2024; Shen, Yan/KEJ-4617-2024</t>
  </si>
  <si>
    <t>Li, Yuanyuan/0000-0002-4955-1159; Liu, Donghua/0000-0002-5830-9540;</t>
  </si>
  <si>
    <t>National Natural Science Foundation of China (Basic Science Center Program) [61988101]; National Natural Science Fund for Distinguished Young Scholars [61925305]; National Natural Science Foundation of China [62173145]; Fundamental Research Funds for the Central Universities; Shanghai AI Lab</t>
  </si>
  <si>
    <t>National Natural Science Foundation of China (Basic Science Center Program)(National Natural Science Foundation of China (NSFC)); National Natural Science Fund for Distinguished Young Scholars(National Natural Science Foundation of China (NSFC)National Science Fund for Distinguished Young Scholars); National Natural Science Foundation of China(National Natural Science Foundation of China (NSFC)); Fundamental Research Funds for the Central Universities(Fundamental Research Funds for the Central Universities); Shanghai AI Lab</t>
  </si>
  <si>
    <t>The work was supported by National Natural Science Foundation of China (Basic Science Center Program: 61988101) , National Natural Science Fund for Distinguished Young Scholars (61925305) , National Natural Science Foundation of China (62173145) , the Fundamental Research Funds for the Central Universities and Shanghai AI Lab.</t>
  </si>
  <si>
    <t>0009-2509</t>
  </si>
  <si>
    <t>1873-4405</t>
  </si>
  <si>
    <t>CHEM ENG SCI</t>
  </si>
  <si>
    <t>Chem. Eng. Sci.</t>
  </si>
  <si>
    <t>DEC 5</t>
  </si>
  <si>
    <t>10.1016/j.ces.2023.119188</t>
  </si>
  <si>
    <t>Engineering, Chemical</t>
  </si>
  <si>
    <t>U1RG1</t>
  </si>
  <si>
    <t>WOS:001082637400001</t>
  </si>
  <si>
    <t>Alvarez-alvarez, C; Falcon, S</t>
  </si>
  <si>
    <t>alvarez-alvarez, Carmen; Falcon, Samuel</t>
  </si>
  <si>
    <t>Students' preferences with university teaching practices: analysis of testimonials with artificial intelligence</t>
  </si>
  <si>
    <t>ETR&amp;D-EDUCATIONAL TECHNOLOGY RESEARCH AND DEVELOPMENT</t>
  </si>
  <si>
    <t>Teaching practices; Teaching quality; Satisfaction; Higher education; Artificial intelligence</t>
  </si>
  <si>
    <t>MOTIVATION ORIENTATIONS; SENTIMENT ANALYSIS; FEEDBACK; PERFORMANCE; LANGUAGE; TALK; AI</t>
  </si>
  <si>
    <t>University teaching practices impact student interest, engagement, and academic performance. This paper presents a study that uses artificial intelligence (AI) to examine students' preferences for university teaching practices. We asked students in various fields open-ended questions about the best teaching practices they had experienced. Due to the large amount of data obtained, we used the AI-based language model Generative Pretrained Transformer-3 (GPT-3) to analyse the responses. With this model, we sorted students' testimonies into nine theory-based categories regarding teaching practices. After analysing the reliability of the classifications conducted by GPT-3, we found that the agreement between humans was similar to that observed between humans and the AI model, which supported its reliability. Regarding students' preferences for teaching practices, the results showed that students prefer practices that focus on (1) clarity and (2) interaction and relationships. These results enable the use of AI-based tools that facilitate the analysis of large amounts of information collected through open methods. At the didactic level, students' preferences and demand for clear teaching practices (in which ideas and activities are stated and shown without ambiguity) that are based on interaction and relationships (between teachers and students and among students themselves) are demonstrable.</t>
  </si>
  <si>
    <t>[alvarez-alvarez, Carmen] Univ Cantabria, Dept Educ, Avda Castros S-N, Santander 39005, Spain; [Falcon, Samuel] Univ Las Palmas Gran Canaria, Dept Educ, Calle Juan de Quesada 30, Las Palmas Gran Canaria 35001, Las Palmas, Spain</t>
  </si>
  <si>
    <t>Universidad de Cantabria; Universidad de Las Palmas de Gran Canaria</t>
  </si>
  <si>
    <t>Falcon, S (corresponding author), Univ Las Palmas Gran Canaria, Dept Educ, Calle Juan de Quesada 30, Las Palmas Gran Canaria 35001, Las Palmas, Spain.</t>
  </si>
  <si>
    <t>alvarezmc@unican.es; samuel.falcon@ulpgc.es</t>
  </si>
  <si>
    <t>Álvarez-Álvarez, Carmen/D-8775-2015</t>
  </si>
  <si>
    <t>Álvarez-Álvarez, Carmen/0000-0002-8160-2286; Falcon, Samuel/0000-0003-3314-1945</t>
  </si>
  <si>
    <t>1042-1629</t>
  </si>
  <si>
    <t>1556-6501</t>
  </si>
  <si>
    <t>ETR&amp;D-EDUC TECH RES</t>
  </si>
  <si>
    <t>ETR&amp;D-Educ. Tech. Res. Dev.</t>
  </si>
  <si>
    <t>10.1007/s11423-023-10239-8</t>
  </si>
  <si>
    <t>S6QL5</t>
  </si>
  <si>
    <t>WOS:000988353200001</t>
  </si>
  <si>
    <t>Pooyandeh, M; Sohn, I</t>
  </si>
  <si>
    <t>Pooyandeh, Mitra; Sohn, Insoo</t>
  </si>
  <si>
    <t>Smart Lithium-Ion Battery Monitoring in Electric Vehicles: An AI-Empowered Digital Twin Approach</t>
  </si>
  <si>
    <t>digital twin; state of charge; lithium-ion battery; time-series GAN</t>
  </si>
  <si>
    <t>CHARGE ESTIMATION; STATE; CANCER</t>
  </si>
  <si>
    <t>This paper presents a transformative methodology that harnesses the power of digital twin (DT) technology for the advanced condition monitoring of lithium-ion batteries (LIBs) in electric vehicles (EVs). In contrast to conventional solutions, our approach eliminates the need to calibrate sensors or add additional hardware circuits. The digital replica works seamlessly alongside the embedded battery management system (BMS) in an EV, delivering real-time signals for monitoring. Our system is a significant step forward in ensuring the efficiency and sustainability of EVs, which play an essential role in reducing carbon emissions. A core innovation lies in the integration of the digital twin into the battery monitoring process, reshaping the landscape of energy storage and alternative power sources such as lithium-ion batteries. Our comprehensive system leverages a cloud-based IoT network and combines both physical and digital components to provide a holistic solution. The physical side encompasses offline modeling, where a long short-term memory (LSTM) algorithm trained with various learning rates (LRs) and optimized by three types of optimizers ensures precise state-of-charge (SOC) predictions. On the digital side, the digital twin takes center stage, enabling the real-time monitoring and prediction of battery activity. A particularly innovative aspect of our approach is the utilization of a time-series generative adversarial network (TS-GAN) to generate synthetic data that seamlessly complement the monitoring process. This pioneering use of a TS-GAN offers an effective solution to the challenge of limited real-time data availability, thus enhancing the system's predictive capabilities. By seamlessly integrating these physical and digital elements, our system enables the precise analysis and prediction of battery behavior. This innovation-particularly the application of a TS-GAN for data generation-significantly contributes to optimizing battery performance, enhancing safety, and extending the longevity of lithium-ion batteries in EVs. Furthermore, the model developed in this research serves as a benchmark for future digital energy storage in lithium-ion batteries and comprehensive energy utilization. According to statistical tests, the model has a high level of precision. Its exceptional safety performance and reduced energy consumption offer promising prospects for sustainable and efficient energy solutions. This paper signifies a pivotal step towards realizing a cleaner and more sustainable future through advanced EV battery management.</t>
  </si>
  <si>
    <t>[Pooyandeh, Mitra; Sohn, Insoo] Dongguk Univ, Div Elect &amp; Elect Engn, Seoul 04620, South Korea</t>
  </si>
  <si>
    <t>Dongguk University</t>
  </si>
  <si>
    <t>Sohn, I (corresponding author), Dongguk Univ, Div Elect &amp; Elect Engn, Seoul 04620, South Korea.</t>
  </si>
  <si>
    <t>mitra.p@dgu.ac.kr; isohn@dongguk.edu</t>
  </si>
  <si>
    <t>National Research Foundation of Korea (NRF) funded by the Korean government (MSIT)</t>
  </si>
  <si>
    <t>10.3390/math11234865</t>
  </si>
  <si>
    <t>AJ1W4</t>
  </si>
  <si>
    <t>WOS:001118017700001</t>
  </si>
  <si>
    <t>Cha, HJ; Yang, HK; Song, YJ; Kang, AR</t>
  </si>
  <si>
    <t>Cha, Hyun-Jong; Yang, Ho-Kyung; Song, You-Jin; Kang, Ah Reum</t>
  </si>
  <si>
    <t>Intelligent Anomaly Detection System through Malware Image Augmentation in IIoT Environment Based on Digital Twin</t>
  </si>
  <si>
    <t>digital twin; IIoT; malware; generative adversarial network; image interpolation</t>
  </si>
  <si>
    <t>CLASSIFICATION; NETWORKS</t>
  </si>
  <si>
    <t>Due to the recent rapid development of the ICT (Information and Communications Technology) field, the industrial sector is also experiencing rapid informatization. As a result, malware targeting information leakage and financial gain are increasingly found within IIoT (the Industrial Internet of Things). Moreover, the number of malware variants is rapidly increasing. Therefore, there is a pressing need for a safe and preemptive malware detection method capable of responding to these rapid changes. The existing malware detection method relies on specific byte sequence inclusion in a binary file. However, this method faces challenges in impacting the system or detecting variant malware. In this paper, we propose a data augmentation method based on an adversarial generative neural network to maintain a secure system and acquire necessary learning data. Specifically, we introduce a digital twin environment to safeguard systems and data. The proposed system creates fixed-size images from malware binaries in the virtual environment of the digital twin. Additionally, it generates new malware through an adversarial generative neural network. The image information produced in this manner is then employed for malware detection through deep learning. As a result, the detection performance, in preparation for the emergence of new malware, demonstrated high accuracy, exceeding 97%.</t>
  </si>
  <si>
    <t>[Cha, Hyun-Jong] Pai Chai Univ, Dept AI Software Engn, Daejeon 35345, South Korea; [Yang, Ho-Kyung] Kwangwoon Univ, Dept Def Acquisit Program, Seoul 01897, South Korea; [Song, You-Jin] Dongguk Univ, Dept Informat Management, WISE Campus, Gyeongju Si 38066, South Korea; [Kang, Ah Reum] Pai Chai Univ, Dept Informat Secur, Daejeon 35345, South Korea</t>
  </si>
  <si>
    <t>Pai Chai University; Kwangwoon University; Dongguk University; Pai Chai University</t>
  </si>
  <si>
    <t>Kang, AR (corresponding author), Pai Chai Univ, Dept Informat Secur, Daejeon 35345, South Korea.</t>
  </si>
  <si>
    <t>hjcha@pcu.ac.kr; porori0421@naver.com; song@dongguk.ac.kr; armk@pcu.ac.kr</t>
  </si>
  <si>
    <t>Cha, HyunJong/T-9784-2017</t>
  </si>
  <si>
    <t>MSIT (Ministry of Science and ICT), Korea, under the Innovative Human Resource Development [IITP-2023-RS-2022-00156334]</t>
  </si>
  <si>
    <t>MSIT (Ministry of Science and ICT), Korea, under the Innovative Human Resource Development</t>
  </si>
  <si>
    <t>This research was supported by the MSIT (Ministry of Science and ICT), Korea, under the Innovative Human Resource Development for Local Intellectualization support program (IITP-2023-RS-2022-00156334) supervised by the IITP (Institute for Information &amp; communications Technology Planning &amp; Evaluation).</t>
  </si>
  <si>
    <t>10.3390/app131810196</t>
  </si>
  <si>
    <t>FI2W0</t>
  </si>
  <si>
    <t>WOS:001145077000001</t>
  </si>
  <si>
    <t>Fiorini, M; Malt, M</t>
  </si>
  <si>
    <t>Fiorini, Marco; Malt, Mikhail</t>
  </si>
  <si>
    <t>Somax2-A Distributed Co-Creative System for Human-Machine Co-Improvisation</t>
  </si>
  <si>
    <t>Machine learning; Co-improvisation; Audio Features; Co-creativity; AI; Interaction Paradigms; Multi-agent systems</t>
  </si>
  <si>
    <t>Somax2 is a multi-agent interactive system, based on machine-listening, machine learning and generative units, performing live machine co-improvisation with musicians. The system is trained on any musical materials chosen by the user (Audio or MIDI), effectively constructing a generative model, a corpus, from which it draws its musical knowledge. Listening to and adapting to a musician, that activates dynamic profiles, Somax2 provides stylistically coherent improvisation in real-time. As part of the REACH project, defining co-creativity as distributed agency between human and machine, Somax2 is indeed a good example of a distributed co-creative system, where multimodal cross-feedback affects collective behavior and increases player's engagement through emotion and motivation.</t>
  </si>
  <si>
    <t>[Fiorini, Marco; Malt, Mikhail] Sorbonne Univ, CNRS, STMS Lab, IRCAM, Paris, France</t>
  </si>
  <si>
    <t>Sorbonne Universite; Centre National de la Recherche Scientifique (CNRS)</t>
  </si>
  <si>
    <t>Fiorini, M (corresponding author), Sorbonne Univ, CNRS, STMS Lab, IRCAM, Paris, France.</t>
  </si>
  <si>
    <t>10.3233/FAIA230106</t>
  </si>
  <si>
    <t>WOS:001150361600035</t>
  </si>
  <si>
    <t>Gong, HY; Su, JL; Seng, KP; Nguyen, A; Liu, A; Liu, HB</t>
  </si>
  <si>
    <t>Gong, Haoyan; Su, Jionglong; Seng, Kah Phooi; Nguyen, Anh; Liu, Ao; Liu, Hongbin</t>
  </si>
  <si>
    <t>Film-GAN: towards realistic analog film photo generation</t>
  </si>
  <si>
    <t>GAN; Photo generation; Generative network; Image translation</t>
  </si>
  <si>
    <t>TO-IMAGE TRANSLATION</t>
  </si>
  <si>
    <t>In recent years, the art of film photography has reemerged as a topic of interest for both researchers and the community. Unlike digital photography, which relies on pixels to capture and store information, film photography employs silver halide to capture the scene. This process imbues film photos with a unique colour and textured graininess not present in digital photography. In this paper, we propose Film-GAN, the first Generative Adversarial Network (GAN)-based method for translating digital images to film. Film-GAN generates a corresponding film transformation of the input image based on the desired reference film style. To improve the realism of the generated images, we introduce the colour-noise-encoding (CNE) network, which extracts the colour and graininess of the reference image separately. Our experimental simulations demonstrate that Film-GAN outperforms other state-of-the-art approaches on multiple datasets. Based on evaluations from both professional photographers and amateur photography enthusiasts, the images generated by Film-GAN also received a higher number of votes, indicating its ability to produce better film-effect images.</t>
  </si>
  <si>
    <t>[Gong, Haoyan; Su, Jionglong; Seng, Kah Phooi; Liu, Ao; Liu, Hongbin] Xian Jiaotong Liverpool Univ, Sch AI &amp; Adv Comp, Suzhou 215123, Jiangsu, Peoples R China; [Nguyen, Anh] Univ Liverpool, Dept Comp Sci, Brownlow Hill, Liverpool L69 7ZX, Merseyside, England</t>
  </si>
  <si>
    <t>Xi'an Jiaotong-Liverpool University; University of Liverpool</t>
  </si>
  <si>
    <t>Liu, HB (corresponding author), Xian Jiaotong Liverpool Univ, Sch AI &amp; Adv Comp, Suzhou 215123, Jiangsu, Peoples R China.</t>
  </si>
  <si>
    <t>haoyan.gong21@student.xjtlu.edu.cn; jionglong.su@xjtlu.edu.cn; jasmine.seng@xjtlu.edu.cn; anh.nguyen@liverpool.ac.uk; ao.liu19@student.xjtlu.edu.cn; hongbin.liu@xjtlu.edu.cn</t>
  </si>
  <si>
    <t>Liu, Hong-Bin/0000-0002-7398-9193</t>
  </si>
  <si>
    <t>10.1007/s00521-023-09283-5</t>
  </si>
  <si>
    <t>HL4Z0</t>
  </si>
  <si>
    <t>WOS:001120798800001</t>
  </si>
  <si>
    <t>Muhammad, A; Salman, Z; Lee, KS; Han, D</t>
  </si>
  <si>
    <t>Muhammad, Abdullah; Salman, Zafar; Lee, Kiseong; Han, Dongil</t>
  </si>
  <si>
    <t>Harnessing the power of diffusion models for plant disease image augmentation</t>
  </si>
  <si>
    <t>FRONTIERS IN PLANT SCIENCE</t>
  </si>
  <si>
    <t>plant science; plant disease; data augmentation; generative AI; GAN; diffusion; vision transformers; leaf segmentation</t>
  </si>
  <si>
    <t>IntroductionThe challenges associated with data availability, class imbalance, and the need for data augmentation are well-recognized in the field of plant disease detection. The collection of large-scale datasets for plant diseases is particularly demanding due to seasonal and geographical constraints, leading to significant cost and time investments. Traditional data augmentation techniques, such as cropping, resizing, and rotation, have been largely supplanted by more advanced methods. In particular, the utilization of Generative Adversarial Networks (GANs) for the creation of realistic synthetic images has become a focal point of contemporary research, addressing issues related to data scarcity and class imbalance in the training of deep learning models. Recently, the emergence of diffusion models has captivated the scientific community, offering superior and realistic output compared to GANs. Despite these advancements, the application of diffusion models in the domain of plant science remains an unexplored frontier, presenting an opportunity for groundbreaking contributions.MethodsIn this study, we delve into the principles of diffusion technology, contrasting its methodology and performance with state-of-the-art GAN solutions, specifically examining the guided inference model of GANs, named InstaGAN, and a diffusion-based model, RePaint. Both models utilize segmentation masks to guide the generation process, albeit with distinct principles. For a fair comparison, a subset of the PlantVillage dataset is used, containing two disease classes of tomato leaves and three disease classes of grape leaf diseases, as results on these classes have been published in other publications.ResultsQuantitatively, RePaint demonstrated superior performance over InstaGAN, with average Frechet Inception Distance (FID) score of 138.28 and Kernel Inception Distance (KID) score of 0.089 +/- (0.002), compared to InstaGAN's average FID and KID scores of 206.02 and 0.159 +/- (0.004) respectively. Additionally, RePaint's FID scores for grape leaf diseases were 69.05, outperforming other published methods such as DCGAN (309.376), LeafGAN (178.256), and InstaGAN (114.28). For tomato leaf diseases, RePaint achieved an FID score of 161.35, surpassing other methods like WGAN (226.08), SAGAN (229.7233), and InstaGAN (236.61).DiscussionThis study offers valuable insights into the potential of diffusion models for data augmentation in plant disease detection, paving the way for future research in this promising field.</t>
  </si>
  <si>
    <t>[Muhammad, Abdullah; Salman, Zafar; Lee, Kiseong; Han, Dongil] Sejong Univ, Dept Comp Engn, Vis &amp; Image Proc Lab, Seoul, South Korea</t>
  </si>
  <si>
    <t>Sejong University</t>
  </si>
  <si>
    <t>Han, D (corresponding author), Sejong Univ, Dept Comp Engn, Vis &amp; Image Proc Lab, Seoul, South Korea.</t>
  </si>
  <si>
    <t>dihan@sejong.ac.kr</t>
  </si>
  <si>
    <t>Lee, Ki-Seong/C-1706-2013</t>
  </si>
  <si>
    <t>MSIT (Ministry of Science and ICT), Korea, under the ITRC (Information Technology Research Center) support program [IITP-2023-RS-2022-00156354]; National Research Foundation of Korea (NRF) - Korea government (MSIT) [2021R1F1A106168711, PJ015686]; Rural Development Administration, Republic of Korea</t>
  </si>
  <si>
    <t>MSIT (Ministry of Science and ICT), Korea, under the ITRC (Information Technology Research Center) support program(Ministry of Science &amp; ICT (MSIT), Republic of KoreaMinistry of Science, ICT &amp; Future Planning, Republic of Korea); National Research Foundation of Korea (NRF) - Korea government (MSIT)(National Research Foundation of KoreaMinistry of Science, ICT &amp; Future Planning, Republic of KoreaMinistry of Science &amp; ICT (MSIT), Republic of Korea); Rural Development Administration, Republic of Korea(Rural Development Administration (RDA), Republic of Korea)</t>
  </si>
  <si>
    <t>The author(s) declare financial support was received for the research, authorship, and/or publication of this article. This research was supported in part by the MSIT (Ministry of Science and ICT), Korea, under the ITRC (Information Technology Research Center) support program (IITP-2023-RS-2022-00156354) supervised by the IITP (Institute for Information and Communications Technology Planning and Evaluation), in part by the National Research Foundation of Korea (NRF) grant funded by the Korea government (MSIT) (NO. 2021R1F1A106168711) and in part by the Cooperative Research Program for Agriculture Science and Technology Development (Project No. PJ015686) Rural Development Administration, Republic of Korea.</t>
  </si>
  <si>
    <t>1664-462X</t>
  </si>
  <si>
    <t>FRONT PLANT SCI</t>
  </si>
  <si>
    <t>Front. Plant Sci.</t>
  </si>
  <si>
    <t>10.3389/fpls.2023.1280496</t>
  </si>
  <si>
    <t>Plant Sciences</t>
  </si>
  <si>
    <t>Y6TK6</t>
  </si>
  <si>
    <t>WOS:001106562300001</t>
  </si>
  <si>
    <t>Daher, R; Barbed, OL; Murillo, AC; Vasconcelos, F; Stoyanov, D</t>
  </si>
  <si>
    <t>Daher, Rema; Barbed, O. Leon; Murillo, Ana C.; Vasconcelos, Francisco; Stoyanov, Danail</t>
  </si>
  <si>
    <t>CycleSTTN: A Learning-Based Temporal Model for Specular Augmentation in Endoscopy</t>
  </si>
  <si>
    <t>MEDICAL IMAGE COMPUTING AND COMPUTER ASSISTED INTERVENTION, MICCAI 2023, PT X</t>
  </si>
  <si>
    <t>Surgical Data Science; Surgical AI; Generative AI; Deep Learning; Endoscopy; Specularity</t>
  </si>
  <si>
    <t>Feature detection and matching is a computer vision problem that underpins different computer assisted techniques in endoscopy, including anatomy and lesion recognition, camera motion estimation, and 3D reconstruction. This problem is made extremely challenging due to the abundant presence of specular reflections. Most of the solutions proposed in the literature are based on filtering or masking out these regions as an additional processing step. There has been little investigation into explicitly learning robustness to such artefacts with single-step end-to-end training. In this paper, we propose an augmentation technique (CycleSTTN) that adds temporally consistent and realistic specularities to endoscopic videos. Such videos can act as ground truth data with known texture occluded behind the added specularities. We demonstrate that our image generation technique produces better results than a standard CycleGAN model. Additionally, we leverage this data augmentation to re-train a deep-learning based feature extractor (SuperPoint) and show that it improves. CycleSTTN code is made available here.</t>
  </si>
  <si>
    <t>[Daher, Rema; Vasconcelos, Francisco; Stoyanov, Danail] UCL, London, England; [Barbed, O. Leon; Murillo, Ana C.] Univ Zaragoza, Zaragoza, Spain</t>
  </si>
  <si>
    <t>University of London; University College London; University of Zaragoza</t>
  </si>
  <si>
    <t>Daher, R (corresponding author), UCL, London, England.</t>
  </si>
  <si>
    <t>rema.daher.20@ucl.ac.uk; acm@unizar.es; danail.stoyanov@ucl.ac.uk</t>
  </si>
  <si>
    <t>Barbed, Oscar Leon/0000-0001-8191-6261; Murillo Arnal, Ana Cristina/0000-0002-7580-9037</t>
  </si>
  <si>
    <t>Wellcome/EPSRC Centre for Interventional and Surgical Sciences (WEISS) [203145/Z/16/Z]; Engineering and Physical Sciences Research Council (EPSRC) [EP/P027938/1, EP/R004080/1, EP/P012841/1]; Royal Academy of Engineering Chair in Emerging Technologies Scheme; H2020 FET [GA863146]; UCL Centre for Digital Innovation through the Amazon Web Services (AWS) Doctoral Scholarship in Digital Innovation 2022/2023</t>
  </si>
  <si>
    <t>Wellcome/EPSRC Centre for Interventional and Surgical Sciences (WEISS)(UK Research &amp; Innovation (UKRI)Engineering &amp; Physical Sciences Research Council (EPSRC)Wellcome Trust); Engineering and Physical Sciences Research Council (EPSRC)(UK Research &amp; Innovation (UKRI)Engineering &amp; Physical Sciences Research Council (EPSRC)); Royal Academy of Engineering Chair in Emerging Technologies Scheme; H2020 FET; UCL Centre for Digital Innovation through the Amazon Web Services (AWS) Doctoral Scholarship in Digital Innovation 2022/2023</t>
  </si>
  <si>
    <t>This research was funded in part, by the Wellcome/EPSRC Centre for Interventional and Surgical Sciences (WEISS) [203145/Z/16/Z]; the Engineering and Physical Sciences Research Council (EPSRC) [EP/P027938/1, EP/R004080/1, EP/P012841/1]; the Royal Academy of Engineering Chair in Emerging Technologies Scheme; H2020 FET (GA863146); and the UCL Centre for Digital Innovation through the Amazon Web Services (AWS) Doctoral Scholarship in Digital Innovation 2022/2023. For the purpose of open access, the author has applied a CC BY public copyright licence to any author accepted manuscript version arising from this submission.</t>
  </si>
  <si>
    <t>978-3-031-43998-8; 978-3-031-43999-5</t>
  </si>
  <si>
    <t>10.1007/978-3-031-43999-5_54</t>
  </si>
  <si>
    <t>BW1RO</t>
  </si>
  <si>
    <t>WOS:001109641000054</t>
  </si>
  <si>
    <t>Maiyza, AI; Korany, NO; Banawan, K; Hassan, HA; Sheta, WM</t>
  </si>
  <si>
    <t>Maiyza, Aya. I. I.; Korany, Noha. O. O.; Banawan, Karim; Hassan, Hanan. A. A.; Sheta, Walaa. M. M.</t>
  </si>
  <si>
    <t>VTGAN: hybrid generative adversarial networks for cloud workload prediction</t>
  </si>
  <si>
    <t>JOURNAL OF CLOUD COMPUTING-ADVANCES SYSTEMS AND APPLICATIONS</t>
  </si>
  <si>
    <t>Cloud computing; Workload prediction; GAN; LSTM; GRU; Convolution neural network; sliding windows; Multi-step-ahead-prediction</t>
  </si>
  <si>
    <t>NEURAL-NETWORK; CPU WORKLOAD; LSTM; MODEL; FRAMEWORK</t>
  </si>
  <si>
    <t>Efficient resource management approaches have become a fundamental challenge for distributed systems, especially dynamic environment systems such as cloud computing data centers. These approaches aim at load-balancing or minimizing power consumption. Due to the highly dynamic nature of cloud workloads, traditional time series and machine learning models fail to achieve accurate predictions. In this paper, we propose novel hybrid VTGAN models. Our proposed models not only aim at predicting future workloads but also predicting the workload trend (i.e., the upward or downward direction of the workload). Trend classification could be less complex during the decision-mak ing process in resource management approaches. Also, we study the effect of changing the sliding window size and the number of prediction steps. In addition, we investigate the impact of enhancing the features used for training using the technical indicators, Fourier transforms, and wavelet transforms. We validate our models using a real cloud workload dataset. Our results show that VTGAN models outperform traditional deep learning and hybrid models, such as LSTM/GRU and CNN-LSTM/GRU, concerning cloud workload prediction and trend classification. Our proposed model records an upward prediction accuracy ranging from 95.4% to 96.6%.</t>
  </si>
  <si>
    <t>[Maiyza, Aya. I. I.; Korany, Noha. O. O.; Banawan, Karim] Alexandria Univ, Fac Engn, Dept Elect Engn, Alexandria, Egypt; [Maiyza, Aya. I. I.; Hassan, Hanan. A. A.; Sheta, Walaa. M. M.] City Sci Res &amp; Technol Applicat SRTA City, Informat Res Inst, Alexandria, Egypt</t>
  </si>
  <si>
    <t>Egyptian Knowledge Bank (EKB); Alexandria University; Egyptian Knowledge Bank (EKB); City of Scientific Research &amp; Technological Applications (SRTA-City)</t>
  </si>
  <si>
    <t>Maiyza, AI (corresponding author), Alexandria Univ, Fac Engn, Dept Elect Engn, Alexandria, Egypt.;Maiyza, AI (corresponding author), City Sci Res &amp; Technol Applicat SRTA City, Informat Res Inst, Alexandria, Egypt.</t>
  </si>
  <si>
    <t>amaiyza@srtacity.sci.eg</t>
  </si>
  <si>
    <t>Maiyza, Aya/HMV-8690-2023</t>
  </si>
  <si>
    <t>Maiyza, Aya/0000-0002-1503-0179</t>
  </si>
  <si>
    <t>Science,Technology amp; Innovation Funding Authority (STDF); Egyptian Knowledge Bank (EKB)</t>
  </si>
  <si>
    <t>Science,Technology amp; Innovation Funding Authority (STDF)(Science and Technology Development Fund (STDF)); Egyptian Knowledge Bank (EKB)</t>
  </si>
  <si>
    <t>Open access funding provided by The Science,Technology &amp; amp; Innovation Funding Authority (STDF) in cooperation with The Egyptian Knowledge Bank (EKB).</t>
  </si>
  <si>
    <t>2192-113X</t>
  </si>
  <si>
    <t>J CLOUD COMPUT-ADV S</t>
  </si>
  <si>
    <t>J. Cloud Comput.-Adv. Syst. Appl.</t>
  </si>
  <si>
    <t>JUN 26</t>
  </si>
  <si>
    <t>10.1186/s13677-023-00473-z</t>
  </si>
  <si>
    <t>L0ZT5</t>
  </si>
  <si>
    <t>WOS:001020631000001</t>
  </si>
  <si>
    <t>Li, B; Kou, XJ; Bonk, CJ</t>
  </si>
  <si>
    <t>Li, Belle; Kou, Xiaojing; Bonk, Curtis J.</t>
  </si>
  <si>
    <t>Embracing the Disrupted Language Teaching and Learning Field: Analyzing YouTube Content Creation Related to ChatGPT</t>
  </si>
  <si>
    <t>LANGUAGES</t>
  </si>
  <si>
    <t>language education; ChatGPT; YouTube content creation</t>
  </si>
  <si>
    <t>Since late 2022, dozens of YouTube channels focusing on a diverse array of topics related to language learning with generative AI tools such as ChatGPT have rapidly emerged. This study explores the implementations and perspectives of YouTube content creators who now constitute an increasingly important segment of the ecosystem of language teaching and learning. A mixed methods netnographic approach was employed, combining qualitative and quantitative techniques. A total of 140 videos were identified and analyzed, and an in-depth content analysis was conducted to uncover underlying themes. Four main categories of creators were identified: educators, learners, technology professionals, and e-learning providers. Educators, especially English and Japanese teachers, were the majority, followed by learners and technology field professionals. This study highlights the benefits, drawbacks, and concerns associated with the integration of AI tools in language learning. By examining this rapidly evolving phenomenon, the study contributes towards an understanding of the role and impact of generative AI tools in language education.</t>
  </si>
  <si>
    <t>[Li, Belle] Purdue Univ, Dept Curriculum &amp; Instruct, W Lafayette, IN 47907 USA; [Kou, Xiaojing] Indiana Univ, Ctr Language Technol, Bloomington, IN 47405 USA; [Bonk, Curtis J.] Indiana Univ, Dept Instruct Syst Technol, Bloomington, IN 47405 USA</t>
  </si>
  <si>
    <t>Purdue University System; Purdue University; Indiana University System; Indiana University Bloomington; Indiana University System; Indiana University Bloomington</t>
  </si>
  <si>
    <t>Li, B (corresponding author), Purdue Univ, Dept Curriculum &amp; Instruct, W Lafayette, IN 47907 USA.</t>
  </si>
  <si>
    <t>li4808@purdue.edu; xkou@indiana.edu; cjbonk@indiana.edu</t>
  </si>
  <si>
    <t>Li, Belle/JXW-8400-2024</t>
  </si>
  <si>
    <t>Li, Siying/0009-0000-5750-4793; Bonk, Curtis/0000-0002-6365-9502</t>
  </si>
  <si>
    <t>2226-471X</t>
  </si>
  <si>
    <t>LANGUAGES-BASEL</t>
  </si>
  <si>
    <t>Languages-Basel</t>
  </si>
  <si>
    <t>10.3390/languages8030197</t>
  </si>
  <si>
    <t>T6BE8</t>
  </si>
  <si>
    <t>WOS:001078813600001</t>
  </si>
  <si>
    <t>Masi, G; Prata, M; Conti, M; Bartolini, N; Vyetrenko, S</t>
  </si>
  <si>
    <t>Masi, Giuseppe; Prata, Matteo; Conti, Michele; Bartolini, Novella; Vyetrenko, Svitlana</t>
  </si>
  <si>
    <t>On Correlated Stock Market Time Series Generation</t>
  </si>
  <si>
    <t>In this paper, we present CoMeTS-GAN (Correlated Multivariate Time Series GAN), a framework based on Conditional Generative Adversarial Networks (C-GANs), designed to generate mid-prices and volumes time series of correlated stocks. This tool provides a light and responsive solution for realistic stock market simulation. It is able to accurately learn and reproduce inter-asset correlations, a crucial aspect for achieving realness in multi-stock simulation environments. Our experimental campaign assesses the model using acknowledged stylized facts of stock markets as well as additional metrics capturing inter-asset correlations. We compare our model to leading architectures, highlighting our approach's strengths. These findings suggest the potential of CoMeTS-GAN in realistically simulating correlated price movements, offering a responsive market environment and valuable input for trading strategy formulation.</t>
  </si>
  <si>
    <t>[Masi, Giuseppe; Prata, Matteo; Conti, Michele; Bartolini, Novella] Sapienza Univ Rome, Rome, Italy; [Vyetrenko, Svitlana] JP Morgan AI Res, New York, NY USA</t>
  </si>
  <si>
    <t>Sapienza University Rome</t>
  </si>
  <si>
    <t>Masi, G (corresponding author), Sapienza Univ Rome, Rome, Italy.</t>
  </si>
  <si>
    <t>masi.g@di.uniroma1.it; prata@di.uniroma1.it; conti.1599133@studenti.uniroma1.it; novella@di.uniroma1.it; svitlana.s.vyetrenko@jpmchase.com</t>
  </si>
  <si>
    <t>Prata, Matteo/0000-0003-3176-5789; Vyetrenko, Svitlana/0000-0001-7650-9880; Bartolini, Novella/0000-0002-1278-4549</t>
  </si>
  <si>
    <t>JPMorgan Chase AI Research Faculty award Understanding interdependent market dynamics: vulnerabilities and opportunities</t>
  </si>
  <si>
    <t>This research was funded by JPMorgan Chase AI Research Faculty award Understanding interdependent market dynamics: vulnerabilities and opportunities. This paper was prepared for informational purposes in part by the Artificial Intelligence Research group of JPMorgan Chase &amp; Co. and its affiliates (JP Morgan), and is not a product of the Research Department of JP Morgan. JP Morgan makes no representation and warranty whatsoever and disclaims all liability, for the completeness, accuracy or reliability of the information contained herein. This document is not intended as investment research or investment advice, or a recommendation, offer or solicitation for the purchase or sale of any security, financial instrument, financial product or service, or to be used in any way for evaluating the merits of participating in any transaction, and shall not constitute a solicitation under any jurisdiction or to any person, if such solicitation under such jurisdiction or to such person would be unlawful.</t>
  </si>
  <si>
    <t>10.1145/3604237.3626895</t>
  </si>
  <si>
    <t>WOS:001124982700061</t>
  </si>
  <si>
    <t>Li, J; Cairns, BJ; Li, JS; Zhu, TT</t>
  </si>
  <si>
    <t>Li, Jin; Cairns, Benjamin J.; Li, Jingsong; Zhu, Tingting</t>
  </si>
  <si>
    <t>Generating synthetic mixed-type longitudinal electronic health records for artificial intelligent applications</t>
  </si>
  <si>
    <t>PREDICTION; PRIVACY</t>
  </si>
  <si>
    <t>The recent availability of electronic health records (EHRs) have provided enormous opportunities to develop artificial intelligence (AI) algorithms. However, patient privacy has become a major concern that limits data sharing across hospital settings and subsequently hinders the advances in AI. Synthetic data, which benefits from the development and proliferation of generative models, has served as a promising substitute for real patient EHR data. However, the current generative models are limited as they only generate singletype of clinical data for a synthetic patient, i.e., either continuous-valued or discrete-valued. To mimic the nature of clinical decision-making which encompasses various data types/sources, in this study, we propose a generative adversarial network (GAN) entitled EHR-M-GAN that simultaneously synthesizes mixed-type timeseries EHR data. EHR-M-GAN is capable of capturing the multidimensional, heterogeneous, and correlated temporal dynamics in patient trajectories. We have validated EHR-M-GAN on three publicly-available intensive care unit databases with records from a total of 141,488 unique patients, and performed privacy risk evaluation of the proposed model. EHR-M-GAN has demonstrated its superiority over state-of-the-art benchmarks for synthesizing clinical timeseries with high fidelity, while addressing the limitations regarding data types and dimensionality in the current generative models. Notably, prediction models for outcomes of intensive care performed significantly better when training data was augmented with the addition of EHR-M-GAN-generated timeseries. EHR-M-GAN may have use in developing AI algorithms in resource-limited settings, lowering the barrier for data acquisition while preserving patient privacy.</t>
  </si>
  <si>
    <t>[Li, Jin; Li, Jingsong] Zhejiang Univ, Coll Biomed Engn &amp; Instrument Sci, Engn Res Ctr EMR &amp; Intelligent Expert Syst, Minist Educ, Hangzhou, Peoples R China; [Li, Jin; Zhu, Tingting] Univ Oxford, Dept Engn Sci, Oxford, England; [Cairns, Benjamin J.] Univ Oxford, Nuffield Dept Populat Hlth, Clin Trial Serv Unit &amp; Epidemiol Studies, Oxford, England; [Li, Jingsong] Zhejiang Lab, Res Ctr Healthcare Data Sci, Hangzhou, Peoples R China</t>
  </si>
  <si>
    <t>Zhejiang University; University of Oxford; University of Oxford; Zhejiang Laboratory</t>
  </si>
  <si>
    <t>Li, JS (corresponding author), Zhejiang Univ, Coll Biomed Engn &amp; Instrument Sci, Engn Res Ctr EMR &amp; Intelligent Expert Syst, Minist Educ, Hangzhou, Peoples R China.;Zhu, TT (corresponding author), Univ Oxford, Dept Engn Sci, Oxford, England.;Li, JS (corresponding author), Zhejiang Lab, Res Ctr Healthcare Data Sci, Hangzhou, Peoples R China.</t>
  </si>
  <si>
    <t>ljs@zju.edu.cn; tingting.zhu@eng.ox.ac.uk</t>
  </si>
  <si>
    <t>Li, Jingsong/AAT-8215-2021</t>
  </si>
  <si>
    <t>Li, Jingsong/0000-0002-1064-637X; Zhu, Tingting/0000-0002-1552-5630; Li, Jin/0009-0006-2316-9169</t>
  </si>
  <si>
    <t>China Scholarship Council (CSC); Ministry of Education of P.R. China; Royal Academy of Engineering under the Research Fellowship; National Institute for Health Research Oxford Biomedical Research Centre</t>
  </si>
  <si>
    <t>China Scholarship Council (CSC)(China Scholarship Council); Ministry of Education of P.R. China(Ministry of Education, China); Royal Academy of Engineering under the Research Fellowship; National Institute for Health Research Oxford Biomedical Research Centre(National Institutes of Health Research (NIHR))</t>
  </si>
  <si>
    <t>We owe thanks to PhysioNet for the availability of the critical care databases. We also would like to express our sincere thanks to Lara Prisco (Nuffield Department of Clinical Neurosciences, University of Oxford) and Baptiste Vasey (Nuffield Department of Surgical Sciences, University of Oxford) for the clinical input in the paper. Jin Li was funded by the China Scholarship Council (CSC) from the Ministry of Education of P.R. China. T.Z. was supported by the Royal Academy of Engineering under the Research Fellowship scheme and the National Institute for Health Research Oxford Biomedical Research Centre.</t>
  </si>
  <si>
    <t>MAY 27</t>
  </si>
  <si>
    <t>10.1038/s41746-023-00834-7</t>
  </si>
  <si>
    <t>H4OF7</t>
  </si>
  <si>
    <t>WOS:000995767300001</t>
  </si>
  <si>
    <t>Ye, JZ</t>
  </si>
  <si>
    <t>Ye Jinzhou</t>
  </si>
  <si>
    <t>Invasive Brain-Computer Interfaces are not the only Danger</t>
  </si>
  <si>
    <t>INTERNATIONAL JOURNAL OF CHINESE &amp; COMPARATIVE PHILOSOPHY OF MEDICINE</t>
  </si>
  <si>
    <t>Zhai Zhenming's argument that invasive brain-computer interfaces are dangerous is timely and well grounded. However, the danger of (non-invasive) artificial intelligence (AI) technology in unduly overlooked. First, non-invasive AI can cause as much harm to human agency and freedom as brain-computer interface technology. Second, AI may push many people away from jobs that give meaning to their lives. At the same time, the attribution of responsibilities becomes difficult, if not impossible, with the involvement of AI in decision-making. Finally, optimism about treating generative AI as equivalent to human overlooks a fundamental difficulty of collective life, namely the problem of mutual assurance.</t>
  </si>
  <si>
    <t>[Ye Jinzhou] Huazhong Univ Sci &amp; Technol, Sch Philosophy, Wuhan 430074, Peoples R China</t>
  </si>
  <si>
    <t>Huazhong University of Science &amp; Technology</t>
  </si>
  <si>
    <t>Ye, JZ (corresponding author), Huazhong Univ Sci &amp; Technol, Sch Philosophy, Wuhan 430074, Peoples R China.</t>
  </si>
  <si>
    <t>GLOBAL SCHOLARLY PUBLICATIONS</t>
  </si>
  <si>
    <t>220 MADISON AVE, STE 11-G, NEW YORK, NY 10016 USA</t>
  </si>
  <si>
    <t>1386-6354</t>
  </si>
  <si>
    <t>INT J CHIN COMP PHIL</t>
  </si>
  <si>
    <t>Int. J. Chin. Comp. Phil. Med.</t>
  </si>
  <si>
    <t>IP5B0</t>
  </si>
  <si>
    <t>WOS:001167535100021</t>
  </si>
  <si>
    <t>Frey, S; Li, K; Nagy, P; Sapora, S; Lu, C; Zohren, S; Foerster, J; Calinescu, A</t>
  </si>
  <si>
    <t>Frey, Sascha; Li, Kang; Nagy, Peer; Sapora, Silvia; Lu, Chris; Zohren, Stefan; Foerster, Jakob; Calinescu, Anisoara</t>
  </si>
  <si>
    <t>JAX-LOB: A GPU-Accelerated Limit Order Book Simulator to Unlock Large Scale Reinforcement Learning for Trading</t>
  </si>
  <si>
    <t>limit order books; reinforcement learning; high frequency trading; trade execution; market replay; order book simulator</t>
  </si>
  <si>
    <t>Financial exchanges across the world use limit order books (LOBs) to process orders and match trades. For research purposes it is important to have large scale efficient simulators of LOB dynamics. LOB simulators have previously been implemented in the context of agent-based models (ABMs), reinforcement learning (RL) environments, and generative models, processing order flows from historical data sets and hand-crafted agents alike. For many applications, there is a requirement for processing multiple books, either for the calibration of ABMs or for the training of RL agents. We showcase the first GPU-enabled LOB simulator designed to process thousands of books in parallel, whether for identical or different securities, with an up to 75x faster per-message processing time. The implementation of our simulator - JAX-LOB - is based on design choices that aim to best exploit the powers of JAX without compromising on the realism of LOB-related mechanisms. We integrate JAX-LOB with other JAX packages, to provide an example of how one may address an optimal execution problem with reinforcement learning, and to share some preliminary results from end-to-end RL training on GPUs. The project code is available on GitHub(1)</t>
  </si>
  <si>
    <t>[Frey, Sascha; Calinescu, Anisoara] Univ Oxford, Dept Comp Sci, Oxford, England; [Li, Kang] Univ Oxford, Dept Stat, Oxford, England; [Nagy, Peer; Zohren, Stefan] Univ Oxford, Oxford Man Inst Quantitat Finance, Oxford, England; [Sapora, Silvia; Lu, Chris; Foerster, Jakob] Univ Oxford, Foerster Lab AI Res, Oxford, England; [Calinescu, Anisoara] Alan Turing Inst, London, England</t>
  </si>
  <si>
    <t>Frey, S (corresponding author), Univ Oxford, Dept Comp Sci, Oxford, England.</t>
  </si>
  <si>
    <t>sascha.frey@st-hughs.ox.ac.uk</t>
  </si>
  <si>
    <t>Sapora, Silvia/0009-0000-0715-983X; Lu, Christopher/0009-0006-4730-3633</t>
  </si>
  <si>
    <t>UKRI AI World Leading Researcher Fellowship [EP/W002949/1]; Trustworthy AI - Integrating Learning, Optimisation and Reasoning (TAILOR) - European Union [952215]; Hasler Foundation, Switzerland</t>
  </si>
  <si>
    <t>UKRI AI World Leading Researcher Fellowship; Trustworthy AI - Integrating Learning, Optimisation and Reasoning (TAILOR) - European Union; Hasler Foundation, Switzerland</t>
  </si>
  <si>
    <t>A. Calinescu acknowledges financial support from a UKRI AI World Leading Researcher Fellowship (grant EP/W002949/1), and from Trustworthy AI - Integrating Learning, Optimisation and Reasoning (TAILOR) (https://tailor-network.eu/), a project funded by European Union Horizon2020 research and innovation program under Grant Agreement 952215. S. Frey acknowledges financial support for his DPhil studies from the Hasler Foundation, Switzerland. For the purpose of Open Access, the authors have applied a CC BY public copyright licence to any Author Accepted Manuscript version arising from this submission.</t>
  </si>
  <si>
    <t>10.1145/3604237.3626880</t>
  </si>
  <si>
    <t>WOS:001124982700068</t>
  </si>
  <si>
    <t>Saka, A; Taiwo, R; Saka, N; Salami, BA; Ajayi, S; Akande, K; Kazemi, H</t>
  </si>
  <si>
    <t>Saka, Abdullahi; Taiwo, Ridwan; Saka, Nurudeen; Salami, Babatunde Abiodun; Ajayi, Saheed; Akande, Kabiru; Kazemi, Hadi</t>
  </si>
  <si>
    <t>GPT models in construction industry: Opportunities, limitations, and a use case validation</t>
  </si>
  <si>
    <t>DEVELOPMENTS IN THE BUILT ENVIRONMENT</t>
  </si>
  <si>
    <t>LLMs; ChatGPT; GPT; Artificial intelligence; Generative AI</t>
  </si>
  <si>
    <t>ARTIFICIAL-INTELLIGENCE; BIG DATA; MANAGEMENT; BUILDINGS; PROJECTS; OPTIMIZATION; PERFORMANCE; DESIGN</t>
  </si>
  <si>
    <t>Large Language Models (LLMs) trained on large data sets came into prominence in 2018 after Google introduced BERT. Subsequently, different LLMs such as GPT models from OpenAI have been released. These models perform well on diverse tasks and have been gaining widespread applications in fields such as business and education. However, little is known about the opportunities and challenges of using LLMs in the construction industry. Thus, this study aims to assess GPT models in the construction industry. A critical review, expert discussion and case study validation are employed to achieve the study's objectives. The findings revealed opportunities for GPT models throughout the project lifecycle. The challenges of leveraging GPT models are highlighted and a use case prototype is developed for materials selection and optimization. The findings of the study would be of benefit to researchers, practitioners and stakeholders, as it presents research vistas for LLMs in the construction industry.</t>
  </si>
  <si>
    <t>[Saka, Abdullahi; Saka, Nurudeen; Ajayi, Saheed; Kazemi, Hadi] Leeds Beckett Univ, Sch Built Environm Engn &amp; Comp, Leeds, England; [Taiwo, Ridwan] Hong Kong Polytech Univ, Dept Bldg &amp; Real Estate, Hong Kong, Peoples R China; [Salami, Babatunde Abiodun] Cardiff Metropolitan Univ, Cardiff Sch Management, Llandaff Campus, Cardiff, Wales; [Akande, Kabiru] OVO Energy, London, England</t>
  </si>
  <si>
    <t>Leeds Beckett University; Hong Kong Polytechnic University; Cardiff Metropolitan University</t>
  </si>
  <si>
    <t>Ajayi, S (corresponding author), Leeds Beckett Univ, Sch Built Environm Engn &amp; Comp, Leeds, England.</t>
  </si>
  <si>
    <t>a.saka@leedsbeckett.ac.uk; ridwan-a.taiwo@connect.polyu.hk; n.o.saka@leedsbeckett.ac.uk; basalami@cardiffmet.ac.uk; s.ajayi@leedsbeckett.ac.uk; koakande@gmail.com; h.kazemi@leedsbeckett.ac.uk</t>
  </si>
  <si>
    <t>Saka, Abdullahi/0000-0002-3213-9774</t>
  </si>
  <si>
    <t>Leeds Beckett University</t>
  </si>
  <si>
    <t>The authors would like to acknowledge and express their sincere gratitude to Leeds Beckett University for providing financial support for this study.</t>
  </si>
  <si>
    <t>2666-1659</t>
  </si>
  <si>
    <t>DEV BUILT ENVIRON</t>
  </si>
  <si>
    <t>Dev. Built Environ.</t>
  </si>
  <si>
    <t>10.1016/j.dibe.2023.100300</t>
  </si>
  <si>
    <t>FR1C3</t>
  </si>
  <si>
    <t>WOS:001147477500001</t>
  </si>
  <si>
    <t>Li, LY; Yan, JC; Zhang, YH; Zhang, JH; Bao, J; Jin, YH; Yang, XK</t>
  </si>
  <si>
    <t>Li, Longyuan; Yan, Junchi; Zhang, Yunhao; Zhang, Jihai; Bao, Jie; Jin, Yaohui; Yang, Xiaokang</t>
  </si>
  <si>
    <t>Learning Generative RNN-ODE for Collaborative Time-Series and Event Sequence Forecasting</t>
  </si>
  <si>
    <t>Forecasting; Predictive models; Data models; Probabilistic logic; Mathematical models; Estimation; Time series analysis; Probabilistic forecasting; event prediction; temporal point processes; time-series; variational auto-encoder; ordinary differential equations; conditional variational learning</t>
  </si>
  <si>
    <t>MODELS; PREDICTION</t>
  </si>
  <si>
    <t>Time-series and event sequences are widely collected data types in real-world applications. Modeling and forecasting of such temporal data play an important role in an informed decision-making process. A major limitation of previous methods is that they either focus on time-series or events, rather than the combination of the two worlds. In fact, the two types of data often provide complementary information, emphasizing the necessity of jointly modeling the both. In this paper, we propose the RNN-ODE collaborative model for joint modeling and forecasting of heterogeneous time-series and event sequence data, which combines several useful techniques from both Bayesian and deep learning for its interpretability. Specifically, we devise a tailored encoder to combine the advances in deep temporal point processes models and variational recurrent neural networks. To predict the probability of event occurrence over an arbitrary continuous-time horizon, we base our model on the mathematical foundation of Neural Ordinary Differential Equations (NODE). Extensive experimental results on simulations and real data sets show that compared with existing methods, our integrated approach can achieve more competitive forecasting performance of both time-series and event sequences.</t>
  </si>
  <si>
    <t>[Li, Longyuan; Jin, Yaohui] Shanghai Jiao Tong Univ, State Key Lab Adv Opt Commun Syst &amp; Network, MoE Key Lab ArtificialIntel ligence, AI Inst, Shanghai 200240, Peoples R China; [Yan, Junchi; Zhang, Yunhao; Zhang, Jihai] Shanghai Jiao Tong Univ, Dept Comp Sci &amp; Engn, MoE Key Lab ArtificialIntelli gence, AI Inst, Shanghai 200240, Peoples R China; [Bao, Jie] Shanghai Weidi Informat Technol Co Ltd, Shanghai 200050, Peoples R China; [Yang, Xiaokang] Shanghai Jiao Tong Univ, Sch Elect Informat &amp; Elect Engn, Shanghai 200240, Peoples R China</t>
  </si>
  <si>
    <t>Jin, YH (corresponding author), Shanghai Jiao Tong Univ, State Key Lab Adv Opt Commun Syst &amp; Network, MoE Key Lab ArtificialIntel ligence, AI Inst, Shanghai 200240, Peoples R China.;Yan, JC (corresponding author), Shanghai Jiao Tong Univ, Dept Comp Sci &amp; Engn, MoE Key Lab ArtificialIntelli gence, AI Inst, Shanghai 200240, Peoples R China.</t>
  </si>
  <si>
    <t>jeffli@sjtu.edu.cn; yanesta13@163.com; zhangyunhao@sjtu.edu.cn; yunfan243332345@sjtu.edu.cn; baojie@visdata.com; jinyh@sjtu.edu.cn; xkyang@sjtu.edu.cn</t>
  </si>
  <si>
    <t>Li, Yuanxiang/KCX-8706-2024; Lu, Yi/KEJ-2560-2024; li, xinke/JTU-3633-2023; zhang, xiaoyu/KEJ-0657-2024; Chen, Fang/JZE-4446-2024; liang, liang/IAO-8518-2023; Chen, Jin/KBQ-0163-2024; wang, hao/JKH-5890-2023; Li, Yao/JJC-2927-2023; lin, lin/KFB-9548-2024; tong, li/KDO-7821-2024; lu, yuan/JZD-0832-2024; li, fang/KDO-8841-2024; xu, liu/KCL-1154-2024; Yang, han/KFS-2671-2024; Wang, Chao/JHT-6081-2023; zhang, jiahao/KEE-9357-2024; lan, lan/JWO-3679-2024; Chen, Chao/JHS-6563-2023; Zhang, Xiaoyu/JXR-6386-2024; Ma, Xiaodong/JAN-7473-2023; Jiang, Yu/JEZ-9814-2023; Yang, Xiaokang/C-6137-2009; Wang, Zhuo/JVO-1874-2024; WANG, JIAXUAN/JMP-8599-2023; lin, lin/KCZ-0185-2024; LIU, JIALIN/JXN-8034-2024; Yuan, Ye/KBC-9835-2024; wang, wenjing/KEH-0575-2024; Zhang, yuxuan/JXM-9935-2024; yan, yan/JVN-1800-2024; Yan, Jun/IXD-7801-2023; li, tong/JYO-7530-2024; Wang, Weiyi/JZC-7841-2024</t>
  </si>
  <si>
    <t>Chen, Jin/0009-0005-5844-635X; Yang, Xiaokang/0000-0003-4029-3322; Yuan, Ye/0009-0008-1640-7047; Yan, Junchi/0000-0001-9639-7679; Li, Longyuan/0000-0003-4172-7532</t>
  </si>
  <si>
    <t>China Major State Research Development Program [2020AAA0107600]; NSFC [U19B2035, 61972250, 72061127003]; Shanghai Municipal Science and Technology Major Project [2021SHZDZX0102]</t>
  </si>
  <si>
    <t>China Major State Research Development Program; NSFC(National Natural Science Foundation of China (NSFC)); Shanghai Municipal Science and Technology Major Project</t>
  </si>
  <si>
    <t>This work was supported in part by China Major State Research Development Program under Grant 2020AAA0107600, in part by NSFC under Grants U19B2035, 61972250 and 72061127003, and in part by Shanghai Municipal Science and Technology Major Project under Grant 2021SHZDZX0102.</t>
  </si>
  <si>
    <t>10.1109/TKDE.2022.3185115</t>
  </si>
  <si>
    <t>I7BE5</t>
  </si>
  <si>
    <t>WOS:001004293600043</t>
  </si>
  <si>
    <t>Tonin, F; Tao, QH; Patrinos, P; Suykens, JAK</t>
  </si>
  <si>
    <t>Tonin, Francesco; Tao, Qinghua; Patrinos, Panagiotis; Suykens, Johan A. K.</t>
  </si>
  <si>
    <t>Deep Kernel Principal Component Analysis for multi-level feature learning</t>
  </si>
  <si>
    <t>Kernel Principal Component Analysis; Deep learning; Generative models; Manifold optimization</t>
  </si>
  <si>
    <t>DISENTANGLED REPRESENTATIONS; MACHINES; PCA</t>
  </si>
  <si>
    <t>Principal Component Analysis (PCA) and its nonlinear extension Kernel PCA (KPCA) are widely used across science and industry for data analysis and dimensionality reduction. Modern deep learning tools have achieved great empirical success, but a framework for deep principal component analysis is still lacking. Here we develop a deep kernel PCA methodology (DKPCA) to extract multiple levels of the most informative components of the data. Our scheme can effectively identify new hierarchical variables, called deep principal components, capturing the main characteristics of high-dimensional data through a simple and interpretable numerical optimization. We couple the principal components of multiple KPCA levels, theoretically showing that DKPCA creates both forward and backward dependency across levels, which has not been explored in kernel methods and yet is crucial to extract more informative features. Various experimental evaluations on multiple data types show that DKPCA finds more efficient and disentangled representations with higher explained variance in fewer principal components, compared to the shallow KPCA. We demonstrate that our method allows for effective hierarchical data exploration, with the ability to separate the key generative factors of the input data both for large datasets and when few training samples are available. Overall, DKPCA can facilitate the extraction of useful patterns from high-dimensional data by learning more informative features organized in different levels, giving diversified aspects to explore the variation factors in the data, while maintaining a simple mathematical formulation.</t>
  </si>
  <si>
    <t>[Tonin, Francesco; Tao, Qinghua; Patrinos, Panagiotis; Suykens, Johan A. K.] Katholieke Univ Leuven, Dept Elect Engn, ESAT STADIUS, Kasteelpark Arenberg 10, B-3001 Leuven, Belgium</t>
  </si>
  <si>
    <t>Tonin, F; Tao, QH (corresponding author), Katholieke Univ Leuven, Dept Elect Engn, ESAT STADIUS, Kasteelpark Arenberg 10, B-3001 Leuven, Belgium.</t>
  </si>
  <si>
    <t>francesco.tonin@esat.kuleuven.be; qinghua.tao@esat.kuleuven.be; panos.patrinos@esat.kuleuven.be; johan.suykens@esat.kuleuven.be</t>
  </si>
  <si>
    <t>Suykens, Johan/C-9781-2014; Patrinos, Panagiotis/E-7806-2017</t>
  </si>
  <si>
    <t>Suykens, Johan/0000-0002-8846-6352; Patrinos, Panagiotis/0000-0003-4824-7697</t>
  </si>
  <si>
    <t>ERC Advanced Grant E-DUALITY [787960]; KU Leuven Grant [CoE PFV/10/002]; FWO [G0A49 17N]; EU H2020 ICT-48 Network TAILOR (Foundations of Trustworthy AI-Integrating Reasoning, Learning and Optimization); Leuven.AI Institute; Research Foundation Flanders (FWO) [G086518N, G086318N, G0A0920N]; Fonds de la Recherche Scientifique - FNRS; Fonds Wetenschappelijk Onderzoek - Vlaanderen [30468160 (SeLMA)]</t>
  </si>
  <si>
    <t>ERC Advanced Grant E-DUALITY(European Research Council (ERC)); KU Leuven Grant; FWO(FWO); EU H2020 ICT-48 Network TAILOR (Foundations of Trustworthy AI-Integrating Reasoning, Learning and Optimization); Leuven.AI Institute; Research Foundation Flanders (FWO)(FWO); Fonds de la Recherche Scientifique - FNRS(Fonds de la Recherche Scientifique - FNRS); Fonds Wetenschappelijk Onderzoek - Vlaanderen(FWO)</t>
  </si>
  <si>
    <t>This work is jointly supported by ERC Advanced Grant E-DUALITY (787960) , KU Leuven Grant CoE PFV/10/002, and Grant FWO G0A49 17N, EU H2020 ICT-48 Network TAILOR (Foundations of Trustworthy AI-Integrating Reasoning, Learning and Optimization) , and Leuven.AI Institute. This work was also supported by the Research Foundation Flanders (FWO) research projects G086518N, G086318N, and G0A0920N; Fonds de la Recherche Scientifique - FNRS and the Fonds Wetenschappelijk Onderzoek - Vlaanderen under EOS Project No. 30468160 (SeLMA) .</t>
  </si>
  <si>
    <t>10.1016/j.neunet.2023.11.045</t>
  </si>
  <si>
    <t>DK7N1</t>
  </si>
  <si>
    <t>WOS:001132001300001</t>
  </si>
  <si>
    <t>Xiao, M; Wang, DJ; Wu, M; Wang, PF; Zhou, YC; Fu, YJ</t>
  </si>
  <si>
    <t>Chen, G; Khan, L; Gao, X; Qiu, M; Pedrycz, W; Wu, X</t>
  </si>
  <si>
    <t>Xiao, Meng; Wang, Dongjie; Wu, Min; Wang, Pengfei; Zhou, Yuanchun; Fu, Yanjie</t>
  </si>
  <si>
    <t>Beyond Discrete Selection: Continuous F.mbedding Space Optimization for Generative Feature Selection</t>
  </si>
  <si>
    <t>23RD IEEE INTERNATIONAL CONFERENCE ON DATA MINING, ICDM 2023</t>
  </si>
  <si>
    <t>IEEE International Conference on Data Mining</t>
  </si>
  <si>
    <t>Automated Feature Selection; Continuous Space; Optimization; Deep Sequential Learning</t>
  </si>
  <si>
    <t>ENSEMBLE</t>
  </si>
  <si>
    <t>The goal of Feature Selection - comprising filter, wrapper, and embedded approaches - is to find the optimal feature subset for designated downstream tasks. Nevertheless, current feature selection methods are limited by: 1) the selection criteria of these methods are varied for different domains, leading them hard to he generalized; 2) the selection performance of these approaches drops significantly when processing high -dimensional feature space coupled with small sample size. In light of these challenges, we pose the question: can selected feature subsets be more robust, accurate, and input dimensionality agnostic? In this paper, we reformulate the feature selection problem as a deep differentiable optimization task and propose a new research perspective: conceptualizing discrete feature subletting as continuous embedding space optimization. We introduce a novel and principled framework that encompasses a sequential encoder, an accuracy evaluator, a sequential decoder, and a gradient ascent optimizer. This comprehensive framework inchides four important steps: preparation of features-accuracy training data, deep feature subset embedding, gradient-optimized search, and feature subset reconstruction. Specifically, we utilize reinforcement feature selection learning to generate diverse and high-quality training data and enhance generalization. By optimizing reconstruction and accuracy losses, we embed feature selection knowledge into a continuous space using an encoderevaluator-decoder model structure. We employ a gradient ascent search algorithm to find better embeddings in the learned embedding space. Furthermore, we reconstruct feature selection solutions using these embeddings and select the feature subset with the highest performance for downstream tasks as the optimal subset. Finally, extensive experimental results demonstrate the effectiveness of our proposed method, showcasing significant enhancements in feature selection robustness and accuracy. To improve the reproducibility of our research, we have released accompanying code and datasets by Dropbox.</t>
  </si>
  <si>
    <t>[Xiao, Meng; Wang, Pengfei; Zhou, Yuanchun] Chinese Acad Sci, Comp Network Informat Ctr, Beijing, Peoples R China; [Xiao, Meng; Wang, Pengfei; Zhou, Yuanchun] Univ Chinese Acad Sci, Beijing, Peoples R China; [Wang, Dongjie] Univ Cent Florida, Dept Comp Sci, Orlando, FL USA; [Xiao, Meng; Wu, Min] ASTAR, Inst Infocomm Res I2R, Singapore, Singapore; [Fu, Yanjie] Arizona State Univ, Sch Comp &amp; AI, Tempe, AZ 85287 USA</t>
  </si>
  <si>
    <t>Chinese Academy of Sciences; Computer Network Information Center, CAS; Chinese Academy of Sciences; University of Chinese Academy of Sciences, CAS; State University System of Florida; University of Central Florida; Agency for Science Technology &amp; Research (A*STAR); A*STAR - Institute for Infocomm Research (I2R); Arizona State University; Arizona State University-Tempe</t>
  </si>
  <si>
    <t>Fu, YJ (corresponding author), Arizona State Univ, Sch Comp &amp; AI, Tempe, AZ 85287 USA.</t>
  </si>
  <si>
    <t>shaow@cnic.cn; wangdongjie@knights.ucf.edu; wumin@i2ra-star.edu.sg; wpf@cnic.cn; zyc@cnic.cn; yanjiefu@asu.edu</t>
  </si>
  <si>
    <t>[IIS-2152030]; [IIS2045567]; [IIS-2006889]</t>
  </si>
  <si>
    <t>; ;</t>
  </si>
  <si>
    <t>This work is partially supported by IIS-2152030, IIS2045567, and IIS-2006889.</t>
  </si>
  <si>
    <t>1550-4786</t>
  </si>
  <si>
    <t>979-8-3503-0788-7</t>
  </si>
  <si>
    <t>IEEE DATA MINING</t>
  </si>
  <si>
    <t>10.1109/ICDM58522.2023.00078</t>
  </si>
  <si>
    <t>BW5QH</t>
  </si>
  <si>
    <t>WOS:001165180100070</t>
  </si>
  <si>
    <t>Holm, JR; Hain, DS; Jurowetzki, R; Lorenz, E</t>
  </si>
  <si>
    <t>Holm, Jacob R.; Hain, Daniel S.; Jurowetzki, Roman; Lorenz, Edward</t>
  </si>
  <si>
    <t>Innovation dynamics in the age of artificial intelligence: introduction to the special issue</t>
  </si>
  <si>
    <t>INDUSTRY AND INNOVATION</t>
  </si>
  <si>
    <t>Artificial intelligence; innovation dynamics; innovation process; innovation collaboration; organisational change; O31; O33; O36</t>
  </si>
  <si>
    <t>ORGANIZATIONAL-CHANGE</t>
  </si>
  <si>
    <t>In this paper, we discuss the impact of artificial intelligence (AI) on innovation dynamics and argue that AI has affected innovation dynamics in at least two distinct ways. First, innovation using AI has unique dynamics that are characterised by data playing a central role and the increasing importance of external collaboration; however, data security and privacy issues also present new risks to external collaboration. When innovating in AI, collaboration with customers and competitors is critical, yet there are considerable risks associated with data sharing. Second, unique organisational challenges emerge during the diffusion of AI innovations, because adopting AI in an organisation not only results in the need for additional employee competencies but also challenges organisational power structures. We also discuss the merits of AI as a general purpose technology and argue that conclusions about AI in relation to innovation dynamics are likely to change when generative AI is widely adopted.</t>
  </si>
  <si>
    <t>[Holm, Jacob R.; Hain, Daniel S.; Jurowetzki, Roman; Lorenz, Edward] Aalborg Univ, Aalborg Univ Business Sch, Fibigerstr 11, DK-9220 Aalborg O, Denmark; [Lorenz, Edward] Univ Johannesburg, Coll Business &amp; Econ, Johannesburg, South Africa</t>
  </si>
  <si>
    <t>Aalborg University; University of Johannesburg</t>
  </si>
  <si>
    <t>Holm, JR (corresponding author), Aalborg Univ, Aalborg Univ Business Sch, Fibigerstr 11, DK-9220 Aalborg O, Denmark.</t>
  </si>
  <si>
    <t>jrh@business.aau.dk</t>
  </si>
  <si>
    <t>; Holm, Jacob Rubaek/H-9402-2017</t>
  </si>
  <si>
    <t>Jurowetzki, Roman/0000-0002-5199-918X; Holm, Jacob Rubaek/0000-0003-1110-1918; Hain, Daniel/0000-0002-7772-9946</t>
  </si>
  <si>
    <t>1366-2716</t>
  </si>
  <si>
    <t>1469-8390</t>
  </si>
  <si>
    <t>IND INNOV</t>
  </si>
  <si>
    <t>Ind. Innov.</t>
  </si>
  <si>
    <t>OCT 21</t>
  </si>
  <si>
    <t>10.1080/13662716.2023.2272724</t>
  </si>
  <si>
    <t>Economics; Management</t>
  </si>
  <si>
    <t>W1AM5</t>
  </si>
  <si>
    <t>WOS:001088272000001</t>
  </si>
  <si>
    <t>Goodarzi, P; Ansari, M; Rahimian, FP; Mahdavinejad, M; Park, C</t>
  </si>
  <si>
    <t>Goodarzi, Parichehr; Ansari, Mojtaba; Rahimian, Farzad Pour; Mahdavinejad, Mohammadjavad; Park, Chansik</t>
  </si>
  <si>
    <t>Incorporating sparse model machine learning in designing cultural heritage landscapes</t>
  </si>
  <si>
    <t>Sparse learning model; Generative Adversarial Networks; Few-shot problem; UAV-photogrammetry; Adaptive pattern language; Regenerative -adaptive design; Co -evolution; Historical landscape; Decision support tools</t>
  </si>
  <si>
    <t>Managing, protecting, and the evolutionary development of historical landscapes require robust frameworks and processes for forming datasets and advanced decision support tools. Despite the great potential, using pattern language, machine learning, and regenerative and generative design tools has yet to be adopted in historic landscape research due to the need for suitable training datasets. To address this theoretical and technical gap, this paper describes a three-step workflow, namely photogrammetry, feature extraction and discriminative feature analytics, to help facilitate the use of advanced ML tools for cultural heritage decision support. Sparse-Learning-Modelling (SLM) was used to help with feature extraction from small datasets. The developed tool was successfully tested on the 3D point cloud models of 13 heritage sites, and these could be replicated in other heritage sites with distinctive Cultural DNA worldwide. The findings of this research can extend the discourse of adopting advanced AI/digital tools in heritage landscape design.</t>
  </si>
  <si>
    <t>[Goodarzi, Parichehr; Ansari, Mojtaba; Mahdavinejad, Mohammadjavad] Tarbiat Modares Univ, Fac Art &amp; Architecture, Dept Architecture, Tehran, Iran; [Rahimian, Farzad Pour] Teesside Univ, Sch Comp Engn &amp; Digital Technol, Middlesbrough, England; [Park, Chansik] Chung Ang Univ, Dept Architectural Engn, Seoul, South Korea</t>
  </si>
  <si>
    <t>Tarbiat Modares University; University of Teesside; Chung Ang University</t>
  </si>
  <si>
    <t>Ansari, M (corresponding author), Tarbiat Modares Univ, Fac Art &amp; Architecture, Dept Architecture, Tehran, Iran.</t>
  </si>
  <si>
    <t>ansari_m@modares.ac.ir</t>
  </si>
  <si>
    <t>Ansari, Mojtaba/JFS-7866-2023; Rahimian, Farzad/Q-6332-2016</t>
  </si>
  <si>
    <t>Ansari, Mojtaba/0000-0002-5085-8684; Rahimian, Farzad/0000-0001-7443-4723; Goodarzi, Parichehr/0000-0001-9728-9493</t>
  </si>
  <si>
    <t>Department of Architecture, Faculty of Art amp; Architecture, Tarbiat Modares University, Tehran, Iran; Chung-Ang University</t>
  </si>
  <si>
    <t>Department of Architecture, Faculty of Art amp; Architecture, Tarbiat Modares University, Tehran, Iran; Chung-Ang University(Chung Ang University)</t>
  </si>
  <si>
    <t>The development of the solution presented in this paper was part of the first author's PhD study at the Department of Architecture, Faculty of Art &amp; amp; Architecture, Tarbiat Modares University, Tehran, Iran, under the supervision of the second and fourth authors. Additionally, the enhancement of the methodologies and the framework presented in this research was supported by the third and fifth authors, whose contribution was sponsored by the Chung-Ang University Research Grants in 2022.</t>
  </si>
  <si>
    <t>10.1016/j.autcon.2023.105058</t>
  </si>
  <si>
    <t>R3HB7</t>
  </si>
  <si>
    <t>WOS:001063284700001</t>
  </si>
  <si>
    <t>Ramachandran, K; Kayathwal, K; Wadhwa, H; Dhama, G</t>
  </si>
  <si>
    <t>Ramachandran, Karthikeswaren; Kayathwal, Kanishka; Wadhwa, Hardik; Dhama, Gaurav</t>
  </si>
  <si>
    <t>FraudAmmo: Large Scale Synthetic Transactional Dataset for Payment Fraud Detection</t>
  </si>
  <si>
    <t>benchmark datasets; payment fraud detection; generative adversarial neural networks</t>
  </si>
  <si>
    <t>Global losses due to payment fraud have tripled from $9.84 billion in 2011 to $32.39 billion in 2020 and are expected to reach $40.62 billion by 2027. In addition to the financial losses, fraud negatively impacts brand reputation and leads to a bad customer experience. Advanced machine learning has been actively adopted to tackle the fraud detection problem at scale. However, the scarcity of open datasets leads to less reproducible research, especially in the payments domain. We have released a synthetic transactional dataset, FraudAmmo, containing 3 million transactions, synthetically generated from real-world datasets. FraudAmmo is diverse with respect to transactional channels, geography, customer, and fraud types. We leverage the idea of privacy preservation in tabular Generative Adversarial Neural Networks (GANs) to generate FraudAmmo. In addition to privacy-preserved GANs, we have applied certain checks to ensure the customer's differential privacy. The quality of the generated dataset is evaluated on various metrics including machine learning efficacy, statistical similarity, and privacy preservability. We have also benchmarked our results on FraudAmmo using machine learning algorithms such as bagging, boosting, MLP, and logistic regression. To the best of our knowledge, this is the first large-scale synthetic fraud transaction dataset that aims to aid academia and research groups in developing and validating their fraud detection models. The dataset can be found here https://github.com/karthi2107/FraudAmmo</t>
  </si>
  <si>
    <t>[Ramachandran, Karthikeswaren; Kayathwal, Kanishka; Wadhwa, Hardik; Dhama, Gaurav] Mastercard, AI Garage, Gurugram, India</t>
  </si>
  <si>
    <t>Ramachandran, K (corresponding author), Mastercard, AI Garage, Gurugram, India.</t>
  </si>
  <si>
    <t>karthikeswaren.r@mastercard.com; hardik.wadhwa@mastercard.com; gauray.dhama@mastercard.com</t>
  </si>
  <si>
    <t>10.1109/IJCNN54540.2023.1019199</t>
  </si>
  <si>
    <t>WOS:001046198707059</t>
  </si>
  <si>
    <t>Kholgh, DK; Kostakos, P</t>
  </si>
  <si>
    <t>Kholgh, Danial Khosh; Kostakos, Panos</t>
  </si>
  <si>
    <t>PAC-GPT: A Novel Approach to Generating Synthetic Network Traffic With GPT-3</t>
  </si>
  <si>
    <t>Artificial intelligence; cybersecurity; generative pre-trained transformer; GPT-3; machinelearning; NLP; transformer; LLMs</t>
  </si>
  <si>
    <t>TON-IOT; FEATURES; DATASET</t>
  </si>
  <si>
    <t>The application of machine learning models, particularly in cybersecurity, has surged significantly in the past few years. However, the effectiveness of these models is predominantly tethered to the quality and breadth of the training data they ingest. The scarcity of realistic datasets within the cybersecurity field constitutes a considerable challenge to the development of industry-grade tools intended for real-world application scenarios. Specifically, current datasets are either significantly outdated or fall short on both qualitative and quantitative fronts, primarily because many organizations exhibit reluctance in data sharing, stemming from privacy concerns or the potential threat to trade secrets. To address this challenge, the paper introduces PAC-GPT, a novel framework to generate reliable synthetic data for machine learning methods based on Open AI's Generative Pre-trained Transformer 3 (GPT-3). The core components of this framework are two modules, namely a Flow Generator, which is responsible for capturing and regenerating patterns in a series of network packets, and Packet Generator, which can generate individual network packets given the network flow. We also propose a packet generator based on LLM chaining and then proceed to assess, compare, and evaluate its performance using metrics such as loss, accuracy and success rate, concluding that transformers are a suitable approach for synthetic packet generation with minimal fine-tuning performed. Lastly, a streamlined command line interface (CLI) tool has been devised to facilitate the seamless access of this innovative data generation strategy by professionals from various disciplines.</t>
  </si>
  <si>
    <t>[Kholgh, Danial Khosh; Kostakos, Panos] Univ Oulu, Ctr Ubiquitous Comp, Oulu 90570, Finland</t>
  </si>
  <si>
    <t>University of Oulu</t>
  </si>
  <si>
    <t>Kostakos, P (corresponding author), Univ Oulu, Ctr Ubiquitous Comp, Oulu 90570, Finland.</t>
  </si>
  <si>
    <t>panos.kostakos@oulu.fi</t>
  </si>
  <si>
    <t>Khosh Kholgh, Danial/0000-0002-8020-2264; Kostakos, Panos/0000-0002-8545-599X</t>
  </si>
  <si>
    <t>European Union [101021911]; Academy of Finland 6Genesis Flagship Program [318927]</t>
  </si>
  <si>
    <t>European Union(European Union (EU)); Academy of Finland 6Genesis Flagship Program</t>
  </si>
  <si>
    <t>This work was supported in part by the European Union's Horizon 2020 Research and Innovation Program (IDUNN Project)under Grant 101021911, and in part by the Academy of Finland 6Genesis Flagship Program under Grant 318927.</t>
  </si>
  <si>
    <t>10.1109/ACCESS.2023.3325727</t>
  </si>
  <si>
    <t>W4NF1</t>
  </si>
  <si>
    <t>WOS:001091400300001</t>
  </si>
  <si>
    <t>Aldrin, JC</t>
  </si>
  <si>
    <t>Aldrin, John C.</t>
  </si>
  <si>
    <t>BENEFITS AND CONCERNS of Using Emerging Artificial Intelligence Chatbots With Work in NDT</t>
  </si>
  <si>
    <t>MATERIALS EVALUATION</t>
  </si>
  <si>
    <t>While most of the papers in this special issue explore the use of artificial intelligence and machine learning (AI/ML) to support the evaluation of nondestructive testing (NDT) data and assist with the classification of NDT indications, there are other important ways that emerging AI tools may impact how we work in NDT. The article discusses the recent emergence of AI chatbots, also referred to as generative artificial intelligence agents or large language models (LLMs), and highlights the potential benefits and risks as part of work in the NDT field.</t>
  </si>
  <si>
    <t>[Aldrin, John C.] Computat Tools, Gurnee, IL 60031 USA</t>
  </si>
  <si>
    <t>Aldrin, JC (corresponding author), Computat Tools, Gurnee, IL 60031 USA.</t>
  </si>
  <si>
    <t>aldrin@computationaltools.com</t>
  </si>
  <si>
    <t>AMER SOC NONDESTRUCTIVE TEST</t>
  </si>
  <si>
    <t>COLUMBUS</t>
  </si>
  <si>
    <t>1711 ARLINGATE LANE PO BOX 28518, COLUMBUS, OH 43228-0518 USA</t>
  </si>
  <si>
    <t>0025-5327</t>
  </si>
  <si>
    <t>MATER EVAL</t>
  </si>
  <si>
    <t>Mater. Eval.</t>
  </si>
  <si>
    <t>10.32548/2023.me-04361</t>
  </si>
  <si>
    <t>Materials Science, Characterization &amp; Testing</t>
  </si>
  <si>
    <t>KH1V3</t>
  </si>
  <si>
    <t>WOS:001178984600004</t>
  </si>
  <si>
    <t>Kalantar, R; Hindocha, S; Hunter, B; Sharma, B; Khan, N; Koh, DM; Ahmed, M; Aboagye, EO; Lee, RW; Blackledge, MD</t>
  </si>
  <si>
    <t>Kalantar, Reza; Hindocha, Sumeet; Hunter, Benjamin; Sharma, Bhupinder; Khan, Nasir; Koh, Dow-Mu; Ahmed, Merina; Aboagye, Eric O. O.; Lee, Richard W. W.; Blackledge, Matthew D. D.</t>
  </si>
  <si>
    <t>Non-contrast CT synthesis using patch-based cycle-consistent generative adversarial network (Cycle-GAN) for radiomics and deep learning in the era of COVID-19</t>
  </si>
  <si>
    <t>PREDICTION; FEATURES</t>
  </si>
  <si>
    <t>Handcrafted and deep learning (DL) radiomics are popular techniques used to develop computed tomography (CT) imaging-based artificial intelligence models for COVID-19 research. However, contrast heterogeneity from real-world datasets may impair model performance. Contrast-homogenous datasets present a potential solution. We developed a 3D patch-based cycle-consistent generative adversarial network (cycle-GAN) to synthesize non-contrast images from contrast CTs, as a data homogenization tool. We used a multi-centre dataset of 2078 scans from 1,650 patients with COVID-19. Few studies have previously evaluated GAN-generated images with handcrafted radiomics, DL and human assessment tasks. We evaluated the performance of our cycle-GAN with these three approaches. In a modified Turing-test, human experts identified synthetic vs acquired images, with a false positive rate of 67% and Fleiss' Kappa 0.06, attesting to the photorealism of the synthetic images. However, on testing performance of machine learning classifiers with radiomic features, performance decreased with use of synthetic images. Marked percentage difference was noted in feature values between pre- and post-GAN non-contrast images. With DL classification, deterioration in performance was observed with synthetic images. Our results show that whilst GANs can produce images sufficient to pass human assessment, caution is advised before GAN-synthesized images are used in medical imaging applications.</t>
  </si>
  <si>
    <t>[Kalantar, Reza; Hindocha, Sumeet; Sharma, Bhupinder; Blackledge, Matthew D. D.] Inst Canc Res, Div Radiotherapy &amp; Imaging, London SM2 5NG, England; [Hindocha, Sumeet] Imperial Coll London, AI Healthcare Ctr Doctoral Training, Exhibit Rd, London SW7 2BX, England; [Sharma, Bhupinder; Khan, Nasir; Koh, Dow-Mu] Royal Marsden NHS Fdn Trust, Dept Radiol, Sutton SM2 5PT, Surrey, England; [Hindocha, Sumeet; Hunter, Benjamin; Aboagye, Eric O. O.] Imperial Coll London, Canc Imaging Ctr, Dept Surg &amp; Canc, Du Cane Rd, London W12 0NN, England; [Hindocha, Sumeet; Hunter, Benjamin; Lee, Richard W. W.] Royal Marsden NHS Fdn Trust, Early Diag &amp; Detect Team, Fulham Rd, London SW3 6JJ, England; [Ahmed, Merina] Royal Marsden NHS Fdn Trust, Lung Unit, Sutton SM2 5PT, Surrey, England</t>
  </si>
  <si>
    <t>Royal Marsden NHS Foundation Trust; University of London; Institute of Cancer Research - UK; Imperial College London; Royal Marsden NHS Foundation Trust; Imperial College London; Royal Marsden NHS Foundation Trust; Royal Marsden NHS Foundation Trust</t>
  </si>
  <si>
    <t>Blackledge, MD (corresponding author), Inst Canc Res, Div Radiotherapy &amp; Imaging, London SM2 5NG, England.</t>
  </si>
  <si>
    <t>matthew.blackledge@icr.ac.uk</t>
  </si>
  <si>
    <t>Koh, Dow-Mu/JEP-2554-2023; Lee, Richard R W/A-3116-2017</t>
  </si>
  <si>
    <t>ABOAGYE, Eric/0000-0003-2276-6771; Lee, Richard/0000-0001-8368-3406; Kalantar, Reza/0000-0002-6211-9475; Sharma, Bhupinder/0000-0002-5922-9630</t>
  </si>
  <si>
    <t>JUN 29</t>
  </si>
  <si>
    <t>10.1038/s41598-023-36712-1</t>
  </si>
  <si>
    <t>L4CK3</t>
  </si>
  <si>
    <t>WOS:001022752100012</t>
  </si>
  <si>
    <t>Ali, K; Barhom, N; Tamimi, F; Duggal, M</t>
  </si>
  <si>
    <t>Ali, Kamran; Barhom, Noha; Tamimi, Faleh; Duggal, Monty</t>
  </si>
  <si>
    <t>ChatGPT-A double-edged sword for healthcare education? Implications for assessments of dental students</t>
  </si>
  <si>
    <t>EUROPEAN JOURNAL OF DENTAL EDUCATION</t>
  </si>
  <si>
    <t>artificial intelligence; ChatGPT; dental education; education technology; machine learning</t>
  </si>
  <si>
    <t>Introduction: Open-source generative artificial intelligence (AI) applications are fast-transforming access to information and allow students to prepare assignments and offer quite accurate responses to a wide range of exam questions which are routinely used in assessments of students across the board including undergraduate dental students. This study aims to evaluate the performance of Chat Generative Pre-trained Transformer (ChatGPT), a generative AI-based application, on a wide range of assessments used in contemporary healthcare education and discusses the implications for undergraduate dental education.Materials and Methods: This was an exploratory study investigating the accuracy of ChatGPT to attempt a range of recognised assessments in healthcare education curricula. A total of 50 independent items encompassing 50 different learning outcomes (n = 10 per item) were developed by the research team. These included 10 separate items based on each of the five commonly used question formats including multiple-choice questions (MCQs); short-answer questions (SAQs); short essay questions (SEQs); single true/false questions; and fill in the blanks items. Chat GPT was used to attempt each of these 50 questions. In addition, ChatGPT was used to generate reflective reports based on multisource feedback; research methodology; and critical appraisal of the literature.Results: ChatGPT application provided accurate responses to majority of knowledge-based assessments based on MCQs, SAQs, SEQs, true/false and fill in the blanks items. However, it was only able to answer text-based questions and did not allow processing of questions based on images. Responses generated to written assignments were also satisfactory apart from those for critical appraisal of literature. Word count was the key limitation observed in outputs generated by the free version of ChatGPT.Conclusion: Notwithstanding their current limitations, generative AI-based applications have the potential to revolutionise virtual learning. Instead of treating it as a threat, healthcare educators need to adapt teaching and assessments in medical and dental education to the benefits of the learners while mitigating against dishonest use of AI-based technology.</t>
  </si>
  <si>
    <t>[Ali, Kamran; Barhom, Noha; Tamimi, Faleh; Duggal, Monty] Qatar Univ, Coll Dent Med QU Hlth, Doha, Qatar</t>
  </si>
  <si>
    <t>Qatar University</t>
  </si>
  <si>
    <t>Ali, K (corresponding author), Qatar Univ, Coll Dent Med QU Hlth, Doha, Qatar.</t>
  </si>
  <si>
    <t>ali.kamran@qu.edu.qa</t>
  </si>
  <si>
    <t>ALI, KAMRAN/B-1880-2012; Zuniga, Denisse/HJY-2656-2023</t>
  </si>
  <si>
    <t>ALI, KAMRAN/0000-0002-3122-6729; Zuniga, Denisse/0000-0002-8082-8857; Barhom, Noha/0000-0002-1141-3885</t>
  </si>
  <si>
    <t>Qatar National Library</t>
  </si>
  <si>
    <t>Qatar National Library(Qatar National Research Fund (QNRF))</t>
  </si>
  <si>
    <t>Open access funding was provided by the Qatar National Library</t>
  </si>
  <si>
    <t>1396-5883</t>
  </si>
  <si>
    <t>1600-0579</t>
  </si>
  <si>
    <t>EUR J DENT EDUC</t>
  </si>
  <si>
    <t>Eur. J. Dent. Educ.</t>
  </si>
  <si>
    <t>10.1111/eje.12937</t>
  </si>
  <si>
    <t>Dentistry, Oral Surgery &amp; Medicine; Education, Scientific Disciplines</t>
  </si>
  <si>
    <t>Dentistry, Oral Surgery &amp; Medicine; Education &amp; Educational Research</t>
  </si>
  <si>
    <t>GQ1P6</t>
  </si>
  <si>
    <t>WOS:001044142100001</t>
  </si>
  <si>
    <t>Fragemann, J; Liu, X; Li, JN; Tsaftaris, SA; Egger, J; Kleesiek, J</t>
  </si>
  <si>
    <t>Fragemann, J; Li, J; Liu, X; Tsaftaris, SA; Egger, J; Kleesiek, J</t>
  </si>
  <si>
    <t>Fragemann, Jana; Liu, Xiao; Li, Jianning; Tsaftaris, Sotirios A.; Egger, Jan; Kleesiek, Jens</t>
  </si>
  <si>
    <t>Applying Disentanglement in the Medical Domain: An Introduction for the MAD Workshop</t>
  </si>
  <si>
    <t>MEDICAL APPLICATIONS WITH DISENTANGLEMENTS, MAD 2022</t>
  </si>
  <si>
    <t>1st Workshop on Medical Applications with Disentanglements (MAD) at the MICCAI Conference</t>
  </si>
  <si>
    <t>SEP 22, 2022</t>
  </si>
  <si>
    <t>Singapore, SINGAPORE</t>
  </si>
  <si>
    <t>Disentanglement; Generative models; Deep learning; MAD Workshop; MICCAI</t>
  </si>
  <si>
    <t>For medical applications, trustworthiness, interpretability, and robustness are necessary properties of (deep) neural networks. For generative models, one approach towards this could be analyzing and structuring the latent space representation. In this context, the term disentanglement is often used, but still not uniquely defined. In 2022, we organized the first workshop about Medical Applications with Disentanglements (MAD) at the MICCAI conference in Singapore (https://mad. ikim.nrw/). The workshop had a general call for disentanglement papers in the medical field and the submitted papers are published in a Springer challenge proceedings. The aim of the introduction paper of this proceeding is to present the necessary background information for them. Thus, we give a short overview of this field and how challenges for deep learning in healthcare could be addressed with the help of disentanglement.</t>
  </si>
  <si>
    <t>[Fragemann, Jana; Li, Jianning; Egger, Jan; Kleesiek, Jens] Univ Hosp Essen AoR, Inst AI Med IKIM, Girardetstr 2, D-45131 Essen, Germany; [Liu, Xiao; Tsaftaris, Sotirios A.] Univ Edinburgh, Sch Engn, Edinburgh EH9 3FG, Midlothian, Scotland; [Li, Jianning; Egger, Jan] Graz Univ Technol TUG, Inst Comp Graph &amp; Vis ICG, Inffeldgasse 16, A-8010 Graz, Austria; [Li, Jianning; Egger, Jan] Comp Algorithms Med Lab, Graz, Austria; [Tsaftaris, Sotirios A.] Alan Turing Inst, London NW1 2DB, England; [Egger, Jan; Kleesiek, Jens] Univ Hosp Essen AoR, Canc Res Ctr Cologne Essen CCCE, Hufelandstr 55, D-45147 Essen, Germany; [Kleesiek, Jens] German Canc Consortium DKTK, Partner Site Essen,Hufelandstr 55, D-45147 Essen, Germany</t>
  </si>
  <si>
    <t>University of Edinburgh; Helmholtz Association; German Cancer Research Center (DKFZ)</t>
  </si>
  <si>
    <t>Fragemann, J (corresponding author), Univ Hosp Essen AoR, Inst AI Med IKIM, Girardetstr 2, D-45131 Essen, Germany.</t>
  </si>
  <si>
    <t>jana.fragemann@uk-essen.de; xiao.liu@ed.ac.uk; jianning.ji@uk-essen.de; s.tsaftaris@ed.ac.uk; jan.egger@uk-essen.de; jens.kleesiek@uk-essen.de</t>
  </si>
  <si>
    <t>Tsaftaris, Sotirios C/E-3725-2010</t>
  </si>
  <si>
    <t>'KITE' (Plattform fur KITranslation Essen) from the REACT-EU initiative; NVIDIA; HUAWEI</t>
  </si>
  <si>
    <t>'KITE' (Plattform fur KITranslation Essen) from the REACT-EU initiative; NVIDIA(Nvidia Corporation); HUAWEI(Huawei Technologies)</t>
  </si>
  <si>
    <t>This work received funding from 'KITE' (Plattform fur KITranslation Essen) from the REACT-EU initiative (https://kite.ikim.nrw/). Furthermore, We want to thank our workshop sponsors NVIDIA and HUAWEI.; The official Medical Applications with Disentanglements (MAD) workshop website for 2022 can be accessed under the following url: https://mad.ikim.nrw/.</t>
  </si>
  <si>
    <t>978-3-031-25045-3; 978-3-031-25046-0</t>
  </si>
  <si>
    <t>10.1007/978-3-031-25046-0_1</t>
  </si>
  <si>
    <t>Computer Science, Artificial Intelligence; Computer Science, Theory &amp; Methods; Medical Informatics</t>
  </si>
  <si>
    <t>BV0CF</t>
  </si>
  <si>
    <t>WOS:000968077300001</t>
  </si>
  <si>
    <t>Sikder, MNK; Nguyen, MBT; Elliott, ED; Batarseh, FA</t>
  </si>
  <si>
    <t>Sikder, Md Nazmul Kabir; Nguyen, Minh B. T.; Elliott, E. Donald; Batarseh, Feras A.</t>
  </si>
  <si>
    <t>Deep H2O: Cyber attacks detection in water distribution systems using deep learning</t>
  </si>
  <si>
    <t>JOURNAL OF WATER PROCESS ENGINEERING</t>
  </si>
  <si>
    <t>Water distribution systems; AI assurance; Anomaly detection; Concealed attacks; Deep learning</t>
  </si>
  <si>
    <t>INTRUSION DETECTION</t>
  </si>
  <si>
    <t>Water Distribution Systems (WDSs) leverage the recent technological advancements in sensor technologies and Cyber-Physical Systems (CPSs) for better processing, distribution, and delivery of clean water. Given the digital nature of CPSs, they can be vulnerable to different kinds of cyber threats, especially in cases where adversaries can conceal the state of the attack. If an adversary (state or non-state actor) successfully compromises a WDS, that could result in major destructive consequences to water quality, public health, and agricultural irrigation. This paper presents empirical Artificial Intelligence (AI)-based methods for detecting such concealed attacks in WDS. We present two Deep Learning (DL) models: Temporal Graph Convolutional Network (TGCN) with Attention, a supervised learning model, and High Confidence Auto-Encoder (HCAE), an unsupervised learning model. TGCN adopts Attention and Robust Mahalanobis Distance (RMD) metrics for robust and generalizable forecasting performance. HCAE uses customized hidden layers to improve classification performance compared to state-of-the-art approaches. Experiments are performed to evaluate the proposed models using the BATtle of the Attack Detection ALgorithms (BATADAL) dataset; founded on a Supervisory Control And Data Acquisition (SCADA) infrastructure. Additionally, we assess the performance of the two models against synthetically poisoned data generated from a Generative Adversarial Network (GAN). Both attack detection models show superior accuracy with attack detection, localization, and overall robustness against data poisoning. The results suggest that both the supervised and unsupervised models perform better attack detection with a ranking score of 0.845 and 0.933, respectively. Results also indicate that, among the two models, the unsupervised model per-forms better in detecting poisoned data (accuracy: 0.992) and has better generalizability. Experimental results are recorded, evaluated, and discussed.</t>
  </si>
  <si>
    <t>[Sikder, Md Nazmul Kabir; Nguyen, Minh B. T.] Virginia Tech, Bradley Dept Elect &amp; Comp Engn, Arlington, VA USA; [Sikder, Md Nazmul Kabir; Batarseh, Feras A.] Virginia Tech, Commonwealth Cyber Initiat, Arlington, VA 22203 USA; [Elliott, E. Donald] Yale Law Sch, New Haven, CT USA; [Batarseh, Feras A.] Virginia Tech, Dept Biol Syst Engn, Arlington, VA 22203 USA</t>
  </si>
  <si>
    <t>Virginia Polytechnic Institute &amp; State University; Virginia Polytechnic Institute &amp; State University; Yale University; Virginia Polytechnic Institute &amp; State University</t>
  </si>
  <si>
    <t>Batarseh, FA (corresponding author), Virginia Tech, Commonwealth Cyber Initiat, Arlington, VA 22203 USA.;Batarseh, FA (corresponding author), Virginia Tech, Dept Biol Syst Engn, Arlington, VA 22203 USA.</t>
  </si>
  <si>
    <t>nazmulkabir@vt.edu; mnguyen0226@vt.edu; e.donald.elliott@aya.yale.edu; batarseh@vt.edu</t>
  </si>
  <si>
    <t>Sikder, Md Nazmul Kabir/0000-0002-7608-2925</t>
  </si>
  <si>
    <t>2214-7144</t>
  </si>
  <si>
    <t>J WATER PROCESS ENG</t>
  </si>
  <si>
    <t>J. Water Process. Eng.</t>
  </si>
  <si>
    <t>10.1016/j.jwpe.2023.103568</t>
  </si>
  <si>
    <t>Engineering, Environmental; Engineering, Chemical; Water Resources</t>
  </si>
  <si>
    <t>Engineering; Water Resources</t>
  </si>
  <si>
    <t>9U7VM</t>
  </si>
  <si>
    <t>WOS:000947914400001</t>
  </si>
  <si>
    <t>Eskandar, G; Farag, Y; Yenamandra, T; Cremers, D; Guirguis, K; Yang, B</t>
  </si>
  <si>
    <t>Eskandar, George; Farag, Youssef; Yenamandra, Tarun; Cremers, Daniel; Guirguis, Karim; Yang, Bin</t>
  </si>
  <si>
    <t>Urban-StyleGAN: Learning to Generate and Manipulate Images of Urban Scenes</t>
  </si>
  <si>
    <t>2023 IEEE INTELLIGENT VEHICLES SYMPOSIUM, IV</t>
  </si>
  <si>
    <t>IEEE Intelligent Vehicles Symposium</t>
  </si>
  <si>
    <t>34th IEEE Intelligent Vehicles Symposium (IV)</t>
  </si>
  <si>
    <t>JUN 04-07, 2023</t>
  </si>
  <si>
    <t>Anchorage, AK</t>
  </si>
  <si>
    <t>IEEE,IEEE Intelligent Transportat Syst Soc,Mercedes Benz Res &amp; Dev N Amer,Qualcomm,Univ Alaska Anchorage</t>
  </si>
  <si>
    <t>DGANs; Image Manipulation and Editing; Semantic Prior; Disentanglement; Latent Space Exploration</t>
  </si>
  <si>
    <t>A promise of Generative Adversarial Networks (GANs) is to provide cheap photorealistic data for training and validating AI models in autonomous driving. Despite their huge success, their performance on complex images featuring multiple objects is understudied. While some frameworks produce high quality street scenes with little to no control over the image content, others offer more control at the expense of high-quality generation. A common limitation of both approaches is the use of global latent codes for the whole image, which hinders the learning of independent object distributions. Motivated by SemanticStyleGAN (SSG), a recent work on latent space disentanglement in human face generation, we propose a novel framework, Urban-StyleGAN, for urban scene generation and manipulation. We find that a straightforward application of SSG leads to poor results because urban scenes are more complex than human faces. To provide a more compact yet disentangled latent representation, we develop a class grouping strategy wherein individual classes are grouped into super-classes. Moreover, we employ an unsupervised latent exploration algorithm in the S-space of the generator and show that it is more efficient than the conventional W+-space in controlling the image content. Results on the Cityscapes and Mapillary datasets show the proposed approach achieves significantly more controllability and improved image quality than previous approaches on urban scenes and is on par with general-purpose non-controllable generative models (like StyleGAN2) in terms of quality.</t>
  </si>
  <si>
    <t>[Eskandar, George; Yang, Bin] Univ Stuttgart, Stuttgart, Germany; [Farag, Youssef; Yenamandra, Tarun; Cremers, Daniel] TUM, Munich, Germany; [Guirguis, Karim] Bosch Ctr Artificial Intelligence, Renningen, Germany</t>
  </si>
  <si>
    <t>University of Stuttgart; Technical University of Munich</t>
  </si>
  <si>
    <t>Eskandar, G (corresponding author), Univ Stuttgart, Stuttgart, Germany.</t>
  </si>
  <si>
    <t>george.eskandar@iss.uni-stuttgart.de</t>
  </si>
  <si>
    <t>German Federal Ministry for Economic Affairs and Energy within the project AI Delta Learning</t>
  </si>
  <si>
    <t>The research leading to these results is funded by the German Federal Ministry for Economic Affairs and Energy within the project AI Delta Learning. The authors would like to thank the consortium for the successful cooperation.</t>
  </si>
  <si>
    <t>1931-0587</t>
  </si>
  <si>
    <t>979-8-3503-4691-6</t>
  </si>
  <si>
    <t>IEEE INT VEH SYM</t>
  </si>
  <si>
    <t>10.1109/IV55152.2023.10186698</t>
  </si>
  <si>
    <t>Computer Science, Artificial Intelligence; Robotics; Transportation Science &amp; Technology</t>
  </si>
  <si>
    <t>Computer Science; Robotics; Transportation</t>
  </si>
  <si>
    <t>BV4VN</t>
  </si>
  <si>
    <t>WOS:001042247300153</t>
  </si>
  <si>
    <t>Gandhi, TK; Classen, D; Sinsky, CA; Rhew, DC; Vande Garde, N; Roberts, A; Federico, F</t>
  </si>
  <si>
    <t>Gandhi, Tejal K.; Classen, David; Sinsky, Christine A.; Rhew, David C.; Vande Garde, Nikki; Roberts, Andrew; Federico, Frank</t>
  </si>
  <si>
    <t>How can artificial intelligence decrease cognitive and work burden for front line practitioners?</t>
  </si>
  <si>
    <t>JAMIA OPEN</t>
  </si>
  <si>
    <t>artificial intelligence; safety; cognitive burden; work burden; front line practitioners</t>
  </si>
  <si>
    <t>Artificial intelligence (AI) has tremendous potential to improve the cognitive and work burden of clinicians across a range of clinical activities, which could lead to reduced burnout and better clinical care. The recent explosion of generative AI nicely illustrates this potential. Developers and organizations deploying AI have a responsibility to ensure AI is designed and implemented with end-user input, has mechanisms to identify and potentially reduce bias, and that the impact on cognitive and work burden is measured, monitored, and improved. This article focuses specifically on the role AI can play in reducing cognitive and work burden, outlines the critical issues associated with the use of AI, and serves as a call to action for vendors and users to work together to develop functionality that addresses these challenges.</t>
  </si>
  <si>
    <t>[Gandhi, Tejal K.] Press Ganey Associates LLC, 53 State St Suite 2101, Boston, MA 02109 USA; [Classen, David] Univ Utah, Div Epidemiol, Sch Med, Salt Lake City, UT 84132 USA; [Sinsky, Christine A.] Amer Med Assoc, Profess Satisfact &amp; Practice Sustainabil, Chicago, IL 60611 USA; [Rhew, David C.] Microsoft, Worldwide Commercial, San Francisco, CA 94103 USA; [Vande Garde, Nikki] Oracle Hlth, Patient Safety, Kansas City, MO 64138 USA; [Roberts, Andrew] Oracle Hlth, Data Sci, Kansas City, MO 64138 USA; [Federico, Frank] Inst Healthcare Improvement, Boston, MA 02109 USA</t>
  </si>
  <si>
    <t>Utah System of Higher Education; University of Utah; American Medical Association; Microsoft; Institute for Healthcare Improvement</t>
  </si>
  <si>
    <t>Gandhi, TK (corresponding author), Press Ganey Associates LLC, 53 State St Suite 2101, Boston, MA 02109 USA.</t>
  </si>
  <si>
    <t>tejal.gandhi@pressganey.com</t>
  </si>
  <si>
    <t>Roberts, Andrew/0000-0002-6390-6702</t>
  </si>
  <si>
    <t>Robert Wood Johnson Foundation</t>
  </si>
  <si>
    <t>Robert Wood Johnson Foundation(Robert Wood Johnson Foundation (RWJF))</t>
  </si>
  <si>
    <t>This work was supported by the Robert Wood Johnson Foundation.</t>
  </si>
  <si>
    <t>2574-2531</t>
  </si>
  <si>
    <t>JAMIA Open</t>
  </si>
  <si>
    <t>ooad079</t>
  </si>
  <si>
    <t>10.1093/jamiaopen/ooad079</t>
  </si>
  <si>
    <t>Q5UT7</t>
  </si>
  <si>
    <t>WOS:001058180100002</t>
  </si>
  <si>
    <t>Xu, XT; Cui, R; Huang, CY; Yan, KD</t>
  </si>
  <si>
    <t>Xu, Xintong; Cui, Run; Huang, Chanying; Yan, Kedong</t>
  </si>
  <si>
    <t>Anonymization of face images with Contrastive Learning</t>
  </si>
  <si>
    <t>COMPUTER JOURNAL</t>
  </si>
  <si>
    <t>generative adversarial networks; face recognition; privacy protection</t>
  </si>
  <si>
    <t>ACTIVITY RECOGNITION; PRIVACY</t>
  </si>
  <si>
    <t>Photos or videos taken by individuals often carry sensitive details such as facial identities, which has led to an escalating societal interest in privacy protection measures. We suggest an improved face identity transformer that offers password-protected anonymization and de-anonymization of photo-realistic facial images in visual data. Our face identity transformer is designed to (1) erase facial identity information after anonymization, (2) restore the original face when a correct password is provided and (3) generate an incorrect but realistic face when given an incorrect password. The processes of image anonymization and de-anonymization are facilitated through a password scheme, a multi-task learning objective and generative adversarial networks comprising InfoGAN and contrastive learning. In-depth experiments indicate that our methodology can execute anonymization and de-anonymization based on password conditions whilst reducing training time and enhancing image quality compared to existing anonymization procedures. Additionally, it maintains a recognition rate as low as 4.8% for anonymized images without sacrificing the face detection rate of the original method.</t>
  </si>
  <si>
    <t>[Xu, Xintong; Huang, Chanying; Yan, Kedong] Nanjing Univ Sci &amp; Technol, Sch Comp Sci &amp; Engn, 200 Xiaolingwei, Nanjing 210094, Peoples R China; [Cui, Run] LG AI Res, Seoul 07336, South Korea</t>
  </si>
  <si>
    <t>Nanjing University of Science &amp; Technology</t>
  </si>
  <si>
    <t>Yan, KD (corresponding author), Nanjing Univ Sci &amp; Technol, Sch Comp Sci &amp; Engn, 200 Xiaolingwei, Nanjing 210094, Peoples R China.</t>
  </si>
  <si>
    <t>yan@njust.edu.cn</t>
  </si>
  <si>
    <t>Science and Technology on Information System Engineering Laboratory [05202104]; Science and Technology on Information System Engineering Laboratory [61806095]; National Natural Science Foundation of China [30920021130]; Fundamental Research Funds for the Central Universities</t>
  </si>
  <si>
    <t>Science and Technology on Information System Engineering Laboratory; Science and Technology on Information System Engineering Laboratory; National Natural Science Foundation of China(National Natural Science Foundation of China (NSFC)); Fundamental Research Funds for the Central Universities(Fundamental Research Funds for the Central Universities)</t>
  </si>
  <si>
    <t>This work was supported by Science and Technology on Information System Engineering Laboratory [05202104]; the National Natural Science Foundation of China [61806095]; and the Fundamental Research Funds for the Central Universities [30920021130].</t>
  </si>
  <si>
    <t>0010-4620</t>
  </si>
  <si>
    <t>1460-2067</t>
  </si>
  <si>
    <t>COMPUT J</t>
  </si>
  <si>
    <t>Comput. J.</t>
  </si>
  <si>
    <t>2023 NOV 30</t>
  </si>
  <si>
    <t>10.1093/comjnl/bxad111</t>
  </si>
  <si>
    <t>Z4YN1</t>
  </si>
  <si>
    <t>WOS:001112149600001</t>
  </si>
  <si>
    <t>Zhang, SC; Zhu, YD; Zhou, DW</t>
  </si>
  <si>
    <t>Zhang, Shuaicheng; Zhu, Yada; Zhou, Dawei</t>
  </si>
  <si>
    <t>TGEditor: Task-Guided Graph Editing for Augmenting Temporal Financial Transaction Networks</t>
  </si>
  <si>
    <t>Financial transaction networks; generative graph model; temporal graph augmentation</t>
  </si>
  <si>
    <t>Recent years have witnessed a growth of research interest in designing powerful graph mining algorithms to discover and characterize the structural pattern of interests from financial transaction networks, motivated by impactful applications including anti-money laundering, identity protection, product promotion, and service promotion. However, state-of-the-art graph mining algorithms often suffer from high generalization errors due to data sparsity, data noisiness, and data dynamics. In the context of mining information from financial transaction networks, the issues of data sparsity, noisiness, and dynamics become particularly acute. Ensuring accuracy and robustness in such evolving systems is of paramount importance. Motivated by these challenges, we propose a fundamental transition from traditional mining to augmentation in the context of financial transaction networks. To navigate this paradigm shift, we introduce TGEditor, a versatile task-guided temporal graph augmentation framework. This framework has been crafted to concurrently preserve the temporal and topological distribution of input financial transaction networks, whilst leveraging the label information from pertinent downstream tasks, denoted as T, inclusive of crucial downstream tasks like fraudulent transaction classification. In particular, to efficiently conduct task-specific augmentation, we propose two network editing operators that can be seamlessly optimized via adversarial training, while simultaneously capturing the dynamics of the data: Add operator aims to recover the missing temporal links due to data sparsity, and Prune operator is formulated to remove irrelevant/noisy temporal links due to data noisiness. Extensive results on financial transaction networks demonstrate that TGEditor 1) well preserves the data distribution of the original graph and 2) notably boosts the performance of the prediction models in the tasks of vertex classification and fraudulent transaction detection.</t>
  </si>
  <si>
    <t>[Zhang, Shuaicheng; Zhou, Dawei] Virginia Tech, Blacksburg, VA 24061 USA; [Zhu, Yada] IBM Res, MIT IBM Watson Lab, Cambridge, MA USA</t>
  </si>
  <si>
    <t>Virginia Polytechnic Institute &amp; State University; International Business Machines (IBM)</t>
  </si>
  <si>
    <t>Zhang, SC (corresponding author), Virginia Tech, Blacksburg, VA 24061 USA.</t>
  </si>
  <si>
    <t>zshuai8@vt.edu; yzhu@us.ibm.com; zhoud@vt.edu</t>
  </si>
  <si>
    <t>Zhu, Yada/0000-0002-3338-6371</t>
  </si>
  <si>
    <t>Virginia Tech; Cisco; Deloitte; Commonwealth Cyber Initiative; 4VA; MIT-IBM Watson AI Lab</t>
  </si>
  <si>
    <t>Virginia Tech; Cisco; Deloitte; Commonwealth Cyber Initiative; 4VA; MIT-IBM Watson AI Lab(International Business Machines (IBM))</t>
  </si>
  <si>
    <t>We thank the anonymous reviewers and area chair for their valuable time and constructive comments. This work is supported by Virginia Tech, Cisco, Deloitte, Commonwealth Cyber Initiative, 4VA, and MIT-IBM Watson AI Lab -a research collaboration as part of the IBM AI Horizons Network. The views and conclusions are those of the authors and should not be interpreted as representing the official policies of the funding agencies or the government.</t>
  </si>
  <si>
    <t>10.1145/3604237.3626883</t>
  </si>
  <si>
    <t>WOS:001124982700026</t>
  </si>
  <si>
    <t>Thomsen, FSL; Iarussi, E; Borggrefe, J; Boyd, SK; Wang, Y; Battié, MC</t>
  </si>
  <si>
    <t>Thomsen, Felix S. L.; Iarussi, Emmanuel; Borggrefe, Jan; Boyd, Steven K.; Wang, Yue; Battie, Michele C.</t>
  </si>
  <si>
    <t>Bone-GAN: Generation of virtual bone microstructure of high resolution peripheral quantitative computed tomography</t>
  </si>
  <si>
    <t>bone microstructure; gestalt; progressive generative adversarial network; structural morphing; XtremeCT</t>
  </si>
  <si>
    <t>DOMAIN NOISE INSERTION; THICKNESS</t>
  </si>
  <si>
    <t>BackgroundData-driven development of medical biomarkers of bone requires a large amount of image data but physical measurements are generally too restricted in size and quality to perform a robust training. PurposeThis study aims to provide a reliable in silico method for the generation of realistic bone microstructure with defined microarchitectural properties. Synthetic bone samples may improve training of neural networks and serve for the development of new diagnostic parameters of bone architecture and mineralization. MethodsOne hundred-fifty cadaveric lumbar vertebrae from 48 different male human spines were scanned with a high resolution peripheral quantitative CT. After prepocessing the scans, we extracted 10,795 purely spongeous bone patches, each with a side length of 32 voxels (5 mm) and isotropic voxel size of 164 mu m. We trained a volumetric generative adversarial network (GAN) in a progressive manner to create synthetic microstructural bone samples. We then added a style transfer technique to allow the generation of synthetic samples with defined microstructure and gestalt by simultaneously optimizing two entangled loss functions. Reliability testing was performed by comparing real and synthetic bone samples on 10 well-understood microstructural parameters. ResultsThe method was able to create synthetic bone samples with visual and quantitative properties that effectively matched with the real samples. The GAN contained a well-formed latent space allowing to smoothly morph bone samples by their microstructural parameters, visual appearance or both. Optimum performance has been obtained for bone samples with voxel size 32 x 32 x 32, but also samples of size 64 x 64 x 64 could be synthesized. ConclusionsOur two-step-approach combines a parameter-agnostic GAN with a parameter-specific style transfer technique. It allows to generate an unlimited anonymous database of microstructural bone samples with sufficient realism to be used for the development of new data-driven methods of bone-biomarkers. Particularly, the style transfer technique can generate datasets of bone samples with specific conditions to simulate certain bone pathologies.</t>
  </si>
  <si>
    <t>[Thomsen, Felix S. L.; Iarussi, Emmanuel] Natl Sci &amp; Tech Res Council CONICET, Buenos Aires, DF, Argentina; [Thomsen, Felix S. L.; Borggrefe, Jan] Ruhr Univ Bochum, Johannes Wesling Univ Hosp, Dept Radiol Neuroradiol &amp; Nucl Med, Bochum, Germany; [Thomsen, Felix S. L.] Natl Univ South DIEC ICIC UNS, Inst Comp Sci &amp; Engn, Dept Elect &amp; Comp Engn, Bahia Blanca, Buenos Aires, Argentina; [Iarussi, Emmanuel] Univ Torcuato Tella, Lab Artificial Intelligence, Buenos Aires, DF, Argentina; [Boyd, Steven K.] Univ Calgary, McCaig Inst Bone &amp; Joint Hlth, Calgary, AB, Canada; [Wang, Yue] Zhejiang Univ, Affiliated Hosp 1, Dept Orthoped Surg, Spine Lab,Sch Med, Hangzhou, Peoples R China; [Battie, Michele C.] Univ Alberta, Fac Rehabil Med, Common Spinal Disorders Res Grp, Edmonton, AB, Canada</t>
  </si>
  <si>
    <t>Consejo Nacional de Investigaciones Cientificas y Tecnicas (CONICET); Centro Nacional Patagonico (CENPAT); Ruhr University Bochum; Universidad Torcuato Di Tella; University of Calgary; Zhejiang University; University of Alberta</t>
  </si>
  <si>
    <t>Thomsen, FSL (corresponding author), Consejo Nacl Invest Cient &amp; Tecn, ICIC, San Andres 800, RA-8000 Bahia Blanca, Buenos Aires, Argentina.</t>
  </si>
  <si>
    <t>felix.thomsen@uns.edu.ar</t>
  </si>
  <si>
    <t>Borggrefe, Jan/N-6549-2018; Iarussi, Emmanuel/AAU-1254-2021</t>
  </si>
  <si>
    <t>Borggrefe, Jan/0000-0003-2908-7560; Iarussi, Emmanuel/0000-0001-7438-9299</t>
  </si>
  <si>
    <t>Salesforce; Einstein AI Grant; Consejo Nacional de Investigaciones Cientificas y Tecnicas [PIP2021-11220200102981CO]</t>
  </si>
  <si>
    <t>Salesforce; Einstein AI Grant; Consejo Nacional de Investigaciones Cientificas y Tecnicas(Consejo Nacional de Investigaciones Cientificas y Tecnicas (CONICET))</t>
  </si>
  <si>
    <t>Salesforce, Grant/Award Number: Einstein AI Grant; Consejo Nacional de Investigaciones Cientificas y Tecnicas, Grant/Award Number: PIP2021-11220200102981CO</t>
  </si>
  <si>
    <t>10.1002/mp.16482</t>
  </si>
  <si>
    <t>X1KU4</t>
  </si>
  <si>
    <t>WOS:001000040500001</t>
  </si>
  <si>
    <t>Peng, H; Wu, C; Nguyen, D; Schuemann, J; Mairani, A; Pu, YH; Jiang, SV</t>
  </si>
  <si>
    <t>Peng, Hao; Wu, Chao; Nguyen, Dan; Schuemann, Jan; Mairani, Andrea; Pu, Yuehu; Jiang, Steve</t>
  </si>
  <si>
    <t>Recent Advancements of Artificial Intelligence in Particle Therapy</t>
  </si>
  <si>
    <t>IEEE TRANSACTIONS ON RADIATION AND PLASMA MEDICAL SCIENCES</t>
  </si>
  <si>
    <t>Artificial intelligence; Medical treatment; Computed tomography; Radiation therapy; Planning; Generative adversarial networks; Photonics; Adaptive radiotherapy; artificial intelligence (AI); cone-beam CT (CBCT); dose calculation; dose verification; image guidance; positron emission tomography (PET); proton therapy; quality assurance (QA); treatment planning</t>
  </si>
  <si>
    <t>DUAL-ENERGY CT; PROTON DOSE-CALCULATION; CONVOLUTIONAL NEURAL-NETWORK; PENCIL BEAM ALGORITHM; COMPUTED-TOMOGRAPHY; SYNTHETIC CT; RADIATION-THERAPY; ATTENUATION COEFFICIENTS; RANGE UNCERTAINTIES; PET VERIFICATION</t>
  </si>
  <si>
    <t>We are in a golden age of progress in the field of artificial intelligence (AI). Radiotherapy is perfectly suited to benefit from AI to enhance accuracy and efficiency due to its technology-intensive nature and direct human-machine interactions. While large amount of AI research have recently been published in the field of photon therapy, applications of AI specifically targeted for particle therapy remain scarcely investigated. There are two distinct differences between the photon therapy and particle therapy: 1) beam interaction physics (photons versus charged particles) and 2) beam delivery mode (e.g., IMRT/VMAT versus pencil beam scanning). Consequently, different strategies of AI deployment are required for these two radiotherapy modalities. In this article, we aim to present a comprehensive survey of recent literature exclusively focusing on AI-powered particle therapy. Six major aspects are included: 1) treatment planning; 2) dose calculation; 3) range and dose verification; 4) image guidance; 5) quality assurance; and 6) adaptive replanning. A number of perspectives, as well as potential challenges and common pitfalls, are also discussed.</t>
  </si>
  <si>
    <t>[Peng, Hao; Nguyen, Dan; Jiang, Steve] Univ Texas Southwestern Med Ctr, Dept Radiat Oncol, Med Artificial Intelligence &amp; Automat Lab, Dallas, TX 75390 USA; [Wu, Chao; Pu, Yuehu] Chinese Acad Sci, Shanghai Adv Res Inst, Shanghai 200031, Peoples R China; [Mairani, Andrea] Massachusetts Gen Hosp, Dept Radiat Oncol, Boston, MA 02115 USA; [Mairani, Andrea] Harvard Med Sch, Boston, MA 02115 USA</t>
  </si>
  <si>
    <t>University of Texas System; University of Texas Southwestern Medical Center Dallas; Chinese Academy of Sciences; Shanghai Advanced Research Institute, CAS; Harvard University; Massachusetts General Hospital; Harvard University; Harvard Medical School</t>
  </si>
  <si>
    <t>Jiang, SV (corresponding author), Univ Texas Southwestern Med Ctr, Dept Radiat Oncol, Med Artificial Intelligence &amp; Automat Lab, Dallas, TX 75390 USA.</t>
  </si>
  <si>
    <t>Steve.Jiang@utsouthwestern.edu</t>
  </si>
  <si>
    <t>Peng, Hao/L-7364-2019; Jiang, Steve/GRO-3951-2022; Schuemann, Jan/A-4346-2011</t>
  </si>
  <si>
    <t>Peng, Hao/0000-0001-7422-630X; Jiang, Steve/0000-0002-3083-6752; Schuemann, Jan/0000-0002-7554-8818</t>
  </si>
  <si>
    <t>2469-7311</t>
  </si>
  <si>
    <t>2469-7303</t>
  </si>
  <si>
    <t>IEEE T RADIAT PLASMA</t>
  </si>
  <si>
    <t>IEEE Trans. Radiat. Plasma Med. Sci.</t>
  </si>
  <si>
    <t>10.1109/TRPMS.2023.3241102</t>
  </si>
  <si>
    <t>D4VY5</t>
  </si>
  <si>
    <t>WOS:000968739000001</t>
  </si>
  <si>
    <t>Jacobs, SM; Lundy, NN; Issenberg, SB; Chandran, L</t>
  </si>
  <si>
    <t>Jacobs, Sarah Marie; Lundy, Neva Nicole; Issenberg, Saul Barry; Chandran, Latha</t>
  </si>
  <si>
    <t>Reimagining Core Entrustable Professional Activities for Undergraduate Medical Education in the Era of Artificial Intelligence</t>
  </si>
  <si>
    <t>artificial intelligence; entrustable professional activities; medical education; competency-based education; educational technology; machine learning</t>
  </si>
  <si>
    <t>CARE; DRIVERS; TIME</t>
  </si>
  <si>
    <t>The proliferation of generative artificial intelligence (AI) and its extensive potential for integration into many aspects of health care signal a transformational shift within the health care environment. In this context, medical education must evolve to ensure that medical trainees are adequately prepared to navigate the rapidly changing health care landscape. Medical education has moved toward a competency-based education paradigm, leading the Association of American Medical Colleges (AAMC) to define a set of Entrustable Professional Activities (EPAs) as its practical operational framework in undergraduate medical education. The AAMC's 13 core EPAs for entering residencies have been implemented with varying levels of success across medical schools. In this paper, we critically assess the existing core EPAs in the context of rapid AI integration in medicine. We identify EPAs that require refinement, redefinition, or comprehensive change to align with the emerging trends in health care. Moreover, this perspective proposes a set of emerging EPAs, informed by the changing landscape and capabilities presented by generative AI technologies. We provide a practical evaluation of the EPAs, alongside actionable recommendations on how medical education, viewed through the lens of the AAMC EPAs, can adapt and remain relevant amid rapid technological advancements. By leveraging the transformative potential of AI, we can reshape medical education to align with an AI-integrated future of medicine. This approach will help equip future health care professionals with technological competence and adaptive skills to meet the dynamic and evolving demands in health care.</t>
  </si>
  <si>
    <t>[Jacobs, Sarah Marie; Lundy, Neva Nicole; Issenberg, Saul Barry; Chandran, Latha] Univ Miami, Miller Sch Med, Dept Med Educ, Miami, FL USA; [Issenberg, Saul Barry] Univ Miami, Dept Med Educ, Miller Sch Med, 1120 NW 14th St, Miami, FL 33136 USA</t>
  </si>
  <si>
    <t>University of Miami; University of Miami</t>
  </si>
  <si>
    <t>Issenberg, SB (corresponding author), Univ Miami, Dept Med Educ, Miller Sch Med, 1120 NW 14th St, Miami, FL 33136 USA.</t>
  </si>
  <si>
    <t>bissenbe@miami.edu</t>
  </si>
  <si>
    <t>Issenberg, Saul/0000-0002-2524-4736; Chandran, Latha/0000-0002-7538-4331; Lundy, Neva/0009-0009-5742-1512</t>
  </si>
  <si>
    <t>e50903</t>
  </si>
  <si>
    <t>10.2196/50903</t>
  </si>
  <si>
    <t>FJ5V1</t>
  </si>
  <si>
    <t>WOS:001145415900001</t>
  </si>
  <si>
    <t>Savelka, J; Agarwal, A; An, M; Bogart, C; Sakr, M</t>
  </si>
  <si>
    <t>Savelka, Jaromir; Agarwal, Arav; An, Marshall; Bogart, Chris; Sakr, Majd</t>
  </si>
  <si>
    <t>Thrilled by Your Progress! Large Language Models (GPT-4) No Longer Struggle to Pass Assessments in Higher Education Programming Courses</t>
  </si>
  <si>
    <t>PROCEEDINGS OF THE 2023 ACM CONFERENCE ON INTERNATIONAL COMPUTING EDUCATION RESEARCH V.1, ICER 2023 V1</t>
  </si>
  <si>
    <t>19th Annual ACM Conference on International Computing Education Research V.1 (ICER)</t>
  </si>
  <si>
    <t>AUG 07-11, 2023</t>
  </si>
  <si>
    <t>AI code generation; introductory and intermediate programming; Multiple-choice question answering; MCQ; coding exercises; generative pre-trained transformers; GPT; Python course; programming knowledge assessment; ChatGPT; Codex; GitHub Copilot; Alpha-Code</t>
  </si>
  <si>
    <t>This paper studies recent developments in large language models' (LLM) abilities to pass assessments in introductory and intermediate Python programming courses at the postsecondary level. The emergence of ChatGPT resulted in heated debates of its potential uses (e.g., exercise generation, code explanation) as well as misuses in programming classes (e.g., cheating). Recent studies show that while the technology performs surprisingly well on diverse sets of assessment instruments employed in typical programming classes the performance is usually not sufficient to pass the courses. The release of GPT-4 largely emphasized notable improvements in the capabilities related to handling assessments originally designed for human test-takers. This study is the necessary analysis in the context of this ongoing transition towards mature generative AI systems. Specifically, we report the performance of GPT-4, comparing it to the previous generations of GPT models, on three Python courses with assessments ranging from simple multiple-choice questions (no code involved) to complex programming projects with code bases distributed into multiple files (599 exercises overall). Additionally, we analyze the assessments that were not handled well by GPT-4 to understand the current limitations of the model, as well as its capabilities to leverage feedback provided by an auto-grader. We found that the GPT models evolved from completely failing the typical programming class' assessments (the original GPT-3) to confidently passing the courses with no human involvement (GPT-4). While we identified certain limitations in GPT-4's handling of MCQs and coding exercises, the rate of improvement across the recent generations of GPT models strongly suggests their potential to handle almost any type of assessment widely used in higher education programming courses. These findings could be leveraged by educators and institutions to adapt the design of programming assessments as well as to fuel the necessary discussions into how programming classes should be updated to reflect the recent technological developments. This study provides evidence that programming instructors need to prepare for a world in which there is an easy-to-use widely accessible technology that can be utilized by learners to collect passing scores, with no effort whatsoever, on what today counts as viable programming knowledge and skills assessments.</t>
  </si>
  <si>
    <t>[Savelka, Jaromir; Agarwal, Arav; An, Marshall; Bogart, Chris; Sakr, Majd] Carnegie Mellon Univ, Pittsburgh, PA 15213 USA</t>
  </si>
  <si>
    <t>Savelka, J (corresponding author), Carnegie Mellon Univ, Pittsburgh, PA 15213 USA.</t>
  </si>
  <si>
    <t>jsavelka@cs.cmu.edu; arava@andrew.cmu.edu; haokanga@andrew.cmu.edu; cbogart@andrew.cmu.edu; msakr@cs.cmu.edu</t>
  </si>
  <si>
    <t>Savelka, Jaromir/GOK-0488-2022; Šavelka, Jaromír/JUU-2183-2023</t>
  </si>
  <si>
    <t>Šavelka, Jaromír/0000-0002-3674-5456; Sakr, Majd/0000-0001-5150-8259; An, Haokang/0009-0005-5165-640X; Bogart, Christopher/0000-0001-8581-115X; Agarwal, Arav/0000-0001-9848-1663</t>
  </si>
  <si>
    <t>978-1-4503-9976-0</t>
  </si>
  <si>
    <t>10.1145/3568813.3600142</t>
  </si>
  <si>
    <t>Computer Science, Theory &amp; Methods; Education &amp; Educational Research; Education, Scientific Disciplines</t>
  </si>
  <si>
    <t>BW3QV</t>
  </si>
  <si>
    <t>WOS:001141973500006</t>
  </si>
  <si>
    <t>Schlaeger, S; Drummer, K; El Husseini, M; Kofler, F; Sollmann, N; Schramm, S; Zimmer, C; Wiestler, B; Kirschke, JS</t>
  </si>
  <si>
    <t>Schlaeger, Sarah; Drummer, Katharina; El Husseini, Malek; Kofler, Florian; Sollmann, Nico; Schramm, Severin; Zimmer, Claus; Wiestler, Benedikt; Kirschke, Jan S.</t>
  </si>
  <si>
    <t>Synthetic T2-weighted fat sat based on a generative adversarial network shows potential for scan time reduction in spine imaging in a multicenter test dataset</t>
  </si>
  <si>
    <t>Magnetic resonance imaging; Spine; Artificial intelligence</t>
  </si>
  <si>
    <t>LUMBAR SPINE; RESONANCE; MRI; DEGENERATION; SUPPRESSION; FRACTURES; INFECTION; SEQUENCE; SYSTEM; ECHO</t>
  </si>
  <si>
    <t>ObjectivesT2-weighted (w) fat sat (fs) sequences, which are important in spine MRI, require a significant amount of scan time. Generative adversarial networks (GANs) can generate synthetic T2-w fs images. We evaluated the potential of synthetic T2-w fs images by comparing them to their true counterpart regarding image and fat saturation quality, and diagnostic agreement in a heterogenous, multicenter dataset.MethodsA GAN was used to synthesize T2-w fs from T1- and non-fs T2-w. The training dataset comprised scans of 73 patients from two scanners, and the test dataset, scans of 101 patients from 38 multicenter scanners. Apparent signal- and contrast-to-noise ratios (aSNR/aCNR) were measured in true and synthetic T2-w fs. Two neuroradiologists graded image (5-point scale) and fat saturation quality (3-point scale). To evaluate whether the T2-w fs images are indistinguishable, a Turing test was performed by eleven neuroradiologists. Six pathologies were graded on the synthetic protocol (with synthetic T2-w fs) and the original protocol (with true T2-w fs) by the two neuroradiologists.ResultsaSNR and aCNR were not significantly different between the synthetic and true T2-w fs images. Subjective image quality was graded higher for synthetic T2-w fs (p = 0.023). In the Turing test, synthetic and true T2-w fs could not be distinguished from each other. The intermethod agreement between synthetic and original protocol ranged from substantial to almost perfect agreement for the evaluated pathologies.DiscussionThe synthetic T2-w fs might replace a physical T2-w fs. Our approach validated on a challenging, multicenter dataset is highly generalizable and allows for shorter scan protocols.</t>
  </si>
  <si>
    <t>[Schlaeger, Sarah; Drummer, Katharina; El Husseini, Malek; Kofler, Florian; Sollmann, Nico; Schramm, Severin; Zimmer, Claus; Wiestler, Benedikt; Kirschke, Jan S.] Tech Univ Munich, Sch Med, Dept Diagnost &amp; Intervent Neuroradiol, Klinikum Rechts Isar, Munich, Germany; [Kofler, Florian] Tech Univ Munich, Dept Informat, Munich, Germany; [Kofler, Florian] Tech Univ Munich, TranslaTUM Cent Inst Translat Canc Res, Munich, Germany; [Kofler, Florian] Helmholtz AI, Helmholtz Zentrum Munchen, Munich, Germany; [Sollmann, Nico; Zimmer, Claus; Kirschke, Jan S.] Tech Univ Munich, TUM NeuroImaging Ctr, Klinikum Rechts Isar, Munich, Germany; [Sollmann, Nico] Univ Hosp Ulm, Dept Diagnost &amp; Intervent Radiol, Ulm, Germany</t>
  </si>
  <si>
    <t>Technical University of Munich; Technical University of Munich; Technical University of Munich; Helmholtz Association; Helmholtz-Center Munich - German Research Center for Environmental Health; Technical University of Munich; Ulm University</t>
  </si>
  <si>
    <t>Schlaeger, S (corresponding author), Tech Univ Munich, Sch Med, Dept Diagnost &amp; Intervent Neuroradiol, Klinikum Rechts Isar, Munich, Germany.</t>
  </si>
  <si>
    <t>sarah.schlaeger@tum.de</t>
  </si>
  <si>
    <t>Kirschke, Jan/E-2550-2012; Kofler, Florian/IQU-5887-2023</t>
  </si>
  <si>
    <t>Kirschke, Jan/0000-0002-7557-0003; Kofler, Florian/0000-0003-0642-7884; Sollmann, Nico/0000-0002-8120-2223</t>
  </si>
  <si>
    <t>DFG [432290010]; BMBF (German Ministry of Education and Research) [13GW0469D]; ERC [8700000708]; European Research Council (ERC) under the European Union [101045128-iBack-epic-ERC-2021-COG]</t>
  </si>
  <si>
    <t>DFG(German Research Foundation (DFG)); BMBF (German Ministry of Education and Research)(Federal Ministry of Education &amp; Research (BMBF)); ERC(European Research Council (ERC)); European Research Council (ERC) under the European Union(European Research Council (ERC))</t>
  </si>
  <si>
    <t>Open Access funding enabled and organized by Projekt DEAL. JSK was supported by DFG (project 432290010), BMBF (German Ministry of Education and Re-search, 13GW0469D), and ERC. SS was supported by an internal faculty grant (KKF, 8700000708). This work has received research funding from the European Research Council (ERC) under the European Union's Horizon 2020 research and innovation program (101045128-iBack-epic-ERC-2021-COG).</t>
  </si>
  <si>
    <t>10.1007/s00330-023-09512-4</t>
  </si>
  <si>
    <t>P8NS6</t>
  </si>
  <si>
    <t>WOS:000952986200001</t>
  </si>
  <si>
    <t>Wójcik, S; Rulkiewicz, A; Pruszczyk, P; Lisik, W; Pobozy, M; Domienik-Karlowicz, J</t>
  </si>
  <si>
    <t>Wojcik, Simona; Rulkiewicz, Anna; Pruszczyk, Piotr; Lisik, Wojciech; Pobozy, Marcin; Domienik-Karlowicz, Justyna</t>
  </si>
  <si>
    <t>Reshaping medical education: Performance of ChatGPT on a PES medical examination</t>
  </si>
  <si>
    <t>CARDIOLOGY JOURNAL</t>
  </si>
  <si>
    <t>ChatGPT; innovations; artificial intelligence; AI in medicine; health IT; medical education; language processing; virtual teaching assistant</t>
  </si>
  <si>
    <t>Background: We are currently experiencing a third digital revolution driven by artificial intelligence (AI), and the emergence of new chat generative pre -trained transformer (ChatGPT) represents a significant technological advancement with profound implications for global society, especially in the field of education. Methods: The aim of this study was to see how well ChatGPT performed on medical school exams and to highlight how it might change medical education and practice. Recently, OpenAI's ChatGPT (OpenAI, San Francisco; GPT-4 May 24 Version) was put to the test against a significant Polish medi- cal specialization licensing exam (PES), and the results are in. The version of ChatGPT-4 used in this study was the most up-to-date model at the time of publication (GPT-4). ChatGPT answered questions from June 28, 2023, to June 30, 2023. Results: ChatGPT demonstrates notable advancements in natural language processing models on the tasks of medical question answering. In June 2023, the performance of ChatGPT was assessed based on its ability to answer a set of 120 questions, where it achieved a correct response rate of 67.1%, accurately responding to 80 questions. Conclusions: ChatGPT may be used as an assistance tool in medical education. While ChatGPT can serve as a valuable tool in medical education, it cannot fully replace human expertise and knowledge due to its inherent limitations. (Cardiol J)</t>
  </si>
  <si>
    <t>[Wojcik, Simona; Rulkiewicz, Anna; Domienik-Karlowicz, Justyna] Lux Med Llc, Warsaw, Poland; [Pruszczyk, Piotr; Domienik-Karlowicz, Justyna] Med Univ Warsaw, Ctr Diag &amp; Treatment Thromboembolism, Dept Internal Med &amp; Cardiol, Warsaw, Poland; [Lisik, Wojciech] Med Univ Warsaw, Dept Gen &amp; Transplantat Surg, Warsaw, Poland; [Pobozy, Marcin] Cichowski Pobozy Healthcare Facil, Maciejowice, Poland; [Domienik-Karlowicz, Justyna] Med Univ Warsaw, Dept Gen &amp; Transplantat Surg, Ul Lindleya 4, PL-00005 Warsaw, Poland</t>
  </si>
  <si>
    <t>Medical University of Warsaw; Medical University of Warsaw; Medical University of Warsaw</t>
  </si>
  <si>
    <t>Domienik-Karlowicz, J (corresponding author), Med Univ Warsaw, Dept Gen &amp; Transplantat Surg, Ul Lindleya 4, PL-00005 Warsaw, Poland.</t>
  </si>
  <si>
    <t>jdomienik@tlen.pl</t>
  </si>
  <si>
    <t>Lisik, Wojciech/Q-8972-2018</t>
  </si>
  <si>
    <t>Lisik, Wojciech/0000-0003-3020-3979; Domienik-Karlowicz, Justyna/0000-0001-6122-9755; Pruszczyk, Piotr/0000-0002-9768-0000</t>
  </si>
  <si>
    <t>VIA MEDICA</t>
  </si>
  <si>
    <t>GDANSK</t>
  </si>
  <si>
    <t>UL SWIETOKRZYSKA 73, 80-180 GDANSK, POLAND</t>
  </si>
  <si>
    <t>1897-5593</t>
  </si>
  <si>
    <t>1898-018X</t>
  </si>
  <si>
    <t>CARDIOL J</t>
  </si>
  <si>
    <t>Cardiol. J.</t>
  </si>
  <si>
    <t>10.5603/cj.97517</t>
  </si>
  <si>
    <t>LT3T1</t>
  </si>
  <si>
    <t>WOS:001189020200001</t>
  </si>
  <si>
    <t>Ayoub, M; Ballout, AA; Zayek, RA; Ayoub, NF</t>
  </si>
  <si>
    <t>Ayoub, Marc; Ballout, Ahmad A.; Zayek, Rosana A.; Ayoub, Noel F.</t>
  </si>
  <si>
    <t>Mind</t>
  </si>
  <si>
    <t>large language model; generative artificial intelligence; triage; clinical decision support system; artificial intelligence in healthcare; chatgpt</t>
  </si>
  <si>
    <t>Background Generative artificial intelligence (AI) has integrated into various industries as it has demonstrated enormous potential in automating elaborate processes and enhancing complex decision-making. The ability of these chatbots to critically triage, diagnose, and manage complex medical conditions, remains unknown and requires further research.Objective This cross-sectional study sought to quantitatively analyze the appropriateness of ChatGPT (OpenAI, San Francisco, CA, US) in its ability to triage, synthesize differential diagnoses, and generate treatment plans for nine diverse but common clinical scenarios.Methods Various common clinical scenarios were developed. Each was input into ChatGPT, and the chatbot was asked to develop diagnostic and treatment plans. Five practicing physicians independently scored ChatGPT's responses to the clinical scenarios.Results The average overall score for the triage ranking was 4.2 (SD 0.7). The lowest overall score was for the completeness of the differential diagnosis at 4.1 (0.5). The highest overall scores were seen with the accuracy of the differential diagnosis, initial treatment plan, and overall usefulness of the response (all with an average score of 4.4). Variance among physician scores ranged from 0.24 for accuracy of the differential diagnosis to 0.49 for appropriateness of triage ranking.Discussion ChatGPT has the potential to augment clinical decision-making. More extensive research, however, is needed to ensure accuracy and appropriate recommendations are provided.</t>
  </si>
  <si>
    <t>[Ayoub, Marc] Northshore Univ Hosp, Neurocrit Care, Northwell, Manhasset, NY USA; [Ayoub, Marc] Elmhurst Hosp Ctr, Mt Sinai Sch Med, Internal Med, New York, NY USA; [Ballout, Ahmad A.] Donald &amp; Barbara Zucker Sch Med Hofstra Northwell, Neurol, Long Isl City, NY USA; [Zayek, Rosana A.] Torrance Mem Med Ctr, Internal Med, Torrance, CA USA; [Ayoub, Noel F.] Stanford Hlth Care, Otolaryngol Head &amp; Neck Surg, Palo Alto, CA 94305 USA</t>
  </si>
  <si>
    <t>Icahn School of Medicine at Mount Sinai; Northwell Health; Stanford University</t>
  </si>
  <si>
    <t>Ayoub, NF (corresponding author), Stanford Hlth Care, Otolaryngol Head &amp; Neck Surg, Palo Alto, CA 94305 USA.</t>
  </si>
  <si>
    <t>noelayoub@gmail.com</t>
  </si>
  <si>
    <t>AUG 18</t>
  </si>
  <si>
    <t>e43690</t>
  </si>
  <si>
    <t>10.7759/cureus.43690</t>
  </si>
  <si>
    <t>R5SG9</t>
  </si>
  <si>
    <t>WOS:001064944100009</t>
  </si>
  <si>
    <t>Vidal-Alaball, J; Zafra, RP; Escalé-Besa, A; Martinez-Millana, A</t>
  </si>
  <si>
    <t>Vidal-Alaball, Josep; Zafra, Robert Panades; Escale-Besa, Anna; Martinez-Millana, Antonio</t>
  </si>
  <si>
    <t>The artificial intelligence revolution in primary care: Challenges, dilemmas and opportunities</t>
  </si>
  <si>
    <t>ATENCION PRIMARIA</t>
  </si>
  <si>
    <t>Artificial intelligence; Primary care; Digital health; Machine learning algorithms; Generative algorithms</t>
  </si>
  <si>
    <t>Artificial intelligence (AI) can be a valuable tool for primary care (PC), as, among other things, it can help healthcare professionals improve diagnostic accuracy, chronic disease management and the overall efficiency of the care they provide. It is important to emphasise that AI should not be seen as a replacement tool, but as an aid to PC professionals. Although AI is capable of processing large amounts of data and generating accurate predictions, it cannot replace the skill and expertise of professionals in clinical decision making. AI still requires the interpretation and clinical judgement of a trained healthcare professional and cannot provide the empathy and emotional support often required in healthcare.(c) 2023 The Authors. Published by Elsevier Espan similar to a, S.L.U. This is an open access article under the CC BY-NC-ND license (http://creativecommons.org/licenses/by-nc-nd/4.0/).</t>
  </si>
  <si>
    <t>[Vidal-Alaball, Josep] Fdn Inst Univ Recerca Atencio Primaria Salut, Unitat Suport Recerca Catalunya Cent, Barcelona, Spain; [Vidal-Alaball, Josep; Zafra, Robert Panades; Escale-Besa, Anna] Inst Catala Salut, Grp Recerca Promocio Salut Ambit Rural, Gerencia Atencio Primaria &amp; Comunitat Catalunya C, Barcelona, Spain; [Vidal-Alaball, Josep] Univ Cent Catalunya, Univ Vic, Fac Med, Barcelona, Spain; [Vidal-Alaball, Josep; Zafra, Robert Panades; Escale-Besa, Anna; Martinez-Millana, Antonio] Grp Salut Digital CAMFIC, Barcelona, Spain; [Zafra, Robert Panades] Inst Catala Salut, Equip Atencio Primaria Anoia Rural, Gerencia Atencio Primaria &amp; Comunitat Catalunya C, Barcelona, Spain; [Escale-Besa, Anna] Inst Catala Salut, Equip Atencio Primaria Navas Balsareny, Gerencia Atencio Primaria &amp; Comunitat Catalunya C, Barcelona, Spain; [Martinez-Millana, Antonio] Univ Politecn Valencia, Inst Univ Invest Aplicac Tecnol Informac &amp; Comuni, Valencia, Spain</t>
  </si>
  <si>
    <t>University of Barcelona; Universitat de Vic - Universitat Central de Catalunya (UVic-UCC); Universitat Politecnica de Valencia</t>
  </si>
  <si>
    <t>Escalé-Besa, A (corresponding author), Inst Catala Salut, Grp Recerca Promocio Salut Ambit Rural, Gerencia Atencio Primaria &amp; Comunitat Catalunya C, Barcelona, Spain.;Escalé-Besa, A (corresponding author), Grp Salut Digital CAMFIC, Barcelona, Spain.;Escalé-Besa, A (corresponding author), Inst Catala Salut, Equip Atencio Primaria Navas Balsareny, Gerencia Atencio Primaria &amp; Comunitat Catalunya C, Barcelona, Spain.</t>
  </si>
  <si>
    <t>EDICIONES DOYMA S A</t>
  </si>
  <si>
    <t>TRAV DE GRACIA 17-21, 08021 BARCELONA, SPAIN</t>
  </si>
  <si>
    <t>0212-6567</t>
  </si>
  <si>
    <t>1578-1275</t>
  </si>
  <si>
    <t>ATEN PRIM</t>
  </si>
  <si>
    <t>Aten. Prim.</t>
  </si>
  <si>
    <t>10.1016/j.aprim.2023.102820</t>
  </si>
  <si>
    <t>Primary Health Care; Medicine, General &amp; Internal</t>
  </si>
  <si>
    <t>DW1V7</t>
  </si>
  <si>
    <t>WOS:001135036200001</t>
  </si>
  <si>
    <t>Harrison, RM; Dereventsov, A; Bibin, A</t>
  </si>
  <si>
    <t>Harrison, Rachel M.; Dereventsov, Anton; Bibin, Anton</t>
  </si>
  <si>
    <t>Zero-Shot Recommendations with Pre-Trained Large Language Models for Multimodal Nudging</t>
  </si>
  <si>
    <t>zero-shot learning; large language models; GPT; nudging; personalization; multimodal recommendation</t>
  </si>
  <si>
    <t>ASSOCIATIONS; BEHAVIORS; TIME</t>
  </si>
  <si>
    <t>We present a method for zero-shot recommendation of multimodal non-stationary content that leverages recent advancements in the field of generative AI. We propose rendering inputs of different modalities as textual descriptions and to utilize pre-trained LLMs to obtain their numerical representations by computing semantic embeddings. Once unified representations of all content items are obtained, the recommendation can be performed by computing an appropriate similarity metric between them without any additional learning. We demonstrate our approach on a synthetic multimodal nudging environment, where the inputs consist of tabular, textual, and visual data.</t>
  </si>
  <si>
    <t>[Harrison, Rachel M.] Behav Design Lirio LLC, Knoxville, TN USA; [Dereventsov, Anton] Lirio AI Res Lirio LLC, Knoxville, TN USA; [Bibin, Anton] Skoltech Agro, Skoltech, Moscow, Russia</t>
  </si>
  <si>
    <t>Harrison, RM (corresponding author), Behav Design Lirio LLC, Knoxville, TN USA.</t>
  </si>
  <si>
    <t>rharrison@lirio.com; adereventsov@lirio.com; a.bibin@skoltech.ru</t>
  </si>
  <si>
    <t>10.1109/ICDMW60847.2023.00195</t>
  </si>
  <si>
    <t>WOS:001164077500186</t>
  </si>
  <si>
    <t>Faraji, N; Aali, S; Motiei, M; Mansouri, SS</t>
  </si>
  <si>
    <t>Faraji, Niloofar; Aali, Shahab; Motiei, Mahsa; Mansouri, Sahand Sadat</t>
  </si>
  <si>
    <t>Letter to the Editor: ChatGPT's contribution to cancer study</t>
  </si>
  <si>
    <t>JOURNAL OF CANCER RESEARCH AND CLINICAL ONCOLOGY</t>
  </si>
  <si>
    <t>ChatGPT; Oncology; Cancer; Research; Medical</t>
  </si>
  <si>
    <t>The role of large language models (LLM) in medical and biomedical sciences is remarkable, and chat generative pre-trained transformer (ChatGPT) as an AI model has the potential to assist in research and clinical practice. While it is essential to recognize that AI models like ChatGPT are tools that should be used with human expertise and judgment, they should argue, rather than replace, the knowledge and experience of healthcare professionals and researchers in the medical and biomedical fields.</t>
  </si>
  <si>
    <t>[Faraji, Niloofar] Guilan Univ Med Sci, Razi Hosp, Gastrointestinal &amp; Liver Dis Res Ctr, Rasht, Iran; [Aali, Shahab] Guilan Univ Med Sci, Razi Hosp, Urol Res Ctr, Dept Urol,Sch Med, Rasht, Iran; [Motiei, Mahsa] Guilan Univ Med Sci, Razi Hosp, Sch Med, Rasht, Iran; [Mansouri, Sahand Sadat] Guilan Univ Med Sci, Pediat Dis Res Ctr, Rasht, Iran</t>
  </si>
  <si>
    <t>Tehran University of Medical Sciences; Tehran University of Medical Sciences; Tehran University of Medical Sciences</t>
  </si>
  <si>
    <t>Mansouri, SS (corresponding author), Guilan Univ Med Sci, Pediat Dis Res Ctr, Rasht, Iran.</t>
  </si>
  <si>
    <t>niloofarfaraji.sci@gmail.com; shahab.aali@yahoo.com; mahsa.motie764@gmail.com; ssadatmansoory@gmail.com</t>
  </si>
  <si>
    <t>Faraji, Niloofar/0000-0001-5796-7157; Aali, Shahab/0009-0004-1717-2690; Motiei, Mahsa/0000-0002-3543-9975; , Sahandsdm/0009-0003-1536-9150</t>
  </si>
  <si>
    <t>0171-5216</t>
  </si>
  <si>
    <t>1432-1335</t>
  </si>
  <si>
    <t>J CANCER RES CLIN</t>
  </si>
  <si>
    <t>J. Cancer Res. Clin. Oncol.</t>
  </si>
  <si>
    <t>10.1007/s00432-023-05183-2</t>
  </si>
  <si>
    <t>U6YH0</t>
  </si>
  <si>
    <t>WOS:001032551800004</t>
  </si>
  <si>
    <t>Altamimi, I; Altamimi, A; Alhumimidi, AS; Altamimi, A; Temsah, MH</t>
  </si>
  <si>
    <t>Altamimi, Ibraheem; Altamimi, Abdullah; Alhumimidi, Abdullah S.; Altamimi, Abdulaziz; Temsah, Mohamad Hani</t>
  </si>
  <si>
    <t>Snakebite Advice and Counseling From Artificial Intelligence: An Acute Venomous Snakebite Consultation With ChatGPT</t>
  </si>
  <si>
    <t>ai and machine learning; medical artificial intelligence; artificial intelligence and education; ai chatbot; emergency medicine; toxicology and envenomation; acute venomous snakebite; artificial intelligence in healthcare; chatgpt; snake-bite</t>
  </si>
  <si>
    <t>Background: Snakebites, particularly from venomous species, present a significant global public health challenge. Access to accurate and timely information regarding snakebite prevention, recognition, and management is crucial for minimizing morbidity and mortality. Artificial intelligence (AI) language models, such as ChatGPT (Chat Generative Pre-trained Transformer), have the potential to revolutionize the dissemination of medical information and improve patient education and satisfaction.Methods: This study aimed to explore the utility of ChatGPT, an advanced language model, in simulating acute venomous snakebite consultations. Nine hypothetical questions based on comprehensive snakebite management guidelines were posed to ChatGPT, and the responses were evaluated by clinical toxicologists and emergency medicine physicians.Results: ChatGPT provided accurate and informative responses related to the immediate management of snakebites, the urgency of seeking medical attention, symptoms, and health issues following venomous snakebites, the role of antivenom, misconceptions about snakebites, recovery, pain management, and prevention strategies. The model highlighted the importance of seeking professional medical care and adhering to healthcare practitioners' advice. However, some limitations were identified, including outdated knowledge, lack of personalization, and inability to consider regional variations and individual characteristics.Conclusion: ChatGPT demonstrated proficiency in generating intelligible and well-informed responses related to venomous snakebites. It offers accessible and real-time advice, making it a valuable resource for preliminary information, education, and triage support in remote or underserved areas. While acknowledging its limitations, such as the need for up-to-date information and personalized advice, ChatGPT can serve as a supplementary source of information to complement professional medical consultation and enhance patient education. Future research should focus on addressing the identified limitations and establishing region-specific guidelines for snakebite management.</t>
  </si>
  <si>
    <t>[Altamimi, Ibraheem; Alhumimidi, Abdullah S.] King Saud Univ, Coll Med, Riyadh, Saudi Arabia; [Altamimi, Abdullah] King Fahd Med City, Pediat Emergency &amp; Toxicol Dept, Riyadh, Saudi Arabia; [Altamimi, Abdulaziz] King Saud Bin Abdulaziz Univ Hlth Sci, Coll Med, Riyadh, Saudi Arabia; [Temsah, Mohamad Hani] King Saud Univ Med City, Pediat Dept, Pediat Intens Care Unit, Riyadh, Saudi Arabia</t>
  </si>
  <si>
    <t>King Saud University; King Fahad Medical City; King Saud Bin Abdulaziz University for Health Sciences; King Saud University</t>
  </si>
  <si>
    <t>Altamimi, I (corresponding author), King Saud Univ, Coll Med, Riyadh, Saudi Arabia.</t>
  </si>
  <si>
    <t>ibraheemaltamimi02@gmail.com</t>
  </si>
  <si>
    <t>JUN 13</t>
  </si>
  <si>
    <t>10.7759/cureus.40351</t>
  </si>
  <si>
    <t>M7OC7</t>
  </si>
  <si>
    <t>WOS:001032064700024</t>
  </si>
  <si>
    <t>Karnewar, A; Vedaldi, A; Novotny, D; Mitra, NJ</t>
  </si>
  <si>
    <t>Karnewar, Animesh; Vedaldi, Andrea; Novotny, David; Mitra, Niloy J.</t>
  </si>
  <si>
    <t>HOLODIFFUSION: Training a 3D Diffusion Model using 2D Images</t>
  </si>
  <si>
    <t>Diffusion models have emerged as the best approach for generative modeling of 2D images. Part of their success is due to the possibility of training them on millions if not billions of images with a stable learning objective. However, extending these models to 3D remains difficult for two reasons. First, finding a large quantity of 3D training data is much more complex than for 2D images. Second, while it is conceptually trivial to extend the models to operate on 3D rather than 2D grids, the associated cubic growth in memory and compute complexity makes this infeasible. We address the first challenge by introducing a new diffusion setup that can be trained, end-to-end, with only posed 2D images for supervision; and the second challenge by proposing an image formation model that decouples model memory from spatial memory. We evaluate our method on real-world data, using the CO3D dataset which has not been used to train 3D generative models before. We show that our diffusion models are scalable, train robustly, and are competitive in terms of sample quality and fidelity to existing approaches for 3D generative modeling.</t>
  </si>
  <si>
    <t>[Karnewar, Animesh; Mitra, Niloy J.] UCL, London, England; [Vedaldi, Andrea; Novotny, David] Meta AI, New York, NY USA</t>
  </si>
  <si>
    <t>University of London; University College London</t>
  </si>
  <si>
    <t>Karnewar, A (corresponding author), UCL, London, England.</t>
  </si>
  <si>
    <t>a.karnewar@ucl.ac.uk; vedaldi@meta.com; dnovotny@meta.com; n.mitra@ucl.ac.uk</t>
  </si>
  <si>
    <t>European Union [956585]; UCL AI Centre; MetaAI</t>
  </si>
  <si>
    <t>European Union(European Union (EU)); UCL AI Centre; MetaAI</t>
  </si>
  <si>
    <t>Animesh and Niloy were partially funded by the European Union's Horizon 2020 research and innovation programme under the Marie Sklodowska-Curie grant agreement No. 956585. This research has been partly supported by MetaAI and the UCL AI Centre. Finally, Animesh thanks Alexia Jolicoeur-Martineau for the helpful and insightful guidance on diffusion models.</t>
  </si>
  <si>
    <t>10.1109/CVPR52729.2023.01767</t>
  </si>
  <si>
    <t>WOS:001062531302071</t>
  </si>
  <si>
    <t>Zamfrescu-Pereira, JD; Almeda, SG; Kim, KW; Hartmann, B</t>
  </si>
  <si>
    <t>Zamfrescu-Pereira, J. D.; Almeda, Shm Garanganao; Kim, Kyu Won; Hartmann, Bjoern</t>
  </si>
  <si>
    <t>Towards Image Design Space Exploration in Spreadsheets with LLM Formulae</t>
  </si>
  <si>
    <t>generative AI; text to image; design space exploration</t>
  </si>
  <si>
    <t>Users of Text-to-Image (TTI) models like DALL center dot E and Stable Diffusion typically engage in a lot of iteration, exploring a design space with two main inputs: (1) prompt text spanning image content and style; and (2) stochastic (e.g., random seeds) and other opaque (e.g., classifier-free guidance) variables. Here, we demo an early prototype interface using a spreadsheet metaphor to enable exploration and display of multiple input changes simultaneously, and affording prompt-crafting using spreadsheet formula construction. New LLM-based functions aid rapid exploration of the prompt text input space, by generating new variations on existing prompts and context-relevant lists of prompt keyword options.</t>
  </si>
  <si>
    <t>[Zamfrescu-Pereira, J. D.; Almeda, Shm Garanganao; Kim, Kyu Won; Hartmann, Bjoern] Univ Calif Berkeley, Berkeley, CA 94720 USA</t>
  </si>
  <si>
    <t>Zamfrescu-Pereira, JD (corresponding author), Univ Calif Berkeley, Berkeley, CA 94720 USA.</t>
  </si>
  <si>
    <t>Zamfirescu-Pereira, J.D./0000-0002-5310-6728; Kim, Kyu Won/0009-0008-6334-2581; Almeda, Shm Garanganao/0000-0001-7660-313X</t>
  </si>
  <si>
    <t>10.1145/3586182.3615790</t>
  </si>
  <si>
    <t>WOS:001125107000081</t>
  </si>
  <si>
    <t>Ali, M; Naeem, F; Tariq, M; Kaddoum, G</t>
  </si>
  <si>
    <t>Ali, Mansoor; Naeem, Faisal; Tariq, Muhammad; Kaddoum, Georges</t>
  </si>
  <si>
    <t>Federated Learning for Privacy Preservation in Smart Healthcare Systems: A Comprehensive Survey</t>
  </si>
  <si>
    <t>Medical services; Privacy; Security; Artificial intelligence; Data privacy; Hospitals; Electronic healthcare; Digital twin; federated learning; internet of medical things; privacy preservation; smart health care system</t>
  </si>
  <si>
    <t>ARTIFICIAL-INTELLIGENCE; BLOCKCHAIN; AI; FRAMEWORK; INTERNET; MODEL</t>
  </si>
  <si>
    <t>Recent advances in electronic devices and communication infrastructure have revolutionized the traditional healthcare system into a smart healthcare system by using internet of medical things (IoMT) devices. However, due to the centralized training approach of artificial intelligence (AI), mobile and wearable IoMT devices raise privacy issues concerning the information communicated between hospitals and end-users. The information conveyed by the IoMT devices is highly confidential and can be exposed to adversaries. In this regard, federated learning (FL), a distributive AI paradigm, has opened up new opportunities for privacy preservation in IoMT without accessing the confidential data of the participants. Further, FL provides privacy to end-users as only gradients are shared during training. For these specific properties of FL, in this paper, we present privacy-related issues in IoMT. Afterwards, we present the role of FL in IoMT networks for privacy preservation and introduce some advanced FL architectures by incorporating deep reinforcement learning (DRL), digital twin, and generative adversarial networks (GANs) for detecting privacy threats. Moreover, we present some practical opportunities for FL in IoMT. In the end, we conclude this survey by discussing open research issues and challenges while using FL in future smart healthcare systems.</t>
  </si>
  <si>
    <t>[Ali, Mansoor; Naeem, Faisal; Kaddoum, Georges] Univ Quebec, Dept Elect Engn, Montreal, PQ H3C 1K3, Canada; [Ali, Mansoor; Naeem, Faisal; Kaddoum, Georges] Univ Quebec, Ecole Technol Super, Montreal, PQ H3C 1K3, Canada; [Tariq, Muhammad] Natl Univ Comp &amp; Emerging Sci, Dept Elect, Islamabad 44000, Pakistan</t>
  </si>
  <si>
    <t>University of Quebec; University of Quebec Montreal; University of Quebec; Ecole de Technologie Superieure - Canada; University of Quebec Montreal</t>
  </si>
  <si>
    <t>Ali, M (corresponding author), Univ Quebec, Dept Elect Engn, Montreal, PQ H3C 1K3, Canada.;Ali, M (corresponding author), Univ Quebec, Ecole Technol Super, Montreal, PQ H3C 1K3, Canada.</t>
  </si>
  <si>
    <t>mansoor.ali.1@etsmtl.net; faisal.naeem.1@etsmtl.net; tariq.khan@nu.edu.pk; georges.kaddoum@etsmtl.ca</t>
  </si>
  <si>
    <t>Naeem, Faisal/AAE-8413-2020</t>
  </si>
  <si>
    <t>Naeem, Faisal/0000-0001-5691-9954; Tariq, Muhammad/0000-0003-1296-2058</t>
  </si>
  <si>
    <t>10.1109/JBHI.2022.3181823</t>
  </si>
  <si>
    <t>D1YF6</t>
  </si>
  <si>
    <t>WOS:000966739000001</t>
  </si>
  <si>
    <t>Petridis, S; Diakopoulos, N; Crowston, K; Hansen, M; Henderson, K; Jastrzebski, S; Nickerson, JV; Chilton, LB</t>
  </si>
  <si>
    <t>Petridis, Savvas; Diakopoulos, Nicholas; Crowston, Kevin; Hansen, Mark; Henderson, Keren; Jastrzebski, Stan; Nickerson, Jefrey V.; Chilton, Lydia B.</t>
  </si>
  <si>
    <t>AngleKindling: Supporting Journalistic Angle Ideation with Large Language Models</t>
  </si>
  <si>
    <t>Journalism; Brainstorming; Ideation; Large Language Models; Generative AI</t>
  </si>
  <si>
    <t>News media often leverage documents to find ideas for stories, while being critical of the frames and narratives present. Developing angles from a document such as a press release is a cognitively taxing process, in which journalists critically examine the implicit meaning of its claims. Informed by interviews with journalists, we developed AngleKindling, an interactive tool which employs the common sense reasoning of large language models to help journalists explore angles for reporting on a press release. In a study with 12 professional journalists, we show that participants found AngleKindling significantly more helpful and less mentally demanding to use for brainstorming ideas, compared to a prior journalistic angle ideation tool. AngleKindling helped journalists deeply engage with the press release and recognize angles that were useful for multiple types of stories. From our findings, we discuss how to help journalists customize and identify promising angles, and extending AngleKindling to other knowledge-work domains.</t>
  </si>
  <si>
    <t>[Petridis, Savvas; Hansen, Mark; Chilton, Lydia B.] Columbia Univ, New York, NY 10027 USA; [Diakopoulos, Nicholas] Northwestern Univ, Evanston, IL USA; [Crowston, Kevin; Henderson, Keren; Jastrzebski, Stan] Syracuse Univ, Syracuse, NY USA; [Nickerson, Jefrey V.] Stevens Inst Technol, Hoboken, NJ USA</t>
  </si>
  <si>
    <t>Columbia University; Northwestern University; Syracuse University; Stevens Institute of Technology</t>
  </si>
  <si>
    <t>Petridis, S (corresponding author), Columbia Univ, New York, NY 10027 USA.</t>
  </si>
  <si>
    <t>sdp2137@columbia.edu; nad@northwestern.edu; crowston@g.syr.edu; mh3287@columbia.edu; khenders@syr.edu; sjastrze@syr.edu; jnickers@stevens.edu; chilton@cs.columbia.edu</t>
  </si>
  <si>
    <t>Crowston, Kevin/C-6068-2008</t>
  </si>
  <si>
    <t>Crowston, Kevin/0000-0003-1996-3600; Petridis, Savvas/0000-0002-4944-8477; Jastrzebski, Stan/0000-0001-7220-529X; Diakopoulos, Nicholas/0000-0001-5005-6123; Henderson, Keren/0000-0002-4770-5038</t>
  </si>
  <si>
    <t>10.1145/3544548.3580907</t>
  </si>
  <si>
    <t>WOS:001037809504005</t>
  </si>
  <si>
    <t>Bartoli, A; May, AT; Al-Awadhi, A; Schaller, K</t>
  </si>
  <si>
    <t>Bartoli, A.; May, A. T.; Al-Awadhi, A.; Schaller, K.</t>
  </si>
  <si>
    <t>Probing artificial intelligence in neurosurgical training: ChatGPT takes a neurosurgical residents written exam</t>
  </si>
  <si>
    <t>BRAIN AND SPINE</t>
  </si>
  <si>
    <t>Artificial intelligence; ChatGPT; Neurosurgical education; Written exam; Residents</t>
  </si>
  <si>
    <t>Introduction: Artificial Intelligence tools are being introduced in almost every field of human life, including medical sciences and medical education, among scepticism and enthusiasm.Research question: to assess how a generative language tool (Generative Pretrained Transformer 3.5, ChatGPT) performs at both generating questions and answering a neurosurgical residents' written exam. Namely, to assess how ChatGPT generates questions, how it answers human-generated questions, how residents answer AI generated questions and how AI answers its self-generated question. Materials and methods: 50 questions were included in the written exam, 46 questions were generated by humans (senior staff members) and 4 were generated by ChatGPT. 11 participants took the exam (ChatGPT and 10 residents). Questions were both open-ended and multiple-choice. 8 questions were not submitted to ChatGPT since they contained images or schematic drawings to interpret. Results: formulating requests to ChatGPT required an iterative process to precise both questions and answers. Chat GPT scored among the lowest ranks (9/11) among all the participants). There was no difference in response rate for residents' between human-generated vs AI-generated questions that could have been attributed to less clarity of the question. ChatGPT answered correctly to all its self-generated questions.Discussion and conclusions: AI is a promising and powerful tool for medical education and for specific medical purposes, which need to be further determined. To request AI to generate logical and sound questions, that request must be formulated as precise as possible, framing the content, the type of question and its correct answers.</t>
  </si>
  <si>
    <t>[Bartoli, A.; May, A. T.; Al-Awadhi, A.; Schaller, K.] Univ Geneva, Dept Clin Neurosci, Div Neurosurg, Med Ctr, Geneva, Switzerland; [Bartoli, A.; May, A. T.; Al-Awadhi, A.; Schaller, K.] Univ Geneva, Fac Med, Geneva, Switzerland</t>
  </si>
  <si>
    <t>Bartoli, A (corresponding author), Univ Geneva, Fac Med, Geneva, Switzerland.</t>
  </si>
  <si>
    <t>andrea.bartoli@hcuge.ch</t>
  </si>
  <si>
    <t>Al Awadhi, Abdullah/0000-0001-9180-700X</t>
  </si>
  <si>
    <t>2772-5294</t>
  </si>
  <si>
    <t>BRAIN SPINE</t>
  </si>
  <si>
    <t>Brain Spine</t>
  </si>
  <si>
    <t>10.1016/j.bas.2023.102715</t>
  </si>
  <si>
    <t>Clinical Neurology</t>
  </si>
  <si>
    <t>DL7Z5</t>
  </si>
  <si>
    <t>WOS:001132277200001</t>
  </si>
  <si>
    <t>Mandloi, S; Zuber, M; Gupta, RK</t>
  </si>
  <si>
    <t>Mandloi, Saurabh; Zuber, Mohd; Gupta, Rajeev Kumar</t>
  </si>
  <si>
    <t>An explainable brain tumor detection and classification model using deep learning and layer-wise relevance propagation</t>
  </si>
  <si>
    <t>Deep learning; Explainable AI; Convolution neural network; Conditional generative adversarial network; Layer-wise relevance propagation; Transfer learning model</t>
  </si>
  <si>
    <t>SEGMENTATION; FUSION</t>
  </si>
  <si>
    <t>The Brain tumor is the most common and devastating problem nowadays. Many people die every day as a result of a tumor's late detection, and these lives could have been saved if the tumor had been detected at an earlier stage. The early diagnosis of the tumor is very challenging due to its complex structure and uncontrollable growth. With the advent of Convolution Neural Network (CNN) and pre-trained models, researchers have put forth many tumor detection models over the past few decades. We have observed most of the solutions only focus on accuracy, and there is a significant lack of explanation and interpretability of the model. This work proposed an explainable brain tumor detection and classification model by using pre-trained models. The suggested model consists of four phases. In the first phase, a conditional generative adversarial network (cGAN) is used to generate the synthesis MRI images of distinct classes to cope with the data unbalancing and overfitting. In the second phase brain tumor is detected by using different pre-trained models like MobileNet, InceptionResNet, EfficientNet and VGGNet, and if the tumor is detected, it is classified in the third phase by using different pre-trained models. In the last phase, layer-wise relevance propagation (LRP) is used to Interpret the model outcome. The training, validation, and testing accuracy for the tumor detection model are 99.6%, 99.2%, and 99.0%, respectively, experiment findings show that InceptionResNetV2 pre-trained model performs better as compared to another pre-trained model. However, When it came to tumor classification, EfficientNet-B0 performed significantly better than the other models. With accuracy rates of 99.3%, 99.2%, and 99.0% during training, validation, and testing, respectively.</t>
  </si>
  <si>
    <t>[Mandloi, Saurabh; Zuber, Mohd] Madhyanchal Profess Univ, Dept Comp Sci &amp; Engn, Bhopal 462044, Madhya Pradesh, India; [Gupta, Rajeev Kumar] Pandit Deendayal Energy Univ, Dept Comp Sci &amp; Engn, Gandhinagar 382007, India</t>
  </si>
  <si>
    <t>Pandit Deendayal Energy University</t>
  </si>
  <si>
    <t>Gupta, RK (corresponding author), Pandit Deendayal Energy Univ, Dept Comp Sci &amp; Engn, Gandhinagar 382007, India.</t>
  </si>
  <si>
    <t>saurabhm.research@gmail.com; mzmkhanugc@gmail.com; rajeevmanit12276@gmail.com</t>
  </si>
  <si>
    <t>Gupta, Rajeev Kumar/0000-0002-5317-9919</t>
  </si>
  <si>
    <t>2023 SEP 25</t>
  </si>
  <si>
    <t>10.1007/s11042-023-16708-9</t>
  </si>
  <si>
    <t>T0WG5</t>
  </si>
  <si>
    <t>WOS:001075272400007</t>
  </si>
  <si>
    <t>Kanimozhi, V; Jacob, TP</t>
  </si>
  <si>
    <t>Kanimozhi, V.; Jacob, T. Prem</t>
  </si>
  <si>
    <t>The Top Ten Artificial Intelligence-Deep Neural Networks for IoT Intrusion Detection System</t>
  </si>
  <si>
    <t>WIRELESS PERSONAL COMMUNICATIONS</t>
  </si>
  <si>
    <t>IoT-23; Top 10 AI-deep learning models; Anomaly detection; Unsupervised and supervised learning; Multiclass classification</t>
  </si>
  <si>
    <t>INTERNET</t>
  </si>
  <si>
    <t>Despite the fact that there are numerous methods for detecting IoT intrusions, this research explorations conducted the implementation of the Top 10 Artificial Intelligence-Deep neural networks may be advantageous for unsupervised as well as supervised learning concerning IoT network traffic data. It shows a thorough comparison study to detect IoT intrusions on intelligent embedded devices which are essential to detect such intrusions using the most recent dataset IoT-23. Although several solutions are being developed to secure IoT networks, development might still be required. The use of different deep learning techniques may enhance IoT security. To enhance the security execution of IoT network traffic, the top 10 deep-learning approaches were investigated using the realistic IoT-23 dataset. For recognizing five different IoT attack classes-DoS (Denial of Service), Mirai, Scan, Normal records, and MITM-ARP (Man in the Middle attack)-we developed a variety of neural network models. In deep-learning neural network models, a softmax function of multiclass classification may be used to identify these assaults. NumPy, Pandas, Scikit-learn, Scipy, TensorFlow 2.2, Seaborn, and Matplotlib were only some of the programs used in the Anaconda3 environment for this study. Healthcare, banking, finance, scientific research, and corporate organizations, as well as ideas like the Internet of Things, are just some of the many fields that have embraced the utilization of AI-deep learning models. We discovered that the best deep-learning algorithms are capable of minimizing function loss, improving accuracy, as well as reducing execution time for developing that particular model. By using cutting-edge technology like deep learning neural networks as well as artificial intelligence, it makes a significant contribution to the identification of IoT anomalies. As a result, it will be effective to reduce attacks on IoT organizations. CNN (Convolutional neural networks), GANs (generative adversarial networks), and multilayer perceptron provide the best accuracy scores of 0.996317, 0.995829, and 0.996157 among the top 10 neural networks, respectively, with the smallest loss function and the shortest execution times. This paper helped to fully understand the peculiarities of IoT anomaly detection. To help you better understand various neural network models and IoT anomaly detection, this study analysis shows the Top 10 AI-deep learning model implementations.</t>
  </si>
  <si>
    <t>[Kanimozhi, V.; Jacob, T. Prem] Sathyabama Inst Sci &amp; Technol, Chennai, Tamilnadu, India</t>
  </si>
  <si>
    <t>Sathyabama Institute of Science &amp; Technology</t>
  </si>
  <si>
    <t>Kanimozhi, V (corresponding author), Sathyabama Inst Sci &amp; Technol, Chennai, Tamilnadu, India.</t>
  </si>
  <si>
    <t>kanimv@yahoo.co.in</t>
  </si>
  <si>
    <t>V, Kanimozhi/0000-0001-5287-0145</t>
  </si>
  <si>
    <t>0929-6212</t>
  </si>
  <si>
    <t>1572-834X</t>
  </si>
  <si>
    <t>WIRELESS PERS COMMUN</t>
  </si>
  <si>
    <t>Wirel. Pers. Commun.</t>
  </si>
  <si>
    <t>10.1007/s11277-023-10198-6</t>
  </si>
  <si>
    <t>9X8UZ</t>
  </si>
  <si>
    <t>WOS:000934556800002</t>
  </si>
  <si>
    <t>Lu, XM; Lu, R; Zhao, WH; Ma, ER</t>
  </si>
  <si>
    <t>Lu, Xiaoman; Lu, Ran; Zhao, Wenhao; Ma, Erbin</t>
  </si>
  <si>
    <t>Facial image inpainting for big data using an effective attention mechanism and a convolutional neural network</t>
  </si>
  <si>
    <t>FRONTIERS IN NEUROROBOTICS</t>
  </si>
  <si>
    <t>big data artificial intelligence (AI); deep learning algorithm; deep learning-based facial image inpainting; generative adversarial network; convolutional neural networks</t>
  </si>
  <si>
    <t>Big data facial image is an important identity information for people. However, facial image inpainting using existing deep learning methods has some problems such as insufficient feature mining and incomplete semantic expression, leading to output image artifacts or fuzzy textures. Therefore, it is of practical significance to study how to effectively restore an incomplete facial image. In this study, we proposed a facial image inpainting method using a multistage generative adversarial network (GAN) and the global attention mechanism (GAM). For the overall network structure, we used the GAN as the main body, then we established skip connections to optimize the network structure, and used the encoder-decoder structure to better capture the semantic information of the missing part of a facial image. A local refinement network has been proposed to enhance the local restoration effect and to weaken the influence of unsatisfactory results. Moreover, GAM is added to the network to magnify the interactive features of the global dimension while reducing information dispersion, which is more suitable for restoring human facial information. Comparative experiments on CelebA and CelebA-HQ big datasets show that the proposed method generates realistic inpainting results in both regular and irregular masks and achieves peak signal-to-noise ratio (PSNR) and structural similarity (SSIM), as well as other evaluation indicators that illustrate the performance and efficiency of the proposed model.</t>
  </si>
  <si>
    <t>[Lu, Xiaoman; Lu, Ran; Zhao, Wenhao; Ma, Erbin] Northeastern Univ, Coll Sci, Dept Math, Shenyang, Liaoning, Peoples R China</t>
  </si>
  <si>
    <t>Northeastern University - China</t>
  </si>
  <si>
    <t>Lu, XM (corresponding author), Northeastern Univ, Coll Sci, Dept Math, Shenyang, Liaoning, Peoples R China.</t>
  </si>
  <si>
    <t>luxiaoman@stumail.neu.edu.cn</t>
  </si>
  <si>
    <t>Lu, Xiaoman/ACR-9393-2022</t>
  </si>
  <si>
    <t>National Training Program of Innovation and Entrepreneurship for Undergraduates [202210145053]</t>
  </si>
  <si>
    <t>National Training Program of Innovation and Entrepreneurship for Undergraduates</t>
  </si>
  <si>
    <t>Funding Project 202210145053 Supported by National Training Program of Innovation and Entrepreneurship for Undergraduates.</t>
  </si>
  <si>
    <t>1662-5218</t>
  </si>
  <si>
    <t>FRONT NEUROROBOTICS</t>
  </si>
  <si>
    <t>Front. Neurorobotics</t>
  </si>
  <si>
    <t>10.3389/fnbot.2022.1111621</t>
  </si>
  <si>
    <t>Computer Science, Artificial Intelligence; Robotics; Neurosciences</t>
  </si>
  <si>
    <t>Computer Science; Robotics; Neurosciences &amp; Neurology</t>
  </si>
  <si>
    <t>8D6QZ</t>
  </si>
  <si>
    <t>WOS:000918416800001</t>
  </si>
  <si>
    <t>Vinchon, F; Lubart, T; Bartolotta, S; Gironnay, V; Botella, M; Bourgeois-Bougrine, S; Burkhardt, JM; Bonnardel, N; Corazza, GE; Glaveanu, V; Hanson, MH; Ivcevic, Z; Karwowski, M; Kaufman, JC; Okada, T; Reiter-Palmon, R; Gaggioli, A</t>
  </si>
  <si>
    <t>Vinchon, Florent; Lubart, Todd; Bartolotta, Sabrina; Gironnay, Valentin; Botella, Marion; Bourgeois-Bougrine, Samira; Burkhardt, Jean-Marie; Bonnardel, Nathalie; Corazza, Giovanni Emanuele; Glaveanu, Vlad; Hanchett Hanson, Michael; Ivcevic, Zorana; Karwowski, Maciej; Kaufman, James C.; Okada, Takeshi; Reiter-Palmon, Roni; Gaggioli, Andrea</t>
  </si>
  <si>
    <t>Artificial Intelligence &amp; Creativity: A Manifesto for Collaboration</t>
  </si>
  <si>
    <t>JOURNAL OF CREATIVE BEHAVIOR</t>
  </si>
  <si>
    <t>creativity; artificial intelligence; collaboration</t>
  </si>
  <si>
    <t>With the advent of artificial intelligence (AI), the field of creativity faces new opportunities and challenges. This manifesto explores several scenarios of human-machine collaboration on creative tasks and proposes fundamental laws of generative AI to reinforce the responsible and ethical use of AI in the creativity field. Four scenarios are proposed and discussed: Co-Cre-AI-tion, Organic, Plagiarism 3.0, and Shut down, each illustrating different possible futures based on the collaboration between humans and machines. In addition, we have incorporated an AI-generated manifesto that also highlights important themes, ranging from accessibility and ethics to cultural sensitivity. The fundamental laws proposed aim to prevent AIs from generating harmful content and competing directly with humans. Creating labels and laws are also highlighted to ensure responsible use of AIs. The positive future of creativity and AI lies in a harmonious collaboration that can benefit everyone, potentially leading to a new level of creative productivity respecting ethical considerations and human values during the creative process.</t>
  </si>
  <si>
    <t>[Vinchon, Florent; Lubart, Todd; Gironnay, Valentin; Botella, Marion; Bourgeois-Bougrine, Samira] Univ Paris Cite, LaPEA, F-92100 Boulogne Billancourt, France; [Bartolotta, Sabrina] Catholic Univ Milan, Milan, Italy; [Vinchon, Florent; Lubart, Todd; Gironnay, Valentin; Botella, Marion; Bourgeois-Bougrine, Samira] Univ Gustave Eiffel, LaPEA, F-92100 Boulogne Billancourt, France; [Bonnardel, Nathalie] Aix Marseille Univ, Marseille, France; [Corazza, Giovanni Emanuele] Univ Bologna, Bologna, Italy; [Glaveanu, Vlad] Dublin City Univ, Dublin, Ireland; [Glaveanu, Vlad] Univ Bergen, Bergen, Norway; [Hanchett Hanson, Michael] Columbia Univ, New York, NY USA; [Ivcevic, Zorana] Yale Univ, New Haven, CT USA; [Karwowski, Maciej] Univ Wroclaw, Wroclaw, Poland; [Kaufman, James C.] Univ Connecticut, Storrs, CT USA; [Okada, Takeshi] Univ Tokyo, Tokyo, Japan; [Reiter-Palmon, Roni] Univ Nebraska, Lincoln, NE USA; [Gaggioli, Andrea] Catholic Univ Milan, IRCCS Ist Auxol Italiano, Milan, Italy</t>
  </si>
  <si>
    <t>Universite Paris Cite; Catholic University of the Sacred Heart; Universite Paris Cite; Aix-Marseille Universite; University of Bologna; Dublin City University; University of Bergen; Columbia University; Yale University; University of Wroclaw; University of Connecticut; University of Tokyo; University of Nebraska System; University of Nebraska Lincoln; Catholic University of the Sacred Heart; IRCCS Istituto Auxologico Italiano</t>
  </si>
  <si>
    <t>Vinchon, F (corresponding author), Univ Paris Cite, LaPEA, F-92100 Boulogne Billancourt, France.;Vinchon, F (corresponding author), Univ Gustave Eiffel, LaPEA, F-92100 Boulogne Billancourt, France.</t>
  </si>
  <si>
    <t>florent.vinchon@gmail.com</t>
  </si>
  <si>
    <t>Reiter-Palmon, Roni/A-8188-2009</t>
  </si>
  <si>
    <t>Reiter-Palmon, Roni/0000-0001-8259-4516; Burkhardt, Jean-Marie/0000-0003-4417-6430; Glaveanu, Vlad Petre/0000-0002-6029-6718; CORAZZA, GIOVANNI EMANUELE/0000-0002-6898-4515; Lubart, Todd/0000-0002-8776-8797; Marion, Botella/0000-0001-6969-714X; Bonnardel, Nathalie/0000-0002-5876-990X</t>
  </si>
  <si>
    <t>0022-0175</t>
  </si>
  <si>
    <t>2162-6057</t>
  </si>
  <si>
    <t>J CREATIVE BEHAV</t>
  </si>
  <si>
    <t>J. Creat. Behav.</t>
  </si>
  <si>
    <t>10.1002/jocb.597</t>
  </si>
  <si>
    <t>Psychology, Educational</t>
  </si>
  <si>
    <t>HA3W3</t>
  </si>
  <si>
    <t>WOS:001011183700001</t>
  </si>
  <si>
    <t>Pennisi, M; Salanitri, FP; Bellitto, G; Casella, B; Aldinucci, M; Palazzo, S; Spampinato, C</t>
  </si>
  <si>
    <t>Pennisi, Matteo; Salanitri, Federica Proietto; Bellitto, Giovanni; Casella, Bruno; Aldinucci, Marco; Palazzo, Simone; Spampinato, Concetto</t>
  </si>
  <si>
    <t>FedER: Federated Learning through Experience Replay and privacy-preserving data synthesis</t>
  </si>
  <si>
    <t>COMPUTER VISION AND IMAGE UNDERSTANDING</t>
  </si>
  <si>
    <t>Decentralized learning; Federated learning; Privacy in machine learning; Pattern recognition and classification</t>
  </si>
  <si>
    <t>In the medical field, multi-center collaborations are often sought to yield more generalizable findings leveraging the heterogeneity of patient and clinical data. However, recent privacy regulations hinder possibility to share data, and consequently, to come up with machine learning-based solutions that support diagnosis and prognosis. Federated learning (FL) aims at sidestepping this limitation by bringing AI-based solutions to data owners and only sharing local AI models, or parts thereof, that need then to be aggregated. However, most of the existing federated learning solutions are still at their infancy and show several shortcomings, from the lack of a reliable and effective aggregation scheme able to retain the knowledge learned locally to weak privacy preservation as real data may be reconstructed from model updates. Furthermore, majority of these approaches, especially those dealing with medical data, relies on a centralized distributed learning strategy that poses robustness, scalability and trust issues. In this paper we present a federated learning strategy, FedER, that, exploiting experience replay and generative adversarial concepts, effectively integrates features from local nodes, providing models able to generalize across multiple datasets while maintaining privacy. FedER is tested on two tasks - tuberculosis and melanoma classification - using multiple datasets in order to simulate realistic non-i.i.d. medical data scenarios. Results show that our approach achieves performance comparable to standard (non-federated) learning and significantly outperforms state-of-the federated methods. Remarkably, we also observe that FedER enables any node model to be used as a global federation model. Indeed, the experience replay strategy with privacy-preserving synthetic data allows all node models to converge to reach the same optimum without the need of a single shared model. Code is available at https://github.com/perceivelab/FedER.</t>
  </si>
  <si>
    <t>[Pennisi, Matteo; Salanitri, Federica Proietto; Bellitto, Giovanni; Palazzo, Simone; Spampinato, Concetto] Univ Catania, Dept Elect Elect &amp; Comp Engn, Catania 95125, Italy; [Casella, Bruno; Aldinucci, Marco] Univ Turin, Dept Comp Sci, I-10149 Turin, Italy</t>
  </si>
  <si>
    <t>University of Catania; University of Turin</t>
  </si>
  <si>
    <t>Pennisi, M (corresponding author), Univ Catania, Dept Elect Elect &amp; Comp Engn, Catania 95125, Italy.</t>
  </si>
  <si>
    <t>matteo.pennisi@phd.unict.it</t>
  </si>
  <si>
    <t>Proietto Salanitri, Federica/JPX-2046-2023; Casella, Bruno/JXL-8174-2024</t>
  </si>
  <si>
    <t>Proietto Salanitri, Federica/0000-0002-6122-4249; Casella, Bruno/0000-0002-9513-6087; Palazzo, Simone/0000-0002-2441-0982; Bellitto, Giovanni/0000-0002-1333-8348; Spampinato, Concetto/0000-0001-6653-2577; Aldinucci, Marco/0000-0001-8788-0829</t>
  </si>
  <si>
    <t>Future Artificial Intelligence Research (FAIR) PNRR MUR [PE0000013-CUP: E63C22001940006]; Italian Ministerial grant PRIN 2020 LEGO.AI: LEarning the Geometry of knOwledge in AI systems [2020TA3K9N, CUP: E63C20011250001]</t>
  </si>
  <si>
    <t>Future Artificial Intelligence Research (FAIR) PNRR MUR; Italian Ministerial grant PRIN 2020 LEGO.AI: LEarning the Geometry of knOwledge in AI systems</t>
  </si>
  <si>
    <t>This research was supported by the following grants: (1) Future Artificial Intelligence Research (FAIR) PNRR MUR Cod. PE0000013-CUP: E63C22001940006; (2) Italian Ministerial grant PRIN 2020 LEGO.AI: LEarning the Geometry of knOwledge in AI systems, n. 2020TA3K9N, CUP: E63C20011250001. Matteo Pennisi is a Ph.D. student enrolled in the National PhD in Artificial Intelligence, XXXVII cycle, course on Health and life sciences, organized by Universita Campus Bio-Medico di Roma.</t>
  </si>
  <si>
    <t>1077-3142</t>
  </si>
  <si>
    <t>1090-235X</t>
  </si>
  <si>
    <t>COMPUT VIS IMAGE UND</t>
  </si>
  <si>
    <t>Comput. Vis. Image Underst.</t>
  </si>
  <si>
    <t>10.1016/j.cviu.2023.103882</t>
  </si>
  <si>
    <t>Z3VK3</t>
  </si>
  <si>
    <t>WOS:001111384000001</t>
  </si>
  <si>
    <t>Kuroiwa, T; Sarcon, A; Ibara, T; Yamada, E; Yamamoto, A; Tsukamoto, K; Fujita, K</t>
  </si>
  <si>
    <t>Kuroiwa, Tomoyuki; Sarcon, Aida; Ibara, Takuya; Yamada, Eriku; Yamamoto, Akiko; Tsukamoto, Kazuya; Fujita, Koji</t>
  </si>
  <si>
    <t>The Potential of ChatGPT as a Self-Diagnostic Tool in Common Orthopedic Diseases: Exploratory Study</t>
  </si>
  <si>
    <t>ChatGPT; generative pretrained transformer; natural language processing; artificial intelligence; chatbot; diagnosis; self-diagnosis; accuracy; precision; language model; orthopedic disease; AI model; health information</t>
  </si>
  <si>
    <t>Background: Artificial intelligence (AI) has gained tremendous popularity recently, especially the use of natural language processing (NLP). ChatGPT is a state-of-the-art chatbot capable of creating natural conversations using NLP. The use of AI in medicine can have a tremendous impact on health care delivery. Although some studies have evaluated ChatGPT's accuracy in self-diagnosis, there is no research regarding its precision and the degree to which it recommends medical consultations. Objective: The aim of this study was to evaluate ChatGPT's ability to accurately and precisely self-diagnose common orthopedic diseases, as well as the degree of recommendation it provides for medical consultations. Methods: Over a 5-day course, each of the study authors submitted the same questions to ChatGPT. The conditions evaluated were carpal tunnel syndrome (CTS), cervical myelopathy (CM), lumbar spinal stenosis (LSS), knee osteoarthritis (KOA), and hip osteoarthritis (HOA). Answers were categorized as either correct, partially correct, incorrect, or a differential diagnosis. The percentage of correct answers and reproducibility were calculated. The reproducibility between days and raters were calculated using the Fleiss kappa coefficient. Answers that recommended that the patient seek medical attention were recategorized according to the strength of the recommendation as defined by the study. Results: The ratios of correct answers were 25/25, 1/25, 24/25, 16/25, and 17/25 for CTS, CM, LSS, KOA, and HOA, respectively. The ratios of incorrect answers were 23/25 for CM and 0/25 for all other conditions. The reproducibility between days was 1.0, 0.15, 0.7, 0.6, and 0.6 for CTS, CM, LSS, KOA, and HOA, respectively. The reproducibility between raters was 1.0, 0.1, 0.64, -0.12, and 0.04 for CTS, CM, LSS, KOA, and HOA, respectively. Among the answers recommending medical attention, the phrases essential, recommended, best, and important were used. Specifically, essential occurred in 4 out of 125, recommended in 12 out of 125, best in 6 out of 125, and important in 94 out of 125 answers. Additionally, 7 out of the 125 answers did not include a recommendation to seek medical attention. Conclusions: The accuracy and reproducibility of ChatGPT to self-diagnose five common orthopedic conditions were inconsistent. The accuracy could potentially be improved by adding symptoms that could easily identify a specific location. Only a few answers were accompanied by a strong recommendation to seek medical attention according to our study standards. Although ChatGPT could serve as a potential first step in accessing care, we found variability in accurate self-diagnosis. Given the risk of harm with self-diagnosis without medical follow-up, it would be prudent for an NLP to include clear language alerting patients to seek expert medical opinions. We hope to shed further light on the use of AI in a future clinical study.</t>
  </si>
  <si>
    <t>[Kuroiwa, Tomoyuki; Yamada, Eriku; Yamamoto, Akiko; Tsukamoto, Kazuya] Tokyo Med &amp; Dent Univ, Grad Sch Med &amp; Dent Sci, Dept Orthopaed &amp; Spinal Surg, Tokyo, Japan; [Kuroiwa, Tomoyuki] Mayo Clin, Div Orthoped Surg Res, Rochester, MN USA; [Sarcon, Aida] Mayo Clin, Dept Surg, Rochester, MN USA; [Ibara, Takuya; Fujita, Koji] Tokyo Med &amp; Dent Univ, Grad Sch Med &amp; Dent Sci, Dept Funct Joint Anat, Tokyo, Japan; [Fujita, Koji] Tokyo Med &amp; Dent Univ, Inst Res Innovat, Open Innovat Ctr, Div Med Design Innovat, Tokyo, Japan; [Fujita, Koji] Tokyo Med &amp; Dent Univ, Inst Res Innovat, Div Med Design Innovat, Open Innovat Ctr, 1-5-45 Yushima,Bunkyo Ku, Tokyo 1138519, Japan</t>
  </si>
  <si>
    <t>Tokyo Medical &amp; Dental University (TMDU); Mayo Clinic; Mayo Clinic; Tokyo Medical &amp; Dental University (TMDU); Tokyo Medical &amp; Dental University (TMDU); Tokyo Medical &amp; Dental University (TMDU)</t>
  </si>
  <si>
    <t>Fujita, K (corresponding author), Tokyo Med &amp; Dent Univ, Inst Res Innovat, Div Med Design Innovat, Open Innovat Ctr, 1-5-45 Yushima,Bunkyo Ku, Tokyo 1138519, Japan.</t>
  </si>
  <si>
    <t>fujiorth@tmd.ac.jp</t>
  </si>
  <si>
    <t>Fujita, Koji/K-3905-2019</t>
  </si>
  <si>
    <t>Fujita, Koji/0000-0003-3733-0188; Yamamoto, Akiko/0000-0003-3639-8201; Yamada, Eriku/0000-0001-8777-9552; Kuroiwa, Tomoyuki/0000-0002-9942-1811; Tsukamoto, Kazuya/0000-0003-4927-2149</t>
  </si>
  <si>
    <t>e47621</t>
  </si>
  <si>
    <t>10.2196/47621</t>
  </si>
  <si>
    <t>U6LY8</t>
  </si>
  <si>
    <t>WOS:001085911000003</t>
  </si>
  <si>
    <t>Abani, S; Volk, HA; De Decker, S; Fenn, J; Rusbridge, C; Charalambous, M; Goncalves, R; Gutierrez-Quintana, R; Loderstedt, S; Flegel, T; Ros, C; von Klopmann, T; Schenk, HC; Kornberg, M; Meyerhoff, N; Tipold, A; Nessler, JN</t>
  </si>
  <si>
    <t>Abani, Samira; Volk, Holger Andreas; De Decker, Steven; Fenn, Joe; Rusbridge, Clare; Charalambous, Marios; Goncalves, Rita; Gutierrez-Quintana, Rodrigo; Loderstedt, Shenja; Flegel, Thomas; Ros, Carlos; von Klopmann, Thilo; Schenk, Henning Christian; Kornberg, Marion; Meyerhoff, Nina; Tipold, Andrea; Nessler, Jasmin Nicole</t>
  </si>
  <si>
    <t>ChatGPT and scientific papers in veterinary neurology; is the genie out of the bottle?</t>
  </si>
  <si>
    <t>FRONTIERS IN VETERINARY SCIENCE</t>
  </si>
  <si>
    <t>ChatGPT; artificial intelligence (AI); machine learning; generative AI; scientific writing; ethics; integrity; plagiarism</t>
  </si>
  <si>
    <t>[Abani, Samira; Volk, Holger Andreas; Charalambous, Marios; Meyerhoff, Nina; Tipold, Andrea; Nessler, Jasmin Nicole] Univ Vet Med Hannover, Dept Small Anim Med &amp; Surg, Hannover, Germany; [Abani, Samira; Volk, Holger Andreas; Tipold, Andrea] Univ Vet Med Hannover, Ctr Syst Neurosci, Hannover, Germany; [De Decker, Steven; Fenn, Joe] Univ London, Royal Vet Coll, Dept Vet Clin Sci &amp; Serv, London, England; [Rusbridge, Clare] Univ Surrey, Fac Hlth &amp; Med Sci, Sch Vet Med, Guildford, England; [Goncalves, Rita] Univ Liverpool, Small Anim Teaching Hosp, Dept Vet Sci, Neston, England; [Gutierrez-Quintana, Rodrigo] Univ Glasgow, Small Anim Hosp, Sch Biodivers One Hlth &amp; Vet Med, Glasgow, Scotland; [Loderstedt, Shenja; Flegel, Thomas] Univ Leipzig, Dept Small Anim Med, Leipzig, Germany; [Ros, Carlos] Memvet Referral Vet Ctr, Palma De Mallorca, Spain; [von Klopmann, Thilo] Small Anim Clin Hofheim, Dept Neurol, Hofheim, Germany; [Schenk, Henning Christian] Luneburg Small Anim Clin, Dept Neurol, Luneburg, Germany; [Kornberg, Marion] AniCura Small Anim Clin, Trier, Germany</t>
  </si>
  <si>
    <t>University of Veterinary Medicine Hannover; University of Veterinary Medicine Hannover; University of London; University of London Royal Veterinary College; University of Surrey; University of Liverpool; University of Glasgow; Leipzig University</t>
  </si>
  <si>
    <t>Nessler, JN (corresponding author), Univ Vet Med Hannover, Dept Small Anim Med &amp; Surg, Hannover, Germany.</t>
  </si>
  <si>
    <t>jasmin.nessler@tiho-hannover.de</t>
  </si>
  <si>
    <t>Rusbridge, Clare/K-6560-2019</t>
  </si>
  <si>
    <t>Rusbridge, Clare/0000-0002-3366-2110; Gutierrez-Quintana, Rodrigo/0000-0002-3570-2542</t>
  </si>
  <si>
    <t>Central Innovation Program for small- and medium-sized enterprises [KK5066602LB1]; German Federal Ministry for Economic Affairs and Climate Action; Deutsche Forschungsgemeinschaft (DFG, German Research Foundation) [491094227]; University of Veterinary Medicine Hannover, Foundation</t>
  </si>
  <si>
    <t>Central Innovation Program for small- and medium-sized enterprises; German Federal Ministry for Economic Affairs and Climate Action; Deutsche Forschungsgemeinschaft (DFG, German Research Foundation)(German Research Foundation (DFG)); University of Veterinary Medicine Hannover, Foundation</t>
  </si>
  <si>
    <t>The author(s) declare financial support was received for the research, authorship, and/or publication of this article. This publication was funded by the Central Innovation Program for small- and medium-sized enterprises grant no. KK5066602LB1-the German Federal Ministry for Economic Affairs and Climate Action, the Deutsche Forschungsgemeinschaft (DFG, German Research Foundation)-491094227 Open Access Publication Funding and the University of Veterinary Medicine Hannover, Foundation.</t>
  </si>
  <si>
    <t>2297-1769</t>
  </si>
  <si>
    <t>FRONT VET SCI</t>
  </si>
  <si>
    <t>Front. Vet. Sci.</t>
  </si>
  <si>
    <t>10.3389/fvets.2023.1272755</t>
  </si>
  <si>
    <t>Veterinary Sciences</t>
  </si>
  <si>
    <t>W1HR9</t>
  </si>
  <si>
    <t>WOS:001089212500001</t>
  </si>
  <si>
    <t>Wang, GY; Gao, K; Liu, QY; Wu, YX; Zhang, KJ; Zhou, W; Guo, CB</t>
  </si>
  <si>
    <t>Wang, Guoyong; Gao, Kai; Liu, Qianyang; Wu, Yuxin; Zhang, Kaijun; Zhou, Wei; Guo, Chunbao</t>
  </si>
  <si>
    <t>Potential and Limitations of ChatGPT 3.5 and 4.0 as a Source of COVID-19 Information: Comprehensive Comparative Analysis of Generative and Authoritative Information</t>
  </si>
  <si>
    <t>ChatGPT 3.5; ChatGPT 4.0; artificial intelligence; AI; COVID-19; pandemic; public health; information retrieval</t>
  </si>
  <si>
    <t>Background: The COVID-19 pandemic, caused by the SARS-CoV-2 virus, has necessitated reliable and authoritative information for public guidance. The World Health Organization (WHO) has been a primary source of such information, disseminating it through a question and answer format on its official website. Concurrently, ChatGPT 3.5 and 4.0, a deep learning-based natural language generation system, has shown potential in generating diverse text types based on user input. Objective: This study evaluates the accuracy of COVID-19 information generated by ChatGPT 3.5 and 4.0, assessing its potential as a supplementary public information source during the pandemic. Methods: We extracted 487 COVID-19-related questions from the WHO's official website and used ChatGPT 3.5 and 4.0 to generate corresponding answers. These generated answers were then compared against the official WHO responses for evaluation. Two clinical experts scored the generated answers on a scale of 0-5 across 4 dimensions-accuracy, comprehensiveness, relevance, and clarity-with higher scores indicating better performance in each dimension. The WHO responses served as the reference for this assessment. Additionally, we used the BERT (Bidirectional Encoder Representations from Transformers) model to generate similarity scores (0-1) between the generated and official answers, providing a dual validation mechanism. Results: The mean (SD) scores for ChatGPT 3.5-generated answers were 3.47 (0.725) for accuracy, 3.89 (0.719) for comprehensiveness, 4.09 (0.787) for relevance, and 3.49 (0.809) for clarity. For ChatGPT 4.0, the mean (SD) scores were 4.15 (0.780), 4.47 (0.641), 4.56 (0.600), and 4.09 (0.698), respectively. All differences were statistically significant (P&lt;.001), with ChatGPT 4.0 outperforming ChatGPT 3.5. The BERT model verification showed mean (SD) similarity scores of 0.83 (0.07) for ChatGPT 3.5 and 0.85 (0.07) for ChatGPT 4.0 compared with the official WHO answers. Conclusions: ChatGPT 3.5 and 4.0 can generate accurate and relevant COVID-19 information to a certain extent. However, compared with official WHO responses, gaps and deficiencies exist. Thus, users of ChatGPT 3.5 and 4.0 should also reference other reliable information sources to mitigate potential misinformation risks. Notably, ChatGPT 4.0 outperformed ChatGPT 3.5 across all evaluated dimensions, a finding corroborated by BERT model validation.</t>
  </si>
  <si>
    <t>[Wang, Guoyong; Wu, Yuxin; Zhang, Kaijun] Chongqing Med Univ, Childrens Hosp, Chongqing, Peoples R China; [Wang, Guoyong; Liu, Qianyang; Zhou, Wei; Guo, Chunbao] Chongqing Med Univ, Women &amp; Childrens Hosp, Chongqing, Peoples R China; [Gao, Kai] Guangzhou Med Univ, Guangzhou Women &amp; Childrens Med Ctr, Guangzhou, Peoples R China; [Guo, Chunbao] Chongqing Med Univ, Affiliated Hosp 2, Dept Neurosurg, Women &amp; Childrens Hosp, 120 Longshan Rd,Longshan St, Chongqing 400010, Peoples R China</t>
  </si>
  <si>
    <t>Chongqing Medical University; Chongqing Medical University; Guangzhou Medical University; Chongqing Medical University</t>
  </si>
  <si>
    <t>Guo, CB (corresponding author), Chongqing Med Univ, Affiliated Hosp 2, Dept Neurosurg, Women &amp; Childrens Hosp, 120 Longshan Rd,Longshan St, Chongqing 400010, Peoples R China.</t>
  </si>
  <si>
    <t>guochunbao@foxmail.com</t>
  </si>
  <si>
    <t>wang, guoyong/IAQ-4526-2023; Wu, Yuxin/HZL-5896-2023</t>
  </si>
  <si>
    <t>wang, guoyong/0000-0002-8224-7706; Wu, Yuxin/0000-0002-9334-9820; guo, chunbao/0000-0001-5121-9377; Zhang, kaijun/0000-0002-1490-775X; Zhou, Wei/0000-0001-7795-3166</t>
  </si>
  <si>
    <t>National Natural Science Foundation of China [30973440, 30770950]; Ministry of Key Laboratory of Child Development and Disorders; Chongqing Natural Science Foundation [CSTB2022NSCQ-MSX0819, YBRP-2021XX]; [cstc2020jcyj-msxmX0326]</t>
  </si>
  <si>
    <t>National Natural Science Foundation of China(National Natural Science Foundation of China (NSFC)); Ministry of Key Laboratory of Child Development and Disorders; Chongqing Natural Science Foundation(Natural Science Foundation of Chongqing);</t>
  </si>
  <si>
    <t>The authors are deeply indebted to the advancements in machine learning and artificial intelligence for bolstering the methodological framework of this study. Specifically, the authors used the ChatGPT 3.5 and 4.0 language models to autonomously generate the questions that served as the cornerstone of our evaluation metrics. The generated text and prompt words from these models can be found in Multimedia Appendices 2 and 5, respectively. Concurrently, we used bidirectional encoder representations from transformers (BERT) algorithms for the quantitative evaluation of text quality. Detailed metrics, including BERT scores, are available in Multimedia Appendix 5. This computational approach underwent rigorous statistical scrutiny, which was instrumental in enhancing both the analytical rigor and methodological precision of our research. The nonhuman assistance provided by these advanced algorithms was indispensable in elevating the academic quality of our study. The study received funding from several sources. The National Natural Science Foundation of China (grants 30973440 and 30770950) supported the data collection, analysis, and interpretation. The Ministry of Key Laboratory of Child Development and Disorders provided funding through the Youth Basic Research Project (grant YBRP-2021XX) . Additionally, the preparation of the paper was funded by key projects of the Chongqing Natural Science Foundation, specifically grants cstc2020jcyj-msxmX0326 and CSTB2022NSCQ-MSX0819. The funding agency paid for the scholarships of the students involved in the research.</t>
  </si>
  <si>
    <t>e49771</t>
  </si>
  <si>
    <t>10.2196/49771</t>
  </si>
  <si>
    <t>CR0S9</t>
  </si>
  <si>
    <t>WOS:001126859300003</t>
  </si>
  <si>
    <t>Sarkar, A</t>
  </si>
  <si>
    <t>Sarkar, Advait</t>
  </si>
  <si>
    <t>Exploring Perspectives on the Impact of Artificial Intelligence on the Creativity of Knowledge Work: Beyond Mechanised Plagiarism and Stochastic Parrots</t>
  </si>
  <si>
    <t>critical theory</t>
  </si>
  <si>
    <t>COPYRIGHT; PROTECTION; PRINTERS</t>
  </si>
  <si>
    <t>Artificial Intelligence (AI), and in particular generative models, are transformative tools for knowledge work. They problematise notions of creativity, originality, plagiarism, the attribution of credit, and copyright ownership. Critics of generative models emphasise the reliance on large amounts of training data, and view the output of these models as no more than randomised plagiarism, remix, or collage of the source data. On these grounds many have argued for stronger regulations on the deployment, use, and attribution of the output of these models. However, these issues are not new or unique to artificial intelligence. In this position paper, using examples from literary criticism, the history of art, and copyright law, I show how creativity and originality resist definition as a notatable or information-theoretic property of an object, and instead can be seen as the property of a process, an author, or a viewer. Further alternative views hold that all creative work is essentially reuse (mostly without attribution), or that randomness itself can be creative. I suggest that creativity is ultimately defined by communities of creators and receivers, and the deemed sources of creativity in a workflow often depend on which parts of the workflow can be automated. Using examples from recent studies of AI in creative knowledge work, I suggest that AI shifts knowledge work from material production to critical integration. This position paper aims to begin a conversation around a more nuanced approach to the problems of creativity and credit assignment for generative models, one which more fully recognises the importance of the creative and curatorial voice of the users of these models, and moves away from simpler notational or information-theoretic views.</t>
  </si>
  <si>
    <t>[Sarkar, Advait] Univ Cambridge, Microsoft Res, Cambridge, England; [Sarkar, Advait] UCL, London, England</t>
  </si>
  <si>
    <t>Microsoft; University of Cambridge; University of London; University College London</t>
  </si>
  <si>
    <t>Sarkar, A (corresponding author), Univ Cambridge, Microsoft Res, Cambridge, England.;Sarkar, A (corresponding author), UCL, London, England.</t>
  </si>
  <si>
    <t>advait@microsoft.com</t>
  </si>
  <si>
    <t>10.1145/3596671.3597650</t>
  </si>
  <si>
    <t>WOS:001147740200013</t>
  </si>
  <si>
    <t>Reinecke, MG; Mao, YR; Kunesch, M; Duóñez-Guzmán, EA; Haas, J; Leibo, JZ</t>
  </si>
  <si>
    <t>Reinecke, Madeline G.; Mao, Yiran; Kunesch, Markus; Duenez-Guzman, Edgar A.; Haas, Julia; Leibo, Joel Z.</t>
  </si>
  <si>
    <t>The Puzzle of Evaluating Moral Cognition in Artificial Agents</t>
  </si>
  <si>
    <t>COGNITIVE SCIENCE</t>
  </si>
  <si>
    <t>Moral cognition; Artificial intelligence; Multi-agent reinforcement learning</t>
  </si>
  <si>
    <t>JUDGMENTS; INTENT</t>
  </si>
  <si>
    <t>In developing artificial intelligence (AI), researchers often benchmark against human performance as a measure of progress. Is this kind of comparison possible for moral cognition? Given that human moral judgment often hinges on intangible properties like intention which may have no natural analog in artificial agents, it may prove difficult to design a like-for-like comparison between the moral behavior of artificial and human agents. What would a measure of moral behavior for both humans and AI look like? We unravel the complexity of this question by discussing examples within reinforcement learning and generative AI, and we examine how the puzzle of evaluating artificial agents' moral cognition remains open for further investigation within cognitive science.</t>
  </si>
  <si>
    <t>[Reinecke, Madeline G.; Mao, Yiran; Kunesch, Markus; Duenez-Guzman, Edgar A.; Haas, Julia; Leibo, Joel Z.] Google DeepMind, London, England; [Reinecke, Madeline G.] Yale Univ, Dept Psychol, New Haven, CT USA; [Reinecke, Madeline G.] Yale Univ, Dept Psychol, 100 Coll St, New Haven, CT 06510 USA; [Mao, Yiran] Google Deep Mind, London N1C 4DN, England</t>
  </si>
  <si>
    <t>Google Incorporated; Yale University; Yale University; Google Incorporated</t>
  </si>
  <si>
    <t>Reinecke, MG (corresponding author), Yale Univ, Dept Psychol, 100 Coll St, New Haven, CT 06510 USA.;Mao, YR (corresponding author), Google Deep Mind, London N1C 4DN, England.</t>
  </si>
  <si>
    <t>madeline.reinecke@yale.edu; yiranm@google.com</t>
  </si>
  <si>
    <t>Duenez-Guzman, Edgar Alfredo/0000-0002-6212-9104</t>
  </si>
  <si>
    <t>0364-0213</t>
  </si>
  <si>
    <t>1551-6709</t>
  </si>
  <si>
    <t>COGNITIVE SCI</t>
  </si>
  <si>
    <t>Cogn. Sci.</t>
  </si>
  <si>
    <t>e13315</t>
  </si>
  <si>
    <t>10.1111/cogs.13315</t>
  </si>
  <si>
    <t>Psychology, Experimental</t>
  </si>
  <si>
    <t>O6KL9</t>
  </si>
  <si>
    <t>WOS:001044873800001</t>
  </si>
  <si>
    <t>Cornejo-Plaza, I</t>
  </si>
  <si>
    <t>Cornejo-Plaza, Isabel</t>
  </si>
  <si>
    <t>Ethical and Legal Considerations of Artificial Intelligence in Higher Education: Challenges and Prospects</t>
  </si>
  <si>
    <t>REVISTA DE EDUCACION Y DERECHO-EDUCATIONAL AND LAW REVIEW</t>
  </si>
  <si>
    <t>Education; Artificial Intelligence; Scientific Integrity; Freedom of Research; GPT Chat</t>
  </si>
  <si>
    <t>The use of Artificial Intelligence, hereafter AI, has become widespread in the academic and student community. ChatGPT is a generative language modelling tool that presents opportunities and challenges beyond regulation. Ethical principles and a prospective law must be combined with a proper education of the educational community in order to use AI as a tool in knowledge generation and not mere decontextualised information that can lead to failure in the goals of higher education as well as the goals of the larger social development of modern society, which is an inclusive and solidarity-based education.</t>
  </si>
  <si>
    <t>[Cornejo-Plaza, Isabel] Univ Autonoma Chile, Inst Invest Derecho IID, Neuroderechos Neuroet Inteligencia Artificial Meta, Providencia, Chile</t>
  </si>
  <si>
    <t>Universidad Autonoma de Chile</t>
  </si>
  <si>
    <t>Cornejo-Plaza, I (corresponding author), Univ Autonoma Chile, Inst Invest Derecho IID, Neuroderechos Neuroet Inteligencia Artificial Meta, Providencia, Chile.</t>
  </si>
  <si>
    <t>isabel.cornejo@uautonoma.cl</t>
  </si>
  <si>
    <t>Cornejo, Lila Susana/AFB-8790-2022</t>
  </si>
  <si>
    <t>Cornejo, Lila Susana/0000-0001-9116-0947</t>
  </si>
  <si>
    <t>UNIV BARCELONA, FAC DRET</t>
  </si>
  <si>
    <t>AVENIDA DIAGONAL 684, BARCELONA, 08034, SPAIN</t>
  </si>
  <si>
    <t>2013-584X</t>
  </si>
  <si>
    <t>2386-4885</t>
  </si>
  <si>
    <t>REV EDUC DERECHO</t>
  </si>
  <si>
    <t>Rev. Educ. Derecho</t>
  </si>
  <si>
    <t>APR-SEP</t>
  </si>
  <si>
    <t>10.1344/REYD2023.28.43935</t>
  </si>
  <si>
    <t>U5SO6</t>
  </si>
  <si>
    <t>WOS:001085402900007</t>
  </si>
  <si>
    <t>Samsi, S; Zhao, D; McDonald, J; Li, BL; Michaleas, A; Jones, M; Bergeron, W; Kepner, J; Tiwari, D; Gadepally, V</t>
  </si>
  <si>
    <t>Samsi, Siddharth; Zhao, Dan; McDonald, Joseph; Li, Baolin; Michaleas, Adam; Jones, Michael; Bergeron, William; Kepner, Jeremy; Tiwari, Devesh; Gadepally, Vijay</t>
  </si>
  <si>
    <t>From Words to Watts: Benchmarking the Energy Costs of Large Language Model Inference</t>
  </si>
  <si>
    <t>2023 IEEE HIGH PERFORMANCE EXTREME COMPUTING CONFERENCE, HPEC</t>
  </si>
  <si>
    <t>IEEE High Performance Extreme Computing Conference</t>
  </si>
  <si>
    <t>IEEE High Performance Extreme Computing Virtual Conference (HPEC)</t>
  </si>
  <si>
    <t>SEP 25-29, 2023</t>
  </si>
  <si>
    <t>Large Language Models; Natural Language Processing; Inference; Green AI; LLM; NLP; Deep Learning; Distributed Computing; Energy; Sustainability</t>
  </si>
  <si>
    <t>Large language models (LLMs) have exploded in popularity due to their new generative capabilities that go far beyond prior state-of-the-art. These technologies are increasingly being leveraged in various domains such as law, finance, and medicine. However, these models carry significant computational challenges, especially the compute and energy costs required for inference. Inference energy costs already receive less attention than the energy costs of training LLMs-despite how often these large models are called on to conduct inference in reality (e.g., ChatGPT). As these state-of-the-art LLMs see increasing usage and deployment in various domains, a better understanding of their resource utilization is crucial for cost-savings, scaling performance, efficient hardware usage, and optimal inference strategies. In this paper, we describe experiments conducted to study the computational and energy utilization of inference with LLMs. We benchmark and conduct a preliminary analysis of the inference performance and inference energy costs of different sizes of LLaMA-a recent state-of-the-art LLM-developed by Meta AI on two generations of popular GPUs (NVIDIA V100 &amp; A100) and two datasets (Alpaca and GSM8K) to reflect the diverse set of tasks/benchmarks for LLMs in research and practice. We present the results of multi-node, multi-GPU inference using model sharding across up to 32 GPUs. To our knowledge, our work is the one of the first to study LLM inference performance from the perspective of computational and energy resources at this scale.</t>
  </si>
  <si>
    <t>[Samsi, Siddharth; McDonald, Joseph; Michaleas, Adam; Jones, Michael; Bergeron, William; Kepner, Jeremy; Gadepally, Vijay] MIT, Cambridge, MA 02139 USA; [Zhao, Dan] NYU, New York, NY USA; [Li, Baolin; Tiwari, Devesh] Northeastern Univ, Boston, MA USA</t>
  </si>
  <si>
    <t>Massachusetts Institute of Technology (MIT); New York University; Northeastern University</t>
  </si>
  <si>
    <t>Samsi, S (corresponding author), MIT, Cambridge, MA 02139 USA.</t>
  </si>
  <si>
    <t>2377-6943</t>
  </si>
  <si>
    <t>979-8-3503-0860-0</t>
  </si>
  <si>
    <t>IEEE HIGH PERF EXTR</t>
  </si>
  <si>
    <t>10.1109/HPEC58863.2023.10363447</t>
  </si>
  <si>
    <t>Computer Science, Hardware &amp; Architecture; Computer Science, Software Engineering; Computer Science, Theory &amp; Methods; Engineering, Electrical &amp; Electronic</t>
  </si>
  <si>
    <t>BW4YB</t>
  </si>
  <si>
    <t>WOS:001156959800003</t>
  </si>
  <si>
    <t>Rumbell, T; Parikh, J; Kozloski, J; Gurev, V</t>
  </si>
  <si>
    <t>Rumbell, Timothy; Parikh, Jaimit; Kozloski, James; Gurev, Viatcheslav</t>
  </si>
  <si>
    <t>Novel and flexible parameter estimation methods for data-consistent inversion in mechanistic modelling</t>
  </si>
  <si>
    <t>stochastic inverse problem; generative models; computational modelling; mechanistic modelling; parameter inference; data-consistent inversion</t>
  </si>
  <si>
    <t>Predictions for physical systems often rely upon knowledge acquired from ensembles of entities, e.g. ensembles of cells in biological sciences. For qualitative and quantitative analysis, these ensembles are simulated with parametric families of mechanistic models (MMs). Two classes of methodologies, based on Bayesian inference and population of models, currently prevail in parameter estimation for physical systems. However, in Bayesian analysis, uninformative priors for MM parameters introduce undesirable bias. Here, we propose how to infer parameters within the framework of stochastic inverse problems (SIPs), also termed data-consistent inversion, wherein the prior targets only uncertainties that arise due to MM non-invertibility. To demonstrate, we introduce new methods to solve SIPs based on rejection sampling, Markov chain Monte Carlo, and generative adversarial networks (GANs). In addition, to overcome limitations of SIPs, we reformulate SIPs based on constrained optimization and present a novel GAN to solve the constrained optimization problem.</t>
  </si>
  <si>
    <t>[Rumbell, Timothy; Parikh, Jaimit; Kozloski, James; Gurev, Viatcheslav] IBM Res, Hybrid Biol AI Modeling, Yorktown Hts, NY 10598 USA</t>
  </si>
  <si>
    <t>Gurev, V (corresponding author), IBM Res, Hybrid Biol AI Modeling, Yorktown Hts, NY 10598 USA.</t>
  </si>
  <si>
    <t>vgurev@us.ibm.com</t>
  </si>
  <si>
    <t>10.1098/rsos.230668</t>
  </si>
  <si>
    <t>Y3WX6</t>
  </si>
  <si>
    <t>WOS:001104614400001</t>
  </si>
  <si>
    <t>Vosper, E; Watson, P; Harris, L; McRae, A; Santos-Rodriguez, R; Aitchison, L; Mitchell, D</t>
  </si>
  <si>
    <t>Vosper, Emily; Watson, Peter; Harris, Lucy; McRae, Andrew; Santos-Rodriguez, Raul; Aitchison, Laurence; Mitchell, Dann</t>
  </si>
  <si>
    <t>Deep Learning for Downscaling Tropical Cyclone Rainfall to Hazard-Relevant Spatial Scales</t>
  </si>
  <si>
    <t>JOURNAL OF GEOPHYSICAL RESEARCH-ATMOSPHERES</t>
  </si>
  <si>
    <t>tropical cyclone rainfall; deep learning; Generative Adversarial Network; downscaling; tropical cyclone; superresolution</t>
  </si>
  <si>
    <t>MODEL; HURRICANES; RISK; GFDL</t>
  </si>
  <si>
    <t>Flooding, driven in part by intense rainfall, is the leading cause of mortality and damages from the most intense tropical cyclones (TCs). With rainfall from TCs set to increase under anthropogenic climate change, it is critical to accurately estimate extreme rainfall to better support short-term and long-term resilience efforts. While high-resolution climate models capture TC statistics better than low-resolution models, they are computationally expensive. This leads to a trade-off between capturing TC features accurately, and generating large enough simulation data sets to sufficiently sample high-impact, low-probability events. Downscaling can assist by predicting high-resolution features from relatively cheap, low-resolution models. Here, we develop and evaluate a set of three deep learning models for downscaling TC rainfall to hazard-relevant spatial scales. We use rainfall from the Multi-Source Weighted-Ensemble Precipitation observational product at a coarsened resolution of similar to 100 km, and apply our downscaling model to reproduce the original resolution of similar to 10 km. We find that the Wasserstein Generative Adversarial Network is able to capture realistic spatial structures and power spectra and performs the best overall, with mean biases within 5% of observations. We also show that the model can perform well at extrapolating to the most extreme storms, which were not used in training. Plain Language Summary Tropical cyclones (TCs) are often associated with intense winds, but it is actually their associated rainfall and flooding that cause the majority of mortality and damages. A warmer atmosphere is able to hold more water vapor and therefore we expect to see increases in rainfall from TCs with global warming. To better support resilience efforts, it is critical to model current and future TC rainfall, but climate models at standard resolution struggle to do this accurately. Running climate models at very high resolution produces better results, though this requires significant computational resources meaning that fewer high-impact, low-probability TCs can be generated. Other methods, called downscaling models, are used to provide a computationally cheaper alternative by generating high-resolution TC-specific data rather than an entire global climate data set. In this study, we develop a set of deep learning models which can generate high-resolution rainfall data from low-resolution rainfall data. To do this, we train our models on data from observational data sets that have data for the period 1979-2020. We find that the Wasserstein Generative Adversarial Network performs the best over the metrics studied and is able to reproduce the most extreme storms that were not used in training.</t>
  </si>
  <si>
    <t>[Vosper, Emily; Watson, Peter; Mitchell, Dann] Univ Bristol, Sch Geog Sci, Bristol, England; [Vosper, Emily; Santos-Rodriguez, Raul; Aitchison, Laurence] Univ Bristol, Sch Comp Sci, Bristol, England; [Watson, Peter; Mitchell, Dann] Univ Bristol, Cabot Inst Environm, Bristol, England; [Harris, Lucy; McRae, Andrew] Univ Oxford, Dept Phys, Oxford, England</t>
  </si>
  <si>
    <t>University of Bristol; University of Bristol; University of Bristol; University of Oxford</t>
  </si>
  <si>
    <t>Vosper, E (corresponding author), Univ Bristol, Sch Geog Sci, Bristol, England.;Vosper, E (corresponding author), Univ Bristol, Sch Comp Sci, Bristol, England.</t>
  </si>
  <si>
    <t>emily.vosper@bristol.ac.uk</t>
  </si>
  <si>
    <t>; Mitchell, Daniel/U-6509-2018</t>
  </si>
  <si>
    <t>Watson, Peter/0000-0001-5173-9903; Vosper, Emily/0000-0003-2766-9823; McRae, Andrew/0000-0003-0407-0324; Mitchell, Daniel/0000-0002-0117-3486</t>
  </si>
  <si>
    <t>NERC Independent Research Fellowship [NE/S014713/1]; UKRI Centre for Doctoral Training in Interactive Artificial Intelligence [EP/S022937/1]; UKRI Turing AI Fellowship [EP/V024817/1]; European Research Council (ERC) under the European Union [741112]</t>
  </si>
  <si>
    <t>NERC Independent Research Fellowship(UK Research &amp; Innovation (UKRI)Natural Environment Research Council (NERC)); UKRI Centre for Doctoral Training in Interactive Artificial Intelligence; UKRI Turing AI Fellowship(UK Research &amp; Innovation (UKRI)); European Research Council (ERC) under the European Union(European Research Council (ERC))</t>
  </si>
  <si>
    <t>This project was supported by a NERC Independent Research Fellowship (Grant NE/S014713/1). Emily Vosper was supported by the UKRI Centre for Doctoral Training in Interactive Artificial Intelligence under Grant EP/S022937/1. Raul Santos-Rodriguez was funded by the UKRI Turing AI Fellowship EP/V024817/1. The project has received funding from the European Research Council (ERC) under the European Union's Horizon 2020 research and innovation programme (Grant Agreement 741112).</t>
  </si>
  <si>
    <t>2169-897X</t>
  </si>
  <si>
    <t>2169-8996</t>
  </si>
  <si>
    <t>J GEOPHYS RES-ATMOS</t>
  </si>
  <si>
    <t>J. Geophys. Res.-Atmos.</t>
  </si>
  <si>
    <t>e2022JD038163</t>
  </si>
  <si>
    <t>10.1029/2022JD038163</t>
  </si>
  <si>
    <t>Meteorology &amp; Atmospheric Sciences</t>
  </si>
  <si>
    <t>I1CJ1</t>
  </si>
  <si>
    <t>WOS:001000218800001</t>
  </si>
  <si>
    <t>Sajichandrachood, OM; Sethunadh, R</t>
  </si>
  <si>
    <t>Sajichandrachood, O. M.; Sethunadh, R.</t>
  </si>
  <si>
    <t>Detection and segmentation of radio frequency interference from satellite images using attention-GANs</t>
  </si>
  <si>
    <t>ASTRONOMY AND COMPUTING</t>
  </si>
  <si>
    <t>Convolutional neural networks (CNN); Generative adversarial network (GAN); Pix2Pix; RFI segmentation; Satellite image segmentation</t>
  </si>
  <si>
    <t>MITIGATION</t>
  </si>
  <si>
    <t>Radio frequency interference (RFI) refers to the interference in the electromagnetic spectrum caused by undesired radio signals that share the same frequency band as the desired signal. RFI can interrupt, distort, or completely eliminate radio signals, resulting in ineffective communication or interaction with other electronic systems. RFI can have several effects on satellite imagery. It can result in stripes, smears, and other visual patterns, degrading image quality and making it harder to understand. In extreme cases, RFI can entirely obscure visual characteristics of interest. Among the different techniques for identifying RFIs viz thresholding, detection using artificial intelligence (AI) has shown higher efficiency and accuracy with minimal manual intervention. This paper proposes an RFI detection and segmentation model based on an attention-enforced Generative Adversarial Network (GAN): Attention-SegmentationGAN(SegGAN), using an image-to-image translation network: Pix2Pix. This approach turns the RFI segmentation into an image translation issue and then trains two deep convolutional neural networks (CNN), concurrently to provide a binary RFI mask image. Furthermore, we enhance the network architectures of the Pix2Pix model's generator and discriminator for superior quality detection and localization of RFI from single-channel satellite images. Here, a dataset consisting of around 1000 single-channel satellite images with synthetically generated RFI in random portions of the image was used. For model developments, Standard metrics such as Sensitivity(Recall), Specificity(Accuracy), Precision, and Dice coefficient have been utilized to evaluate the detection of noise affected locations. The proposed model showed superior segmentation performance with the baseline Pix2Pix model and state-of-the-art RFI detection approaches from satellite images.</t>
  </si>
  <si>
    <t>[Sajichandrachood, O. M.] Cochin Univ Sci &amp; Technol, Fac Engn, Kochi 682022, Kerala, India; [Sajichandrachood, O. M.; Sethunadh, R.] Indian Space Res Org, Vikram Sarabhai Space Ctr, Kochi 685022, Kerala, India</t>
  </si>
  <si>
    <t>Cochin University Science &amp; Technology; Department of Space (DoS), Government of India; Indian Space Research Organisation (ISRO); Vikram Sarabhai Space Center (VSSC)</t>
  </si>
  <si>
    <t>Sajichandrachood, OM (corresponding author), Cochin Univ Sci &amp; Technol, Fac Engn, Kochi 682022, Kerala, India.</t>
  </si>
  <si>
    <t>sajichandrachood@gmail.com</t>
  </si>
  <si>
    <t>2213-1337</t>
  </si>
  <si>
    <t>2213-1345</t>
  </si>
  <si>
    <t>ASTRON COMPUT</t>
  </si>
  <si>
    <t>Astron. Comput.</t>
  </si>
  <si>
    <t>10.1016/j.ascom.2023.100769</t>
  </si>
  <si>
    <t>Astronomy &amp; Astrophysics; Computer Science, Interdisciplinary Applications</t>
  </si>
  <si>
    <t>Astronomy &amp; Astrophysics; Computer Science</t>
  </si>
  <si>
    <t>FU5M2</t>
  </si>
  <si>
    <t>WOS:001148381400001</t>
  </si>
  <si>
    <t>Chattopadhyay, A; Slocum, S; Haeffele, BD; Vidal, R; Geman, D</t>
  </si>
  <si>
    <t>Chattopadhyay, Aditya; Slocum, Stewart; Haeffele, Benjamin D.; Vidal, Rene; Geman, Donald</t>
  </si>
  <si>
    <t>Interpretable by Design: Learning Predictors by Composing Interpretable Queries</t>
  </si>
  <si>
    <t>Birds; Task analysis; Predictive models; Image color analysis; Computational modeling; Vegetation; Shape; Explainable AI; interpretable ML; computer vision; generative models; information theory</t>
  </si>
  <si>
    <t>There is a growing concern about typically opaque decision-making with high-performance machine learning algorithms. Providing an explanation of the reasoning process in domain-specific terms can be crucial for adoption in risk-sensitive domains such as healthcare. We argue that machine learning algorithms should be interpretable by design and that the language in which these interpretations are expressed should be domain- and task-dependent. Consequently, we base our model's prediction on a family of user-defined and task-specific binary functions of the data, each having a clear interpretation to the end-user. We then minimize the expected number of queries needed for accurate prediction on any given input. As the solution is generally intractable, following prior work, we choose the queries sequentially based on information gain. However, in contrast to previous work, we need not assume the queries are conditionally independent. Instead, we leverage a stochastic generative model (VAE) and an MCMC algorithm (Unadjusted Langevin) to select the most informative query about the input based on previous query-answers. This enables the online determination of a query chain of whatever depth is required to resolve prediction ambiguities. Finally, experiments on vision and NLP tasks demonstrate the efficacy of our approach and its superiority over post-hoc explanations.</t>
  </si>
  <si>
    <t>[Chattopadhyay, Aditya; Slocum, Stewart; Haeffele, Benjamin D.; Vidal, Rene; Geman, Donald] Johns Hopkins Univ, Math Inst Data Sci, Ctr Imaging Sci, Baltimore, MD 21218 USA</t>
  </si>
  <si>
    <t>Johns Hopkins University</t>
  </si>
  <si>
    <t>Chattopadhyay, A (corresponding author), Johns Hopkins Univ, Math Inst Data Sci, Ctr Imaging Sci, Baltimore, MD 21218 USA.</t>
  </si>
  <si>
    <t>achatto1@jhu.edu; sslocum3@jhu.edu; bhaeffele@jhu.edu; rvidal@jhu.edu; geman@jhu.edu</t>
  </si>
  <si>
    <t>Chattopadhyay, Aditya/0000-0002-3705-2360; Vidal, Rene/0000-0003-1838-0761</t>
  </si>
  <si>
    <t>Army Research Office under the Multidisciplinary University Research Initiative [W911NF-17-1-0304]; NSF [2031985]</t>
  </si>
  <si>
    <t>Army Research Office under the Multidisciplinary University Research Initiative; NSF(National Science Foundation (NSF))</t>
  </si>
  <si>
    <t>This work was supported in part by Army Research Office under the Multidisciplinary University Research Initiative under Grant W911NF-17-1-0304 and in part by the NSF under Grant 2031985.</t>
  </si>
  <si>
    <t>10.1109/TPAMI.2022.3225162</t>
  </si>
  <si>
    <t>F5AO9</t>
  </si>
  <si>
    <t>WOS:000982475600055</t>
  </si>
  <si>
    <t>Banerjee, S; Patel, YS; Kumar, P; Bhuyan, M</t>
  </si>
  <si>
    <t>Banerjee, Sourasekhar; Patel, Yashwant Singh; Kumar, Pushkar; Bhuyan, Monowar</t>
  </si>
  <si>
    <t>Towards Post-disaster Damage Assessment using Deep Transfer Learning and GAN-based Data Augmentation</t>
  </si>
  <si>
    <t>PROCEEDINGS OF THE 24TH INTERNATIONAL CONFERENCE ON DISTRIBUTED COMPUTING AND NETWORKING, ICDCN 2023</t>
  </si>
  <si>
    <t>24th International Conference on Distributed Computing and Networking (ICDCN)</t>
  </si>
  <si>
    <t>JAN 04-07, 2023</t>
  </si>
  <si>
    <t>Kharagpur, INDIA</t>
  </si>
  <si>
    <t>Microsoft Res,ACM India Council,Natl Sci Fdn,TCG Crest,IIT Kharagpur</t>
  </si>
  <si>
    <t>Cyber-Physical Systems; Generative Adversarial Networks; Deep Learning; Damage Assessment; Class Activation Mapping; Clustering</t>
  </si>
  <si>
    <t>Cyber-physical disaster systems (CPDS) are a new cyber-physical application that collects physical realm measurements from IoT devices and sends them to the edge for damage severity analysis of impacted sites in the aftermath of a large-scale disaster. However, the lack of effective machine learning paradigms and the data and device heterogeneity of edge devices pose significant challenges in disaster damage assessment (DDA). To address these issues, we propose a generative adversarial network (GAN) and a lightweight, deep transfer learning-enabled, fine-tuned machine learning pipeline to reduce overall sensing error and improve the model's performance. In this paper, we applied several combinations of GANs (i.e., DCGAN, DiscoGAN, ProGAN, and Cycle-GAN) to generate fake images of the disaster. After that, three pre-trained models: VGG19, ResNet18, and DenseNet121, with deep transfer learning, are applied to classify the images of the disaster. We observed that the ResNet18 is the most pertinent model to achieve a test accuracy of 88.81%. With the experiments on real-world DDA applications, we have visualized the damage severity of disaster-impacted sites using different types of Class Activation Mapping (CAM) techniques, namely Grad-CAM++, Guided Grad-Cam, &amp; Score-CAM. Finally, using k-means clustering, we have obtained the scatter plots to measure the damage severity into no damage, mild damage, and severe damage categories in the generated heat maps.</t>
  </si>
  <si>
    <t>[Banerjee, Sourasekhar; Bhuyan, Monowar] Umea Univ, Umea, Sweden; [Patel, Yashwant Singh] Thapar Inst Engn &amp; Technol, Patiala, Punjab, India; [Kumar, Pushkar] Indian Inst Informat Technol Ranchi, Ranchi, Bihar, India</t>
  </si>
  <si>
    <t>Umea University; Thapar Institute of Engineering &amp; Technology</t>
  </si>
  <si>
    <t>Banerjee, S (corresponding author), Umea Univ, Umea, Sweden.</t>
  </si>
  <si>
    <t>sourasb@cs.umu.se; yashwant.patel@thapar.edu; pushkar.btech.ec17@iiitranchi.ac.in; monowar@cs.umu.se</t>
  </si>
  <si>
    <t>Banerjee, Sourasekhar/0000-0002-3451-2851; Patel, Yashwant Singh/0000-0001-9322-2160</t>
  </si>
  <si>
    <t>Wallenberg AI, Autonomous Systems and Software Program (WASP) - Knut and Alice Wallenberg Foundations; Thapar Institute of Engineering and Technology, Patiala, India under SEED research grant</t>
  </si>
  <si>
    <t>This work was partially supported by the Wallenberg AI, Autonomous Systems and Software Program (WASP) funded by Knut and Alice Wallenberg Foundations. This work was also partially supported by Thapar Institute of Engineering and Technology, Patiala, India under SEED research grant.</t>
  </si>
  <si>
    <t>978-1-4503-9796-4</t>
  </si>
  <si>
    <t>10.1145/3571306.3571438</t>
  </si>
  <si>
    <t>Computer Science, Hardware &amp; Architecture; Computer Science, Theory &amp; Methods</t>
  </si>
  <si>
    <t>BW0OW</t>
  </si>
  <si>
    <t>Green Published, Bronze</t>
  </si>
  <si>
    <t>WOS:001098722500054</t>
  </si>
  <si>
    <t>Rouhani, B; Zhao, R; Elango, V; Shafipour, R; Hall, M; Mesmakhosroshahi, M; More, A; Melnick, L; Golub, M; Varatkar, G; Shao, L; Kolhe, G; Melts, D; Klar, J; L'Heureux, R; Perry, M; Burger, D; Chung, E; Deng, ZX; Naghshineh, S; Park, J; Naumov, M</t>
  </si>
  <si>
    <t>Rouhani, Bita; Zhao, Ritchie; Elango, Venmugil; Shafipour, Rasoul; Hall, Mathew; Mesmakhosroshahi, Maral; More, Ankit; Melnick, Levi; Golub, Maximilian; Varatkar, Girish; Shao, Lei; Kolhe, Gaurav; Melts, Dimitry; Klar, Jasmine; L'Heureux, Renee; Perry, Matt; Burger, Doug; Chung, Eric; Deng, Zhaoxia (Summer); Naghshineh, Sam; Park, Jongsoo; Naumov, Maxim</t>
  </si>
  <si>
    <t>With Shared Microexponents, A Little Shifting Goes a Long Way</t>
  </si>
  <si>
    <t>PROCEEDINGS OF THE 2023 THE 50TH ANNUAL INTERNATIONAL SYMPOSIUM ON COMPUTER ARCHITECTURE, ISCA 2023</t>
  </si>
  <si>
    <t>Conference Proceedings Annual International Symposium on Computer Architecture</t>
  </si>
  <si>
    <t>50th Annual International Symposium on Computer Architecture (ISCA)</t>
  </si>
  <si>
    <t>JUN 17-21, 2023</t>
  </si>
  <si>
    <t>IEEE,Assoc Comp Machinery,ACMSIGARCH,Alphabet,Ant Res,ARM,FutureWei Technologies,Qualcomm,Univ Cent Florida,IBM,VMware,AMD,Samsung</t>
  </si>
  <si>
    <t>Artificial Intelligence; Compute Efficiency; AI Data Types</t>
  </si>
  <si>
    <t>This paper introduces Block Data Representations (BDR), a framework for exploring and evaluating a wide spectrum of narrow-precision formats for deep learning. It enables comparison of popular quantization standards, and through BDR, new formats based on shared microexponents (MX) are identified, which outperform other state-of-the-art quantization approaches, including narrow-precision floating-point and block floating-point. MX utilizes multiple levels of quantization scaling with ultra-fine scaling factors based on shared microexponents in the hardware. The effectiveness of MX is demonstrated on real-world models including large-scale generative pretraining and inferencing, and production-scale recommendation systems.</t>
  </si>
  <si>
    <t>[Rouhani, Bita; Zhao, Ritchie; Elango, Venmugil; Shafipour, Rasoul; Hall, Mathew; Mesmakhosroshahi, Maral; More, Ankit; Melnick, Levi; Golub, Maximilian; Varatkar, Girish; Shao, Lei; Kolhe, Gaurav; Melts, Dimitry; Klar, Jasmine; L'Heureux, Renee; Perry, Matt; Burger, Doug; Chung, Eric] Microsoft, Redmond, WA 98052 USA; [Deng, Zhaoxia (Summer); Naghshineh, Sam; Park, Jongsoo; Naumov, Maxim] Meta, Menlo Pk, CA USA</t>
  </si>
  <si>
    <t>Microsoft</t>
  </si>
  <si>
    <t>Rouhani, B (corresponding author), Microsoft, Redmond, WA 98052 USA.</t>
  </si>
  <si>
    <t>bita.rouhani@microsoft.com</t>
  </si>
  <si>
    <t>Deng, Zhaoxia/GRS-9212-2022; Elango, Venmugil/JKI-2758-2023</t>
  </si>
  <si>
    <t>Elango, Venmugil/0000-0002-7031-9020; Hall, Mathew/0000-0002-2134-8247</t>
  </si>
  <si>
    <t>1063-6897</t>
  </si>
  <si>
    <t>979-8-4007-0095-8</t>
  </si>
  <si>
    <t>CONF PROC INT SYMP C</t>
  </si>
  <si>
    <t>10.1145/3579371.3589351</t>
  </si>
  <si>
    <t>BW0OY</t>
  </si>
  <si>
    <t>WOS:001098723900083</t>
  </si>
  <si>
    <t>Spivakovsky, OV; Omelchuk, SA; Kobets, VV; Valko, NV; Malchykova, DS</t>
  </si>
  <si>
    <t>Spivakovsky, Oleksandr, V; Omelchuk, Serhii A.; Kobets, Vitaliy V.; Valko, Nataliia V.; Malchykova, Daria S.</t>
  </si>
  <si>
    <t>INSTITUTIONAL POLICIES ON ARTIFICIAL INTELLIGENCE IN UNIVERSITY LEARNING, TEACHING AND RESEARCH</t>
  </si>
  <si>
    <t>artificial intelligence; higher education institutes; academic policy; educational process; research activities</t>
  </si>
  <si>
    <t>Generative artificial intelligence is rapidly transforming the educational process and the scientific work of students, lecturers, researchers and administrators of higher education institutions. There are limited and contradictory recommendations for the use of artificial intelligence in the educational process and in the educational programmes of higher education institutions. To define the scope of AI application, there is a need to develop institutional policies for higher education institutions, which will allow the academic community to determine the appropriate scope of AI application in the educational process and prevent the use of AI in areas where ethical norms are violated. The purpose of the article is to summarise and systematise the experience of forming institutional policies for the application of artificial intelligence in education, training and research in higher education institutions using the experience of Kherson State University. The article presents the developed institutional policies for students, lecturers and researchers with recommended and not recommended initiatives for the use of AI in the educational process and research at Kherson State University. The purpose of these institutional policies was to create an inclusive environment of modern digital tools for involving of lecturers of non-professional specialties and define the framework for the use of artificial intelligence in education, teaching, and research of all subjects (participants) of educational activity. The recommendations are aimed at empowering all participants to select educational components creatively and at improving the efficiency of the educational process and research activities through the use of AI tools. Issues requiring further research regarding generative platforms lie in three thematic areas: knowledge base; transparency and ethics; digital transformation of organizations and societies. It is also relevant to create an educational environment that encourages the interaction and dissemination of positive practice of digital transformation of all participants of the educational process.</t>
  </si>
  <si>
    <t>[Spivakovsky, Oleksandr, V; Kobets, Vitaliy V.; Valko, Nataliia V.] Kherson State Univ, Dept Comp Sci &amp; Software Engn, Kherson, Ukraine; [Omelchuk, Serhii A.] Kherson State Univ, Dept Ukrainian &amp; Slavic Philol &amp; Journalism, Kherson, Ukraine; [Malchykova, Daria S.] Kherson State Univ, Dept Geog &amp; Ecol, Kherson, Ukraine</t>
  </si>
  <si>
    <t>Ministry of Education &amp; Science of Ukraine; Kherson State University; Ministry of Education &amp; Science of Ukraine; Kherson State University; Ministry of Education &amp; Science of Ukraine; Kherson State University</t>
  </si>
  <si>
    <t>Spivakovsky, OV (corresponding author), Kherson State Univ, Dept Comp Sci &amp; Software Engn, Kherson, Ukraine.</t>
  </si>
  <si>
    <t>spivakovsky@ksu.ks.ua; omegas@ksu.ks.ua; vkobets@ksu.ks.ua; valko@ksu.ks.ua; esgeogr@ksu.ks.ua</t>
  </si>
  <si>
    <t>Valko, Nataliia V./L-6503-2018; Spivakovskiy, Oleksandr/AAE-8125-2019; Malchykova, Daria/F-3305-2019; Kobets, Vitaliy/G-8659-2018</t>
  </si>
  <si>
    <t>Valko, Nataliia V./0000-0003-0720-3217; Spivakovskiy, Oleksandr/0000-0001-7574-4133; Malchykova, Daria/0000-0002-7197-8722; Kobets, Vitaliy/0000-0002-4386-4103</t>
  </si>
  <si>
    <t>European Federation of Academies of Sciences and Humanities (ALLEA)</t>
  </si>
  <si>
    <t>This research is part of a project, funded by the European Federation of Academies of Sciences and Humanities (ALLEA) .</t>
  </si>
  <si>
    <t>10.33407/itlt.v97i5.5395</t>
  </si>
  <si>
    <t>X3UI8</t>
  </si>
  <si>
    <t>WOS:001097734800011</t>
  </si>
  <si>
    <t>Koivisto, M; Grassini, S</t>
  </si>
  <si>
    <t>Koivisto, Mika; Grassini, Simone</t>
  </si>
  <si>
    <t>Best humans still outperform artificial intelligence in a creative divergent thinking task</t>
  </si>
  <si>
    <t>Creativity has traditionally been considered an ability exclusive to human beings. However, the rapid development of artificial intelligence (AI) has resulted in generative AI chatbots that can produce high-quality artworks, raising questions about the differences between human and machine creativity. In this study, we compared the creativity of humans (n = 256) with that of three current AI chatbots using the alternate uses task (AUT), which is the most used divergent thinking task. Participants were asked to generate uncommon and creative uses for everyday objects. On average, the AI chatbots outperformed human participants. While human responses included poor-quality ideas, the chatbots generally produced more creative responses. However, the best human ideas still matched or exceed those of the chatbots. While this study highlights the potential of AI as a tool to enhance creativity, it also underscores the unique and complex nature of human creativity that may be difficult to fully replicate or surpass with AI technology. The study provides insights into the relationship between human and machine creativity, which is related to important questions about the future of creative work in the age of AI.</t>
  </si>
  <si>
    <t>[Koivisto, Mika] Univ Turku, Dept Psychol, Turku, Finland; [Grassini, Simone] Univ Bergen, Dept Psychosocial Sci, Bergen, Norway; [Grassini, Simone] Univ Stavanger, Cognit &amp; Behav Neurosci Lab, Stavanger, Norway</t>
  </si>
  <si>
    <t>University of Turku; University of Bergen; Universitetet i Stavanger</t>
  </si>
  <si>
    <t>Grassini, S (corresponding author), Univ Bergen, Dept Psychosocial Sci, Bergen, Norway.;Grassini, S (corresponding author), Univ Stavanger, Cognit &amp; Behav Neurosci Lab, Stavanger, Norway.</t>
  </si>
  <si>
    <t>simone.grassini@uib.no</t>
  </si>
  <si>
    <t>Grassini, Simone/T-7638-2019</t>
  </si>
  <si>
    <t>Open access funding provided by University of Bergen.</t>
  </si>
  <si>
    <t>SEP 14</t>
  </si>
  <si>
    <t>10.1038/s41598-023-40858-3</t>
  </si>
  <si>
    <t>EJ7H8</t>
  </si>
  <si>
    <t>WOS:001138618500001</t>
  </si>
  <si>
    <t>Khanmohammadi, S; Arashpour, M; Golafshani, EM; Cruz, MG; Rajabifard, A</t>
  </si>
  <si>
    <t>Khanmohammadi, Sadegh; Arashpour, Mehrdad; Golafshani, Emadaldin Mohammadi; Cruz, Miguel G. G.; Rajabifard, Abbas</t>
  </si>
  <si>
    <t>An artificial intelligence framework for predicting fire spread sustainability in semiarid shrublands</t>
  </si>
  <si>
    <t>INTERNATIONAL JOURNAL OF WILDLAND FIRE</t>
  </si>
  <si>
    <t>artificial intelligence (AI); bushfire; climate change; feature selection; SHapley Additive exPlanations (SHAP); Stochastic Gradient Descent (SGD); Tabular Generative Adversarial Networks (TGAN); wildfire</t>
  </si>
  <si>
    <t>SURFACE FIRE; FEATURE-SELECTION; CROWN FUELS; MODEL; FOREST; WEATHER; BUSHFIRES; NETWORKS; IGNITION</t>
  </si>
  <si>
    <t>Background. Fire behaviour simulation and prediction play a key role in supporting wildfire management and suppression activities. Aims. Using machine-learning methods, the aim of this study was to predict the onset of fire propagation (go vs no-go) and type of fire behaviour (surface vs crown fire) in southern Australian semiarid shrublands. Methods. Several machine-learning (ML) approaches were tested, including Support Vector Machine, Multinomial Naive Bayes and Multilayered Neural Networks, as was the use of augmented datasets developed with Generative Adversarial Networks (GAN) in classification of fire type. Key results. Support Vector Machine was determined as the optimum machine learning classifier based on model overall accuracy against an independent evaluation dataset. This classifier correctly predicted fire spread sustainability and active crown fire propagation in 70 and 79% of the cases, respectively. The application of synthetically generated datasets in the Support Vector Machine model fitting process resulted in an improvement of model accuracy by 20% for the fire sustainability classification and 4% for the crown fire occurrence. Conclusions. The selected ML modelling approach was shown to produce better results than logistic regression models when tested on independent datasets. Implications. Artificial intelligence frameworks have a role in the development of predictive models of fire behaviour.</t>
  </si>
  <si>
    <t>[Khanmohammadi, Sadegh; Arashpour, Mehrdad; Golafshani, Emadaldin Mohammadi] Monash Univ, Dept Civil Engn, Melbourne, Vic, Australia; [Cruz, Miguel G. G.] CSIRO, GPO Box 1700, Canberra, ACT 2601, Australia; [Rajabifard, Abbas] Univ Melbourne, Sch Engn, Melbourne, Vic 3000, Australia</t>
  </si>
  <si>
    <t>Monash University; Commonwealth Scientific &amp; Industrial Research Organisation (CSIRO); University of Melbourne</t>
  </si>
  <si>
    <t>Arashpour, M (corresponding author), Monash Univ, Dept Civil Engn, Melbourne, Vic, Australia.</t>
  </si>
  <si>
    <t>Rajabifard, Abbas/D-1818-2015; Arashpour, Mehrdad/GXW-0980-2022; Cruz, Miguel/F-1410-2010</t>
  </si>
  <si>
    <t>Arashpour, Mehrdad/0000-0003-4148-3160; Khanmohammadi, Sadegh/0000-0001-6270-380X; Mohammadi Golafshani, emadaldin/0000-0001-8499-3975; Cruz, Miguel/0000-0003-3311-7582</t>
  </si>
  <si>
    <t>Australian Research Council (ARC) through the Linkage Project funding scheme [LP180101080]</t>
  </si>
  <si>
    <t>Australian Research Council (ARC) through the Linkage Project funding scheme(Australian Research Council)</t>
  </si>
  <si>
    <t>The authors are grateful for support from the Australian Research Council (ARC) through the Linkage Project funding scheme (LP180101080).</t>
  </si>
  <si>
    <t>1049-8001</t>
  </si>
  <si>
    <t>1448-5516</t>
  </si>
  <si>
    <t>INT J WILDLAND FIRE</t>
  </si>
  <si>
    <t>Int. J. Wildland Fire</t>
  </si>
  <si>
    <t>10.1071/WF22216</t>
  </si>
  <si>
    <t>Forestry</t>
  </si>
  <si>
    <t>H8UC5</t>
  </si>
  <si>
    <t>WOS:000925703200001</t>
  </si>
  <si>
    <t>Chen, HY; Yu, H</t>
  </si>
  <si>
    <t>Chen, Huan-Yuan; Yu, Hong</t>
  </si>
  <si>
    <t>Intent-based Web Page Summarization with Structure-Aware Chunking and Generative Language Models</t>
  </si>
  <si>
    <t>Web for Good; Structure-Aware Chunking; Web Page Summarization; LLM Applications</t>
  </si>
  <si>
    <t>This paper introduces a structure-aware method to segment web pages into chunks based on their web structures. We utilize large language models to select chunks correspond to a given intent and generate the abstractive summary. Experiments on a food pantry dataset developed for mitigating food insecurity show that the proposed framework is promising.</t>
  </si>
  <si>
    <t>[Chen, Huan-Yuan] Univ Massachusetts Amherst, Coll Informat &amp; Comp Sci, Amherst, MA 01003 USA; [Yu, Hong] Univ Massachusetts Lowell, Sch Comp &amp; Informat Sci, Lowell, MA USA</t>
  </si>
  <si>
    <t>University of Massachusetts System; University of Massachusetts Amherst; University of Massachusetts System; University of Massachusetts Lowell</t>
  </si>
  <si>
    <t>Chen, HY (corresponding author), Univ Massachusetts Amherst, Coll Informat &amp; Comp Sci, Amherst, MA 01003 USA.</t>
  </si>
  <si>
    <t>huanyuanchen@umass.edu; hong_yu@uml.edu</t>
  </si>
  <si>
    <t>10.1145/3543873.3587372</t>
  </si>
  <si>
    <t>WOS:001124276300074</t>
  </si>
  <si>
    <t>Pauley, M; Henscheid, N; David, SE; Karpen, SR; Romero, K; Podichetty, JT</t>
  </si>
  <si>
    <t>Pauley, Mike; Henscheid, Nick E.; David, Sarah R.; Karpen, Stephen; Romero, Klaus; Podichetty, Jagdeep T.</t>
  </si>
  <si>
    <t>Type 1 Diabet Consortium T1DC</t>
  </si>
  <si>
    <t>T1dCteGui: A User-Friendly Clinical Trial Enrichment Tool to Optimize T1D Prevention Studies by Leveraging AI/ML Based Synthetic Patient Population</t>
  </si>
  <si>
    <t>CLINICAL PHARMACOLOGY &amp; THERAPEUTICS</t>
  </si>
  <si>
    <t>TYPE-1; AUTOANTIBODIES; YOUNG</t>
  </si>
  <si>
    <t>Whereas islet autoantibodies (AAs) are well-established risk factors for developing type 1 diabetes (T1D), there is a lack of biomarkers endorsed by regulators to enrich clinical trial populations for those at risk of developing T1D. As such, the development of therapies that delay or prevent the onset of T1D remains challenging. To address this drug development need, the Critical Path Institute's T1D Consortium (T1DC) acquired patient-level data from multiple observational studies and used a model-based approach to evaluate the utility of islet AAs as enrichment biomarkers in clinical trials. An accelerated failure time model was developed, discussed in our previous publication, which provided the underlying evidence required to receive a qualification opinion for islet AAs as enrichment biomarkers from the European Medicines Agency (EMA) in March 2022. To further democratize the use of the model for scientists and clinicians, we developed a Clinical Trial Enrichment Graphical User Interface. The interactive tool allows users to specify trial participant characteristics, including the percentage of participants with a specific AA combination. Users can specify ranges for participant baseline age, sex, blood glucose measurement from the 120-minute timepoints of an oral glucose tolerance test, and HbA1c. The tool then applies the model to predict the mean probability of a T1D diagnosis for that trial population and renders the results to the user. To ensure adequate data privacy and to make the tool open-source, a deep learning-based generative model was used to generate a cohort of synthetic subjects that underpins the tool.</t>
  </si>
  <si>
    <t>[Pauley, Mike; Henscheid, Nick E.; David, Sarah R.; Karpen, Stephen; Romero, Klaus; Podichetty, Jagdeep T.; Type 1 Diabet Consortium T1DC] Crit Path Inst, Tucson, AZ 85718 USA</t>
  </si>
  <si>
    <t>Podichetty, JT (corresponding author), Crit Path Inst, Tucson, AZ 85718 USA.</t>
  </si>
  <si>
    <t>jpodichetty@c-path.org</t>
  </si>
  <si>
    <t>JDRF International; Helmsley Charitable Trust; Janssen Research and Development, LLC; Novo Nordisk; ProventionBio; US Food and Drug Administration (FDA) of the Department of Health and Human Services (HHS); FDA/HHS</t>
  </si>
  <si>
    <t>JDRF International(Juvenile Diabetes Research Foundation); Helmsley Charitable Trust; Janssen Research and Development, LLC; Novo Nordisk(Novo NordiskNovo Nordisk Foundation); ProventionBio; US Food and Drug Administration (FDA) of the Department of Health and Human Services (HHS); FDA/HHS</t>
  </si>
  <si>
    <t>This project was supported by funds from JDRF International, Helmsley Charitable Trust, Janssen Research and Development, LLC, Novo Nordisk, and ProventionBio. Critical Path Institute is supported by the US Food and Drug Administration (FDA) of the Department of Health and Human Services (HHS) and is 55% funded by the FDA/HHS, totaling $17,612,250, and 45% funded by non-government source(s), totaling $14,203,111. The contents are those of the author(s) and do not necessarily represent the official views of, nor an endorsement by the FDA/HHS or the US Government.</t>
  </si>
  <si>
    <t>0009-9236</t>
  </si>
  <si>
    <t>1532-6535</t>
  </si>
  <si>
    <t>CLIN PHARMACOL THER</t>
  </si>
  <si>
    <t>Clin. Pharmacol. Ther.</t>
  </si>
  <si>
    <t>10.1002/cpt.2976</t>
  </si>
  <si>
    <t>Q0KI5</t>
  </si>
  <si>
    <t>WOS:001021991600001</t>
  </si>
  <si>
    <t>Rischke, S; Poor, SM; Gurke, R; Hahnefeld, L; Köhm, M; Ultsch, A; Geisslinger, G; Behrens, F; Lötsch, J</t>
  </si>
  <si>
    <t>Rischke, Samuel; Poor, Sorwe Mojtahed; Gurke, Robert; Hahnefeld, Lisa; Koehm, Michaela; Ultsch, Alfred; Geisslinger, Gerd; Behrens, Frank; Loetsch, Joern</t>
  </si>
  <si>
    <t>Machine learning identifies right index finger tenderness as key signal of DAS28-CRP based psoriatic arthritis activity</t>
  </si>
  <si>
    <t>DISEASE-ACTIVITY; CRITERION; VARIABLES; COMPLEX</t>
  </si>
  <si>
    <t>Psoriatic arthritis (PsA) is a chronic inflammatory systemic disease whose activity is often assessed using the Disease Activity Score 28 (DAS28-CRP). The present study was designed to investigate the significance of individual components within the score for PsA activity. A cohort of 80 PsA patients (44 women and 36 men, aged 56.3 +/- 12 years) with a range of disease activity from remission to moderate was analyzed using unsupervised and supervised methods applied to the DAS28-CRP components. Machine learning-based permutation importance identified tenderness in the metacarpophalangeal joint of the right index finger as the most informative item of the DAS28-CRP for PsA activity staging. This symptom alone allowed a machine learned (random forests) classifier to identify PsA remission with 67% balanced accuracy in new cases. Projection of the DAS28-CRP data onto an emergent self-organizing map of artificial neurons identified outliers, which following augmentation of group sizes by emergent self-organizing maps based generative artificial intelligence (AI) could be defined as subgroups particularly characterized by either tenderness or swelling of specific joints. AI-assisted re-evaluation of the DAS28-CRP for PsA has narrowed the score items to a most relevant symptom, and generative AI has been useful for identifying and characterizing small subgroups of patients whose symptom patterns differ from the majority. These findings represent an important step toward precision medicine that can address outliers.</t>
  </si>
  <si>
    <t>[Rischke, Samuel; Gurke, Robert; Hahnefeld, Lisa; Geisslinger, Gerd; Loetsch, Joern] Goethe Univ, Inst Clin Pharmacol, Theodor Stern Kai 7, D-60590 Frankfurt, Germany; [Poor, Sorwe Mojtahed; Gurke, Robert; Hahnefeld, Lisa; Koehm, Michaela; Geisslinger, Gerd; Behrens, Frank; Loetsch, Joern] Fraunhofer Inst Translat Med &amp; Pharmacol ITMP, Theodor Stern Kai 7, D-60596 Frankfurt, Germany; [Poor, Sorwe Mojtahed; Gurke, Robert; Hahnefeld, Lisa; Koehm, Michaela; Geisslinger, Gerd; Behrens, Frank] Fraunhofer Cluster Excellence Immune Mediated Dis, Theodor Stern Kai 7, D-60596 Frankfurt, Germany; [Poor, Sorwe Mojtahed; Koehm, Michaela; Behrens, Frank] Goethe Univ Frankfurt, Univ Hosp, Dept Rheumatol, Theodor Stern Kai 7, D-60590 Frankfurt, Germany; [Ultsch, Alfred] Univ Marburg, DataBion Res Grp, Hans Meerwein Str, D-35032 Marburg, Germany</t>
  </si>
  <si>
    <t>Goethe University Frankfurt; Goethe University Frankfurt; Goethe University Frankfurt Hospital; Philipps University Marburg</t>
  </si>
  <si>
    <t>Lötsch, J (corresponding author), Goethe Univ, Inst Clin Pharmacol, Theodor Stern Kai 7, D-60590 Frankfurt, Germany.;Lötsch, J (corresponding author), Fraunhofer Inst Translat Med &amp; Pharmacol ITMP, Theodor Stern Kai 7, D-60596 Frankfurt, Germany.</t>
  </si>
  <si>
    <t>Lotsch, Jorn/0000-0002-5818-6958</t>
  </si>
  <si>
    <t>Deutsche Forschungsgemeinschaft</t>
  </si>
  <si>
    <t>Deutsche Forschungsgemeinschaft(German Research Foundation (DFG))</t>
  </si>
  <si>
    <t>DEC 19</t>
  </si>
  <si>
    <t>10.1038/s41598-023-49574-4</t>
  </si>
  <si>
    <t>DJ6M1</t>
  </si>
  <si>
    <t>WOS:001131708100004</t>
  </si>
  <si>
    <t>Zignoli, A</t>
  </si>
  <si>
    <t>Zignoli, Andrea</t>
  </si>
  <si>
    <t>Machine Learning Models for the Automatic Detection of Exercise Thresholds in Cardiopulmonary Exercising Tests: From Regression to Generation to Explanation</t>
  </si>
  <si>
    <t>artificial intelligence; machine learning; deep learning; cardiopulmonary stress test; explainable AI; machine learning interpretability</t>
  </si>
  <si>
    <t>ANAEROBIC THRESHOLD; GAS-EXCHANGE; MEDICINE</t>
  </si>
  <si>
    <t>The cardiopulmonary exercise test (CPET) constitutes a gold standard for the assessment of an individual's cardiovascular fitness. A trend is emerging for the development of new machine-learning techniques applied to the automatic process of CPET data. Some of these focus on the precise task of detecting the exercise thresholds, which represent important physiological parameters. Three are the major challenges tackled by this contribution: (A) regression (i.e., the process of correctly identifying the exercise intensity domains and their crossing points); (B) generation (i.e., the process of artificially creating a CPET data file ex-novo); and (C) explanation (i.e., proving an interpretable explanation about the output of the machine learning model). The following methods were used for each challenge: (A) a convolutional neural network adapted for multi-variable time series; (B) a conditional generative adversarial neural network; and (C) visual explanations and calculations of model decisions have been conducted using cooperative game theory (Shapley's values). The results for the regression, generation, and explanatory techniques for AI-assisted CPET interpretation are presented here in a unique framework for the first time: (A) machine learning techniques reported an expert-level accuracy in the classification of exercise intensity domains; (B) experts are not able to substantially differentiate between a real vs an artificially generated CPET; and (C) Shapley's values can provide an explanation about the choices of the algorithms in terms of ventilatory variables. With the aim to increase their technology-readiness level, all the models discussed in this contribution have been incorporated into a free-to-use Python package called pyoxynet (ver. 12.1). This contribution should therefore be of interest to major players operating in the CPET device market and engineering.</t>
  </si>
  <si>
    <t>[Zignoli, Andrea] Univ Trento, Dept Ind Engn, I-38123 Trento, Italy</t>
  </si>
  <si>
    <t>University of Trento</t>
  </si>
  <si>
    <t>Zignoli, A (corresponding author), Univ Trento, Dept Ind Engn, I-38123 Trento, Italy.</t>
  </si>
  <si>
    <t>andrea.zignoli@unitn.it</t>
  </si>
  <si>
    <t>Zignoli, Andrea/ACO-7706-2022</t>
  </si>
  <si>
    <t>Zignoli, Andrea/0000-0003-1315-5573</t>
  </si>
  <si>
    <t>10.3390/s23020826</t>
  </si>
  <si>
    <t>8Q5TY</t>
  </si>
  <si>
    <t>WOS:000927270400001</t>
  </si>
  <si>
    <t>Dyer, J; Quera-Bofarull, A; Chopra, A; Farmer, JD; Calinescu, A; Wooldridge, M</t>
  </si>
  <si>
    <t>Dyer, Joel; Quera-Bofarull, Arnau; Chopra, Ayush; Farmer, J. Doyne; Calinescu, Anisoara; Wooldridge, Michael</t>
  </si>
  <si>
    <t>Gradient-Assisted Calibration for Financial Agent-Based Models</t>
  </si>
  <si>
    <t>agent-based models; automatic differentiation; parameter inference</t>
  </si>
  <si>
    <t>DENSITY-ESTIMATION</t>
  </si>
  <si>
    <t>Agent-based modelling (ABMing) is a promising approach to modelling and reasoning about complex systems such as financial markets. However, the application of ABMs in practice is often impeded by the models' complexity and the ensuing difficulty of performing parameter inference and optimisation tasks. This in turn has motivated efforts directed towards the construction of differentiable ABMs, enabled by recently developed effective auto-differentiation frameworks, as a strategy for addressing these challenges. In this paper, we discuss and present experiments that demonstrate how differentiable programming may be used to implement and calibrate heterogeneous ABMs in finance. We begin by considering in more detail the difficulties inherent in constructing gradients for discrete ABMs. Secondly, we illustrate solutions to these difficulties, by using a discrete agent-based market simulation model as a case study. Finally, we show through numerical experiments how our differentiable implementation of this discrete ABM enables the use of powerful tools from probabilistic machine learning and conditional generative modelling to perform robust parameter inferences and uncertainty quantification, in a simulation-efficient manner.</t>
  </si>
  <si>
    <t>[Dyer, Joel; Quera-Bofarull, Arnau; Farmer, J. Doyne; Calinescu, Anisoara; Wooldridge, Michael] Univ Oxford, Oxford, England; [Chopra, Ayush] MIT, Boston, MA USA</t>
  </si>
  <si>
    <t>University of Oxford; Massachusetts Institute of Technology (MIT)</t>
  </si>
  <si>
    <t>Dyer, J (corresponding author), Univ Oxford, Oxford, England.</t>
  </si>
  <si>
    <t>joel.dyer@cs.ox.ac.uk; arnau.quera-bofarull@cs.ox.ac.uk; ayushc@mit.edu; doyne.farmer@inet.ox.ac.uk; ani.calinescu@cs.ox.ac.uk; mjw@cs.ox.ac.uk</t>
  </si>
  <si>
    <t>Farmer, J. Doyne/0000-0001-7871-073X; Dyer, Joel/0000-0002-8304-8450</t>
  </si>
  <si>
    <t>UKRI AI World Leading Researcher Fellowship [EP/W002949/1]; Trust-worthy AI -Integrating Learning, Optimisation and Reasoning (TAILOR) - European Union [952215]</t>
  </si>
  <si>
    <t>UKRI AI World Leading Researcher Fellowship; Trust-worthy AI -Integrating Learning, Optimisation and Reasoning (TAILOR) - European Union</t>
  </si>
  <si>
    <t>This research was supported by a UKRI AI World Leading Researcher Fellowship awarded to Wooldridge (grant EP/W002949/1). M. Wooldridge and A. Calinescu acknowledge funding from Trust-worthy AI -Integrating Learning, Optimisation and Reasoning (TAILOR), a project funded by European Union Horizon2020 research and innovation program under Grant Agreement 952215. For the purpose of Open Access, the author has applied a CC BY public copyright licence to any Author Accepted Manuscript version arising from this submission.</t>
  </si>
  <si>
    <t>10.1145/3604237.3626857</t>
  </si>
  <si>
    <t>WOS:001124982700034</t>
  </si>
  <si>
    <t>Li, ZX; Zhu, XH; Yao, SL; Yue, Y; García-Fernández, AF; Lim, EG; Levers, A</t>
  </si>
  <si>
    <t>Li, Zhuoxiao; Zhu, Xiaohui; Yao, Shanliang; Yue, Yong; Garcia-Fernandez, Angel F.; Lim, Eng Gee; Levers, Andrew</t>
  </si>
  <si>
    <t>A large scale Digital Elevation Model super-resolution Transformer</t>
  </si>
  <si>
    <t>INTERNATIONAL JOURNAL OF APPLIED EARTH OBSERVATION AND GEOINFORMATION</t>
  </si>
  <si>
    <t>DEM super-resolution; Spatial interpolation; Shifted window; Transformer; Convolutional neural networks; Generative adversarial networks</t>
  </si>
  <si>
    <t>CONVOLUTIONAL NEURAL-NETWORKS; IMAGE; DEM</t>
  </si>
  <si>
    <t>The Digital Elevation Model (DEM) super-resolution approach aims to improve the spatial resolution or detail of an existing DEM by applying techniques such as machine learning or spatial interpolation. Convolutional Neural Networks and Generative Adversarial Networks have exhibited remarkable capabilities in generating high-resolution DEMs from corresponding low-resolution inputs, significantly outperforming conventional spatial interpolation methods. Nevertheless, these current methodologies encounter substantial challenges when tasked with processing exceedingly high-resolution DEMs (256x256, 512x512, or higher), specifically pertaining to the accurate restore maximum and minimum elevation values, the terrain features, and the edges of DEMs. Aiming to solve the problems of current super-resolution techniques that struggle to effectively restore topographic details and produce high-resolution DEMs that preserve coordinate information, this paper proposes an improved DEM super-resolution Transformer(DSRT) network for large-scale DEM super-resolution and account for geographic information continuity. We design a window attention module that is used to engage more elevation points in low-resolution DEMs, which can learn more terrain features from the input high-resolution DEMs. A GeoTransform module is designed to generate coordinates and projections for the DSRT network. We conduct an evaluation of the network utilizing DEMs of various types of terrains and elevation differences at resolutions of 64x64, 256x256 and 512 x 512. The network demonstrated leading performance across all assessments in terms of root mean square error (RMSE) for elevation, slope, aspect, and curvature, indicating that Transformer-based deep learning networks are superior to CNNs and GANs in learning DEM features.</t>
  </si>
  <si>
    <t>[Li, Zhuoxiao; Zhu, Xiaohui; Yao, Shanliang; Yue, Yong; Lim, Eng Gee] Xian Jiaotong Liverpool Univ, Sch Adv Technol, Suzhou 215123, Peoples R China; [Li, Zhuoxiao; Yao, Shanliang; Garcia-Fernandez, Angel F.] Univ Liverpool, Dept Elect Engn &amp; Elect, Liverpool L69 3GJ, England; [Garcia-Fernandez, Angel F.] Univ Antonio Nebrija, ARIES Res Ctr, Madrid 263001, Spain; [Levers, Andrew] Univ Liverpool, Digital Innovat Facil, Liverpool 215123, England</t>
  </si>
  <si>
    <t>Xi'an Jiaotong-Liverpool University; University of Liverpool; Universidad Antonio de Nebrija; University of Liverpool</t>
  </si>
  <si>
    <t>Zhu, XH (corresponding author), Xian Jiaotong Liverpool Univ, Sch Adv Technol, Suzhou 215123, Peoples R China.</t>
  </si>
  <si>
    <t>Xiaohui.Zhu@xjtlu.edu.cn</t>
  </si>
  <si>
    <t>García-Fernández, Ángel/AHC-5049-2022; Yao, Shanliang/KBB-2115-2024</t>
  </si>
  <si>
    <t>García-Fernández, Ángel/0000-0002-6471-8455; Yao, Shanliang/0000-0001-7596-3598; zhu, xiaohui/0000-0003-1024-5442</t>
  </si>
  <si>
    <t>Suzhou Municipal Key Laboratory for Intelligent Virtual Engineering [SZS2022004]; Key Programme Special Fund of XJTLU [KSF-A-19]; Suzhou Science and Technology Project [SYG202122]; Research Development Fund of XJTLU [RDF-19-02-23]; XJTLU AI University Research Centre; Jiangsu Province Engineering Research Centre of Data Science and Cognitive Computation at XJTLU and SIP AI innovation platform [YZCXPT2022103]; Jiangsu Engineering Research Center for Data Science and Cognitive Computing</t>
  </si>
  <si>
    <t>Suzhou Municipal Key Laboratory for Intelligent Virtual Engineering; Key Programme Special Fund of XJTLU; Suzhou Science and Technology Project; Research Development Fund of XJTLU; XJTLU AI University Research Centre; Jiangsu Province Engineering Research Centre of Data Science and Cognitive Computation at XJTLU and SIP AI innovation platform; Jiangsu Engineering Research Center for Data Science and Cognitive Computing</t>
  </si>
  <si>
    <t>This research was funded by the Suzhou Municipal Key Laboratory for Intelligent Virtual Engineering (SZS2022004) , the Key Programme Special Fund of XJTLU (KSF-A-19) , the Suzhou Science and Technology Project (SYG202122) , the Research Development Fund of XJTLU (RDF-19-02-23) , the XJTLU AI University Research Centre, Jiangsu Province Engineering Research Centre of Data Science and Cognitive Computation at XJTLU and SIP AI innovation platform (YZCXPT2022103) , and Jiangsu Engineering Research Center for Data Science and Cognitive Computing.</t>
  </si>
  <si>
    <t>1569-8432</t>
  </si>
  <si>
    <t>1872-826X</t>
  </si>
  <si>
    <t>INT J APPL EARTH OBS</t>
  </si>
  <si>
    <t>Int. J. Appl. Earth Obs. Geoinf.</t>
  </si>
  <si>
    <t>10.1016/j.jag.2023.103496</t>
  </si>
  <si>
    <t>X3BU3</t>
  </si>
  <si>
    <t>WOS:001097248200001</t>
  </si>
  <si>
    <t>Helgesson, S</t>
  </si>
  <si>
    <t>Helgesson, Stefan</t>
  </si>
  <si>
    <t>The text is dead! Long live the text!</t>
  </si>
  <si>
    <t>DEUTSCHE VIERTELJAHRSSCHRIFT FUR LITERATURWISSENSCHAFT UND GEISTESGESCHICHTE</t>
  </si>
  <si>
    <t>Whither literature in an age of semiotic overload? In a discussion of J.M. Coetzee's El Polaco, Mohamed Mbougar Sarr's La plus secrete memoire des hommes and Zoe Wicomb's Still Life, this essay suggests that a dialectic between textual evasion and the intertextual productivity of commentary, translation and generative AI might show the way forward.</t>
  </si>
  <si>
    <t>[Helgesson, Stefan] Stockholm Univ, Engelska Institutionen, S-10691 Stockholm, Sweden</t>
  </si>
  <si>
    <t>Helgesson, S (corresponding author), Stockholm Univ, Engelska Institutionen, S-10691 Stockholm, Sweden.</t>
  </si>
  <si>
    <t>stefan.helgesson@english.su.se</t>
  </si>
  <si>
    <t>J B METZLER</t>
  </si>
  <si>
    <t>POSTFACH 10 32 41, D-70028 STUTTGART, GERMANY</t>
  </si>
  <si>
    <t>0012-0936</t>
  </si>
  <si>
    <t>2365-9521</t>
  </si>
  <si>
    <t>DEUT VIER LIT GEIST</t>
  </si>
  <si>
    <t>Dtsch. Vierteljahresschr. Lit.wiss. Geistesgesch.</t>
  </si>
  <si>
    <t>10.1007/s41245-023-00230-9</t>
  </si>
  <si>
    <t>Literary Theory &amp; Criticism</t>
  </si>
  <si>
    <t>CB2T5</t>
  </si>
  <si>
    <t>WOS:001122732800001</t>
  </si>
  <si>
    <t>Shen, ZY; Ding, F; Jolfaei, A; Yadav, K; Vashisht, S; Yu, KP</t>
  </si>
  <si>
    <t>Shen, Zhangyi; Ding, Feng; Jolfaei, Alireza; Yadav, Kusum; Vashisht, Sahil; Yu, Keping</t>
  </si>
  <si>
    <t>DeformableGAN: Generating Medical Images With Improved Integrity for Healthcare Cyber Physical Systems</t>
  </si>
  <si>
    <t>IEEE TRANSACTIONS ON NETWORK SCIENCE AND ENGINEERING</t>
  </si>
  <si>
    <t>Generative adversarial networks; Convolution; Training; Medical diagnostic imaging; Deep learning; Electronic mail; Gray-scale; Medical imaging; healthcare; checkerboard artifacts; generative adversarial networks; AI-driven cyber security</t>
  </si>
  <si>
    <t>The development of deep learning enables the production of new images via generative adversarial networks (GANs). The GANs have now been widely applied in the industry as well as academic research that brought tremendous progress to our community. Many researchers in medical imaging also introduced this novel technology for medical image reconstruction, segmentation, synthesis, etc. On the other hand, the GAN-generated images may also suffer from exhibiting unique textures, namely the checkerboard artifacts. For medical diagnosis and healthcare, such artifacts could bring negative impacts as they may distort information collected in medical images. Improper treatment and rehabilitation plans based on the disinformation of checkerboard artifacts could be harmful for patients and healthcare cyber physical systems. Thus, we investigate the checkerboard artifact synthesized during adversarial training in this paper. Based on the theoretical analysis, we propose a method for GANs to generate images without producing checkerboard artifacts. It could protect medical images preserving high integrity for healthcare cyber physical systems. Our experiments justify the efficiency of proposed method when associating with a variety of GANs for image synthesis. Also, we prove that it is feasible to detect GAN-generated images by tracing the checkerboard artifacts.</t>
  </si>
  <si>
    <t>[Shen, Zhangyi] Hangzhou Dianzi Univ, Hangzhou 310018, Peoples R China; [Ding, Feng] Nanchang Univ, Nanchang 330031, Peoples R China; [Jolfaei, Alireza] Flinders Univ S Australia, Coll Sci &amp; Engn, Adelaide, SA 5042, Australia; [Yadav, Kusum] Univ Hail, Coll Comp Sci &amp; Engn, Hail 55476, Saudi Arabia; [Vashisht, Sahil] Shree Guru Gobind Singh Tricentenary Univ, Dept Comp Sci &amp; Engn, Gurugram 122505, India; [Yu, Keping] Hosei Univ, Grad Sch Sci &amp; Engn, Tokyo 1848584, Japan; [Yu, Keping] RIKEN, RIKEN Ctr Adv Intelligence Project, Tokyo 1030027, Japan</t>
  </si>
  <si>
    <t>Hangzhou Dianzi University; Nanchang University; Flinders University South Australia; University Ha'il; Hosei University; RIKEN</t>
  </si>
  <si>
    <t>Ding, F (corresponding author), Nanchang Univ, Nanchang 330031, Peoples R China.</t>
  </si>
  <si>
    <t>shenzhangyi@hdu.edu.cn; fengding@ncu.edu.cn; alireza.jolfaei@flinders.edu.au; y.kusum@uoh.edu.sa; sahilvashist90@gmail.com; keping.yu@aoni.waseda.jp</t>
  </si>
  <si>
    <t>Yadav, Kusum/AAR-2008-2021; Shen, Zhangyi/ABF-5003-2021; Yu, Keping/GVT-7847-2022</t>
  </si>
  <si>
    <t>Yadav, Kusum/0000-0002-6658-6839; Shen, Zhangyi/0000-0003-3317-6080; Yu, Keping/0000-0001-5735-2507; Jolfaei, Alireza/0000-0001-7818-459X</t>
  </si>
  <si>
    <t>Fundamental Research Funds for the Provincial Universities of Zhejiang; Jiangxi Double Thousand Plan [GK229909299001-019]; Japan Society for the Promotion of Science (JSPS) [JXSQ201901075, JP18K18044]; [JP21K17736]</t>
  </si>
  <si>
    <t>Fundamental Research Funds for the Provincial Universities of Zhejiang; Jiangxi Double Thousand Plan; Japan Society for the Promotion of Science (JSPS)(Ministry of Education, Culture, Sports, Science and Technology, Japan (MEXT)Japan Society for the Promotion of Science);</t>
  </si>
  <si>
    <t>This work was supported in part by the Fundamental Research Funds for the Provincial Universities of Zhejiang under Grant GK229909299001-019, in part by Jiangxi Double Thousand Plan under Grant JXSQ201901075, and in part by the Japan Society for the Promotion of Science (JSPS) in-Aid for Scientific Research (KAKENHI) under Grants JP18K18044 and JP21K17736.</t>
  </si>
  <si>
    <t>2327-4697</t>
  </si>
  <si>
    <t>IEEE T NETW SCI ENG</t>
  </si>
  <si>
    <t>IEEE Trans. Netw. Sci. Eng.</t>
  </si>
  <si>
    <t>SEPT 1</t>
  </si>
  <si>
    <t>10.1109/TNSE.2022.3190765</t>
  </si>
  <si>
    <t>S5HD5</t>
  </si>
  <si>
    <t>WOS:001071466900017</t>
  </si>
  <si>
    <t>Peruzzo, E; Menapace, W; Goel, V; Arrigoni, F; Tang, H; Xu, XQ; Chopikyan, A; Orlov, N; Hu, YX; Shi, H; Sebe, N; Ricci, E</t>
  </si>
  <si>
    <t>Peruzzo, Elia; Menapace, Willi; Goel, Vidit; Arrigoni, Federica; Tang, Hao; Xu, Xingqian; Chopikyan, Arman; Orlov, Nikita; Hu, Yuxiao; Shi, Humphrey; Sebe, Nicu; Ricci, Elisa</t>
  </si>
  <si>
    <t>Interactive Neural Painting</t>
  </si>
  <si>
    <t>Neural painting; Generative models; Interactive generation</t>
  </si>
  <si>
    <t>In the last few years, Neural Painting (NP) techniques became capable of producing extremely realistic artworks. This paper advances the state of the art in this emerging research domain by proposing the first approach for Interactive NP. Considering a setting where a user looks at a scene and tries to reproduce it on a painting, our objective is to develop a computational framework to assist the user's creativity by suggesting the next strokes to paint, that can be possibly used to complete the artwork. To accomplish such a task, we propose I-Paint, a novel method based on a conditional transformer Variational AutoEncoder (VAE) architecture with a two-stage decoder. To evaluate the proposed approach and stimulate research in this area, we also introduce two novel datasets. Our experiments show that our approach provides good stroke suggestions and compares favorably to the state of the art.</t>
  </si>
  <si>
    <t>[Peruzzo, Elia; Menapace, Willi; Sebe, Nicu; Ricci, Elisa] Univ Trento, Trento, Italy; [Goel, Vidit; Chopikyan, Arman; Orlov, Nikita; Hu, Yuxiao; Shi, Humphrey] Picsart AI Res PAIR, Miami, FL USA; [Arrigoni, Federica] Politecn Milan, Milan, Italy; [Tang, Hao] Swiss Fed Inst Technol, Zurich, Switzerland; [Xu, Xingqian; Shi, Humphrey] Univ Illinois Urbana Champaign UIUC, Champaign, IL USA; [Ricci, Elisa] Fdn Bruno Kessler, Povo, Italy</t>
  </si>
  <si>
    <t>University of Trento; Polytechnic University of Milan; Swiss Federal Institutes of Technology Domain; ETH Zurich; University of Illinois System; University of Illinois Urbana-Champaign; Fondazione Bruno Kessler</t>
  </si>
  <si>
    <t>Peruzzo, E (corresponding author), Univ Trento, Trento, Italy.</t>
  </si>
  <si>
    <t>elia.peruzzo@unitn.it</t>
  </si>
  <si>
    <t>Menapace, Willi/JVY-9690-2024; Peruzzo, Elia/JMQ-7149-2023; Sebe, Niculae/KEC-2000-2024</t>
  </si>
  <si>
    <t>Menapace, Willi/0000-0002-0715-9300; Sebe, Niculae/0000-0002-6597-7248; Ricci, Elisa/0000-0002-0228-1147; Peruzzo, Elia/0000-0003-0119-3783; Shi, Humphrey/0000-0002-2922-5663</t>
  </si>
  <si>
    <t>MUR PNRR project FAIR-Future AI Research - NextGenerationEU [PE00000013]; PRIN project CREATIVE [2020ZSL9F9]</t>
  </si>
  <si>
    <t>MUR PNRR project FAIR-Future AI Research - NextGenerationEU; PRIN project CREATIVE</t>
  </si>
  <si>
    <t>The research was supported by the MUR PNRR project FAIR-Future AI Research (PE00000013) funded by the NextGenerationEU and the PRIN project CREATIVE (Prot. 2020ZSL9F9).</t>
  </si>
  <si>
    <t>10.1016/j.cviu.2023.103778</t>
  </si>
  <si>
    <t>P0FY1</t>
  </si>
  <si>
    <t>WOS:001047495100001</t>
  </si>
  <si>
    <t>Vishnu, C; Abhinav, V; Roy, D; Mohan, CK; Babu, CS</t>
  </si>
  <si>
    <t>Vishnu, Chalavadi; Abhinav, Vineel; Roy, Debaditya; Mohan, C. Krishna; Babu, Ch. Sobhan</t>
  </si>
  <si>
    <t>Improving Multi-Agent Trajectory Prediction Using Traffic States on Interactive Driving Scenarios</t>
  </si>
  <si>
    <t>IEEE ROBOTICS AND AUTOMATION LETTERS</t>
  </si>
  <si>
    <t>Trajectory; Predictive models; History; Hidden Markov models; Transformers; Roads; Decoding; Trajectory prediction; generative adversarial networks; conditional variational autoencoder; transformers</t>
  </si>
  <si>
    <t>Predicting trajectories of multiple agents in interactive driving scenarios such as intersections, and roundabouts are challenging due to the high density of agents, varying speeds, and environmental obstacles. Existing approaches use relative distance and semantic maps of intersections to improve trajectory prediction. However, drivers base their driving decision on the overall traffic state of the intersection and the surrounding vehicles. So, we propose to use traffic states that denote changing spatio-temporal interaction between neighboring vehicles, to improve trajectory prediction. An example of a traffic state is a clump state which denotes that the vehicles are moving close to each other, i.e., congestion is forming. We develop three prediction models with different architectures, namely, Transformer-based (TS-Transformer), Generative Adversarial Network-based (TS-GAN), and Conditional Variational Autoencoder-based (TS-CVAE). We show that traffic state-based models consistently predict better future trajectories than the vanilla models. TS-Transformer produces state-of-the-art results on two challenging interactive trajectory prediction datasets, namely, Eye-on-Traffic (EOT), and INTERACTION. Our qualitative analysis shows that traffic state-based models have better aligned trajectories to the ground truth.</t>
  </si>
  <si>
    <t>[Vishnu, Chalavadi; Abhinav, Vineel; Mohan, C. Krishna; Babu, Ch. Sobhan] Indian Inst Technol Hyderabad, Dept Comp Sci &amp; Engn, Hyderabad 502285, Telangana, India; [Roy, Debaditya] Inst High Performance Comp IHPC, Agcy Sci Technol &amp; Res ASTAR, Singapore City 138632, Singapore</t>
  </si>
  <si>
    <t>Indian Institute of Technology System (IIT System); Indian Institute of Technology (IIT) - Hyderabad; Agency for Science Technology &amp; Research (A*STAR); A*STAR - Institute of High Performance Computing (IHPC)</t>
  </si>
  <si>
    <t>Vishnu, C (corresponding author), Indian Inst Technol Hyderabad, Dept Comp Sci &amp; Engn, Hyderabad 502285, Telangana, India.</t>
  </si>
  <si>
    <t>cs16m18p000001@iith.ac.in; cs20mtech01007@iith.ac.in; debadityaroy5555@gmail.com; ckm@cse.iith.ac.in; sobhan@cse.iith.ac.in</t>
  </si>
  <si>
    <t>Chalavadi, Vishnu/0000-0001-9184-3545</t>
  </si>
  <si>
    <t>DST-India; National Research Foundation Singapore through its AI Singapore Program; [AISG-RP-2019-010]</t>
  </si>
  <si>
    <t>DST-India(Department of Science &amp; Technology (India)); National Research Foundation Singapore through its AI Singapore Program;</t>
  </si>
  <si>
    <t>This work was supported in part by the DST-India as the part of the Design and Development of Machine Learning Algorithms for Traffic Analytics and part by the National Research Foundation Singapore through its AI Singapore Program under Grant AISG-RP-2019-010.</t>
  </si>
  <si>
    <t>2377-3766</t>
  </si>
  <si>
    <t>IEEE ROBOT AUTOM LET</t>
  </si>
  <si>
    <t>IEEE Robot. Autom. Lett.</t>
  </si>
  <si>
    <t>10.1109/LRA.2023.3258685</t>
  </si>
  <si>
    <t>Robotics</t>
  </si>
  <si>
    <t>C3AC4</t>
  </si>
  <si>
    <t>WOS:000960675100007</t>
  </si>
  <si>
    <t>Yang, BW; Zhang, QW; Geng, RY; Wang, LJ; Liu, M</t>
  </si>
  <si>
    <t>Yang, Bowen; Zhang, Qingwen; Geng, Ruoyu; Wang, Lujia; Liu, Ming</t>
  </si>
  <si>
    <t>Real-Time Neural Dense Elevation Mapping for Urban Terrain With Uncertainty Estimations</t>
  </si>
  <si>
    <t>AI-enabled robotics; legged robots; mapping</t>
  </si>
  <si>
    <t>Having good knowledge of terrain information is essential for improving the performance of various downstream tasks on complex terrains, especially for the locomotion and navigation of legged robots. We present a novel framework for neural urban terrain reconstruction with uncertainty estimations. It generates dense robot-centric elevation maps online from sparse LiDAR observations. We design a novel pre-processing and point features representation approach that ensures high robustness and computational efficiency when integrating multiple point cloud frames. A generative Bayesian model then recovers the detailed terrain structures while simultaneously providing the pixel-wise reconstruction uncertainty. We evaluate the proposed pipeline through both simulation and real-world experiments. Our approach achieves high-quality terrain reconstruction with real-time performance on a mobile platform, and the uncertainty estimates may further benefit the downstream tasks of legged robots.</t>
  </si>
  <si>
    <t>[Yang, Bowen; Zhang, Qingwen; Geng, Ruoyu] Hong Kong Univ Sci &amp; Technol, Hong Kong, Peoples R China; [Wang, Lujia] Hong Kong Univ Sci &amp; Technol, Hong Kong, Peoples R China; [Wang, Lujia] Clear Water Bay Inst Autonomous Driving, Hong Kong, Peoples R China; [Liu, Ming] Hong Kong Univ Sci &amp; Technol Guangzhou, Guangzhou 511400, Peoples R China; [Liu, Ming] HKUST Shenzhen Hong Kong Collaborat Innovat Res In, Shenzhen, Peoples R China</t>
  </si>
  <si>
    <t>Hong Kong University of Science &amp; Technology; Hong Kong University of Science &amp; Technology; Hong Kong University of Science &amp; Technology (Guangzhou)</t>
  </si>
  <si>
    <t>Wang, LJ (corresponding author), Hong Kong Univ Sci &amp; Technol, Hong Kong, Peoples R China.;Wang, LJ (corresponding author), Clear Water Bay Inst Autonomous Driving, Hong Kong, Peoples R China.</t>
  </si>
  <si>
    <t>byangar@connect.ust.hk; qzhangcb@connect.ust.hk; rgengaa@connect.ust.hk; rugga.wang@gmail.com; liu.ming.prc@gmail.com</t>
  </si>
  <si>
    <t>Liu, Ming/AAC-9891-2020</t>
  </si>
  <si>
    <t>Liu, Ming/0000-0002-4500-238X; Wang, Lujia/0000-0002-6710-4897; Zhang, Qingwen/0000-0002-7882-948X; Geng, Ruoyu/0000-0003-0877-9293; Yang, Bowen/0000-0002-3727-1248</t>
  </si>
  <si>
    <t>Guangdong Basic and Applied Basic Research Foundation [2021B1515120032]</t>
  </si>
  <si>
    <t>Guangdong Basic and Applied Basic Research Foundation</t>
  </si>
  <si>
    <t>This work was supported by Guangdong Basic and Applied Basic Research Foundation, under Grant 2021B1515120032, awarded to Prof. Lujia Wang.</t>
  </si>
  <si>
    <t>10.1109/LRA.2022.3230325</t>
  </si>
  <si>
    <t>7L1IY</t>
  </si>
  <si>
    <t>WOS:000905729200005</t>
  </si>
  <si>
    <t>Zhang, SC; Ye, SH</t>
  </si>
  <si>
    <t>Zhang, Shengchuan; Ye, Suhang</t>
  </si>
  <si>
    <t>Backdoor Attack against Face Sketch Synthesis</t>
  </si>
  <si>
    <t>ENTROPY</t>
  </si>
  <si>
    <t>backdoor attack; face sketch synthesis; generative model; AI security</t>
  </si>
  <si>
    <t>IMAGE QUALITY ASSESSMENT</t>
  </si>
  <si>
    <t>Deep neural networks (DNNs) are easily exposed to backdoor threats when training with poisoned training samples. Models using backdoor attack have normal performance for benign samples, and possess poor performance for poisoned samples manipulated with pre-defined trigger patterns. Currently, research on backdoor attacks focuses on image classification and object detection. In this article, we investigated backdoor attacks in facial sketch synthesis, which can be beneficial for many applications, such as animation production and assisting police in searching for suspects. Specifically, we propose a simple yet effective poison-only backdoor attack suitable for generation tasks. We demonstrate that when the backdoor is integrated into the target model via our attack, it can mislead the model to synthesize unacceptable sketches of any photos stamped with the trigger patterns. Extensive experiments are executed on the benchmark datasets. Specifically, the light strokes devised by our backdoor attack strategy can significantly decrease the perceptual quality. However, the FSIM score of light strokes is 68.21% on the CUFS dataset and the FSIM scores of pseudo-sketches generated by FCN, cGAN, and MDAL are 69.35%, 71.53%, and 72.75%, respectively. There is no big difference, which proves the effectiveness of the proposed backdoor attack method.</t>
  </si>
  <si>
    <t>[Zhang, Shengchuan; Ye, Suhang] Xiamen Univ, Sch Intormat, Dept Artificial lntelligence, Xiamen 361005, Peoples R China</t>
  </si>
  <si>
    <t>Xiamen University</t>
  </si>
  <si>
    <t>Zhang, SC (corresponding author), Xiamen Univ, Sch Intormat, Dept Artificial lntelligence, Xiamen 361005, Peoples R China.</t>
  </si>
  <si>
    <t>zsc_2016@xmu.edu.cn; marsysh@stu.xmu.edu.cn</t>
  </si>
  <si>
    <t>National Key Ramp;D Program of China [2022ZD0118202]; National Science Fund for Distinguished Young Scholars [62025603]; National Natural Science Foundation of China [U21B2037, U22B2051, 62176222, 62176223, 62176226, 62072386, 62072387, 62072389, 62002305, 62272401]; Natural Science Foundation of Fujian Province of China [2021J01002, 2022J06001]</t>
  </si>
  <si>
    <t>National Key Ramp;D Program of China; National Science Fund for Distinguished Young Scholars(National Natural Science Foundation of China (NSFC)National Science Fund for Distinguished Young Scholars); National Natural Science Foundation of China(National Natural Science Foundation of China (NSFC)); Natural Science Foundation of Fujian Province of China(Natural Science Foundation of Fujian Province)</t>
  </si>
  <si>
    <t>This work was supported by the National Key R&amp;D Program of China (No. 2022ZD0118202), the National Science Fund for Distinguished Young Scholars (No. 62025603), the National Natural Science Foundation of China (No. U21B2037, No. U22B2051, No. 62176222, No. 62176223, No. 62176226, No. 62072386, No. 62072387, No. 62072389, No. 62002305, and No. 62272401), and the Natural Science Foundation of Fujian Province of China (No. 2021J01002 and No. 2022J06001).</t>
  </si>
  <si>
    <t>1099-4300</t>
  </si>
  <si>
    <t>ENTROPY-SWITZ</t>
  </si>
  <si>
    <t>Entropy</t>
  </si>
  <si>
    <t>10.3390/e25070974</t>
  </si>
  <si>
    <t>N3UI8</t>
  </si>
  <si>
    <t>WOS:001036299000001</t>
  </si>
  <si>
    <t>Rani, R; Sahoo, J; Bellamkonda, S; Kumar, S; Pippal, SK</t>
  </si>
  <si>
    <t>Rani, Ruchi; Sahoo, Jayakrushna; Bellamkonda, Sivaiah; Kumar, Sumit; Pippal, Sanjeev Kumar</t>
  </si>
  <si>
    <t>Role of Artificial Intelligence in Agriculture: An Analysis and Advancements With Focus on Plant Diseases</t>
  </si>
  <si>
    <t>Artificial intelligence; plant; disease; smart farming; IoT; machine learning; deep learning; self supervised learning</t>
  </si>
  <si>
    <t>IDENTIFICATION; ATTENTION; FRAMEWORK; FUSION; IOT</t>
  </si>
  <si>
    <t>The increased demand for food is accelerating plant diseases globally. Hence, a manual process of detection of plant diseases is almost impossible. Artificial intelligence (AI) can offer several solutions to farmers' problems. AI is facile to mitigate farmer's agriculture challenges. With the unpredictable changing climate, plants are often affected by several diseases where AI can play an important role. AI techniques such as Machine learning and deep Learning have been employed in literature to detect, predict, and design recommendation systems for plant diseases. Significant work has been done in this area in the last two decades, which can change farmer's lives in the coming years. This paper presents a systematic multi-fold survey and analysis of such work focusing on recent AI techniques developed to combat plant diseases. This article discusses various challenges faced by farmers and their AI solutions. It analyzes several applications of AI in agriculture and current trends. Recent advancements in AI for plant disease detection, like Identification Model Improvement (IMI), Few Shot Learning (FSL), Generative Adversarial Networks (GANs), and Self Supervised Learning (SSL), are also discussed in this article. Several challenges while employing AI in plant disease detection are also discussed in this article. It will serve researchers as a valuable document for further research to solve farmer's issues.</t>
  </si>
  <si>
    <t>[Rani, Ruchi; Sahoo, Jayakrushna; Bellamkonda, Sivaiah] Indian Inst Informat Technol, Dept Comp Sci, Kottayam 686635, Kerala, India; [Rani, Ruchi] Dr Vishwanath Karad MIT World Peace Univ, Sch Comp Engn &amp; Technol, Dept Comp Engn &amp; Technol, Pune 411038, Maharashtra, India; [Kumar, Sumit] Symbiosis Int, Symbiosis Inst Technol, Pune 412115, Maharashtra, India; [Pippal, Sanjeev Kumar] Sharda Univ, Sharda Sch Engn &amp; Technol, Dept Comp Sci &amp; Engn, Greater Noida 201316, Uttar Pradesh, India</t>
  </si>
  <si>
    <t>Dr. Vishwanath Karad MIT World Peace University; Symbiosis International University; Symbiosis Institute of Technology (SIT); Sharda University</t>
  </si>
  <si>
    <t>Rani, R (corresponding author), Indian Inst Informat Technol, Dept Comp Sci, Kottayam 686635, Kerala, India.;Rani, R (corresponding author), Dr Vishwanath Karad MIT World Peace Univ, Sch Comp Engn &amp; Technol, Dept Comp Engn &amp; Technol, Pune 411038, Maharashtra, India.</t>
  </si>
  <si>
    <t>ruchiasija20@gmail.com</t>
  </si>
  <si>
    <t>Rani, Ruchi/ABO-6638-2022; KUMAR, SUMIT/S-6251-2017; Bellamkonda, Sivaiah/A-1645-2016</t>
  </si>
  <si>
    <t>Rani, Ruchi/0000-0002-6157-0272; KUMAR, SUMIT/0000-0002-6332-2870; Bellamkonda, Sivaiah/0000-0001-6948-3483; Sahoo, Jayakrushna/0000-0002-4514-3916</t>
  </si>
  <si>
    <t>10.1109/ACCESS.2023.3339375</t>
  </si>
  <si>
    <t>CO1Q5</t>
  </si>
  <si>
    <t>WOS:001126101800001</t>
  </si>
  <si>
    <t>Zhou, YJ; Yu, NN; Liu, ZX</t>
  </si>
  <si>
    <t>Zhou, Yajie; Yu, Nengneng; Liu, Zaoxing</t>
  </si>
  <si>
    <t>Towards Interactive Research Agents for Internet Incident Investigation</t>
  </si>
  <si>
    <t>PROCEEDINGS OF THE 22ND ACM WORKSHOP ON HOT TOPICS IN NETWORKS, HOTNETS 2023</t>
  </si>
  <si>
    <t>22nd ACM Workshop on Hot Topics in Networks (HotNets)</t>
  </si>
  <si>
    <t>NOV 28-29, 2023</t>
  </si>
  <si>
    <t>Generative AI; Internet Investigation; Internet Resilience; LLM; Software Agent</t>
  </si>
  <si>
    <t>Investigating Internet incidents involves significant human effort and is limited by the domain knowledge of network researchers and operators. In this paper, we propose to develop computational software agents based on emerging language models (e.g., GPT-4) that can simulate the behaviors of knowledgeable researchers to assist in investigating certain Internet incidents and understanding their impacts. Our agent training framework uses Auto-GPT as an autonomous interface to interact with GPT-4 and gain knowledge by memorizing related information retrieved from online resources. The agent uses the model to reason the investigation questions and continuously performs knowledge testing to see if the conclusion is sufficiently confident or more information is needed. In our preliminary experiment, we build an agent Bob, who studies the impact of solar superstorms on the Internet and draws conclusions similar to those from a recent SIGCOMM paper written by a knowledgeable researcher. We envision this as a first step toward developing a future highly knowledgeable Internet researcher simulacra.</t>
  </si>
  <si>
    <t>[Zhou, Yajie; Yu, Nengneng; Liu, Zaoxing] Univ Maryland, College Pk, MD 20742 USA</t>
  </si>
  <si>
    <t>Zhou, YJ (corresponding author), Univ Maryland, College Pk, MD 20742 USA.</t>
  </si>
  <si>
    <t>979-8-4007-0415-4</t>
  </si>
  <si>
    <t>10.1145/3626111.3628212</t>
  </si>
  <si>
    <t>BW2TD</t>
  </si>
  <si>
    <t>WOS:001124843800005</t>
  </si>
  <si>
    <t>Raman, R</t>
  </si>
  <si>
    <t>Raman, Raghu</t>
  </si>
  <si>
    <t>Transparency in research: An analysis of ChatGPT usage acknowledgment by authors across disciplines and geographies</t>
  </si>
  <si>
    <t>ACCOUNTABILITY IN RESEARCH-ETHICS INTEGRITY AND POLICY</t>
  </si>
  <si>
    <t>Ethics in publishing; fields of research; social science research ethics; research integrity; science policy</t>
  </si>
  <si>
    <t>LANGUAGE MODELS</t>
  </si>
  <si>
    <t>This investigation systematically reviews the recognition of generative AI tools, particularly ChatGPT, in scholarly literature. Utilizing 1,226 publications from the Dimensions database, ranging from November 2022 to July 2023, the research scrutinizes temporal trends and distribution across disciplines and regions. U.S.-based authors lead in acknowledgments, with notable contributions from China and India. Predominantly, Biomedical and Clinical Sciences, as well as Information and Computing Sciences, are engaging with these AI tools. Publications like The Lancet Digital Health and platforms such as bioRxiv are recurrent venues for such acknowledgments, highlighting AI's growing impact on research dissemination. The analysis is confined to the Dimensions database, thus potentially overlooking other sources and grey literature. Additionally, the study abstains from examining the acknowledgments' quality or ethical considerations. Findings are beneficial for stakeholders, providing a basis for policy and scholarly discourse on ethical AI use in academia. This study represents the inaugural comprehensive empirical assessment of AI acknowledgment patterns in academic contexts, addressing a previously unexplored aspect of scholarly communication.</t>
  </si>
  <si>
    <t>[Raman, Raghu] Amrita Vishwa Vidyapeetham, Amrita Sch Business, Amritapuri, Kerala, India</t>
  </si>
  <si>
    <t>Amrita Vishwa Vidyapeetham; Amrita Vishwa Vidyapeetham Amritapuri</t>
  </si>
  <si>
    <t>Raman, R (corresponding author), Amrita Vishwa Vidyapeetham, Amrita Sch Business, Amritapuri, Kerala, India.</t>
  </si>
  <si>
    <t>raghu@amrita.edu</t>
  </si>
  <si>
    <t>0898-9621</t>
  </si>
  <si>
    <t>1545-5815</t>
  </si>
  <si>
    <t>ACCOUNT RES</t>
  </si>
  <si>
    <t>Account. Res.</t>
  </si>
  <si>
    <t>10.1080/08989621.2023.2273377</t>
  </si>
  <si>
    <t>Medical Ethics</t>
  </si>
  <si>
    <t>X7IK7</t>
  </si>
  <si>
    <t>WOS:001100141400001</t>
  </si>
  <si>
    <t>Barlas, T; Altinova, AE; Akturk, M; Toruner, FB</t>
  </si>
  <si>
    <t>Barlas, Tugba; Altinova, Alev Eroglu; Akturk, Mujde; Toruner, Fusun Balos</t>
  </si>
  <si>
    <t>Credibility of ChatGPT in the assessment of obesity in type 2 diabetes according to the guidelines</t>
  </si>
  <si>
    <t>INTERNATIONAL JOURNAL OF OBESITY</t>
  </si>
  <si>
    <t>BackgroundThe Chat Generative Pre-trained Transformer (ChatGPT) allows students, researchers, and patients in the medical field to access information easily and has gained attention nowadays. We aimed to evaluate the credibility of ChatGPT according to the guidelines for the assessment of obesity in type 2 diabetes (T2D), which is one of the major concerns of this century.Materials and methodIn this cross-sectional non-human subject study, experienced endocrinologists posed 20 questions to ChatGPT in subsections, which were assessments and different treatment options for obesity according to the American Diabetes Association and American Association of Clinical Endocrinology guidelines. The responses of ChatGPT were classified into four categories: compatible, compatible but insufficient, partially incompatible and incompatible with the guidelines.ResultsChatGPT demonstrated a systematic approach to answering questions and recommended consulting a healthcare provider to receive personalized advice based on the specific health needs and circumstances of patients. The compatibility of ChatGPT with the guidelines was 100% in the assessment of obesity in type 2 diabetes; however, it was lower in the therapy sections, which included nutritional, medical, and surgical approaches to weight loss. Furthermore, ChatGPT required additional prompts for responses that were evaluated as compatible but insufficient to provide all the information in the guidelines.ConclusionThe assessment and management of obesity in T2D are highly individualized. Despite ChatGPT's comprehensive and understandable responses, it should not be used as a substitute for healthcare professionals' patient-centered approach.</t>
  </si>
  <si>
    <t>[Barlas, Tugba; Altinova, Alev Eroglu; Akturk, Mujde; Toruner, Fusun Balos] Gazi Univ, Dept Endocrinol &amp; Metab, Fac Med, Ankara, Turkiye</t>
  </si>
  <si>
    <t>Barlas, T (corresponding author), Gazi Univ, Dept Endocrinol &amp; Metab, Fac Med, Ankara, Turkiye.</t>
  </si>
  <si>
    <t>drtugbabarlas@gmail.com</t>
  </si>
  <si>
    <t>barlas, tugba/0000-0003-0042-6928</t>
  </si>
  <si>
    <t>We used the generative AI tool ChatGPT-3.5 to obtain responses to our questions that were prepared for the evaluation of credibility. In addition to this, AI tools were not used in the generation of the manuscript in our study.</t>
  </si>
  <si>
    <t>0307-0565</t>
  </si>
  <si>
    <t>1476-5497</t>
  </si>
  <si>
    <t>INT J OBESITY</t>
  </si>
  <si>
    <t>Int. J. Obes.</t>
  </si>
  <si>
    <t>2023 NOV 11</t>
  </si>
  <si>
    <t>10.1038/s41366-023-01410-5</t>
  </si>
  <si>
    <t>Endocrinology &amp; Metabolism; Nutrition &amp; Dietetics</t>
  </si>
  <si>
    <t>X7VH7</t>
  </si>
  <si>
    <t>WOS:001100476500001</t>
  </si>
  <si>
    <t>Xu, H; Chen, S; Zhang, Y</t>
  </si>
  <si>
    <t>Xu, Haoran; Chen, Shuyao; Zhang, Ying</t>
  </si>
  <si>
    <t>Magical Brush: A Symbol-Based Modern Chinese Painting System for Novices</t>
  </si>
  <si>
    <t>Digital painting; cultural prior; artificial intelligence</t>
  </si>
  <si>
    <t>Modern Chinese painting is a new type of painting inherited from ancient Chinese painting. Drawing modern Chinese painting is time-consuming and laborious, which is difficult for novices to start. Symbols are fundamental components of Chinese cultural works both materially and mentally. We introduce a symbol-based modern Chinese painting system termed Magical Brush. Magical Brush combines symbolic cultural factors with AI generative models, with the attempt to help novices create a complete modern Chinese painting, learn basic ideas of Chinese paintings and obtain co-creation engagement. In user study, we compare Magical Brush to other AI and non-AI digital painting tools. Results indicate that by combining cultural factors, Magical Brush can help novices easily create modern Chinese paintings and experience the cultural connotations in the process.</t>
  </si>
  <si>
    <t>[Xu, Haoran; Chen, Shuyao] Zhejiang Univ, Hangzhou, Peoples R China; [Zhang, Ying] Donghua Univ, Shanghai, Peoples R China</t>
  </si>
  <si>
    <t>Zhejiang University; Donghua University</t>
  </si>
  <si>
    <t>Xu, H (corresponding author), Zhejiang Univ, Hangzhou, Peoples R China.</t>
  </si>
  <si>
    <t>haoranhsu@zju.edu.cn; Shuyaochen@zju.edu.cn; yingzhang@mail.dhu.edu.cn</t>
  </si>
  <si>
    <t>Xu, Haoran/0000-0002-9310-1235</t>
  </si>
  <si>
    <t>National Key R&amp;D Program of China [2018AAA0100703]; National Natural Science Foundation of China [62006208, 62107035, 62207024]; Alibaba-Zhejiang University Joint Institute of Frontier Technologies (AZFT)</t>
  </si>
  <si>
    <t>National Key R&amp;D Program of China; National Natural Science Foundation of China(National Natural Science Foundation of China (NSFC)); Alibaba-Zhejiang University Joint Institute of Frontier Technologies (AZFT)</t>
  </si>
  <si>
    <t>This work is supported by National Key R&amp;D Program of China (2018AAA0100703), National Natural Science Foundation of China (Grant No. 62006208, 62107035, 62207024) and Alibaba-Zhejiang University Joint Institute of Frontier Technologies (AZFT). Zejian Li, Shengzhe Zhou, Pei Chen and Lingyun Sun from Zhejiang University ofer important help in idea discussion, experiment executation and manuscript writing.</t>
  </si>
  <si>
    <t>10.1145/3544548.3581429</t>
  </si>
  <si>
    <t>WOS:001048393805019</t>
  </si>
  <si>
    <t>Li, ZY; Chen, YB; Sommer, FT</t>
  </si>
  <si>
    <t>Li, Zengyi; Chen, Yubei; Sommer, Friedrich T.</t>
  </si>
  <si>
    <t>Learning Energy-Based Models in High-Dimensional Spaces with Multiscale Denoising-Score Matching</t>
  </si>
  <si>
    <t>energy-based model; score matching; generative model</t>
  </si>
  <si>
    <t>PRODUCTS</t>
  </si>
  <si>
    <t>Energy-based models (EBMs) assign an unnormalized log probability to data samples. This functionality has a variety of applications, such as sample synthesis, data denoising, sample restoration, outlier detection, Bayesian reasoning and many more. But, the training of EBMs using standard maximum likelihood is extremely slow because it requires sampling from the model distribution. Score matching potentially alleviates this problem. In particular, denoising-score matching has been successfully used to train EBMs. Using noisy data samples with one fixed noise level, these models learn fast and yield good results in data denoising. However, demonstrations of such models in the high-quality sample synthesis of high-dimensional data were lacking. Recently, a paper showed that a generative model trained by denoising-score matching accomplishes excellent sample synthesis when trained with data samples corrupted with multiple levels of noise. Here we provide an analysis and empirical evidence showing that training with multiple noise levels is necessary when the data dimension is high. Leveraging this insight, we propose a novel EBM trained with multiscale denoising-score matching. Our model exhibits a data-generation performance comparable to state-of-the-art techniques such as GANs and sets a new baseline for EBMs. The proposed model also provides density information and performs well on an image-inpainting task.</t>
  </si>
  <si>
    <t>[Li, Zengyi; Chen, Yubei; Sommer, Friedrich T.] Redwood Ctr Theoret Neurosci, Berkeley, CA 94720 USA; [Li, Zengyi] Univ Calif Berkeley, Dept Phys, Berkeley, CA 94720 USA; [Chen, Yubei] Univ Calif Berkeley, Berkeley AI Res, Berkeley, CA 94720 USA; [Sommer, Friedrich T.] Univ Calif Berkeley, Helen Wills Neurosci Inst, Berkeley, CA 94720 USA; [Sommer, Friedrich T.] Intel Labs, Neuromorph Comp Grp, 2200 Mission Coll Blvd, Santa Clara, CA 95054 USA</t>
  </si>
  <si>
    <t>University of California System; University of California Berkeley; University of California System; University of California Berkeley; University of California System; University of California Berkeley; Intel Corporation</t>
  </si>
  <si>
    <t>Li, ZY (corresponding author), Redwood Ctr Theoret Neurosci, Berkeley, CA 94720 USA.;Li, ZY (corresponding author), Univ Calif Berkeley, Dept Phys, Berkeley, CA 94720 USA.</t>
  </si>
  <si>
    <t>zengyi_li@berkeley.edu; yubeic@berkeley.edu; fsommer@berkeley.edu</t>
  </si>
  <si>
    <t>LI, ZENGYI/JJD-2947-2023</t>
  </si>
  <si>
    <t>LI, ZENGYI/0000-0002-3720-0108; Chen, Yubei/0000-0002-8930-3512</t>
  </si>
  <si>
    <t>NSF [1718991]; NIH [R01-EB026955]; INRC research grant from Intel Corporation</t>
  </si>
  <si>
    <t>NSF(National Science Foundation (NSF)); NIH(United States Department of Health &amp; Human ServicesNational Institutes of Health (NIH) - USA); INRC research grant from Intel Corporation</t>
  </si>
  <si>
    <t>This work was funded by the NSF award 1718991, NIH grant R01-EB026955 and by an INRC research grant from Intel Corporation</t>
  </si>
  <si>
    <t>10.3390/e25101367</t>
  </si>
  <si>
    <t>X0LI1</t>
  </si>
  <si>
    <t>WOS:001095449000001</t>
  </si>
  <si>
    <t>Johnson, NF; Sear, R; Illari, L</t>
  </si>
  <si>
    <t>Johnson, Neil F.; Sear, Richard; Illari, Lucia</t>
  </si>
  <si>
    <t>Controlling bad-actor-artificial intelligence activity at scale across online battlefields</t>
  </si>
  <si>
    <t>artificial intelligence misuse; digital platform policy; social media dynamics; online community networks</t>
  </si>
  <si>
    <t>POLITICAL NEWS; BEHAVIOR</t>
  </si>
  <si>
    <t>We consider the looming threat of bad actors using artificial intelligence (AI)/Generative Pretrained Transformer to generate harms across social media globally. Guided by our detailed mapping of the online multiplatform battlefield, we offer answers to the key questions of what bad-actor-AI activity will likely dominate, where, when-and what might be done to control it at scale. Applying a dynamical Red Queen analysis from prior studies of cyber and automated algorithm attacks, predicts an escalation to daily bad-actor-AI activity by mid-2024-just ahead of United States and other global elections. We then use an exactly solvable mathematical model of the observed bad-actor community clustering dynamics, to build a Policy Matrix which quantifies the outcomes and trade-offs between two potentially desirable outcomes: containment of future bad-actor-AI activity vs. its complete removal. We also give explicit plug-and-play formulae for associated risk measures.</t>
  </si>
  <si>
    <t>[Johnson, Neil F.; Sear, Richard; Illari, Lucia] George Washington Univ, Dynam Online Networks Lab, Washington, DC 20052 USA</t>
  </si>
  <si>
    <t>Johnson, NF (corresponding author), George Washington Univ, Dynam Online Networks Lab, Washington, DC 20052 USA.</t>
  </si>
  <si>
    <t>neiljohnson@gwu.edu</t>
  </si>
  <si>
    <t>Johnson, Neil F./0000-0002-3224-3213</t>
  </si>
  <si>
    <t>US Air Force Office of Scientific Research [FA9550-20-1-0382, FA9550-20-1-0383]; John Templeton Foundation</t>
  </si>
  <si>
    <t>US Air Force Office of Scientific Research(United States Department of DefenseAir Force Office of Scientific Research (AFOSR)); John Templeton Foundation</t>
  </si>
  <si>
    <t>N.F.J. is supported by US Air Force Office of Scientific Research awards FA9550-20-1-0382 and FA9550-20-1-0383, and by The John Templeton Foundation.</t>
  </si>
  <si>
    <t>DEC 21</t>
  </si>
  <si>
    <t>pgae004</t>
  </si>
  <si>
    <t>10.1093/pnasnexus/pgae004</t>
  </si>
  <si>
    <t>GD3U9</t>
  </si>
  <si>
    <t>WOS:001150697000002</t>
  </si>
  <si>
    <t>Fischer, I; Dobbins, K</t>
  </si>
  <si>
    <t>Fischer, Isabel; Dobbins, Kerry</t>
  </si>
  <si>
    <t>Is it Worth it? How Paradoxical Tensions of Identity Shape the Readiness of Management Educators to Embrace Transformative Technologies in their Teaching</t>
  </si>
  <si>
    <t>JOURNAL OF MANAGEMENT EDUCATION</t>
  </si>
  <si>
    <t>AI; paradoxical tensions; expertise; curiosity; technologies; management education; fourth industrial revolution</t>
  </si>
  <si>
    <t>COURSES</t>
  </si>
  <si>
    <t>At a time when emerging technologies increasingly transform the workplace and society overall, management educators seem reluctant to fully embrace emerging transformative technologies in their teaching. In this conceptual essay, we argue that this reluctance stems from paradoxical tensions of identity of management educators and students. The case is made that, currently, management educators tend to display their expertise to meet students' reductionist curiosity. We recommend that management educators move beyond an initial reductionist curriculum to harness the opposing forces created by the paradoxical tensions of identity, which means embracing vulnerability at the same time as stimulating students' expansionist curiosity. Our pedagogic recommendations are based on our experience of integrating generative and non-generative artificial intelligence, as well as esports and virtual reality as a preparation for the metaverse, into our curriculum. The essay concludes by proposing a sequence of three steps that might guide management educators in their preparation to integrate emerging technologies in the classroom in a way that empowers students to envision shaping the unknown future in an innovative and responsible way.</t>
  </si>
  <si>
    <t>[Fischer, Isabel; Dobbins, Kerry] Univ Warwick, Coventry, Warwickshire, England; [Fischer, Isabel] Univ Warwick, Warwick Business Sch, Coventry CV4 7AL, Warwickshire, England</t>
  </si>
  <si>
    <t>University of Warwick; University of Warwick</t>
  </si>
  <si>
    <t>Fischer, I (corresponding author), Univ Warwick, Warwick Business Sch, Coventry CV4 7AL, Warwickshire, England.</t>
  </si>
  <si>
    <t>Isabel.Fischer@wbs.ac.uk</t>
  </si>
  <si>
    <t>Fischer, Isabel/0000-0001-7185-7579</t>
  </si>
  <si>
    <t>We would like to thank colleagues at Warwick Business School for their input and conversations that helped to develop this work, in particular April Wright. We would also like to thank reviewers and editors at JME for their constructive feedback.</t>
  </si>
  <si>
    <t>1052-5629</t>
  </si>
  <si>
    <t>1552-6658</t>
  </si>
  <si>
    <t>J MANAG EDUC</t>
  </si>
  <si>
    <t>J. Manag. Educ.</t>
  </si>
  <si>
    <t>10.1177/10525629231201843</t>
  </si>
  <si>
    <t>U2FU4</t>
  </si>
  <si>
    <t>WOS:001083022300001</t>
  </si>
  <si>
    <t>Sidulova, M; Sun, XD; Gossmann, A</t>
  </si>
  <si>
    <t>Sidulova, Mariia; Sun, Xudong; Gossmann, Alexej</t>
  </si>
  <si>
    <t>Deep Unsupervised Clustering for Conditional Identification of Subgroups Within a Digital Pathology Image Set</t>
  </si>
  <si>
    <t>MEDICAL IMAGE COMPUTING AND COMPUTER ASSISTED INTERVENTION, MICCAI 2023, PT VIII</t>
  </si>
  <si>
    <t>Domain Identification; Deep Clustering; Subgroup Identification; Variational Autoencoder; Generative Model</t>
  </si>
  <si>
    <t>Consideration of subgroups or domains within medical image datasets is crucial for the development and evaluation of robust and generalizable machine learning systems. To tackle the domain identification problem, we examine deep unsupervised generative clustering approaches for representation learning and clustering. The Variational Deep Embedding (VaDE) model is trained to learn lower-dimensional representations of images based on a Mixture-of-Gaussians latent space prior distribution while optimizing cluster assignments. We propose the Conditionally Decoded Variational Deep Embedding (CDVaDE) model which incorporates additional variables of choice, such as the class labels, as conditioning factors to guide the clustering towards subgroup structures in the data which have not been known or recognized previously. We analyze the behavior of CDVaDE on multiple datasets and compare it to other deep clustering algorithms. Our experimental results demonstrate that the considered models are capable of separating digital pathology images into meaningful subgroups. We provide a general-purpose implementation of all considered deep clustering methods as part of the open source Python package DomId (https://github.com/DIDSR/DomId).</t>
  </si>
  <si>
    <t>[Sidulova, Mariia; Gossmann, Alexej] US FDA, Ctr Devices &amp; Radiol Hlth, Silver Spring, MD 20993 USA; [Sun, Xudong] Helmholtz Munich, Inst AI Hlth, Munich, Germany; [Sidulova, Mariia] George Washington Univ, Dept Biomed Engn, Washington, DC USA</t>
  </si>
  <si>
    <t>US Food &amp; Drug Administration (FDA); George Washington University</t>
  </si>
  <si>
    <t>Gossmann, A (corresponding author), US FDA, Ctr Devices &amp; Radiol Hlth, Silver Spring, MD 20993 USA.</t>
  </si>
  <si>
    <t>alexej.gossmann@fda.hhs.gov</t>
  </si>
  <si>
    <t>Gossmann, Alexej/0000-0001-9068-3877</t>
  </si>
  <si>
    <t>Hightech Agenda Bayern</t>
  </si>
  <si>
    <t>The authors would like to thank Dr. Marios Gavrielides for providing access to the HER2 dataset and for helpful discussion. This project was supported in part by an appointment to the Research Participation Program at the U.S. Food and Drug Administration administered by the Oak Ridge Institute for Science and Education through an interagency agreement between the U.S. Department of Energy and the U.S. Food and Drug Administration. XS acknowledges support from the Hightech Agenda Bayern.</t>
  </si>
  <si>
    <t>978-3-031-43992-6; 978-3-031-43993-3</t>
  </si>
  <si>
    <t>10.1007/978-3-031-43993-3_64</t>
  </si>
  <si>
    <t>Computer Science, Artificial Intelligence; Computer Science, Theory &amp; Methods; Neuroimaging; Radiology, Nuclear Medicine &amp; Medical Imaging</t>
  </si>
  <si>
    <t>Computer Science; Neurosciences &amp; Neurology; Radiology, Nuclear Medicine &amp; Medical Imaging</t>
  </si>
  <si>
    <t>BW1RM</t>
  </si>
  <si>
    <t>WOS:001109637500064</t>
  </si>
  <si>
    <t>Sharun, K; Banu, SA; Pawde, AM; Kumar, R; Akash, S; Dhama, K; Pal, A</t>
  </si>
  <si>
    <t>Sharun, Khan; Banu, S. Amitha; Pawde, Abhijit M.; Kumar, Rohit; Akash, Shopnil; Dhama, Kuldeep; Pal, Amar</t>
  </si>
  <si>
    <t>ChatGPT and artificial hallucinations in stem cell research: assessing the accuracy of generated references - a preliminary study</t>
  </si>
  <si>
    <t>ANNALS OF MEDICINE AND SURGERY</t>
  </si>
  <si>
    <t>artificial intelligence; erroneous references; fabricated references; limitations; natural language processing; reliable knowledge</t>
  </si>
  <si>
    <t>Stem cell research has the transformative potential to revolutionize medicine. Language models like ChatGPT, which use artificial intelligence (AI) and natural language processing, generate human-like text that can aid researchers. However, it is vital to ensure the accuracy and reliability of AI-generated references. This study assesses Chat Generative Pre-Trained Transformer (ChatGPT)'s utility in stem cell research and evaluates the accuracy of its references. Of the 86 references analyzed, 15.12% were fabricated and 9.30% were erroneous. These errors were due to limitations such as no real-time internet access and reliance on preexisting data. Artificial hallucinations were also observed, where the text seems plausible but deviates from fact. Monitoring, diverse training, and expanding knowledge cut-off can help to reduce fabricated references and hallucinations. Researchers must verify references and consider the limitations of AI models. Further research is needed to enhance the accuracy of such language models. Despite these challenges, ChatGPT has the potential to be a valuable tool for stem cell research. It can help researchers to stay up-to-date on the latest developments in the field and to find relevant information.</t>
  </si>
  <si>
    <t>[Sharun, Khan; Banu, S. Amitha; Pawde, Abhijit M.; Kumar, Rohit; Pal, Amar] ICAR Indian Vet Res Inst, Div Surg, Bareilly 243122, Uttar Pradesh, India; [Dhama, Kuldeep] ICAR Indian Vet Res Inst, Div Pathol, Bareilly, Uttar Pradesh, India; [Akash, Shopnil] Daffodil Int Univ, Fac Allied Hlth Sci, Dept Pharm, Dhaka 1207, Bangladesh</t>
  </si>
  <si>
    <t>Indian Council of Agricultural Research (ICAR); ICAR - Indian Veterinary Research Institute; Indian Council of Agricultural Research (ICAR); ICAR - Indian Veterinary Research Institute; Daffodil International University</t>
  </si>
  <si>
    <t>Sharun, K (corresponding author), ICAR Indian Vet Res Inst, Div Surg, Bareilly 243122, Uttar Pradesh, India.;Akash, S (corresponding author), Daffodil Int Univ, Fac Allied Hlth Sci, Dept Pharm, Dhaka 1207, Bangladesh.</t>
  </si>
  <si>
    <t>sharunkhansk@gmail.com; aamianchu@gmail.com; abhimp@rediffmail.com; drrohits.singh@gmail.com; shopnil.pharma@gmail.com; kdhama@rediffmail.com; dramarpal@gmail.com</t>
  </si>
  <si>
    <t>Sharun, Khan/A-3084-2019; Banu S, Amitha/HNT-0264-2023; Dhama, Kuldeep/B-7852-2015</t>
  </si>
  <si>
    <t>Sharun, Khan/0000-0003-1040-3746; Banu S, Amitha/0000-0002-7182-8169; Dhama, Kuldeep/0000-0001-7469-4752</t>
  </si>
  <si>
    <t>The authors thank the Director, ICAR-Indian Veterinary Research Institute, Izatnagar, Bareilly, India, and the All-India Network Program on Diagnostic Imaging and Management of Surgical Conditions in Animals (AINP-DIMSCA) for providing the necessary resear; ICAR-Indian Veterinary Research Institute, Izatnagar, Bareilly, India</t>
  </si>
  <si>
    <t>The authors thank the Director, ICAR-Indian Veterinary Research Institute, Izatnagar, Bareilly, India, and the All-India Network Program on Diagnostic Imaging and Management of Surgical Conditions in Animals (AINP-DIMSCA) for providing the necessary research facilities to carry out this work. We sincerely appreciate the efforts of the developers and researchers involved in the creation of ChatGPT, as well as the OpenAI team, for making this technology accessible. Their dedication to advancing AI and NLP has paved the way for new opportunities in scientific research.</t>
  </si>
  <si>
    <t>2049-0801</t>
  </si>
  <si>
    <t>ANN MED SURG</t>
  </si>
  <si>
    <t>Ann. Med. Surg.</t>
  </si>
  <si>
    <t>10.1097/MS9.0000000000001228</t>
  </si>
  <si>
    <t>T7UN3</t>
  </si>
  <si>
    <t>WOS:001079998200104</t>
  </si>
  <si>
    <t>Ling, C; Cao, HN; Zhao, L</t>
  </si>
  <si>
    <t>Ling, Chen; Cao, Hengning; Zhao, Liang</t>
  </si>
  <si>
    <t>STGEN: Deep Continuous-Time Spatiotemporal Graph Generation</t>
  </si>
  <si>
    <t>Deep graph generation; Spatiotemporal graph; Deep generative model</t>
  </si>
  <si>
    <t>Spatiotemporal graph generation has realistic social significance since it unscrambles the underlying distribution of spatio-temporal graphs from another perspective and fuels substantial spatio-temporal data mining tasks. Generative models for temporal and spatial networks respectively cannot be easily generalized to spatiotemporal graph generation due to their incapability of capturing: 1) mutually influenced graph and spatiotemporal distribution, 2) spatiotemporal-validity constraints, and 3) characteristics of multi-modal spatiotemporal properties. To this end, we propose a generic and end-to-end jointly captures the graph, temporal, and spatial distributions of spatiotemporal graphs. Particularly, STGEN learns the multi-modal distribution of spatiotemporal graphs via learning the distribution of spatiotemporal walks based on a new heterogeneous probabilistic sequential model. Auxiliary activation layers are proposed to retain the spatiotemporal validity of the generated graphs. In addition, a new boosted strategy for the ensemble of discriminators is proposed to distinguish the generated and real spatiotemporal walks from multi-dimensions and capture the combinatorial patterns among them. Finally, extensive experiments are conducted on both synthetic/real-world spatio-temporal graphs and demonstrated the efficacy of the proposed model.</t>
  </si>
  <si>
    <t>[Ling, Chen; Zhao, Liang] Emory Univ, Atlanta, GA 30322 USA; [Cao, Hengning] Cornell Univ, Ithaca, NY USA</t>
  </si>
  <si>
    <t>Emory University; Cornell University</t>
  </si>
  <si>
    <t>Zhao, L (corresponding author), Emory Univ, Atlanta, GA 30322 USA.</t>
  </si>
  <si>
    <t>chen.ling@emory.edu; hc2225@cornell.edu; liang.zhao@emory.edu</t>
  </si>
  <si>
    <t>Zhao, Liang/F-2300-2010</t>
  </si>
  <si>
    <t>National Science Foundation (NSF) [1755850, 1841520, 2007716, 2007976, 1942594, 1907805]; Jeffress Memorial Trust Award; Design Knowledge Company [10827.002.120.04]; Amazon Research Award; NVIDIA GPU Grant</t>
  </si>
  <si>
    <t>National Science Foundation (NSF)(National Science Foundation (NSF)); Jeffress Memorial Trust Award; Design Knowledge Company; Amazon Research Award; NVIDIA GPU Grant(Nvidia Corporation)</t>
  </si>
  <si>
    <t>This work was supported by the National Science Foundation (NSF) Grant No. 1755850, No. 1841520, No. 2007716, No. 2007976, No. 1942594, No. 1907805, a Jeffress Memorial Trust Award, Amazon Research Award, NVIDIA GPU Grant, and Design Knowledge Company (subcontract number: 10827.002.120.04).</t>
  </si>
  <si>
    <t>10.1007/978-3-031-26409-2_21</t>
  </si>
  <si>
    <t>WOS:000999043300021</t>
  </si>
  <si>
    <t>Zou, XX; Wong, WK</t>
  </si>
  <si>
    <t>Zou, Xingxing; Wong, Waikeung</t>
  </si>
  <si>
    <t>StylishGAN: Toward Fashion Illustration Generation</t>
  </si>
  <si>
    <t>AATCC JOURNAL OF RESEARCH</t>
  </si>
  <si>
    <t>AI; Dataset; Fashion; Fashion Illustration; GAN</t>
  </si>
  <si>
    <t>In this article, we propose StylishGAN, a generative adversarial network that generates a fashion illustration sketch given an actual photo of a human model. The generated stylish sketches not only capture the image style from real photos to hand drawings with a cleaner background, but also adjust model's body into a perfectly proportioned shape. StylishGAN learns proportional transformation and texture information through a proposed body-shaping attentional module. Furthermore, we introduce a contextual fashionable loss that augments the design details, especially the fabric texture, of the clothing. To implement our method, we prepare a new fashion dataset, namely, StylishU, that consists of 3578 paired photo-sketch images. In each pair, we have one real photo collected from the fashion show and one corresponding illustration sketch created by professional fashion illustrators. Extensive experiments show the performance of our method qualitatively and quantitatively.</t>
  </si>
  <si>
    <t>[Zou, Xingxing; Wong, Waikeung] Hong Kong Polytech Univeristy, Kowloon, Hong Kong, Peoples R China</t>
  </si>
  <si>
    <t>Wong, WK (corresponding author), Hong Kong Polytech Univeristy, Kowloon, Hong Kong, Peoples R China.</t>
  </si>
  <si>
    <t>calvin.wong@polyu.edu.hk</t>
  </si>
  <si>
    <t>Laboratory for Artificial Intelligence in Design under InnoHKResearch Clusters, Hong Kong [RP3-1]</t>
  </si>
  <si>
    <t>Laboratory for Artificial Intelligence in Design under InnoHKResearch Clusters, Hong Kong</t>
  </si>
  <si>
    <t>The author(s) disclosed receipt of the following financial support for the research, authorship, and/or publication of thisarticle: This work is supported by Laboratory for ArtificialIntelligence in Design (Project Code: RP3-1) under InnoHKResearch Clusters, Hong Kong</t>
  </si>
  <si>
    <t>2330-5517</t>
  </si>
  <si>
    <t>AATCC J RES</t>
  </si>
  <si>
    <t>AATCC J. Res.</t>
  </si>
  <si>
    <t>2023 FEB 10</t>
  </si>
  <si>
    <t>10.1177/24723444221147972</t>
  </si>
  <si>
    <t>D3RJ7</t>
  </si>
  <si>
    <t>WOS:000967929600001</t>
  </si>
  <si>
    <t>Kang, J; Chowdhry, AK; Pugh, SL; Park, JH</t>
  </si>
  <si>
    <t>Kang, John; Chowdhry, Amit K.; Pugh, Stephanie L.; Park, John H.</t>
  </si>
  <si>
    <t>Integrating Artificial Intelligence and Machine Learning Into Cancer Clinical Trials</t>
  </si>
  <si>
    <t>SEMINARS IN RADIATION ONCOLOGY</t>
  </si>
  <si>
    <t>EXTRANODAL EXTENSION; DE-ESCALATION; HEAD; PREDICTION; OROPHARYNGEAL; VALIDATION; DIAGNOSIS; SURVIVAL; MODEL</t>
  </si>
  <si>
    <t>The practice of oncology requires analyzing and synthesizing abundant data. From the patient's workup to determine eligibility to the therapies received to the post-treatment surveillance, practitioners must constantly juggle, evaluate, and weigh decision-making based on their best understanding of information at hand. These complex, multifactorial decisions have a tremendous opportunity to benefit from data-driven machine learning (ML) methods to drive opportunities in artificial intelligence (AI). Within the past 5 years, we have seen AI move from simply a promising opportunity to being used in prospective trials. Here, we review recent efforts of AI in clinical trials that have moved the needle towards improved prediction of actionable outcomes, such as predicting acute care visits, short term mortality, and pathologic extranodal extension. We then pause and reflect on how these AI models ask a different question than traditional statistics models that read-ers may be more familiar with; how then should readers conceptualize and interpret AI models that they are not as familiar with. We end with what we believe are promising future opportunities for AI in oncology, with an eye towards allowing the data to inform us through unsupervised learning and generative models, rather than asking AI to perform specific functions.</t>
  </si>
  <si>
    <t>[Kang, John] Univ Washington, Dept Radiat Oncol, 1959 NE Pacific St,Box 356043, Seattle, WA 98195 USA; [Chowdhry, Amit K.] Univ Rochester, Dept Radiat Oncol, Rochester, NY USA; [Pugh, Stephanie L.] Amer Coll Radiol, NRG Oncol Stat &amp; Data Management Ctr, Philadelphia, PA USA; [Park, John H.] Kansas City VA Med Ctr, Dept Radiat Oncol, Kansas City, MO USA; [Park, John H.] Univ Missouri Kansas City, Sch Med, Dept Radiol, Kansas City, MO USA</t>
  </si>
  <si>
    <t>University of Washington; University of Washington Seattle; University of Rochester; American College of Radiology; University of Missouri System; University of Missouri Kansas City</t>
  </si>
  <si>
    <t>Kang, J (corresponding author), Univ Washington, Dept Radiat Oncol, 1959 NE Pacific St,Box 356043, Seattle, WA 98195 USA.</t>
  </si>
  <si>
    <t>johnkan1@alumni.cmu.edu</t>
  </si>
  <si>
    <t>W B SAUNDERS CO-ELSEVIER INC</t>
  </si>
  <si>
    <t>1600 JOHN F KENNEDY BOULEVARD, STE 1800, PHILADELPHIA, PA 19103-2899 USA</t>
  </si>
  <si>
    <t>1053-4296</t>
  </si>
  <si>
    <t>1532-9461</t>
  </si>
  <si>
    <t>SEMIN RADIAT ONCOL</t>
  </si>
  <si>
    <t>Semin. Radiat. Oncol.</t>
  </si>
  <si>
    <t>10.1016/j.semradonc.2023.06.004</t>
  </si>
  <si>
    <t>Oncology; Radiology, Nuclear Medicine &amp; Medical Imaging</t>
  </si>
  <si>
    <t>T3ZF2</t>
  </si>
  <si>
    <t>WOS:001077395800001</t>
  </si>
  <si>
    <t>Kacker, T; Perrusquia, A; Guo, WS</t>
  </si>
  <si>
    <t>Kacker, Tanmay; Perrusquia, Adolfo; Guo, Weisi</t>
  </si>
  <si>
    <t>Multi-Spectral Fusion using Generative Adversarial Networks for UAV Detection of Wild Fires</t>
  </si>
  <si>
    <t>fire detection; deep learning; UAV; drone; GAN</t>
  </si>
  <si>
    <t>Wild fires are now increasingly responsible for immense ecological damage. Unmanned aerials vehicles (UAVs) are being used for monitoring and early-detection of wild fires. Recently, significant research has been conducted for using Deep Learning (DL) vision models for fire and smoke segmentation. Such models predominantly use images from the visible spectrum, which are operationally prone to large false-positive rates and sub-optimal performance across environmental conditions. In comparison, fire detection using infrared (IR) images has shown to be robust to lighting and environmental variations, but long range IR sensors remain expensive. There is an increasing interest in the fusion of visible and IR images since a fused representation would combine the visual as well as thermal information of the image. This yields significant benefits especially towards reducing false positive scenarios and increasing robustness of the model. However, the impact of fusion of the two spectrum on the performance of fire segmentation has not been extensively investigated. In this paper, we assess multiple image fusion techniques and evaluate the performance of a U-Net based segmentation model on each of the three image representations visible, IR and fused. We also identify subsets of fire classes that are observed to have better results using the fused representation.</t>
  </si>
  <si>
    <t>[Kacker, Tanmay] Cranfield Univ, Sch Aerosp Transport Mfg, Bedford, England; [Perrusquia, Adolfo; Guo, Weisi] Cranfield Univ, Ctr Auto Cyberphys Syst, Bedford, England</t>
  </si>
  <si>
    <t>Cranfield University; Cranfield University</t>
  </si>
  <si>
    <t>Kacker, T (corresponding author), Cranfield Univ, Sch Aerosp Transport Mfg, Bedford, England.</t>
  </si>
  <si>
    <t>tanmay.kacker.465@cranfield.ac.uk; Adolfo.Perrusquia-Guzman@cranfield.ac.uk; weisi.guo@cranfield.ac.uk</t>
  </si>
  <si>
    <t>Perrusquía, Adolfo/AAG-3242-2021</t>
  </si>
  <si>
    <t>Perrusquía, Adolfo/0000-0003-2290-1160</t>
  </si>
  <si>
    <t>EC [778305]</t>
  </si>
  <si>
    <t>EC(European Union (EU)European Commission Joint Research Centre)</t>
  </si>
  <si>
    <t>We would like to thank funding from EC H2020 DAWN4IoE - Data Aware Wireless Network for Internet-of-Everything (778305). All data used in this paper is openly available.</t>
  </si>
  <si>
    <t>10.1109/ICAIIC57133.2023.10067042</t>
  </si>
  <si>
    <t>WOS:001012997600035</t>
  </si>
  <si>
    <t>Preiksaitis, C; Nash, C; Gottlieb, M; Chan, TM; Alvarez, A; Landry, A</t>
  </si>
  <si>
    <t>Preiksaitis, Carl; Nash, Christopher; Gottlieb, Michael; Chan, Teresa M.; Alvarez, Al'ai; Landry, Adaira</t>
  </si>
  <si>
    <t>Brain versus bot: Distinguishing letters of recommendation authored by humans compared with artificial intelligence</t>
  </si>
  <si>
    <t>AEM EDUCATION AND TRAINING</t>
  </si>
  <si>
    <t>CHATGPT; FEMALE</t>
  </si>
  <si>
    <t>Objectives: Letters of recommendation (LORs) are essential within academic medicine, affecting a number of important decisions regarding advancement, yet these letters take significant amounts of time and labor to prepare. The use of generative artificial intelligence (AI) tools, such as ChatGPT, are gaining popularity for a variety of academic writing tasks and offer an innovative solution to relieve the burden of letter writing. It is yet to be determined if ChatGPT could aid in crafting LORs, particularly in high-stakes contexts like faculty promotion. To determine the feasibility of this process and whether there is a significant difference between AI and human-authored letters, we conducted a study aimed at determining whether academic physicians can distinguish between the two.Methods: A quasi-experimental study was conducted using a single-blind design. Academic physicians with experience in reviewing LORs were presented with LORs for promotion to associate professor, written by either humans or AI. Participants reviewed LORs and identified the authorship. Statistical analysis was performed to determine accuracy in distinguishing between human and AI-authored LORs. Additionally, the perceived quality and persuasiveness of the LORs were compared based on suspected and actual authorship.Results: A total of 32 participants completed letter review. The mean accuracy of distinguishing between human- versus AI-authored LORs was 59.4%. The reviewer's certainty and time spent deliberating did not significantly impact accuracy. LORs suspected to be human-authored were rated more favorably in terms of quality and persuasiveness. A difference in gender-biased language was observed in our letters: human-authored letters contained significantly more female-associated words, while the majority of AI-authored letters tended to use more male-associated words.Conclusions: Participants were unable to reliably differentiate between human- and AI-authored LORs for promotion. AI may be able to generate LORs and relieve the burden of letter writing for academicians. New strategies, policies, and guidelines are needed to balance the benefits of AI while preserving integrity and fairness in academic promotion decisions.</t>
  </si>
  <si>
    <t>[Preiksaitis, Carl; Alvarez, Al'ai] Stanford Sch Med, Dept Emergency Med, Stanford, CA USA; [Nash, Christopher] Massachusetts Gen Hosp, Dept Emergency Med, Boston, MA USA; [Gottlieb, Michael] Rush Univ, Med Ctr, Dept Emergency Med, Chicago, IL USA; [Chan, Teresa M.] McMaster Univ, Dept Med, Div Emergency Med, Hamilton, ON, Canada; [Landry, Adaira] Harvard Med Sch, Dept Emergency Med, Boston, MA USA; [Preiksaitis, Carl] Stanford Sch Med, Dept Emergency Med, 900 Welch Rd,Suite 350, Palo Alto, CA 94304 USA</t>
  </si>
  <si>
    <t>Stanford University; Harvard University; Massachusetts General Hospital; Rush University; McMaster University; Harvard University; Harvard Medical School; Stanford University</t>
  </si>
  <si>
    <t>Preiksaitis, C (corresponding author), Stanford Sch Med, Dept Emergency Med, 900 Welch Rd,Suite 350, Palo Alto, CA 94304 USA.</t>
  </si>
  <si>
    <t>cpreiksaitis@stanford.edu</t>
  </si>
  <si>
    <t>Nash, Christopher James/HMW-1108-2023; Preiksaitis, Carl/GRY-6854-2022; Chan, Teresa/T-6676-2017</t>
  </si>
  <si>
    <t>Nash, Christopher James/0000-0002-0738-409X; Preiksaitis, Carl/0000-0002-3856-0068; Chan, Teresa/0000-0001-6104-462X; Gottlieb, Michael/0000-0003-3276-8375; Alvarez, Al'ai/0000-0002-5438-2476</t>
  </si>
  <si>
    <t>2472-5390</t>
  </si>
  <si>
    <t>AEM EDUC TRAIN</t>
  </si>
  <si>
    <t>AEM Educ. Train.</t>
  </si>
  <si>
    <t>10.1002/aet2.10924</t>
  </si>
  <si>
    <t>Emergency Medicine; Education, Scientific Disciplines</t>
  </si>
  <si>
    <t>Emergency Medicine; Education &amp; Educational Research</t>
  </si>
  <si>
    <t>Z3LZ8</t>
  </si>
  <si>
    <t>WOS:001111135100001</t>
  </si>
  <si>
    <t>Ma, XY; Huo, YD</t>
  </si>
  <si>
    <t>Ma, Xiaoyue; Huo, Yudi</t>
  </si>
  <si>
    <t>Are users willing to embrace ChatGPT? Exploring the factors on the acceptance of chatbots from the perspective of AIDUA framework</t>
  </si>
  <si>
    <t>Chatbot; AIDUA; Cognitive appraisal theory; Novelty value; Perceived humanness</t>
  </si>
  <si>
    <t>INFORMATION-TECHNOLOGY; ARTIFICIAL-INTELLIGENCE; CONSUMER RESPONSES; ENGAGEMENT; PERCEPTIONS; COGNITION; PRODUCTS; COMMERCE; ADOPTION; DRIVES</t>
  </si>
  <si>
    <t>As a rapidly emerging generative AI chatbot, ChatGPT has garnered unprecedented global attention for its advanced AI-based text generation capabilities. However, the issue of ChatGPT acceptance requires further investigation. Prior studies on chatbot acceptance primarily focused on traditional technology acceptance models (TAMs) and did not consider the intelligence features of AI technology. Based on the AI device use acceptance (AIDUA) model and cognitive appraisal theory (CAT), this study proposed a research model to investigate the acceptance of ChatGPT. Participants with experience using ChatGPT were invited to take part in the survey. A total of 500 valid questionnaires were collected through the Credamo survey platform. Our findings reveal compelling associations: social influence, novelty value, and humanness positively correlate with performance expectations, while hedonic motivation, novelty value, and humanness negatively correlate with effort expectations. Both performance and effort expectations contribute to cognitive attitudes. Age, as a control variable, exhibits a significant negative impact on the willingness to reject ChatGPT. Notably, this study expands the current AIDUA framework within chatbot contexts by incorporating perspectives on novelty value, perceived humanness, and cognitive attitudes to examine chatbot acceptance. These insights offer practical implications for the design and development of AI-based chatbots, contributing to the evolving landscape of AI technology acceptance.</t>
  </si>
  <si>
    <t>[Ma, Xiaoyue; Huo, Yudi] Xi An Jiao Tong Univ, Sch Journalism &amp; New Media, 28 Xianning West Rd, Xian 710049, Shaanxi, Peoples R China</t>
  </si>
  <si>
    <t>Xi'an Jiaotong University</t>
  </si>
  <si>
    <t>Ma, XY (corresponding author), Xi An Jiao Tong Univ, Sch Journalism &amp; New Media, 28 Xianning West Rd, Xian 710049, Shaanxi, Peoples R China.</t>
  </si>
  <si>
    <t>xyma_mail@163.com; huoyudi2022@163.com</t>
  </si>
  <si>
    <t>Ma, Xiaoyue/JNE-7563-2023</t>
  </si>
  <si>
    <t>National Natural Science Foundation of China [72174164]; National Social Science Foundation of China (Major program) [21 ZD320]</t>
  </si>
  <si>
    <t>National Natural Science Foundation of China(National Natural Science Foundation of China (NSFC)); National Social Science Foundation of China (Major program)(National Office of Philosophy and Social Sciences)</t>
  </si>
  <si>
    <t>This work was supported by the National Natural Science Foundation of China (72174164) and National Social Science Foundation of China (Major program) (21 &amp; ZD320) .</t>
  </si>
  <si>
    <t>10.1016/j.techsoc.2023.102362</t>
  </si>
  <si>
    <t>U1MN6</t>
  </si>
  <si>
    <t>WOS:001082514800001</t>
  </si>
  <si>
    <t>Liga, D; Robaldo, L</t>
  </si>
  <si>
    <t>Liga, Davide; Robaldo, Livio</t>
  </si>
  <si>
    <t>Fine-tuning GPT-3 for legal rule classification</t>
  </si>
  <si>
    <t>Rule classification; GPT-3; AI &amp; Law</t>
  </si>
  <si>
    <t>EXTRACTION</t>
  </si>
  <si>
    <t>In this paper, we propose a Legal Rule Classification (LRC) task using one of the most discussed language model in the field of Artificial Intelligence, namely GPT-3, a generative pretrained language model. We train and test the proposed LRC task on the GDPR encoded in LegalDocML ( Palmirani and Vitali, 2011 ) and LegalRuleML ( Athan et al., 2013 ), two widely used XML standards for the legal domain. We use the LegalDocML and LegalRuleML annotations provided in Robaldo et al. (2020) to fine-tuned GPT-3. While showing the ability of large language models (LLMs) to easily learn to classify legal and deontic rules even on small amount of data, we show that GPT-3 can significantly outperform previous experiments on the same task. Our work focused on a multiclass task, showing that GPT-3 is capable to recognize the difference between obligation rules, permission rules and constitutive rules with performances that overcome previous scores in LRC.</t>
  </si>
  <si>
    <t>[Liga, Davide] Univ Luxembourg, Individual &amp; Collect Reasoning Grp ICR, Esch Sur Alzette, Luxembourg; [Robaldo, Livio] Swansea Univ, Legal Innovat Lab Wales, Singleton Pk, Swansea SA2 8PP, Wales; [Liga, Davide] Univ Luxembourg, Individual &amp; Collect Reasoning Grp ICR, 6 Av Fonte, L-4364 Esch Sur Alzette, Luxembourg</t>
  </si>
  <si>
    <t>University of Luxembourg; Swansea University; University of Luxembourg</t>
  </si>
  <si>
    <t>Liga, D (corresponding author), Univ Luxembourg, Individual &amp; Collect Reasoning Grp ICR, 6 Av Fonte, L-4364 Esch Sur Alzette, Luxembourg.</t>
  </si>
  <si>
    <t>davide.liga@uni.lu</t>
  </si>
  <si>
    <t>Liga, Davide/0000-0003-1124-0299</t>
  </si>
  <si>
    <t>project INDIGO; NORFACE Joint Research Programme on Democratic Governance; AEI; AKA; DFG; FNR; European Commission [822166]; Swansea University's Hillary Rodham Clinton School of Law; European Regional Development Fund through the Welsh Government</t>
  </si>
  <si>
    <t>project INDIGO; NORFACE Joint Research Programme on Democratic Governance; AEI; AKA; DFG(German Research Foundation (DFG)); FNR(Luxembourg National Research Fund); European Commission(European Union (EU)European Commission Joint Research Centre); Swansea University's Hillary Rodham Clinton School of Law; European Regional Development Fund through the Welsh Government</t>
  </si>
  <si>
    <t>Davide Liga was supported by the project INDIGO, which is financially supported by the NORFACE Joint Research Programme on Democratic Governance in a Turbulent Age and co-funded by AEI, AKA, DFG and FNR and the European Commission through Horizon 2020 under grant agreement No 822166 . Livio Robaldo has been supported by the Legal Innovation Lab Wales operation within Swansea University's Hillary Rodham Clinton School of Law. The operation has been part-funded by the European Regional Development Fund through the Welsh Government.</t>
  </si>
  <si>
    <t>10.1016/j.clsr.2023.105864</t>
  </si>
  <si>
    <t>S9CT1</t>
  </si>
  <si>
    <t>WOS:001074080200001</t>
  </si>
  <si>
    <t>Wang, R; Feng, HS; Wei, GW</t>
  </si>
  <si>
    <t>Wang, Rui; Feng, Hongsong; Wei, Guo-Wei</t>
  </si>
  <si>
    <t>ChatGPT in Drug Discovery: A Case Study on Anticocaine Addiction Drug Development with Chatbots</t>
  </si>
  <si>
    <t>DOCKING</t>
  </si>
  <si>
    <t>The birth of ChatGPT, a cutting-edge language model-based chatbot developed by OpenAI, ushered in a new era in AI. However, due to potential pitfalls, its role in rigorous scientific research is not clear yet. This paper vividly showcases its innovative application within the field of drug discovery. Focused specifically on developing anticocaine addiction drugs, the study employs GPT-4 as a virtual guide, offering strategic and methodological insights to researchers working on generative models for drug candidates. The primary objective is to generate optimal drug-like molecules with desired properties. By leveraging the capabilities of ChatGPT, the study introduces a novel approach to the drug discovery process. This symbiotic partnership between AI and researchers transforms how drug development is approached. Chatbots become facilitators, steering researchers toward innovative methodologies and productive paths for creating effective drug candidates. This research sheds light on the collaborative synergy between human expertise and AI assistance, wherein ChatGPT's cognitive abilities enhance the design and development of pharmaceutical solutions. This paper not only explores the integration of advanced AI in drug discovery but also reimagines the landscape by advocating for AI-powered chatbots as trailblazers in revolutionizing therapeutic innovation.</t>
  </si>
  <si>
    <t>[Wang, Rui; Feng, Hongsong; Wei, Guo-Wei] Michigan State Univ, Dept Math, E Lansing, MI 48824 USA; [Wei, Guo-Wei] Michigan State Univ, Dept Biochem &amp; Mol Biol, E Lansing, MI 48824 USA; [Wei, Guo-Wei] Michigan State Univ, Dept Elect &amp; Comp Engn, E Lansing, MI 48824 USA</t>
  </si>
  <si>
    <t>Michigan State University; Michigan State University; Michigan State University</t>
  </si>
  <si>
    <t>Wei, GW (corresponding author), Michigan State Univ, Dept Math, E Lansing, MI 48824 USA.;Wei, GW (corresponding author), Michigan State Univ, Dept Biochem &amp; Mol Biol, E Lansing, MI 48824 USA.;Wei, GW (corresponding author), Michigan State Univ, Dept Elect &amp; Comp Engn, E Lansing, MI 48824 USA.</t>
  </si>
  <si>
    <t>weig@msu.edu</t>
  </si>
  <si>
    <t>Feng, Hongsong/HZK-3238-2023; wang, rui/JAC-6240-2023</t>
  </si>
  <si>
    <t>Wei, Guowei/0000-0002-5781-2937; Feng, Hongsong/0000-0001-8039-3059</t>
  </si>
  <si>
    <t>National Institute of General Medical Sciences [R01GM126189, R01AI164266, R35GM148196]; NIH [DMS2052983, DMS-1761320, IIS-1900473]; National Science Foundation [80NSSC21M0023]; NASA; Michigan State University Research Foundation [65109]; Bristol-Myers Squibb</t>
  </si>
  <si>
    <t>National Institute of General Medical Sciences(United States Department of Health &amp; Human ServicesNational Institutes of Health (NIH) - USANIH National Institute of General Medical Sciences (NIGMS)); NIH(United States Department of Health &amp; Human ServicesNational Institutes of Health (NIH) - USA); National Science Foundation(National Science Foundation (NSF)); NASA(National Aeronautics &amp; Space Administration (NASA)); Michigan State University Research Foundation; Bristol-Myers Squibb(Bristol-Myers Squibb)</t>
  </si>
  <si>
    <t>This work was supported in part by NIH grants R01GM126189, R01AI164266, and R35GM148196; National Science Foundation grants DMS2052983, DMS-1761320, and IIS-1900473; NASA grant 80NSSC21M0023, Michigan State University Research Foundation, and Bristol-Myers Squibb 65109.</t>
  </si>
  <si>
    <t>10.1021/acs.jcim.3c01429</t>
  </si>
  <si>
    <t>EU0G1</t>
  </si>
  <si>
    <t>WOS:001141322800001</t>
  </si>
  <si>
    <t>Cheng, SL; Tsai, SJ; Bai, YM; Ko, CH; Hsu, CW; Yang, FC; Tsai, CK; Tu, YK; Yang, SN; Tseng, PT; Hsu, TW; Liang, CS; Su, KP</t>
  </si>
  <si>
    <t>Cheng, Shu-Li; Tsai, Shih-Jen; Bai, Ya-Mei; Ko, Chih-Hung; Hsu, Chih-Wei; Yang, Fu-Chi; Tsai, Chia-Kuang; Tu, Yu-Kang; Yang, Szu-Nian; Tseng, Ping-Tao; Hsu, Tien-Wei; Liang, Chih-Sung; Su, Kuan-Pin</t>
  </si>
  <si>
    <t>Comparisons of Quality, Correctness, and Similarity Between ChatGPT-Generated and Human-Written Abstracts for Basic Research: Cross-Sectional Study</t>
  </si>
  <si>
    <t>ChatGPT; abstract; AI-generated scientific content; plagiarism; artificial intelligence; NLP; natural language processing; LLM; language model; language models; text; textual; generation; generative; extract; extraction; scientific research; academic research; publication; publications; abstracts</t>
  </si>
  <si>
    <t>Background: ChatGPT may act as a research assistant to help organize the direction of thinking and summarize research findings. However, few studies have examined the quality, similarity (abstracts being similar to the original one), and accuracy of the abstracts generated by ChatGPT when researchers provide full-text basic research papers.Objective: We aimed to assess the applicability of an artificial intelligence (AI) model in generating abstracts for basic preclinical research. Methods: We selected 30 basic research papers from Nature, Genome Biology, and Biological Psychiatry. Excluding abstracts, we inputted the full text into ChatPDF, an application of a language model based on ChatGPT, and we prompted it to generate abstracts with the same style as used in the original papers. A total of 8 experts were invited to evaluate the quality of these abstracts (based on a Likert scale of 0-10) and identify which abstracts were generated by ChatPDF, using a blind approach. These abstracts were also evaluated for their similarity to the original abstracts and the accuracy of the AI content. Results: The quality of ChatGPT-generated abstracts was lower than that of the actual abstracts (10-point Likert scale: mean 4.72, SD 2.09 vs mean 8.09, SD 1.03; P&lt;.001). The difference in quality was significant in the unstructured format (mean difference -4.33; 95% CI -4.79 to -3.86; P&lt;.001) but minimal in the 4-subheading structured format (mean difference -2.33; 95% CI -2.79 to -1.86). Among the 30 ChatGPT-generated abstracts, 3 showed wrong conclusions, and 10 were identified as AI content. The mean percentage of similarity between the original and the generated abstracts was not high (2.10%-4.40%). The blinded reviewers achieved a 93% (224/240) accuracy rate in guessing which abstracts were written using ChatGPT. Conclusions: Using ChatGPT to generate a scientific abstract may not lead to issues of similarity when using real full texts written by humans. However, the quality of the ChatGPT-generated abstracts was suboptimal, and their accuracy was not 100%.</t>
  </si>
  <si>
    <t>[Cheng, Shu-Li] Mackay Med Coll, Dept Nursing, Taipei, Taiwan; [Tsai, Shih-Jen; Bai, Ya-Mei] Taipei Vet Gen Hosp, Dept Psychiat, Taipei, Taiwan; [Cheng, Shu-Li; Tsai, Shih-Jen] Natl Yang Ming Univ, Sch Med, Div Psychiat, Taipei, Taiwan; [Ko, Chih-Hung] Kaohsiung Med Univ Hosp, Dept Psychiat, Kaohsiung, Taiwan; [Ko, Chih-Hung] Kaohsiung Med Univ, Coll Med, Dept Psychiat, Kaohsiung, Taiwan; [Ko, Chih-Hung] Kaohsiung Med Univ, Kaohsiung Municipal Siaogang Hosp, Dept Psychiat, Kaohsiung, Taiwan; [Hsu, Chih-Wei] Kaohsiung Chang Gung Mem Hosp, Dept Psychiat, Kaohsiung, Taiwan; [Yang, Fu-Chi; Tsai, Chia-Kuang] Triserv Gen Hosp, Natl Def Med Ctr, Dept Neurol, Taipei, Taiwan; [Tu, Yu-Kang] Natl Taiwan Univ, Inst Epidemiol &amp; Prevent Med, Coll Publ Hlth, Taipei, Taiwan; [Tu, Yu-Kang] Natl Taiwan Univ Hosp, Dept Dent, Taipei, Taiwan; [Yang, Szu-Nian; Liang, Chih-Sung] Triserv Hosp, Dept Psychiat, Beitou branch, Taipei, Taiwan; [Yang, Szu-Nian] Armed Forces Taoyuan Gen Hosp, Dept Psychiat, Taoyuan, Taiwan; [Yang, Szu-Nian] Natl Yang Ming Chiao Tung Univ, Grad Inst Hlth &amp; Welf Policy, Taipei, Taiwan; [Tseng, Ping-Tao] Natl Sun Yat sen Univ, Inst Biomed Sci, Inst Precis Med, Kaohsiung, Taiwan; [Tseng, Ping-Tao] Asia Univ, Coll Med &amp; Hlth Sci, Dept Psychol, Taichung, Taiwan; [Tseng, Ping-Tao] Prospect Clin Otorhinolaryngol &amp; Neurol, Kaohsiung, Taiwan; [Hsu, Tien-Wei] I Shou Univ, E Da Dachang Hosp, Dept Psychiat, 305,Dachang 1st Rd, Kaohsiung 807, Taiwan; [Hsu, Tien-Wei] I Shou Univ, E Da Hosp, Dept Psychiat, Kaohsiung, Taiwan; Natl Def Med Ctr, Dept Psychiat, Taipei, Taiwan; [Liang, Chih-Sung] China Med Univ, Coll Med, Taichung, Taiwan; [Su, Kuan-Pin] China Med Univ Hosp, Mind Body Interface Lab, Taichung, Taiwan; [Su, Kuan-Pin] China Med Univ, An Nan Hosp, Tainan, Taiwan</t>
  </si>
  <si>
    <t>Mackay Medical College; Taipei Veterans General Hospital; National Yang Ming Chiao Tung University; Kaohsiung Medical University; Kaohsiung Medical University Hospital; Kaohsiung Medical University; Kaohsiung Medical University; Kaohsiung Municipal Siao-Gang Hospital; Chang Gung Memorial Hospital; National Defense Medical Center; Tri-Service General Hospital; National Taiwan University; National Taiwan University; National Taiwan University Hospital; National Yang Ming Chiao Tung University; National Sun Yat Sen University; Asia University Taiwan; E-Da Hospital; I Shou University; E-Da Hospital; I Shou University; National Defense Medical Center; China Medical University Taiwan; China Medical University Taiwan; China Medical University Hospital - Taiwan; China Medical University Taiwan</t>
  </si>
  <si>
    <t>Hsu, TW (corresponding author), I Shou Univ, E Da Dachang Hosp, Dept Psychiat, 305,Dachang 1st Rd, Kaohsiung 807, Taiwan.</t>
  </si>
  <si>
    <t>s9801101@gmail.com</t>
  </si>
  <si>
    <t>Tu, Yu-Kang/C-7303-2009</t>
  </si>
  <si>
    <t>Yang, Fu-Chi/0000-0001-6831-3634; Cheng, Shu_li/0000-0002-1523-8519; Tu, Yu-Kang/0000-0002-2461-474X; Ko, Chih-Hung/0000-0001-8034-0221; Tsai, Shih-Jen/0000-0002-9987-022X; Bai, Ya Mei/0000-0003-3779-9074; Tseng, Ping-Tao/0000-0001-5761-7800</t>
  </si>
  <si>
    <t>MacKay Medical College in Taiwan [MMC-RD-111-1B-P003]; National Science and Technology Council in Taiwan (NSTC) [112-2314-B-715-003]</t>
  </si>
  <si>
    <t>MacKay Medical College in Taiwan; National Science and Technology Council in Taiwan (NSTC)</t>
  </si>
  <si>
    <t>This work is supported by MacKay Medical College in Taiwan (MMC-RD-111-1B-P003, for SLC) and the National Science and Technology Council in Taiwan (NSTC 112-2314-B-715-003, for SLC) . The funding source had no role in any process of our study. TWH and CSL are co-corresponding authors on this article.</t>
  </si>
  <si>
    <t>e51229</t>
  </si>
  <si>
    <t>10.2196/51229</t>
  </si>
  <si>
    <t>FN7F9</t>
  </si>
  <si>
    <t>WOS:001146575700003</t>
  </si>
  <si>
    <t>Cohen, J; Curtis, S; Economou, N; Evans, K; Hedin, B; Iliadis, N; Lapenta, F; Miailhe, N; Nemitz, P; Psarrou, D; Quintarelli, S; Rotenberg, M; Spiekermann, S; Streinz, T; Wallach, W</t>
  </si>
  <si>
    <t>Cohen, Julie; Curtis, Samuel; Economou, Nicolas; Evans, Katherine; Hedin, Bruce; Iliadis, Niki; Lapenta, Francesco; Miailhe, Nicolas; Nemitz, Paul; Psarrou, Denia; Quintarelli, Stefano; Rotenberg, Marc; Spiekermann, Sarah; Streinz, Thomas; Wallach, Wendell</t>
  </si>
  <si>
    <t>A Manifesto on Enforcing Law in the Age of 'Artificial Intelligence'</t>
  </si>
  <si>
    <t>EUROPEAN LAW JOURNAL</t>
  </si>
  <si>
    <t>Building upon A Manifesto In Defense of Democracy and the Rule of Law in the Age of 'Artificial Intelligence', we, the Transatlantic Reflection Group on Democracy and the Rule of Law in the Age of 'Artificial Intelligence', have reconvened to draft a second consensus manifesto that calls for the effective and legitimate enforcement of laws concerning AI systems. In doing so, we recognise the important and complementary role of standards and compliance practices. Whereas the first manifesto focused on the relationship between democratic law-making and technology, this second manifesto shifts focus from the design of law in the age of AI to the enforcement of law. Concretely, we offer 10 recommendations for addressing the key enforcement challenges shared across transatlantic stakeholders. We call on those who support these recommendations to sign this manifesto. The Fifth Edition of The Athens Roundtable on AI and the Rule of Law will take place on November 30th and December 1st, 2023. It will delve into pressing governance challenges posed by foundation models and generative AI across jurisdictions.</t>
  </si>
  <si>
    <t>1351-5993</t>
  </si>
  <si>
    <t>1468-0386</t>
  </si>
  <si>
    <t>EUR LAW J</t>
  </si>
  <si>
    <t>Eur. Law J.</t>
  </si>
  <si>
    <t>10.1111/eulj.12474</t>
  </si>
  <si>
    <t>EJ7U0</t>
  </si>
  <si>
    <t>WOS:001087555700001</t>
  </si>
  <si>
    <t>Hatta, S; Ichiuji, Y; Mabu, S; Kugler, M; Hontani, H; Okoshi, T; Fuse, H; Kawada, T; Kido, S; Imamura, Y; Naiki, H; Inai, K</t>
  </si>
  <si>
    <t>Hatta, Satomi; Ichiuji, Yoshihito; Mabu, Shingo; Kugler, Mauricio; Hontani, Hidekata; Okoshi, Tadakazu; Fuse, Haruki; Kawada, Takako; Kido, Shoji; Imamura, Yoshiaki; Naiki, Hironobu; Inai, Kunihiro</t>
  </si>
  <si>
    <t>Improved artificial intelligence discrimination of minor histological populations by supplementing with color-adjusted images</t>
  </si>
  <si>
    <t>CLASSIFICATION; DIAGNOSIS; CANCER</t>
  </si>
  <si>
    <t>Despite the dedicated research of artificial intelligence (AI) for pathological images, the construction of AI applicable to histopathological tissue subtypes, is limited by insufficient dataset collection owing to disease infrequency. Here, we present a solution involving the addition of supplemental tissue array (TA) images that are adjusted to the tonality of the main data using a cycle-consistent generative adversarial network (CycleGAN) to the training data for rare tissue types. F1 scores of rare tissue types that constitute &lt; 1.2% of the training data were significantly increased by improving recall values after adding color-adjusted TA images constituting &lt; 0.65% of total training patches. The detector also enabled the equivalent discrimination of clinical images from two distinct hospitals and the capability was more increased following color-correction of test data before AI identification (F1 score from 45.2 +/- 27.1 to 77.1 +/- 10.3, p &lt; 0.01). These methods also classified intraoperative frozen sections, while excessive supplementation paradoxically decreased F1 scores. These results identify strategies for building an AI that preserves the imbalance between training data with large differences in actual disease frequencies, which is important for constructing AI for practical histopathological classification.</t>
  </si>
  <si>
    <t>[Hatta, Satomi; Naiki, Hironobu; Inai, Kunihiro] Univ Fukui, Dept Pathol Sci, Div Mol Pathol, 23-3 Matsuoka Shimoaizuki, Eiheiji, Fukui 9101193, Japan; [Hatta, Satomi; Imamura, Yoshiaki] Univ Fukui Hosp, Div Diagnost Surg Pathol, Eiheiji, Japan; [Ichiuji, Yoshihito; Mabu, Shingo] Yamaguchi Univ, Grad Sch Sci &amp; Technol Innovat, Yamaguchi, Japan; [Kugler, Mauricio; Hontani, Hidekata] Nagoya Inst Technol, Dept Comp Sci, Nagoya, Japan; [Okoshi, Tadakazu] Fukui Red Cross Hosp, Dept Pathol, Fukui, Japan; [Fuse, Haruki; Kawada, Takako] Maizuru Kyosai Hosp, Dept Clin Inspect, Maizuru, Japan; [Kido, Shoji] Osaka Univ, Dept Artificial Intelligence Diagnost Radiol, Grad Sch Med, Suita, Japan</t>
  </si>
  <si>
    <t>University of Fukui; University of Fukui; Yamaguchi University; Nagoya Institute of Technology; Osaka University</t>
  </si>
  <si>
    <t>Inai, K (corresponding author), Univ Fukui, Dept Pathol Sci, Div Mol Pathol, 23-3 Matsuoka Shimoaizuki, Eiheiji, Fukui 9101193, Japan.</t>
  </si>
  <si>
    <t>kinai@u-fukui.ac.jp</t>
  </si>
  <si>
    <t>Naiki, Hironobu/G-5599-2014</t>
  </si>
  <si>
    <t>Ministry of Education, Culture, Sports, Science and Technology of Japan (MEXT/JSPS KAKENHI) [20H03908, 21K08488, 22H03971, 21H03840, 22K12152, 22H03613, 21K06967]</t>
  </si>
  <si>
    <t>Ministry of Education, Culture, Sports, Science and Technology of Japan (MEXT/JSPS KAKENHI)</t>
  </si>
  <si>
    <t>This research was supported by Grants-in-Aid from the Ministry of Education, Culture, Sports, Science and Technology of Japan to K. Inai (MEXT/JSPS KAKENHI Grant Numbers 20H03908, 21K08488, and 22H03971), to S. Kido (MEXT/JSPS KAKENHI Grant Number 21H03840), to S. Mabu (MEXT/JSPS KAKENHI Grant Number 22K12152), to H. Hontani (MEXT/JSPS KAKENHI Grant Number 22H03613), and to H. Naiki (MEXT/JSPS KAKENHI Grant Number 21K06967).</t>
  </si>
  <si>
    <t>NOV 4</t>
  </si>
  <si>
    <t>10.1038/s41598-023-46472-7</t>
  </si>
  <si>
    <t>X6QB2</t>
  </si>
  <si>
    <t>WOS:001099663700051</t>
  </si>
  <si>
    <t>Li, HY; Yu, MM; Li, XF; Zhang, J; Li, SH; Lei, J; Huang, HR</t>
  </si>
  <si>
    <t>Li, Hongying; Yu, Miaomiao; Li, Xiaofei; Zhang, Jun; Li, Shuohao; Lei, Jun; Huang, Hairong</t>
  </si>
  <si>
    <t>Probability-Distribution-Guided Adversarial Sample Attacks for Boosting Transferability and Interpretability</t>
  </si>
  <si>
    <t>probability distribution; adversarial sample; transferability; interpretability</t>
  </si>
  <si>
    <t>In recent years, with the rapid development of technology, artificial intelligence (AI) security issues represented by adversarial sample attack have aroused widespread concern in society. Adversarial samples are often generated by surrogate models and then transfer to attack the target model, and most AI models in real-world scenarios belong to black boxes; thus, transferability becomes a key factor to measure the quality of adversarial samples. The traditional method relies on the decision boundary of the classifier and takes the boundary crossing as the only judgment metric without considering the probability distribution of the sample itself, which results in an irregular way of adding perturbations to the adversarial sample, an unclear path of generation, and a lack of transferability and interpretability. In the probabilistic generative model, after learning the probability distribution of the samples, a random term can be added to the sampling to gradually transform the noise into a new independent and identically distributed sample. Inspired by this idea, we believe that by removing the random term, the adversarial sample generation process can be regarded as the static sampling of the probabilistic generative model, which guides the adversarial samples out of the original probability distribution and into the target probability distribution and helps to boost transferability and interpretability. Therefore, we proposed a score-matching-based attack (SMBA) method to perform adversarial sample attacks by manipulating the probability distribution of the samples, which showed good transferability in the face of different datasets and models and provided reasonable explanations from the perspective of mathematical theory and feature space. Compared with the current best methods based on the decision boundary of the classifier, our method increased the attack success rate by 51.36% and 30.54% to the maximum extent in non-targeted and targeted attack scenarios, respectively. In conclusion, our research established a bridge between probabilistic generative models and adversarial samples, provided a new entry angle for the study of adversarial samples, and brought new thinking to AI security.</t>
  </si>
  <si>
    <t>[Li, Hongying; Yu, Miaomiao; Li, Xiaofei; Zhang, Jun; Li, Shuohao; Lei, Jun] Natl Univ Def Technol, Lab Big Data &amp; Decis, Changsha 410000, Peoples R China; [Huang, Hairong] Teacher Training Sch, Zhongxian, Chongqing 404300, Peoples R China</t>
  </si>
  <si>
    <t>National University of Defense Technology - China</t>
  </si>
  <si>
    <t>Zhang, J (corresponding author), Natl Univ Def Technol, Lab Big Data &amp; Decis, Changsha 410000, Peoples R China.</t>
  </si>
  <si>
    <t>lihongying@nudt.edu.cn; yumiaomiaonudt@nudt.edu.cn; xf@nudt.edu.cn; zhangjun1975@nudt.edu.cn; ishuohao@nudt.edu.cn; leijun1987@nudt.edu.cn; osman5168@163.com</t>
  </si>
  <si>
    <t>National Natural Science Foundation of China [62101571, 61806215]; Natural Science Foundation of Hunan [2021JJ40685]; Hunan Provincial Innovation Foundation for Postgraduates [QL20220018]</t>
  </si>
  <si>
    <t>National Natural Science Foundation of China(National Natural Science Foundation of China (NSFC)); Natural Science Foundation of Hunan(Natural Science Foundation of Hunan Province); Hunan Provincial Innovation Foundation for Postgraduates</t>
  </si>
  <si>
    <t>This research was funded by the National Natural Science Foundation of China (grant numbers 62101571 and 61806215), the Natural Science Foundation of Hunan (grant number 2021JJ40685), and the Hunan Provincial Innovation Foundation for Postgraduates (grant number QL20220018).</t>
  </si>
  <si>
    <t>10.3390/math11133015</t>
  </si>
  <si>
    <t>M4WG3</t>
  </si>
  <si>
    <t>WOS:001030224500001</t>
  </si>
  <si>
    <t>Katsumata, A</t>
  </si>
  <si>
    <t>Katsumata, Akitoshi</t>
  </si>
  <si>
    <t>Deep learning and artificial intelligence in dental diagnostic imaging</t>
  </si>
  <si>
    <t>JAPANESE DENTAL SCIENCE REVIEW</t>
  </si>
  <si>
    <t>Deep learning; Dental imaging; Panoramic radiograph; Classification; Region detection; Segmentation</t>
  </si>
  <si>
    <t>The application of artificial intelligence (AI) based on deep learning in dental diagnostic imaging is increasing. Several popular deep learning tasks have been applied to dental diagnostic images.Classification tasks are used to classify images with and without positive abnormal findings or to evaluate the progress of a lesion based on imaging findings. Region (object) detection and segmentation tasks have been used for tooth identification in panoramic radiographs. This technique is useful for automatically creating a patient's dental chart. Deep learning methods can also be used for detecting and evaluating anatomical structures of interest from images. Furthermore, generative AI based on natural language processing can automatically create written reports from the findings of diagnostic imaging.</t>
  </si>
  <si>
    <t>[Katsumata, Akitoshi] Asahi Univ, Sch Dent, Dept Oral Radiol, 1851-1 Hozumi, Mizuho, Gifu 5010296, Japan</t>
  </si>
  <si>
    <t>Asahi University</t>
  </si>
  <si>
    <t>Katsumata, A (corresponding author), Asahi Univ, Sch Dent, Dept Oral Radiol, 1851-1 Hozumi, Mizuho, Gifu 5010296, Japan.</t>
  </si>
  <si>
    <t>kawamata@dent.asahi-u.ac.jp</t>
  </si>
  <si>
    <t>Katsumata, Akitoshi/0000-0001-5281-5234</t>
  </si>
  <si>
    <t>1882-7616</t>
  </si>
  <si>
    <t>2213-6851</t>
  </si>
  <si>
    <t>JPN DENT SCI REV</t>
  </si>
  <si>
    <t>Jpn. Dent. Sci. Rev.</t>
  </si>
  <si>
    <t>10.1016/j.jdsr.2023.09.004</t>
  </si>
  <si>
    <t>W5NB1</t>
  </si>
  <si>
    <t>WOS:001092081200001</t>
  </si>
  <si>
    <t>Mao, S; He, YC; Chen, H; Zheng, HB; Liu, JB; Yuan, Y; Le, MN; Li, B; Chen, J; Xu, Z</t>
  </si>
  <si>
    <t>Mao, Shuai; He, Yuchen; Chen, Hui; Zheng, Huaibin; Liu, Jianbin; Yuan, Yuan; Le, Mingnan; Li, Bin; Chen, Juan; Xu, Zhuo</t>
  </si>
  <si>
    <t>High-quality and high-diversity conditionally generative ghost imaging based on denoising diffusion probabilistic model</t>
  </si>
  <si>
    <t>OPTICS EXPRESS</t>
  </si>
  <si>
    <t>LIDAR</t>
  </si>
  <si>
    <t>Deep-learning (DL) methods have gained significant attention in ghost imaging (GI) as promising approaches to attain high-quality reconstructions with limited sampling rates. However, existing DL-based GI methods primarily emphasize pixel-level loss and one-to-one mapping from bucket signals or low-quality GI images to high-quality images, tending to overlook the diversity in image reconstruction. Interpreting image reconstruction from the perspective of conditional probability, we propose the utilization of the denoising diffusion probabilistic model (DDPM) framework to address this challenge. Our designed method, known as DDPMGI, can not only achieve better quality but also generate reconstruction results with high diversity. At a sampling rate of 10%, our method achieves an average PSNR of 21.19 dB and an SSIM of 0.64, surpassing the performance of other comparison methods. The results of physical experiments further validate the effectiveness of our approach in real-world scenarios. Furthermore, we explore the potential application of our method in color GI reconstruction, where the average PSNR and SSIM reach 20.055 dB and 0.723, respectively. These results highlight the significant advancements and potential of our method in achieving high-quality image reconstructions in GI, including color image reconstruction.&amp; COPY; 2023 Optica Publishing Group under the terms of the Optica Open Access Publishing Agreement</t>
  </si>
  <si>
    <t>[Mao, Shuai; Chen, Juan] Xi An Jiao Tong Univ, Sch Informat &amp; Commun Engn, Xian 710049, Peoples R China; [He, Yuchen; Chen, Hui; Zheng, Huaibin; Liu, Jianbin; Yuan, Yuan; Xu, Zhuo] Xi An Jiao Tong Univ, Key Lab Minist Educ, Elect Mat Res Lab, Xian 710049, Peoples R China; [He, Yuchen; Chen, Hui; Zheng, Huaibin; Liu, Jianbin; Yuan, Yuan; Xu, Zhuo] Xi An Jiao Tong Univ, Int Ctr Dielect Res, Sch Elect Sci &amp; Engn, Xian 710049, Peoples R China; [Le, Mingnan] Northwest Univ, Sch Informat Sci &amp; Technol, Xian 710127, Peoples R China; [Li, Bin] Xi An Jiao Tong Univ, Minist Educ, Sch Life Sci &amp; Technol, Key Lab Biomed Informat Engn, Xian 710049, Peoples R China; [Li, Bin] Xi An Jiao Tong Univ, Bioinspired Engn &amp; Biomech Ctr BEBC, Xian 710049, Peoples R China</t>
  </si>
  <si>
    <t>Xi'an Jiaotong University; Xi'an Jiaotong University; Xi'an Jiaotong University; Northwest University Xi'an; Xi'an Jiaotong University; Xi'an Jiaotong University</t>
  </si>
  <si>
    <t>He, YC (corresponding author), Xi An Jiao Tong Univ, Key Lab Minist Educ, Elect Mat Res Lab, Xian 710049, Peoples R China.;He, YC (corresponding author), Xi An Jiao Tong Univ, Int Ctr Dielect Res, Sch Elect Sci &amp; Engn, Xian 710049, Peoples R China.</t>
  </si>
  <si>
    <t>yuchenhe@xjtu.edu.cn</t>
  </si>
  <si>
    <t>Zheng, Huaibin/O-2988-2017</t>
  </si>
  <si>
    <t>Zheng, Huaibin/0000-0003-2313-4119</t>
  </si>
  <si>
    <t>National Natural Science Foundation of China [61901353]; Key Research and Development Projects of Shaanxi Province [2021GXLH-Z-012]; Fundamental Research Funds for the Central Universities [xhj032021005]; 111 Project [B14040, 202105127]; Key Innovation Team of Shaanxi Province [2018TD-024]</t>
  </si>
  <si>
    <t>National Natural Science Foundation of China(National Natural Science Foundation of China (NSFC)); Key Research and Development Projects of Shaanxi Province; Fundamental Research Funds for the Central Universities(Fundamental Research Funds for the Central Universities); 111 Project(Ministry of Education, China - 111 Project); Key Innovation Team of Shaanxi Province</t>
  </si>
  <si>
    <t>National Natural Science Foundation of China (61901353) ; Key Research and Development Projects of Shaanxi Province (2021GXLH-Z-012) ; Fundamental Research Funds for the Central Universities (xhj032021005) ; 111 Project (B14040) ; JD AI Research (202105127) ; Key Innovation Team of Shaanxi Province (2018TD-024) .</t>
  </si>
  <si>
    <t>Optica Publishing Group</t>
  </si>
  <si>
    <t>2010 MASSACHUSETTS AVE NW, WASHINGTON, DC 20036 USA</t>
  </si>
  <si>
    <t>1094-4087</t>
  </si>
  <si>
    <t>OPT EXPRESS</t>
  </si>
  <si>
    <t>Opt. Express</t>
  </si>
  <si>
    <t>10.1364/OE.496706</t>
  </si>
  <si>
    <t>O6MP7</t>
  </si>
  <si>
    <t>WOS:001044929700006</t>
  </si>
  <si>
    <t>Pandey, C; Tiwari, V; Imoize, AL; Li, CT; Lee, CC; Roy, DS</t>
  </si>
  <si>
    <t>Pandey, Chandrasen; Tiwari, Vaibhav; Imoize, Agbotiname Lucky; Li, Chun-Ta; Lee, Cheng-Chi; Roy, Diptendu Sinha</t>
  </si>
  <si>
    <t>5GT-GAN: Enhancing Data Augmentation for 5G-Enabled Mobile Edge Computing in Smart Cities</t>
  </si>
  <si>
    <t>Synthetic data; Data models; 5G mobile communication; Generative adversarial networks; Data privacy; Artificial intelligence; Edge computing; Internet of Things; 5GT-GAN; smart city; multi-access edge computing (MEC); Internet of Things (IoT); generative adversarial networks; synthetic data</t>
  </si>
  <si>
    <t>This paper introduces 5GT-GAN, a novel approach leveraging generative adversarial networks (GANs) to create synthetic mobile Internet traffic data, particularly tailored to smart city applications. Given the challenges of data scarcity and privacy concerns in the context of 5G, generating synthetic data becomes a crucial aspect for effectively deploying AI-driven systems in real-world scenarios. 5GT-GAN integrates unsupervised GAN schemes with the ability to manage temporal dynamics through supervised autoregressive models, successfully generating large-scale synthetic mobile Internet traffic data. Our experimental results illustrate the superior performance of 5GT-GAN in terms of mean squared error (MSE) and mean absolute error (MAE) compared to traditional models. The use of Train Synthetic Test Real (TSTR) and Train Real Test Synthetic (TRTS) methodologies affirmed the model's effectiveness with (0.0023 MAE, 0.0074 MSE) and (0.0045 MAE, 0.0092 MSE) respectively. Moreover, the model's runtime complexity of O(n log n) emphasized its efficiency in handling larger datasets, an edge over traditional models. The study also identifies potential future work in augmenting data for traffic prediction and integrating self-attention mechanisms to enhance the capabilities of the model further.</t>
  </si>
  <si>
    <t>[Pandey, Chandrasen; Tiwari, Vaibhav; Roy, Diptendu Sinha] Natl Inst Technol Meghalaya, Dept Comp Sci &amp; Engn, Shillong 793003, Meghalaya, India; [Imoize, Agbotiname Lucky] Univ Lagos, Dept Elect &amp; Elect Engn, Fac Engn, Akoka 100213, Lagos, Nigeria; [Imoize, Agbotiname Lucky] Ruhr Univ Bochum, Inst Digital Commun, Dept Elect Engn &amp; Informat Technol, D-44801 Bochum, Germany; [Li, Chun-Ta] Fu Jen Catholic Univ, Grad Inst Appl Sci &amp; Engn, Bachelors Program Artificial Intelligence &amp; Inform, New Taipei City 24205, Taiwan; [Lee, Cheng-Chi] Fu Jen Catholic Univ, Res &amp; Dev Ctr Phys Educ Hlth &amp; Informat Technol, Dept Lib &amp; Informat Sci, New Taipei City 24205, Taiwan; [Lee, Cheng-Chi] Asia Univ, Dept Comp Sci &amp; Informat Engn, Taichung 41354, Taiwan</t>
  </si>
  <si>
    <t>National Institute of Technology (NIT System); National Institute of Technology Meghalaya; University of Lagos; Ruhr University Bochum; Fu Jen Catholic University; Fu Jen Catholic University; Asia University Taiwan</t>
  </si>
  <si>
    <t>Roy, DS (corresponding author), Natl Inst Technol Meghalaya, Dept Comp Sci &amp; Engn, Shillong 793003, Meghalaya, India.;Li, CT (corresponding author), Fu Jen Catholic Univ, Grad Inst Appl Sci &amp; Engn, Bachelors Program Artificial Intelligence &amp; Inform, New Taipei City 24205, Taiwan.;Lee, CC (corresponding author), Fu Jen Catholic Univ, Res &amp; Dev Ctr Phys Educ Hlth &amp; Informat Technol, Dept Lib &amp; Informat Sci, New Taipei City 24205, Taiwan.;Lee, CC (corresponding author), Asia Univ, Dept Comp Sci &amp; Informat Engn, Taichung 41354, Taiwan.</t>
  </si>
  <si>
    <t>157278@mail.fju.edu.tw; cclee@mail.fju.edu.tw; diptendu.sr@gmail.com</t>
  </si>
  <si>
    <t>Imoize, Agbotiname Lucky/AAL-8305-2020; Lee, Cheng-Chi/J-4185-2016</t>
  </si>
  <si>
    <t>Imoize, Agbotiname Lucky/0000-0001-8921-8353; Pandey, Chandrasen/0000-0002-7031-1619; Tiwari, Vaibhav/0000-0003-0205-0514; Lee, Cheng-Chi/0000-0002-8918-1703</t>
  </si>
  <si>
    <t>Ministry of Electronics and Information Technologies (MeitY), Government of India [13(38)/2020-CCBT]; National Science and Technology Council, Taiwan [NSTC 110-2410-H-165-001-MY2]; Nigerian Petroleum Technology Development Fund (PTDF); German Academic Exchange Service (DAAD) through the Nigerian-German Postgraduate Program [57473408]</t>
  </si>
  <si>
    <t>Ministry of Electronics and Information Technologies (MeitY), Government of India; National Science and Technology Council, Taiwan; Nigerian Petroleum Technology Development Fund (PTDF); German Academic Exchange Service (DAAD) through the Nigerian-German Postgraduate Program(Deutscher Akademischer Austausch Dienst (DAAD))</t>
  </si>
  <si>
    <t>This work was supported in part by the Ministry of Electronics and Information Technologies (MeitY), Government of India, under Grant 13(38)/2020-CC &amp; BT; in part by the National Science and Technology Council, Taiwan, under Contract NSTC 110-2410-H-165-001-MY2;in part by the Nigerian Petroleum Technology Development Fund (PTDF); and in part by the German Academic Exchange Service (DAAD) through the Nigerian-German Postgraduate Program under Grant 57473408.</t>
  </si>
  <si>
    <t>10.1109/ACCESS.2023.3328170</t>
  </si>
  <si>
    <t>Y0BC1</t>
  </si>
  <si>
    <t>WOS:001101998900001</t>
  </si>
  <si>
    <t>Zaramella, M; Amerini, I; Russo, P</t>
  </si>
  <si>
    <t>Zaramella, Matteo; Amerini, Irene; Russo, Paolo</t>
  </si>
  <si>
    <t>Why Don't You Speak?: A Smartphone Application to Engage Museum Visitors Through Deepfakes Creation</t>
  </si>
  <si>
    <t>PROCEEDINGS OF THE 5TH WORKSHOP ON THE ANALYSIS, UNDERSTANDING AND PROMOTION OF HERITAGE CONTENTS, SUMAC 2023</t>
  </si>
  <si>
    <t>5th ACM Workshop on the Analysis, Understanding and Promotion of Heritage Contents (SUMAC)</t>
  </si>
  <si>
    <t>Assoc Comp Machinery,ACM SIGMM,Zhejiang Financial Coll, Project AI Multimedia Cultural Heritage,French Mapping Agcy,Gustave Eiffel Univ</t>
  </si>
  <si>
    <t>museum user experience; deepfake; face detection; generative adversarial network</t>
  </si>
  <si>
    <t>In this paper, we offer a gamification-based application for the cultural heritage sector that aims to enhance the learning and fruition of museum artworks. The application encourages users to experience history and culture in the first person, based on the idea that the artworks in a museum can tell their own story, thus improving the engagement of the museums and providing information on the artwork itself. Specifically, we propose an application that allows museum visitors to create a deepfake video of a sculpture directly through their smartphone. More in detail, starting from a few live frames of a statue, the application generates in a short time a deepfake video where the statue talks by moving its lips synchronized with a text or audio file. The application exploits an underlying generative adversarial network technology and has been specialized on a custom statues dataset collected for the purpose. Experiments show that the generated videos exhibit great realism in the vast majority of cases, demonstrating the importance of a reliable statue face detection algorithm. The final aim of our application is to make the museum experience different, with a more immersive interaction and an engaging user experience, which could potentially attract more people to deepen classical history and culture.</t>
  </si>
  <si>
    <t>[Zaramella, Matteo; Amerini, Irene; Russo, Paolo] Sapienza Univ Roma, Rome, Italy</t>
  </si>
  <si>
    <t>Zaramella, M (corresponding author), Sapienza Univ Roma, Rome, Italy.</t>
  </si>
  <si>
    <t>zaramella.2025806@studenti.uniroma1.it; amerini@diag.uniroma1.it; prusso@diag.uniroma1.it</t>
  </si>
  <si>
    <t>RUSSO, PAOLO/0000-0002-1886-3491</t>
  </si>
  <si>
    <t>SERICS under the MUR National Recovery and Resilience Plan - European Union - NextGenerationEU [PE00000014]; Sapienza University of Rome project EV2 [003 009 22]</t>
  </si>
  <si>
    <t>SERICS under the MUR National Recovery and Resilience Plan - European Union - NextGenerationEU; Sapienza University of Rome project EV2</t>
  </si>
  <si>
    <t>This study has been partially supported by SERICS (PE00000014) under the MUR National Recovery and Resilience Plan funded by the European Union - NextGenerationEU and Sapienza University of Rome project EV2 (003 009 22). We thank Dr. Claudia Carlucci and Prof. Giorgio Piras, respectively the area curator and the director of the Classic Art Museum of Sapienza, for giving us the opportunity to collect and use the pictures and videos of the Gipsoteca statues to train and test the app algorithms.</t>
  </si>
  <si>
    <t>979-8-4007-0279-2</t>
  </si>
  <si>
    <t>10.1145/3607542.3617359</t>
  </si>
  <si>
    <t>BW4KE</t>
  </si>
  <si>
    <t>WOS:001150351900006</t>
  </si>
  <si>
    <t>Chua, BN; Guo, WM; Wong, HT; Ow, DSW; Ho, PL; Koh, W; Koay, A; Wong, FT</t>
  </si>
  <si>
    <t>Chua, Bryan Nicholas; Guo, Wei Mei; Wong, Han Teng; Ow, Dave Siak-Wei; Ho, Pooi Leng; Koh, Winston; Koay, Ann; Wong, Fong Tian</t>
  </si>
  <si>
    <t>A sweeter future: Using protein language models for exploring sweeter brazzein homologs</t>
  </si>
  <si>
    <t>FOOD CHEMISTRY</t>
  </si>
  <si>
    <t>Brazzein; Alternative sweeteners; Lactococcus lactis; Thermostable; Computational design; Generative AI</t>
  </si>
  <si>
    <t>TASTING PROTEIN; SWEETNESS; EXPRESSION; MUTANTS</t>
  </si>
  <si>
    <t>With growing concerns over the health impact of sugar, brazzein offers a viable alternative due to its sweetness, thermostability, and low risk profile. Here, we demonstrated the ability of protein language models to design new brazzein homologs with improved thermostability and potentially higher sweetness, resulting in new diverse optimized amino acid sequences that improve structural and functional features beyond what conventional methods could achieve. This innovative approach resulted in the identification of unexpected mutations, thereby generating new possibilities for protein engineering. To facilitate the characterization of the brazzein mutants, a simplified procedure was developed for expressing and analyzing related proteins. This process involved an efficient purification method using Lactococcus lactis (L. lactis), a generally recognized as safe (GRAS) bacterium, as well as taste receptor assays to evaluate sweetness. The study successfully demonstrated the potential of computational design in producing a more heat-resistant and potentially more palatable brazzein variant, V23.</t>
  </si>
  <si>
    <t>[Chua, Bryan Nicholas; Wong, Han Teng; Wong, Fong Tian] ASTAR, Inst Mol &amp; Cell Biol IMCB, Mol Engn Lab, 61 Biopolis Dr,07-06 Proteos, Singapore 138673, Singapore; [Guo, Wei Mei; Koay, Ann] ASTAR, Singapore Inst Food &amp; Biotechnol Innovat SIFBI, 31 Biopolis Way,02-01 Nanos, Singapore 138669, Singapore; [Ow, Dave Siak-Wei; Ho, Pooi Leng] ASTAR, Bioproc Technol Inst BTI, 20 Biopolis Way,06-01 Ctr, Singapore 138668, Singapore; [Koh, Winston] ASTAR, Inst Bioengn &amp; Bioimaging IBB, 31 Biopolis Way,07-01 Nanos, Singapore 138669, Singapore; [Koh, Winston] ASTAR, Bioinformat Inst BII, 30 Biopolis St,07-01 Matrix, Singapore 138671, Singapore; [Wong, Fong Tian] ASTAR, Inst Sustainabil Chem Energy &amp; Environm ISCE 2, 8 Biomed Grove,Neuros 07-01, Singapore 138665, Singapore</t>
  </si>
  <si>
    <t>Agency for Science Technology &amp; Research (A*STAR); A*STAR - Institute of Molecular &amp; Cell Biology (IMCB); Agency for Science Technology &amp; Research (A*STAR); A*STAR - Singapore Institute of Food &amp; Biotechnology Innovation (SIFBI); Agency for Science Technology &amp; Research (A*STAR); Agency for Science Technology &amp; Research (A*STAR); A*STAR - Institute of Bioengineering &amp; Bioimaging (IBB); Agency for Science Technology &amp; Research (A*STAR); A*STAR - Bioinformatics Institute (BII); Agency for Science Technology &amp; Research (A*STAR)</t>
  </si>
  <si>
    <t>Wong, FT (corresponding author), ASTAR, Inst Mol &amp; Cell Biol IMCB, Mol Engn Lab, 61 Biopolis Dr,07-06 Proteos, Singapore 138673, Singapore.;Koay, A (corresponding author), ASTAR, Singapore Inst Food &amp; Biotechnol Innovat SIFBI, 31 Biopolis Way,02-01 Nanos, Singapore 138669, Singapore.;Koh, W (corresponding author), ASTAR, Inst Bioengn &amp; Bioimaging IBB, 31 Biopolis Way,07-01 Nanos, Singapore 138669, Singapore.;Koh, W (corresponding author), ASTAR, Bioinformat Inst BII, 30 Biopolis St,07-01 Matrix, Singapore 138671, Singapore.;Wong, FT (corresponding author), ASTAR, Inst Sustainabil Chem Energy &amp; Environm ISCE 2, 8 Biomed Grove,Neuros 07-01, Singapore 138665, Singapore.</t>
  </si>
  <si>
    <t>Winston_koh@ibb.a-star.edu.sg; Ann_koay@sifbi.a-star.edu.sg; Wongft@imcb.a-star.edu.sg</t>
  </si>
  <si>
    <t>Wong, Han Teng/JJE-5739-2023</t>
  </si>
  <si>
    <t>Wong, Han Teng/0000-0001-9836-1338</t>
  </si>
  <si>
    <t>Singapore Food Story Ramp;D Program [W20W2D0011, H20H8a0003]; Agency for Science, Technology and Research (A*STAR) , Singapore [21719, C211917006, C211917003]</t>
  </si>
  <si>
    <t>Singapore Food Story Ramp;D Program; Agency for Science, Technology and Research (A*STAR) , Singapore(Agency for Science Technology &amp; Research (A*STAR))</t>
  </si>
  <si>
    <t>We gratefully acknowledge financial support from the Singapore Food Story R &amp; D Program (W20W2D0011 &amp; H20H8a0003) and Agency for Science, Technology and Research (A*STAR) , Singapore (#21719, C211917006 and C211917003) for this work.</t>
  </si>
  <si>
    <t>0308-8146</t>
  </si>
  <si>
    <t>1873-7072</t>
  </si>
  <si>
    <t>FOOD CHEM</t>
  </si>
  <si>
    <t>Food Chem.</t>
  </si>
  <si>
    <t>10.1016/j.foodchem.2023.136580</t>
  </si>
  <si>
    <t>Chemistry, Applied; Food Science &amp; Technology; Nutrition &amp; Dietetics</t>
  </si>
  <si>
    <t>Chemistry; Food Science &amp; Technology; Nutrition &amp; Dietetics</t>
  </si>
  <si>
    <t>L7MC5</t>
  </si>
  <si>
    <t>WOS:001025053900001</t>
  </si>
  <si>
    <t>Lu, YB; Lu, SC; Li, FD; Le, PH; Zhang, KH; Sun, ZZ; Huang, YN; Weng, YC; Chen, WT; Fu, YW; Qian, JB; Hu, B; Xu, H; Chiu, CT; Xu, QW; Gong, W</t>
  </si>
  <si>
    <t>Lu, Yang-Bor; Lu, Si-Cun; Li, Fu-Dong; Le, Puo-Hsien; Zhang, Kai-Hua; Sun, Zi-Zheng; Huang, Yung-Ning; Weng, Yu-Chieh; Chen, Wei-Ting; Fu, Yi-Wei; Qian, Jun-Bo; Hu, Bin; Xu, Hong; Chiu, Cheng-Tang; Xu, Qin-Wei; Gong, Wei</t>
  </si>
  <si>
    <t>Artificial intelligence-aided diagnostic imaging: A state-of-the-art technique in precancerous screening</t>
  </si>
  <si>
    <t>JOURNAL OF GASTROENTEROLOGY AND HEPATOLOGY</t>
  </si>
  <si>
    <t>Artificial intelligence; Chromoendoscopy; Image-enhanced endoscopy; Virtual indigo carmine staining</t>
  </si>
  <si>
    <t>EUROPEAN-SOCIETY; CHROMOENDOSCOPY; SURVEILLANCE; DYSPLASIA; COLONOSCOPY; GUIDELINES; MANAGEMENT; CONSENSUS; LESIONS; COLOR</t>
  </si>
  <si>
    <t>Background and Aim: Chromoendoscopy with the use of indigo carmine (IC) dye is a crucial endoscopic technique to identify gastrointestinal neoplasms. However, its performance is limited by the endoscopist's skill, and no standards are available for lesion identification. Thus, we developed an artificial intelligence (AI) model to replace chromoendoscopy.Methods: This pilot study assessed the feasibility of our novel AI model in the conversion of white-light images (WLI) into virtual IC-dyed images based on a generative adversarial network. The predictions of our AI model were evaluated against the assessments of five endoscopic experts who were blinded to the purpose of this study with a staining quality rating from 1 (unacceptable) to 4 (excellent).Results: The AI model successfully transformed the WLI of polyps with different morphologies and different types of lesions in the gastrointestinal tract into virtual IC-dyed images. The quality ratings of the real IC-dyed and AI images did not significantly differ concerning surface structure (AI vs IC: 3.08 vs 3.00), lesion border (3.04 vs 2.98), and overall contrast (3.14 vs 3.02) from 10 sets of images (10 AI images and 10 real IC-dyed images). Although the score depended significantly on the evaluator, the staining methods (AI or real IC) and evaluators had no significant interaction (P &gt; 0.05) with each other.Conclusion: Our results demonstrated the feasibility of employing AI model's virtual IC staining, increasing the possibility of being employed in daily practice. This novel technology may facilitate gastrointestinal lesion identification in the future.</t>
  </si>
  <si>
    <t>[Lu, Yang-Bor; Huang, Yung-Ning; Weng, Yu-Chieh] Xiamen Chang Gung Hosp, Dept Digest Dis, Xiamen, Peoples R China; [Lu, Yang-Bor; Huang, Yung-Ning; Weng, Yu-Chieh] Hua Qiao Univ, Xiamen Chang Gung Hosp, Endoscopy Ctr, Xiamen, Peoples R China; [Lu, Si-Cun; Gong, Wei] Shenzhen Hosp, Dept Gastroenterol, Shenzhen, Peoples R China; [Lu, Si-Cun; Gong, Wei] Southern Med Univ, Sch Clin Med 3, Shenzhen, Peoples R China; [Li, Fu-Dong; Xu, Hong] First Hosp Jilin Univ, Dept Gastroenterol, Jilin, Peoples R China; [Li, Fu-Dong; Le, Puo-Hsien; Chen, Wei-Ting; Xu, Hong] First Hosp Jilin Univ, Endoscopy Ctr, Jilin, Peoples R China; [Zhang, Kai-Hua; Sun, Zi-Zheng; Chiu, Cheng-Tang] Nanjing Univ Informat Sci&amp; Technol, Sch Comp, Nanjing, Peoples R China; [Fu, Yi-Wei] Nanjing Med Univ, Affiliated Taizhou Peoples Hosp, Dept Gastroenterol, Nanjing, Peoples R China; [Qian, Jun-Bo] Nantong Univ, Hosp 2, Dept Gastroenterol, Nantong, Peoples R China; [Hu, Bin] Sichuan Univ, West China Hosp, Dept Gastroenterol, Chengdu, Peoples R China; [Xu, Qin-Wei] Tongji Univ, Shanghai East Hosp, Dept Endoscopy, Endoscopy Ctr,Sch Med, Shanghai, Peoples R China; [Chiu, Cheng-Tang] Chang Gung Mem Hosp, Linkou Branch, Dept Gastroenterol &amp; Hepatol, Taoyuan, Taiwan; [Gong, Wei] Southern Med Univ, Shenzhen Hosp, Dept Gastroenterol, Shenzhen, Peoples R China; [Gong, Wei] Southern Med Univ, Sch Clin Med 3, 1333 Xinhu Rd, Shenzhen 518000, Guangdong, Peoples R China; [Xu, Qin-Wei] Tongji Univ, Shanghai East Hosp, Endoscopy Ctr, Sch Med,Dept Gastroenterol, Shanghai 200120, Peoples R China; [Chiu, Cheng-Tang] Chang Gung Mem Hosp, Dept Gastroenterol &amp; Hepatol, Linkou Branch, 5 Fuxing St, Taoyuan City 333, Taiwan</t>
  </si>
  <si>
    <t>Huaqiao University; Southern Medical University - China; Nanjing University of Information Science &amp; Technology; Nanjing Medical University; Nantong University; Sichuan University; Tongji University; Chang Gung Memorial Hospital; Southern Medical University - China; Southern Medical University - China; Tongji University; Chang Gung Memorial Hospital</t>
  </si>
  <si>
    <t>Gong, W (corresponding author), Southern Med Univ, Shenzhen Hosp, Dept Gastroenterol, Shenzhen, Peoples R China.;Gong, W (corresponding author), Southern Med Univ, Sch Clin Med 3, 1333 Xinhu Rd, Shenzhen 518000, Guangdong, Peoples R China.;Xu, QW (corresponding author), Tongji Univ, Shanghai East Hosp, Endoscopy Ctr, Sch Med,Dept Gastroenterol, Shanghai 200120, Peoples R China.;Chiu, CT (corresponding author), Chang Gung Mem Hosp, Dept Gastroenterol &amp; Hepatol, Linkou Branch, 5 Fuxing St, Taoyuan City 333, Taiwan.</t>
  </si>
  <si>
    <t>ctchiu@adm.cgmh.org.tw; xuqingwei_com@163.com; gongwei@smu.edu.cn</t>
  </si>
  <si>
    <t>Lu, Sicun/0000-0001-8053-8772; Lu, YangBor/0000-0001-5932-5190; Li, Fudong/0000-0002-2564-7826</t>
  </si>
  <si>
    <t>Xiamen Chang Gung Hospital; Beijing Tsinghua Chang Gung Hospital, School of Clinical Medicine, Tsinghua University, China; Chang Gung Memorial Hospital, Linkou Branch, Taoyuan, Taiwan; NTT Medical Center Tokyo Department of Gastroenterology, Japan; Formosa Biomedical Technology</t>
  </si>
  <si>
    <t>The authors thank the five participating gastroenterologists (Bo Jiang, Department of Gastroenterology, Beijing Tsinghua Chang Gung Hospital, School of Clinical Medicine, Tsinghua University, China; Ming-Yao Su, Department of Gastroenterology and Hepatology, Chang Gung Memorial Hospital, Linkou Branch, Taoyuan, Taiwan; Ken Ohata, NTT Medical Center Tokyo Department of Gastroenterology, Japan; Qiang Cai, Division of Gastroenterology and Hepatology, Louisiana State University School of Medicine, USA; Sunny Wong, Associate Professor of Nutrition, Digestion, and Metabolism and Assistant Dean, Academic Medicine, Lee Kong Chian School of Medicine, Singapore) for assisting in the blind evaluation for this research. We thank Xiamen Innovision Medical Technology Co., Ltd. for developing the model and assisting with technical support, and we also appreciate the assistance rendered by Formosa Biomedical Technology and by the CRO Division in statistical analysis and editing. We also thank Yu-Sin Huang for the medical illustration.</t>
  </si>
  <si>
    <t>0815-9319</t>
  </si>
  <si>
    <t>1440-1746</t>
  </si>
  <si>
    <t>J GASTROEN HEPATOL</t>
  </si>
  <si>
    <t>J. Gastroenterol. Hepatol.</t>
  </si>
  <si>
    <t>10.1111/jgh.16429</t>
  </si>
  <si>
    <t>Gastroenterology &amp; Hepatology</t>
  </si>
  <si>
    <t>KI1Y1</t>
  </si>
  <si>
    <t>WOS:001118953800001</t>
  </si>
  <si>
    <t>Chen, M; Zang, SR; Ai, ZH; Chi, JR; Yang, GW; Chen, CLZ; Yu, T</t>
  </si>
  <si>
    <t>Chen, Min; Zang, Shengrui; Ai, Zhenhua; Chi, Jieru; Yang, Guowei; Chen, Chenglizhao; Yu, Teng</t>
  </si>
  <si>
    <t>RFA-Net: Residual feature attention network for fine-grained image inpainting</t>
  </si>
  <si>
    <t>Image inpainting; Generative adversarial networks; Residual attention; Texture-aware loss</t>
  </si>
  <si>
    <t>Although most existing methods using Generative Adversarial Networks (GAN) generally produce plausible results, there is a significant amount of artifacts and less-than-ideal restoration of textures when large regions are missing or the background of missing regions is complex. To address this issue, in this paper, we propose a novel texture-aware backbone net named RFA-Net for finer texture image inpainting. Compared to conventional encoder-decoder methods, our main contribution is proposing a novel RFA-Net adopt a non-pooling residual CNN structure with three novel modules, which retains texture features from shallow layers and adaptively learn the importance of certain channels and locations of features that may potentially benefit image inpainting. In addition, we propose a hybrid loss optimization (HLO) module to enable the generator to focus on the semantic and texture details of the inpainted contents. Experimental results demonstrate that our RFA-Net is able to recover texture details and ground-truth consistent images, and outperforms the state-of-the-art methods both in terms of image quality and quantitative metrics. Our source code and data are available online at https://github.com/Jamie-61/RFA-Net-Inpainting.</t>
  </si>
  <si>
    <t>[Chen, Min; Zang, Shengrui; Ai, Zhenhua; Chi, Jieru; Yang, Guowei; Yu, Teng] Qingdao Univ, Artificial Intelligence &amp; Comp Vis Lab, 308 Ningxia Rd, Qingdao 266071, Peoples R China; [Chen, Chenglizhao] China Univ Petr, Coll Comp Sci &amp; Technol, Qingdao 266580, Peoples R China</t>
  </si>
  <si>
    <t>Yu, T (corresponding author), Qingdao Univ, Artificial Intelligence &amp; Comp Vis Lab, 308 Ningxia Rd, Qingdao 266071, Peoples R China.</t>
  </si>
  <si>
    <t>yutenghit@foxmail.com</t>
  </si>
  <si>
    <t>10.1016/j.engappai.2022.105814</t>
  </si>
  <si>
    <t>8B4JI</t>
  </si>
  <si>
    <t>WOS:000916890200001</t>
  </si>
  <si>
    <t>Agossah, A; Krupa, F; Perreira Da Silva, M; Le Callet, P</t>
  </si>
  <si>
    <t>Agossah, Alexandre; Krupa, Frederique; Perreira Da Silva, Matthieu; Le Callet, Patrick</t>
  </si>
  <si>
    <t>LLM-Based Interaction for Content Generation: A Case Study on the Perception of Employees in an IT Department</t>
  </si>
  <si>
    <t>acceptability; computer-human interaction; large language models; professional context</t>
  </si>
  <si>
    <t>TECHNOLOGY ACCEPTANCE</t>
  </si>
  <si>
    <t>In the past years, AI has seen many advances in the field of NLP. This has led to the emergence of LLMs, such as the now famous GPT-3.5, which revolutionise the way humans can access or generate content. Current studies on LLM-based generative tools are mainly interested in the performance of such tools in generating relevant content (code, text or image). However, ethical concerns related to the design and use of generative tools seem to be growing, impacting the public acceptability for specific tasks. This paper presents a questionnaire survey to identify the intention to use generative tools by employees of an IT company in the context of their work. This survey is based on empirical models measuring intention to use (TAM by Davis, 1989, and UTAUT2 by Venkatesh and al., 2008). Our results indicate a rather average acceptability of generative tools, although the more useful the tool is perceived to be, the higher the intention to use seems to be. Furthermore, our analyses suggest that the frequency of use of generative tools is likely to be a key factor in understanding how employees perceive these tools in the context of their work. Following on from this work, we plan to investigate the nature of the requests that may be made to these tools by specific audiences.</t>
  </si>
  <si>
    <t>[Agossah, Alexandre; Perreira Da Silva, Matthieu; Le Callet, Patrick] Univ Nantes, Ecole Cent Nantes, CNRS, LS2N,UMR 60004, F-440000 Nantes, France; [Agossah, Alexandre; Krupa, Frederique] Ecole Design Nantes Atlantique, Digital Design Lab, F-44200 Nantes, France; [Agossah, Alexandre] Grp Sigma, F-44240 La Chapelle Sur Erdre, France</t>
  </si>
  <si>
    <t>Nantes Universite; Ecole Centrale de Nantes; Centre National de la Recherche Scientifique (CNRS)</t>
  </si>
  <si>
    <t>Agossah, A (corresponding author), Univ Nantes, Ecole Cent Nantes, CNRS, LS2N,UMR 60004, F-440000 Nantes, France.</t>
  </si>
  <si>
    <t>alexandre.agossah@etu.univ-nantes.fr; f.krupa@lecolededesign.com; matthieu.perreiradasilva@univ-nantes.fr; patrick.lecallet@univ-nantes.fr</t>
  </si>
  <si>
    <t>Le callet, Patrick/0000-0002-2143-7063; Krupa, Frederique/0009-0005-3065-2987</t>
  </si>
  <si>
    <t>10.1145/3573381.3603362</t>
  </si>
  <si>
    <t>WOS:001117075100028</t>
  </si>
  <si>
    <t>Liu, SW; Tian, YS; Chen, TL; Shen, L</t>
  </si>
  <si>
    <t>Liu, Shiwei; Tian, Yuesong; Chen, Tianlong; Shen, Li</t>
  </si>
  <si>
    <t>Don't Be So Dense: Sparse-to-Sparse GAN Training Without Sacrificing Performance</t>
  </si>
  <si>
    <t>INTERNATIONAL JOURNAL OF COMPUTER VISION</t>
  </si>
  <si>
    <t>Sparse GAN training; Sparse unbalance GAN; Dynamic sparsity; Sparse training; Generative adversarial networks</t>
  </si>
  <si>
    <t>This paper does not describe a novel method. Instead, it studies an incremental, yet must-know baseline given the recent progress in sparse neural network training and Generative Adversarial Networks (GANs). GANs have received an upsurging interest since being proposed due to the high quality of the generated data. While achieving increasingly impressive results, the resource demands associated with the large model size hinders the usage of GANs in resource-limited scenarios. For inference, the existing model compression techniques can reduce the model complexity with comparable performance. However, the training efficiency of GANs has less been explored due to the fragile training process of GANs. In this paper, we, for the first time, explore the possibility of directly training sparse GAN from scratch without involving any dense or pre-training steps. Even more unconventionally, our proposed method enables directly training sparse unbalanced GANs with an extremely sparse generator from scratch. Instead of training full GANs, we start with sparse GANs and dynamically explore the parameter space spanned over the generator throughout training. Such a sparse-to-sparse training procedure enhances the capacity of the highly sparse generator progressively while sticking to a fixed small parameter budget with appealing training and inference efficiency gains. Extensive experiments with modern GAN architectures validate the effectiveness of our method. Our sparsified GANs, trained from scratch in one single run, are able to outperform the ones learned by expensive iterative pruning and re-training. Perhaps most importantly, we find instead of inheriting parameters from expensive pre-trained GANs, directly training sparse GANs from scratch can be a much more efficient solution. For example, only training with a 80% sparse generator and a 70% sparse discriminator, our method can achieve even better performance than the dense BigGAN.</t>
  </si>
  <si>
    <t>[Liu, Shiwei] Eindhoven Univ Technol, Comp Sci, Groene Loper 5, NL-5612AZ Eindhoven, Netherlands; [Tian, Yuesong] Zhejiang Univ, Coll Biomed Engn &amp; Instrument Sci, Zheda Rd, Hangzhou 310000, Zhejiang, Peoples R China; [Chen, Tianlong] Univ Texas Austin, Elect &amp; Comp Engn, 2501 Speedway, Austin, TX 78712 USA; [Shen, Li] JD Explore Acad, Beijing, Peoples R China</t>
  </si>
  <si>
    <t>Eindhoven University of Technology; Zhejiang University; University of Texas System; University of Texas Austin</t>
  </si>
  <si>
    <t>Shen, L (corresponding author), JD Explore Acad, Beijing, Peoples R China.</t>
  </si>
  <si>
    <t>s.liu3@tue.nl; tianys163@gmail.com; tianlong.chen@utexas.edu; mathshenli@gmail.com</t>
  </si>
  <si>
    <t>Shen, Li/AEZ-9528-2022</t>
  </si>
  <si>
    <t>Shen, Li/0000-0001-5659-3464</t>
  </si>
  <si>
    <t>Science and Technology Innovation 2030-Brain Science and Brain-like Research Major Project [2021ZD0201402, 2021ZD0201405]; NSF AI Institute for Foundations of Machine Learning (IFML); SURF Cooperative [NWO2021.060]</t>
  </si>
  <si>
    <t>Science and Technology Innovation 2030-Brain Science and Brain-like Research Major Project; NSF AI Institute for Foundations of Machine Learning (IFML)(National Science Foundation (NSF)); SURF Cooperative</t>
  </si>
  <si>
    <t>Li Shen is supported by Science and Technology Innovation 2030-Brain Science and Brain-like Research Major Project (No. 2021ZD0201402 and No. 2021ZD0201405). Shiwei Liu is in part supported by the NSF AI Institute for Foundations of Machine Learning (IFML). Part of this work used the Dutch national e-infrastructure with the support of the SURF Cooperative using Grant No. NWO2021.060.</t>
  </si>
  <si>
    <t>0920-5691</t>
  </si>
  <si>
    <t>1573-1405</t>
  </si>
  <si>
    <t>INT J COMPUT VISION</t>
  </si>
  <si>
    <t>Int. J. Comput. Vis.</t>
  </si>
  <si>
    <t>10.1007/s11263-023-01824-8</t>
  </si>
  <si>
    <t>P2AZ5</t>
  </si>
  <si>
    <t>WOS:001013157000002</t>
  </si>
  <si>
    <t>Anker, AS; Butler, KT; Le, MD; Perring, TG; Thiyagalingam, J</t>
  </si>
  <si>
    <t>Anker, Andy S.; Butler, Keith T.; Le, Manh Duc; Perring, Toby G.; Thiyagalingam, Jeyan</t>
  </si>
  <si>
    <t>Using generative adversarial networks to match experimental and simulated inelastic neutron scattering data</t>
  </si>
  <si>
    <t>Supervised machine learning (ML) models are frequently trained on large datasets of physics-based simulations with the aim of being applied to experimental data. However, ML models trained on simulated data often struggle to perform on experimental data, because there is a shift in the data caused by experimental effects that might be challenging to simulate. We introduce Exp2SimGAN, an unsupervised image-to-image ML model to match simulated and experimental data. Ideally, training Exp2SimGAN only requires a set of experimental data and a set of (not necessarily corresponding) simulated data. Once trained, it can convert a simulated dataset into one that resembles an experiment, and vice versa. We trained Exp2SimGAN on simulated resolution convolved and unconvolved INS spectra. Consequently, Exp2SimGAN can perform a resolution convolution and deconvolution of simulated two- and three-dimensional INS spectra. We demonstrate that this is sufficient for Exp2SimGAN to match simulated and experimental INS data, enabling the analysis of experimental INS data using supervised ML, which was previously not possible. Finally, we provide a domain of application measure for Exp2SimGAN, allowing us to assess the likelihood that Exp2SimGAN will be successful on a specific dataset. Exp2SimGAN is a step towards the analysis of experimental data using supervised ML models trained on physics-based simulations. Exp2SimGAN is an unsupervised image-to-image machine learning model that converts simulated data into experimental-like data, and vice versa.</t>
  </si>
  <si>
    <t>[Anker, Andy S.] Univ Copenhagen, Nanosci Ctr, Copenhagen, Denmark; [Anker, Andy S.] Univ Copenhagen, Dept Chem, Copenhagen, Denmark; [Butler, Keith T.; Thiyagalingam, Jeyan] Rutherford Appleton Lab, Sci Comp Dept, Chilton, England; [Le, Manh Duc; Perring, Toby G.] Rutherford Appleton Lab, ISIS Neutron &amp; Muon Source, Chilton, England</t>
  </si>
  <si>
    <t>University of Copenhagen; University of Copenhagen; UK Research &amp; Innovation (UKRI); Science &amp; Technology Facilities Council (STFC); STFC Rutherford Appleton Laboratory; UK Research &amp; Innovation (UKRI); Science &amp; Technology Facilities Council (STFC); STFC Rutherford Appleton Laboratory</t>
  </si>
  <si>
    <t>Anker, AS (corresponding author), Univ Copenhagen, Nanosci Ctr, Copenhagen, Denmark.;Anker, AS (corresponding author), Univ Copenhagen, Dept Chem, Copenhagen, Denmark.;Butler, KT (corresponding author), Rutherford Appleton Lab, Sci Comp Dept, Chilton, England.</t>
  </si>
  <si>
    <t>andy@chem.ku.dk; k.butler@qmul.ac.uk</t>
  </si>
  <si>
    <t>; Le, Manh Duc/D-9901-2011</t>
  </si>
  <si>
    <t>Anker, Andy Sode/0000-0002-7403-6642; Le, Manh Duc/0000-0003-3012-6053</t>
  </si>
  <si>
    <t>Augustinus Foundation; Fabrikant Vilhelm Pedersen og hustrus Foundation; Haynmann Foundation; Henry og Mary Skovs Foundation; Knud Hojgaard Foundation; Thomas B. Thriges Foundation; Viet Jacobsen Foundation; UKRI Strategic Priorities Fund under the EPSRC [EP/T001569/1]; Alan Turing Institute</t>
  </si>
  <si>
    <t>Augustinus Foundation; Fabrikant Vilhelm Pedersen og hustrus Foundation; Haynmann Foundation; Henry og Mary Skovs Foundation; Knud Hojgaard Foundation; Thomas B. Thriges Foundation; Viet Jacobsen Foundation; UKRI Strategic Priorities Fund under the EPSRC(UK Research &amp; Innovation (UKRI)Engineering &amp; Physical Sciences Research Council (EPSRC)); Alan Turing Institute</t>
  </si>
  <si>
    <t>ASA would like to thank the Augustinus Foundation, the Fabrikant Vilhelm Pedersen og hustrus Foundation, the Haynmann Foundation, the Henry og Mary Skovs Foundation, the Knud Hojgaard Foundation, the Thomas B. Thriges Foundation, and the Viet Jacobsen Foundation for financial support to this research project. This work was partially supported by wave 1 of the UKRI Strategic Priorities Fund under the EPSRC (Grant No. EP/T001569/1), particularly the AI for Science theme within that grant and The Alan Turing Institute. The simulated datasets were generated using computing resources provided by STFC Scienti.c Computing Department's SCARF cluster. Exp2SimGAN was trained using computing resources provided by STFC Scienti.c Computing Department's PEARL cluster. TGP thanks collaborators A. T. Boothroyd and D. Prabhakaran in ref. 43 for their permission to use the PCSMO experimental datasets.</t>
  </si>
  <si>
    <t>JUN 12</t>
  </si>
  <si>
    <t>10.1039/d2dd00147k</t>
  </si>
  <si>
    <t>X9XY2</t>
  </si>
  <si>
    <t>WOS:001101915800001</t>
  </si>
  <si>
    <t>Muroga, S; Miki, Y; Hata, K</t>
  </si>
  <si>
    <t>Muroga, Shun; Miki, Yasuaki; Hata, Kenji</t>
  </si>
  <si>
    <t>A Comprehensive and Versatile Multimodal Deep-Learning Approach for Predicting Diverse Properties of Advanced Materials</t>
  </si>
  <si>
    <t>artificial intelligence; composite materials; generative model; materials informatics; multimodal deep learning</t>
  </si>
  <si>
    <t>MULTIOBJECTIVE OPTIMIZATION</t>
  </si>
  <si>
    <t>A multimodal deep-learning (MDL) framework is presented for predicting physical properties of a ten-dimensional acrylic polymer composite material by merging physical attributes and chemical data. The MDL model comprises four modules, including three generative deep-learning models for material structure characterization and a fourth model for property prediction. The approach handles an 18-dimensional complexity, with ten compositional inputs and eight property outputs, successfully predicting 913 680 property data points across 114 210 composition conditions. This level of complexity is unprecedented in computational materials science, particularly for materials with undefined structures. A framework is proposed to analyze the high-dimensional information space for inverse material design, demonstrating flexibility and adaptability to various materials and scales, provided sufficient data are available. This study advances future research on different materials and the development of more sophisticated models, drawing the authors closer to the ultimate goal of predicting all properties of all materials.</t>
  </si>
  <si>
    <t>[Muroga, Shun; Miki, Yasuaki; Hata, Kenji] Natl Inst Adv Ind Sci &amp; Technol, Nano Carbon Device Res Ctr, Tsukuba Cent 5,1-1-1 Higashi, Tsukuba, Ibaraki 3058565, Japan</t>
  </si>
  <si>
    <t>National Institute of Advanced Industrial Science &amp; Technology (AIST)</t>
  </si>
  <si>
    <t>Hata, K (corresponding author), Natl Inst Adv Ind Sci &amp; Technol, Nano Carbon Device Res Ctr, Tsukuba Cent 5,1-1-1 Higashi, Tsukuba, Ibaraki 3058565, Japan.</t>
  </si>
  <si>
    <t>kenji-hata@aist.go.jp</t>
  </si>
  <si>
    <t>Muroga, Shun/0000-0002-6330-0436</t>
  </si>
  <si>
    <t>New Energy and Industrial Technology Development Organization (NEDO) [JPNP16010]</t>
  </si>
  <si>
    <t>New Energy and Industrial Technology Development Organization (NEDO)(New Energy and Industrial Technology Development Organization (NEDO))</t>
  </si>
  <si>
    <t>The authors appreciate Dr. Toshiya Okazaki, Dr. Don N. Futaba, Dr. Hiroshi Morita, Dr. Takashi Honda, Mrs. Kaori Tatsumi, Mrs. Megumi Terauchi, Mrs. Maiko Nihei, and Mr. Tomohisa Hayashida, for their supports. The authors also appreciate Daicel allnex Corporation for providing the materials. Computational resource of AI Bridging Cloud Infrastructure (ABCI) provided by the National Institute of Advanced Industrial Science and Technology (AIST) was used. This work was supported by a project (JPNP16010) commissioned by the New Energy and Industrial Technology Development Organization (NEDO).</t>
  </si>
  <si>
    <t>AUG 25</t>
  </si>
  <si>
    <t>10.1002/advs.202302508</t>
  </si>
  <si>
    <t>GN6Y1</t>
  </si>
  <si>
    <t>WOS:001016062500001</t>
  </si>
  <si>
    <t>Patrinos, GP; Sarhangi, N; Sarrami, B; Khodayari, N; Larijani, B; Hasanzad, M</t>
  </si>
  <si>
    <t>Patrinos, George P.; Sarhangi, Negar; Sarrami, Behnaz; Khodayari, Nazli; Larijani, Bagher; Hasanzad, Mandana</t>
  </si>
  <si>
    <t>Using ChatGPT to predict the future of personalized medicine</t>
  </si>
  <si>
    <t>PHARMACOGENOMICS JOURNAL</t>
  </si>
  <si>
    <t>Personalized medicine is a novel frontier in health care that is based on each person's unique genetic makeup. It represents an exciting opportunity to improve the future of individualized health care for all individuals. Pharmacogenomics, as the main part of personalized medicine, aims to optimize and create a more targeted treatment approach based on genetic variations in drug response. It is predicted that future treatments will be algorithm-based instead of evidence-based that will consider a patient's genetic, transcriptomic, proteomic, epigenetic, and lifestyle factors resulting in individualized medication. A generative pretrained transformer (GPT) is an artificial intelligence (AI) tool that generates language resembling human-like writing enabling users to engage in a manner that is practically identical to speaking with a human being. GPT's predictive algorithms can respond to questions that have never been addressed. Chat Generative Pretrained Transformer (ChatGPT) is an AI chatbot's advanced with conversational capabilities. In the present study, questions were asked from ChatGPT about the future of personalized medicine and pharmacogenomics. ChatGPT predicted both to be a promising approach with a bright future that holds great promises in improving patient outcomes and transforming the field of medicine. But it still has several limitations that need to be solved.</t>
  </si>
  <si>
    <t>[Patrinos, George P.] Univ Patras, Sch Hlth Sci, Dept Pharm, Patras 26504, Greece; [Patrinos, George P.] United Arab Emirates Univ, Coll Med &amp; Hlth Sci, Dept Genet &amp; Genom, POB 15551, Al Ain, U Arab Emirates; [Patrinos, George P.] United Arab Emirates Univ, Zayed Ctr Hlth Sci, POB 15551, Al Ain, U Arab Emirates; [Sarhangi, Negar; Hasanzad, Mandana] Univ Tehran Med Sci, Endocrinol &amp; Metab Clin Sci Inst, Personalized Med Res Ctr, Tehran 1411713119, Iran; [Sarrami, Behnaz] Missouri Pharmacogen Consulting, St Louis, MO 63011 USA; [Khodayari, Nazli] Univ Florida, Dept Med, Div Pulm Crit Care &amp; Sleep Med, Gainesville, FL 32610 USA; [Larijani, Bagher] Univ Tehran Med Sci, Endocrinol &amp; Metab Clin Sci Inst, Endocrinol &amp; Metab Res Ctr, Tehran 1411713119, Iran; [Hasanzad, Mandana] Islamic Azad Univ, Med Genom Res Ctr, Tehran Med Sci, Tehran 193951459, Iran</t>
  </si>
  <si>
    <t>University of Patras; United Arab Emirates University; United Arab Emirates University; Tehran University of Medical Sciences; State University System of Florida; University of Florida; Tehran University of Medical Sciences; Islamic Azad University</t>
  </si>
  <si>
    <t>Hasanzad, M (corresponding author), Univ Tehran Med Sci, Endocrinol &amp; Metab Clin Sci Inst, Personalized Med Res Ctr, Tehran 1411713119, Iran.;Hasanzad, M (corresponding author), Islamic Azad Univ, Med Genom Res Ctr, Tehran Med Sci, Tehran 193951459, Iran.</t>
  </si>
  <si>
    <t>mandanahasanzad@yahoo.com</t>
  </si>
  <si>
    <t>Patrinos, George/C-2845-2009</t>
  </si>
  <si>
    <t>Patrinos, George/0000-0002-0519-7776; Hasanzad, Mandana/0000-0002-0538-1135</t>
  </si>
  <si>
    <t>1470-269X</t>
  </si>
  <si>
    <t>1473-1150</t>
  </si>
  <si>
    <t>PHARMACOGENOMICS J</t>
  </si>
  <si>
    <t>Pharmacogenomics J.</t>
  </si>
  <si>
    <t>10.1038/s41397-023-00316-9</t>
  </si>
  <si>
    <t>Genetics &amp; Heredity; Pharmacology &amp; Pharmacy</t>
  </si>
  <si>
    <t>Y4MW4</t>
  </si>
  <si>
    <t>WOS:001079215900001</t>
  </si>
  <si>
    <t>Fowler, T; Pullen, S; Birkett, L</t>
  </si>
  <si>
    <t>Fowler, Thomas; Pullen, Simon; Birkett, Liam</t>
  </si>
  <si>
    <t>Performance of ChatGPT and Bard on the official part 1 FRCOphth practice questions</t>
  </si>
  <si>
    <t>BRITISH JOURNAL OF OPHTHALMOLOGY</t>
  </si>
  <si>
    <t>Medical Education</t>
  </si>
  <si>
    <t>BackgroundChat Generative Pre-trained Transformer (ChatGPT), a large language model by OpenAI, and Bard, Google's artificial intelligence (AI) chatbot, have been evaluated in various contexts. This study aims to assess these models' proficiency in the part 1 Fellowship of the Royal College of Ophthalmologists (FRCOphth) Multiple Choice Question (MCQ) examination, highlighting their potential in medical education.MethodsBoth models were tested on a sample question bank for the part 1 FRCOphth MCQ exam. Their performances were compared with historical human performance on the exam, focusing on the ability to comprehend, retain and apply information related to ophthalmology. We also tested it on the book 'MCQs for FRCOpth part 1', and assessed its performance across subjects.ResultsChatGPT demonstrated a strong performance, surpassing historical human pass marks and examination performance, while Bard underperformed. The comparison indicates the potential of certain AI models to match, and even exceed, human standards in such tasks.ConclusionThe results demonstrate the potential of AI models, such as ChatGPT, in processing and applying medical knowledge at a postgraduate level. However, performance varied among different models, highlighting the importance of appropriate AI selection. The study underlines the potential for AI applications in medical education and the necessity for further investigation into their strengths and limitations.</t>
  </si>
  <si>
    <t>[Fowler, Thomas] Barking Havering &amp; Redbridge Univ Hosp NHS Trust, Dept Med, London, England; [Pullen, Simon] Princess Alexandra Hosp, Dept Anaesthet, Harlow, England; [Birkett, Liam] Royal Free Hosp, Emergency Med, London, England; [Fowler, Thomas] Barking Havering &amp; Redbridge Univ Hosp NHS Trust, London, England</t>
  </si>
  <si>
    <t>Princess Alexandra Hospital NHS Trust; University of London; University College London; Royal Free London NHS Foundation Trust; UCL Medical School</t>
  </si>
  <si>
    <t>Fowler, T (corresponding author), Barking Havering &amp; Redbridge Univ Hosp NHS Trust, London, England.</t>
  </si>
  <si>
    <t>thomas.fowler6@nhs.net</t>
  </si>
  <si>
    <t>Birkett, Liam/0000-0002-0696-3794; Fowler, Thomas/0009-0003-9166-1954</t>
  </si>
  <si>
    <t>We would like to acknowledge OpenAI for providing access to the ChatGPT model and the memorisation effects Levenshtein detector (MELD) algorithm, which were used in this study.</t>
  </si>
  <si>
    <t>BMJ PUBLISHING GROUP</t>
  </si>
  <si>
    <t>BRITISH MED ASSOC HOUSE, TAVISTOCK SQUARE, LONDON WC1H 9JR, ENGLAND</t>
  </si>
  <si>
    <t>0007-1161</t>
  </si>
  <si>
    <t>1468-2079</t>
  </si>
  <si>
    <t>BRIT J OPHTHALMOL</t>
  </si>
  <si>
    <t>Br. J. Ophthalmol.</t>
  </si>
  <si>
    <t>2023 NOV 6</t>
  </si>
  <si>
    <t>10.1136/bjo-2023-324091</t>
  </si>
  <si>
    <t>X3OG6</t>
  </si>
  <si>
    <t>WOS:001097575500001</t>
  </si>
  <si>
    <t>Orzari, B; Chernyavskaya, N; Cobe, R; Duarte, J; Fialho, J; Gunopulos, D; Kansal, R; Pierini, M; Tomei, T; Touranakou, M</t>
  </si>
  <si>
    <t>Orzari, Breno; Chernyavskaya, Nadezda; Cobe, Raphael; Duarte, Javier; Fialho, Jefferson; Gunopulos, Dimitrios; Kansal, Raghav; Pierini, Maurizio; Tomei, Thiago; Touranakou, Mary</t>
  </si>
  <si>
    <t>LHC hadronic jet generation using convolutional variational autoencoders with normalizing flows</t>
  </si>
  <si>
    <t>MACHINE LEARNING-SCIENCE AND TECHNOLOGY</t>
  </si>
  <si>
    <t>generative models; particle physics; high energy physics; hyperparameter tuning</t>
  </si>
  <si>
    <t>In high energy physics, one of the most important processes for collider data analysis is the comparison of collected and simulated data. Nowadays the state-of-the-art for data generation is in the form of Monte Carlo (MC) generators. However, because of the upcoming high-luminosity upgrade of the Large Hadron Collider (LHC), there will not be enough computational power or time to match the amount of needed simulated data using MC methods. An alternative approach under study is the usage of machine learning generative methods to fulfill that task. Since the most common final-state objects of high-energy proton collisions are hadronic jets, which are collections of particles collimated in a given region of space, this work aims to develop a convolutional variational autoencoder (ConVAE) for the generation of particle-based LHC hadronic jets. Given the ConVAE's limitations, a normalizing flow (NF) network is coupled to it in a two-step training process, which shows improvements on the results for the generated jets. The ConVAE+NF network is capable of generating a jet in 18.30 +/- 0.04 mu s , making it one of the fastest methods for this task up to now.</t>
  </si>
  <si>
    <t>[Orzari, Breno; Cobe, Raphael; Fialho, Jefferson; Tomei, Thiago] Univ Estadual Paulista, BR-01049010 Sao Paulo, SP, Brazil; [Chernyavskaya, Nadezda; Pierini, Maurizio; Touranakou, Mary] European Org Nucl Res CERN, CH-1211 Geneva 23, Switzerland; [Duarte, Javier; Kansal, Raghav] Univ Calif San Diego, La Jolla, CA 92093 USA; [Gunopulos, Dimitrios; Touranakou, Mary] Natl &amp; Kapodistrian Univ Athens, Dept Informat &amp; Telecommun, Athens 15772, Greece</t>
  </si>
  <si>
    <t>Universidade Estadual Paulista; European Organization for Nuclear Research (CERN); University of California System; University of California San Diego; National &amp; Kapodistrian University of Athens</t>
  </si>
  <si>
    <t>Orzari, B (corresponding author), Univ Estadual Paulista, BR-01049010 Sao Paulo, SP, Brazil.</t>
  </si>
  <si>
    <t>breno.orzari@cern.ch</t>
  </si>
  <si>
    <t>Duarte, Javier Mauricio/AAA-5414-2020; Fernandez Perez Tomei, Thiago Rafael/E-7091-2012; Chernyavskaya, Nadezda/F-2161-2015</t>
  </si>
  <si>
    <t>Duarte, Javier Mauricio/0000-0002-5076-7096; Fernandez Perez Tomei, Thiago Rafael/0000-0002-1809-5226; Cobe, Raphael/0000-0002-0852-2183; Gunopulos, Dimitrios/0000-0001-6339-1879; Chernyavskaya, Nadezda/0000-0002-2264-2229; Kansal, Raghav/0000-0003-2445-1060</t>
  </si>
  <si>
    <t>B O, J F, R C and T T are supported by Grant 2018/25225-9, So Paulo Research Foundation (FAPESP). B O was also partially supported by Grants 2019/16401-0 and 2020/06600-3, So Paulo Research Foundation (FAPESP). R C and T T were also partial [2018/25225-9]; So Paulo Research Foundation (FAPESP) [2019/16401-0]; IRIS-HEP fellowship through the U.S. National Science Foundation (NSF); LHC Physics Center at Fermi National Accelerator Laboratory [2020/06600-3]; DOE, Office of Science, Office of High Energy Physics Early Career Research program; DOE, Office of Advanced Scientific Computing Research [OAC-1836650, DE-AC02-07CH11359]; NSF HDR Institute for Accelerating AI Algorithms for Data Driven Discovery [DE-SC0021187, DE-SC0021396]; European Research Council (ERC) under the European Union [FAIR4HEP]; Sao Paulo Research Foundation (FAPESP) [A3D3, OAC-2117997]; EU; IRIS-HEP fellowship through the U.S. National Science Foundation (NSF) [2018/25225-9, 2019/16401-0, 2020/06600-3, 2022/02950-5]; LHC Physics Center at Fermi National Accelerator Laboratory [OAC-1836650]; U.S. Department of Energy (DOE); DOE, Office of Science, Office of High Energy Physics Early Career Research; DOE, Office of Advanced Scientific Computing Research [DE-SC0021187]; NSF HDR Institute for Accelerating AI Algorithms for Data Driven Discovery [DE-SC0021396, FAIR4HEP]; EU [772369]; [ICT-48 2020]; [952215]</t>
  </si>
  <si>
    <t>B O, J F, R C and T T are supported by Grant 2018/25225-9, So Paulo Research Foundation (FAPESP). B O was also partially supported by Grants 2019/16401-0 and 2020/06600-3, So Paulo Research Foundation (FAPESP). R C and T T were also partial; So Paulo Research Foundation (FAPESP)(Fundacao de Amparo a Pesquisa do Estado de Sao Paulo (FAPESP)); IRIS-HEP fellowship through the U.S. National Science Foundation (NSF)(National Science Foundation (NSF)); LHC Physics Center at Fermi National Accelerator Laboratory; DOE, Office of Science, Office of High Energy Physics Early Career Research program(United States Department of Energy (DOE)); DOE, Office of Advanced Scientific Computing Research(United States Department of Energy (DOE)); NSF HDR Institute for Accelerating AI Algorithms for Data Driven Discovery; European Research Council (ERC) under the European Union(European Research Council (ERC)); Sao Paulo Research Foundation (FAPESP)(Fundacao de Amparo a Pesquisa do Estado de Sao Paulo (FAPESP)); EU(European Union (EU)); IRIS-HEP fellowship through the U.S. National Science Foundation (NSF)(National Science Foundation (NSF)); LHC Physics Center at Fermi National Accelerator Laboratory; U.S. Department of Energy (DOE)(United States Department of Energy (DOE)); DOE, Office of Science, Office of High Energy Physics Early Career Research(United States Department of Energy (DOE)); DOE, Office of Advanced Scientific Computing Research(United States Department of Energy (DOE)); NSF HDR Institute for Accelerating AI Algorithms for Data Driven Discovery; EU(European Union (EU)); ;</t>
  </si>
  <si>
    <t>B O, J F, R C and T T are supported by Grant 2018/25225-9, Sao Paulo Research Foundation (FAPESP). B O was also partially supported by Grants 2019/16401-0 and 2020/06600-3, Sao Paulo Research Foundation (FAPESP). R C and T T were also partially supported by Grant 2022/02950-5, Sao Paulo Research Foundation (FAPESP). R K was partially supported by an IRIS-HEP fellowship through the U.S. National Science Foundation (NSF) under Cooperative Agreement OAC-1836650. R K was additionally supported by the LHC Physics Center at Fermi National Accelerator Laboratory, managed and operated by Fermi Research Alliance, LLC under Contract No. DE-AC02-07CH11359 with the U.S. Department of Energy (DOE). J D is supported by the DOE, Office of Science, Office of High Energy Physics Early Career Research program under Award No. DE-SC0021187, the DOE, Office of Advanced Scientific Computing Research under Award No. DE-SC0021396 (FAIR4HEP), and the NSF HDR Institute for Accelerating AI Algorithms for Data Driven Discovery (A3D3) under Cooperative Agreement OAC-2117997. M P and M T were supported by the European Research Council (ERC) under the European Union's Horizon 2020 research and innovation program (Grant Agreement No. 772369). D G is partially supported by the EU ICT-48 2020 Project TAILOR (No. 952215).</t>
  </si>
  <si>
    <t>2632-2153</t>
  </si>
  <si>
    <t>MACH LEARN-SCI TECHN</t>
  </si>
  <si>
    <t>Mach. Learn.-Sci. Technol.</t>
  </si>
  <si>
    <t>10.1088/2632-2153/ad04ea</t>
  </si>
  <si>
    <t>Computer Science, Artificial Intelligence; Computer Science, Interdisciplinary Applications; Multidisciplinary Sciences</t>
  </si>
  <si>
    <t>W4KE8</t>
  </si>
  <si>
    <t>Green Submitted, Green Published, gold</t>
  </si>
  <si>
    <t>WOS:001091322000001</t>
  </si>
  <si>
    <t>Clegg, M; Hofstetter, R; de Bellis, E; Schmitt, BH</t>
  </si>
  <si>
    <t>Clegg, Melanie; Hofstetter, Reto; de Bellis, Emanuel; Schmitt, Bernd H.</t>
  </si>
  <si>
    <t>Unveiling the Mind of the Machine</t>
  </si>
  <si>
    <t>JOURNAL OF CONSUMER RESEARCH</t>
  </si>
  <si>
    <t>algorithm; artificial intelligence; generative AI; smart products; mind perception; creativity</t>
  </si>
  <si>
    <t>ARTIFICIAL-INTELLIGENCE; CONSUMER; CREATIVITY; AUTOMATION; TRUST; PERSONALIZATION; INNOVATIVENESS; ALGORITHMS; SYSTEMS; BIAS</t>
  </si>
  <si>
    <t>Previous research has shown that consumers respond differently to decisions made by humans versus algorithms. Many tasks, however, are not performed by humans anymore but entirely by algorithms. In fact, consumers increasingly encounter algorithm-controlled products, such as robotic vacuum cleaners or smart refrigerators, which are steered by different types of algorithms. Building on insights from computer science and consumer research on algorithm perception, this research investigates how consumers respond to different types of algorithms within these products. This research compares high-adaptivity algorithms, which can learn and adapt, versus low-adaptivity algorithms, which are entirely pre-programmed, and explore their impact on consumers' product preferences. Six empirical studies show that, in general, consumers prefer products with high-adaptivity algorithms. However, this preference depends on the desired level of product outcome range-the number of solutions a product is expected to provide within a task or across tasks. The findings also demonstrate that perceived algorithm creativity and predictability drive the observed effects. This research highlights the distinctive role of algorithm types in the perception of consumer goods and reveals the consequences of unveiling the mind of the machine to consumers.</t>
  </si>
  <si>
    <t>[Clegg, Melanie] Vienna Univ Econ &amp; Business, Inst Digital Mkt &amp; Behav Insights, A-1020 Vienna, Austria; [Hofstetter, Reto] Univ Lucerne, Digital Mkt Inst Mkt &amp; Analyt, CH-6002 Luzern, Switzerland; [de Bellis, Emanuel] Univ St Gallen, Inst Behav Sci &amp; Technol, CH-9000 St Gallen, Switzerland; [Schmitt, Bernd H.] Columbia Business Sch, Int Business, New York, NY 10027 USA</t>
  </si>
  <si>
    <t>Vienna University of Economics &amp; Business; University of Lucerne; University of St Gallen; Columbia University</t>
  </si>
  <si>
    <t>Clegg, M (corresponding author), Vienna Univ Econ &amp; Business, Inst Digital Mkt &amp; Behav Insights, A-1020 Vienna, Austria.</t>
  </si>
  <si>
    <t>melanie.clegg@wu.ac.at; eto.hofstetter@unilu.ch; manuel.debellis@unisg.ch; bhs1@gsb.columbia.edu</t>
  </si>
  <si>
    <t>de Bellis, Emanuel/0000-0003-1360-2070</t>
  </si>
  <si>
    <t>0093-5301</t>
  </si>
  <si>
    <t>1537-5277</t>
  </si>
  <si>
    <t>J CONSUM RES</t>
  </si>
  <si>
    <t>J. Consum. Res.</t>
  </si>
  <si>
    <t>10.1093/jcr/ucad075</t>
  </si>
  <si>
    <t>DQ6X3</t>
  </si>
  <si>
    <t>WOS:001133575300001</t>
  </si>
  <si>
    <t>Ashby, T; Webb, B; Knapp, G; Searle, J; Fulda, N</t>
  </si>
  <si>
    <t>Ashby, Trevor; Webb, Braden; Knapp, Gregory; Searle, Jackson; Fulda, Nancy</t>
  </si>
  <si>
    <t>Personalized Quest and Dialogue Generation in Role-Playing Games: A Knowledge Graph- and Language Model-based Approach</t>
  </si>
  <si>
    <t>computational creativity; human-AI co-creativity; human-computer interaction; narrative; GPT-2; large-scale language models; language model; transformers; knowledge graph; World of Warcraft; English; NPC dialogue; procedural content generation; text generation; video games; natural language processing; RPG; MMORPG; quest; quests; dynamic quest generation; knowledge-grounded text generation</t>
  </si>
  <si>
    <t>Procedural content generation (PCG) in video games offers unprecedented opportunities for customization and user engagement. Working within the specialized context of role-playing games (RPGs), we introduce a novel framework for quest and dialogue generation that places the player at the core of the generative process. Drawing on a hand-crafted knowledge base, our method grounds generated content with in-game context while simultaneously employing a large-scale language model to create fluent, unique, accompanying dialogue. Through human evaluation, we confirm that quests generated using this method can approach the performance of hand-crafted quests in terms of fluency, coherence, novelty, and creativity; demonstrate the enhancement to the player experience provided by greater dynamism; and provide a novel, automated metric for the relevance between quest and dialogue. We view our contribution as a critical step toward dynamic, co-creative narrative frameworks in which humans and AI systems jointly collaborate to create unique and user-specific playable experiences.</t>
  </si>
  <si>
    <t>[Ashby, Trevor; Webb, Braden; Knapp, Gregory; Searle, Jackson; Fulda, Nancy] Brigham Young Univ, Provo, UT 84604 USA</t>
  </si>
  <si>
    <t>Brigham Young University</t>
  </si>
  <si>
    <t>Ashby, T (corresponding author), Brigham Young Univ, Provo, UT 84604 USA.</t>
  </si>
  <si>
    <t>trevor.clark.ashby@gmail.com; bkwebb23@byu.edu; gregory.c.knapp@gmail.com; jacksonjaysearle@gmail.com; nfulda@byu.edu</t>
  </si>
  <si>
    <t>, Jackson/0000-0002-6721-2708; Ashby, Trevor/0000-0001-8712-5233; Webb, Braden/0000-0001-5194-7008</t>
  </si>
  <si>
    <t>10.1145/3544548.3581441</t>
  </si>
  <si>
    <t>WOS:001048393805031</t>
  </si>
  <si>
    <t>Shapira, N; Kalinsky, O; Libov, A; Chen, SN; Tolmach, S</t>
  </si>
  <si>
    <t>Kamps, J; Goeuriot, L; Crestani, F; Maistro, M; Joho, H; Davis, B; Gurrin, C; Kruschwitz, U; Caputo, A</t>
  </si>
  <si>
    <t>Shapira, Natalie; Kalinsky, Oren; Libov, Alex; Chen Shani; Tolmach, Sofia</t>
  </si>
  <si>
    <t>Evaluating Humorous Response Generation to Playful Shopping Requests</t>
  </si>
  <si>
    <t>ADVANCES IN INFORMATION RETRIEVAL, ECIR 2023, PT II</t>
  </si>
  <si>
    <t>45th European Conference on Information Retrieval (ECIR)</t>
  </si>
  <si>
    <t>APR 02-06, 2023</t>
  </si>
  <si>
    <t>Dublin City Univ,British Comp Soc, Informat Retrieval Specialist Grp</t>
  </si>
  <si>
    <t>AI assistants are gradually becoming embedded in our lives, utilized for everyday tasks like shopping or music. In addition to the everyday utilization of AI assistants, many users engage them with playful shopping requests, gauging their ability to understand - or simply seeking amusement. However, these requests are often not being responded to in the same playful manner, causing dissatisfaction and even trust issues. In this work, we focus on equipping AI assistants with the ability to respond in a playful manner to irrational shopping requests. We first evaluate several neural generation models, which lead to unsuitable results - showing that this task is non-trivial. We devise a simple, yet effective, solution, that utilizes a knowledge graph to generate template-based responses grounded with commonsense. While the commonsense-aware solution is slightly less diverse than the generative models, it provides better responses to playful requests. This emphasizes the gap in commonsense exhibited by neural language models.</t>
  </si>
  <si>
    <t>[Shapira, Natalie] Bar Ilan Univ, Ramat Gan, Israel; [Kalinsky, Oren; Libov, Alex; Tolmach, Sofia] Amazon Sci, Tel Aviv, Israel; [Chen Shani] Hebrew Univ Jerusalem, Jerusalem, Israel</t>
  </si>
  <si>
    <t>Bar Ilan University; Hebrew University of Jerusalem</t>
  </si>
  <si>
    <t>Shapira, N (corresponding author), Bar Ilan Univ, Ramat Gan, Israel.</t>
  </si>
  <si>
    <t>nd1234@gmail.com; orenk@amazon.com; alibov@amazon.com; Chen.shani@mail.huji.ac.il; sofiato@amazon.com</t>
  </si>
  <si>
    <t>978-3-031-28237-9; 978-3-031-28238-6</t>
  </si>
  <si>
    <t>10.1007/978-3-031-28238-6_53</t>
  </si>
  <si>
    <t>Computer Science, Information Systems; Computer Science, Software Engineering; Computer Science, Theory &amp; Methods</t>
  </si>
  <si>
    <t>BV1RN</t>
  </si>
  <si>
    <t>WOS:000995489700053</t>
  </si>
  <si>
    <t>Sarel, R</t>
  </si>
  <si>
    <t>Sarel, Roee</t>
  </si>
  <si>
    <t>Restraining ChatGPT</t>
  </si>
  <si>
    <t>HASTINGS LAW JOURNAL</t>
  </si>
  <si>
    <t>STRICT LIABILITY; ARTIFICIAL-INTELLIGENCE; NEGLIGENCE; ADVANTAGE; INSURANCE; ROBOTICS; RULES; VIEW; LAW</t>
  </si>
  <si>
    <t>ChatGPT is a prominent example of how Artificial Intelligence (AI) has stormed into our lives. Within a matter of weeks, this new AI-which produces coherent and humanlike textual answers to questions-managed to become an object of both admiration and anxiety. Can we trust generative AI systems, such as ChatGPT, without regulatory oversight? Designing an effective legal framework for AI requires answering three main questions: (i) is there a market failure that requires legal intervention?; (ii) should AI be governed through public regulation, tort liability, or a mixture of both?; and (iii) should liability be based on strict liability or a fault -based regime such as negligence? Law and economics literature offers clear considerations for these choices, focusing on the incentives of injurers and victims to take precautions, engage in efficient activity levels, and acquire information. This Article is the first to comprehensively apply these considerations to ChatGPT as a leading test case. As the United States is lagging in its response to the AI revolution, I focus on the recent proposals in the European Union to restrain AI systems, which apply a risk -based approach and combine regulation and liability. The analysis reveals that this approach does not map neatly onto the relevant distinctions in law and economics, such as market failures, unilateral versus bilateral care, and known versus unknown risks. Hence, the existing proposals may lead to various incentive distortions and inefficiencies. This Article, therefore, calls upon regulators to emphasize law and economics concepts in their design of AI policy.</t>
  </si>
  <si>
    <t>[Sarel, Roee] Univ Hamburg, Inst Law &amp; Econ, Hamburg, Germany</t>
  </si>
  <si>
    <t>Sarel, R (corresponding author), Univ Hamburg, Inst Law &amp; Econ, Hamburg, Germany.</t>
  </si>
  <si>
    <t>roee.sarel@uni-hamburg.de</t>
  </si>
  <si>
    <t>UNIV CALIF</t>
  </si>
  <si>
    <t>HASTINGS COLLEGE LAW 200 MCALLISTER ST, SAN FRANCISCO, CA 94102 USA</t>
  </si>
  <si>
    <t>0017-8322</t>
  </si>
  <si>
    <t>HASTINGS LAW J</t>
  </si>
  <si>
    <t>Hastings Law J.</t>
  </si>
  <si>
    <t>KX3H3</t>
  </si>
  <si>
    <t>WOS:001183218800001</t>
  </si>
  <si>
    <t>Cox, GM</t>
  </si>
  <si>
    <t>Cox, Geoffrey M.</t>
  </si>
  <si>
    <t>Artificial Intelligence and the Aims of Education: Makers, Managers, or Inforgs?</t>
  </si>
  <si>
    <t>STUDIES IN PHILOSOPHY AND EDUCATION</t>
  </si>
  <si>
    <t>Artificial intelligence; Epistemic agency; Systems thinking</t>
  </si>
  <si>
    <t>The recent appearance of generative artificial intelligence (AI) platforms has been seen by many as disruptive for education. In this paper I attempt to locate the source of tension between educational goals and new information technologies including AI. I argue that this tension arises from new conceptions of epistemic agency that are incompatible with educational aims. I describe three competing theories of epistemic agency which I refer to as Makers, Managers, and Inforgs. I contend that educators are correct in maintaining the first of these, which is rooted in the educational theories of Locke and Dewey, as their main educational purpose. Competing theories do not serve the goals of learners, even as they must prepare for life in a very different epistemic environment.</t>
  </si>
  <si>
    <t>[Cox, Geoffrey M.] Stanford Univ, Grad Sch Educ, Stanford, CA 94305 USA</t>
  </si>
  <si>
    <t>Stanford University</t>
  </si>
  <si>
    <t>Cox, GM (corresponding author), Stanford Univ, Grad Sch Educ, Stanford, CA 94305 USA.</t>
  </si>
  <si>
    <t>gcox@stanford.edu</t>
  </si>
  <si>
    <t>Cox, Geoffrey/0000-0002-8715-5501</t>
  </si>
  <si>
    <t>0039-3746</t>
  </si>
  <si>
    <t>1573-191X</t>
  </si>
  <si>
    <t>STUD PHILOS EDUC</t>
  </si>
  <si>
    <t>Stud. Philos. Educ.</t>
  </si>
  <si>
    <t>10.1007/s11217-023-09907-2</t>
  </si>
  <si>
    <t>Education &amp; Educational Research; Philosophy</t>
  </si>
  <si>
    <t>GC2X0</t>
  </si>
  <si>
    <t>WOS:001103773600001</t>
  </si>
  <si>
    <t>Brocki, L; Dyer, GC; Gladka, A; Chung, NC</t>
  </si>
  <si>
    <t>Ooi, BC; Byun, H; Tanaka, K; Lee, SW; Li, Z; Nadamoto, A; Song, G; Ha, YG; Sumiya, K; Yuncheng, W; Kwon, HY; Yamamoto, T</t>
  </si>
  <si>
    <t>Brocki, Lennart; Dyer, George C.; Gladka, Anna; Chung, Neo Christopher</t>
  </si>
  <si>
    <t>Deep Learning Mental Health Dialogue System</t>
  </si>
  <si>
    <t>2023 IEEE INTERNATIONAL CONFERENCE ON BIG DATA AND SMART COMPUTING, BIGCOMP</t>
  </si>
  <si>
    <t>International Conference on Big Data and Smart Computing</t>
  </si>
  <si>
    <t>IEEE International Conference on Big Data and Smart Computing (BigComp)</t>
  </si>
  <si>
    <t>FEB 13-16, 2023</t>
  </si>
  <si>
    <t>Jeju, SOUTH KOREA</t>
  </si>
  <si>
    <t>IEEE,IEEE Comp Soc,Korean Inst Informat Scientists &amp; Engineers</t>
  </si>
  <si>
    <t>Deep Learning; Artificial Intelligence; Transformers; Mental Health; Chatbot; Dialogue System</t>
  </si>
  <si>
    <t>COGNITIVE-BEHAVIORAL THERAPY</t>
  </si>
  <si>
    <t>Mental health counseling remains a major challenge in modern society due to cost, stigma, fear, and unavailability. We posit that generative artificial intelligence (AI) models designed for mental health counseling could help improve outcomes by lowering barriers to access. To this end, we have developed a deep learning (DL) dialogue system called Serena. The system consists of a core generative model and post-processing algorithms. The core generative model is a 2.7 billion parameter Seq2Seq Transformer [26] fine-tuned on thousands of transcripts of person-centered-therapy (PCT) sessions. The series of post-processing algorithms detects contradictions, improves coherency, and removes repetitive answers. Serena is implemented and deployed on https://serena.chat, which currently offers limited free services. While the dialogue system is capable of responding in a qualitatively empathetic and engaging manner, occasionally it displays hallucination and long-term incoherence. Overall, we demonstrate that a deep learning mental health dialogue system has the potential to provide a low-cost and effective complement to traditional human counselors with less barriers to access.</t>
  </si>
  <si>
    <t>[Brocki, Lennart; Chung, Neo Christopher] Univ Warsaw, Inst Informat, Warsaw, Poland; [Dyer, George C.] Demiteris, Wroclaw, Poland; [Gladka, Anna] Wroclaw Med Univ, Dept Psychiat, Wroclaw, Poland</t>
  </si>
  <si>
    <t>University of Warsaw; Wroclaw Medical University</t>
  </si>
  <si>
    <t>Brocki, L (corresponding author), Univ Warsaw, Inst Informat, Warsaw, Poland.</t>
  </si>
  <si>
    <t>brocki.lennart@gmail.com; georgecdyer@gmail.com; agladka@gmail.com; nchchung@gmail.com</t>
  </si>
  <si>
    <t>Chung, Neo Christopher/0000-0001-6798-8867</t>
  </si>
  <si>
    <t>Interdisciplinary Centre for Mathematical and Computational Modelling University of Warsaw (ICM UW) [GDM-3540]; NVIDIA Corporation's GPU grant; Google Cloud Research Innovators program; National Science Centre (NCN) of Poland [2020/02/Y/ST6/00071]; CHISTERA grant [CHIST-ERA-19-XAI-007]</t>
  </si>
  <si>
    <t>Interdisciplinary Centre for Mathematical and Computational Modelling University of Warsaw (ICM UW); NVIDIA Corporation's GPU grant; Google Cloud Research Innovators program; National Science Centre (NCN) of Poland(National Science Centre, Poland); CHISTERA grant</t>
  </si>
  <si>
    <t>This research was carried out with the support of the Interdisciplinary Centre for Mathematical and Computational Modelling University of Warsaw (ICM UW) under computational allocation no GDM-3540; the NVIDIA Corporation's GPU grant; and the Google Cloud Research Innovators program. LB and NCC are partially supported by by National Science Centre (NCN) of Poland [2020/02/Y/ST6/00071], the CHISTERA grant [CHIST-ERA-19-XAI-007].</t>
  </si>
  <si>
    <t>2375-933X</t>
  </si>
  <si>
    <t>978-1-6654-7578-5</t>
  </si>
  <si>
    <t>INT CONF BIG DATA</t>
  </si>
  <si>
    <t>10.1109/BigComp57234.2023.00097</t>
  </si>
  <si>
    <t>BV0YN</t>
  </si>
  <si>
    <t>WOS:000981866800088</t>
  </si>
  <si>
    <t>Ferdian, E; Zhao, D; Talou, GDM; Quill, GM; Legget, ME; Doughty, RN; Nash, MP; Young, AA</t>
  </si>
  <si>
    <t>Wolterink, JM; Svoboda, D; Zhao, C; Fernandez, V</t>
  </si>
  <si>
    <t>Ferdian, Edward; Zhao, Debbie; Talou, Gonzalo D. Maso; Quill, Gina M.; Legget, Malcolm E.; Doughty, Robert N.; Nash, Martyn P.; Young, Alistair A.</t>
  </si>
  <si>
    <t>DIFF•3: A Latent Diffusion Model for the Generation of Synthetic 3D Echocardiographic Images and Corresponding Labels</t>
  </si>
  <si>
    <t>SIMULATION AND SYNTHESIS IN MEDICAL IMAGING, SASHIMI 2023</t>
  </si>
  <si>
    <t>8th International Workshop on Simulation and Synthesis in Medical Imaging (SASHIMI)</t>
  </si>
  <si>
    <t>OCT 08, 2023</t>
  </si>
  <si>
    <t>Latent diffusion; 3D echocardiography; Deep learning; Generative AI; Synthetic data</t>
  </si>
  <si>
    <t>ULTRASOUND</t>
  </si>
  <si>
    <t>Large amounts of labelled data are typically needed to develop robust deep learning methods for medical image analysis. However, issues related to the high costs of acquisition, time-consuming analysis, and patient privacy, have limited the number of publicly available datasets. Recently, latent diffusion models have been employed to generate synthetic data in several fields. Compared to other imaging modalities, the manipulation of 3D echocardiograms is particularly challenging due to the higher dimensionality and complex noise characteristics, and lack of objective ground truth. We present DIFF center dot 3, a latent diffusion model for synthesizing realistic 3D echocardiograms with high-quality labels from matching cardiovascular magnetic resonance imaging (CMR) scans. Using in vivo 3D echocardiograms from 134 participants and corresponding registered labels derived from CMR, source images and labels are initially compressed by a variational autoencoder, followed by diffusion in the latent space. Synthetic datasets were subsequently generated by randomly sampling from the latent distribution, and evaluated in terms of fidelity and diversity. DIFF center dot 3 may provide an effective and more efficient means of generating labelled 3D echocardiograms to supplement real patient data.</t>
  </si>
  <si>
    <t>[Ferdian, Edward; Zhao, Debbie; Talou, Gonzalo D. Maso; Quill, Gina M.; Nash, Martyn P.] Univ Auckland, Auckland Bioengn Inst, Auckland, New Zealand; [Ferdian, Edward] Telkom Univ, Fac Informat, Bandung, Indonesia; [Legget, Malcolm E.; Doughty, Robert N.] Univ Auckland, Dept Med, Auckland, New Zealand; [Doughty, Robert N.] Auckland City Hosp, Green Lane Cardiovasc Serv, Auckland, New Zealand; [Nash, Martyn P.] Univ Auckland, Dept Engn Sci &amp; Biomed Engn, Auckland, New Zealand; [Young, Alistair A.] Kings Coll London, Sch Biomed Engn &amp; Imaging Sci, London, England</t>
  </si>
  <si>
    <t>University of Auckland; Telkom University; University of Auckland; Auckland City Hospital; University of Auckland; University of London; King's College London</t>
  </si>
  <si>
    <t>Ferdian, E; Zhao, D (corresponding author), Univ Auckland, Auckland Bioengn Inst, Auckland, New Zealand.;Ferdian, E (corresponding author), Telkom Univ, Fac Informat, Bandung, Indonesia.</t>
  </si>
  <si>
    <t>debbie.zhao@auckland.ac.nz</t>
  </si>
  <si>
    <t>Health Research Council of New Zealand [17/608]</t>
  </si>
  <si>
    <t>Health Research Council of New Zealand(Health Research Council of New Zealand)</t>
  </si>
  <si>
    <t>This study was funded by the Health Research Council of New Zealand (programme grant 17/608).</t>
  </si>
  <si>
    <t>978-3-031-44688-7; 978-3-031-44689-4</t>
  </si>
  <si>
    <t>10.1007/978-3-031-44689-4_13</t>
  </si>
  <si>
    <t>Computer Science, Artificial Intelligence; Neuroimaging; Radiology, Nuclear Medicine &amp; Medical Imaging</t>
  </si>
  <si>
    <t>BW1MU</t>
  </si>
  <si>
    <t>WOS:001108272700013</t>
  </si>
  <si>
    <t>Schrum, J; Capps, B; Steckel, K; Volz, V; Risi, S</t>
  </si>
  <si>
    <t>Schrum, Jacob; Capps, Benjamin; Steckel, Kirby; Volz, Vanessa; Risi, Sebastian</t>
  </si>
  <si>
    <t>Hybrid Encoding for Generating Large Scale Game Level Patterns With Local Variations</t>
  </si>
  <si>
    <t>IEEE TRANSACTIONS ON GAMES</t>
  </si>
  <si>
    <t>Games; Generators; Generative adversarial networks; Training; Encoding; Neural networks; Switches; Compositional pattern producing network (CPPN); generative adversarial network (GAN); indirect encoding; procedural content generation via machine learning</t>
  </si>
  <si>
    <t>Generative adversarial networks (GANs) are a powerful indirect genotype-to-phenotype mapping for evolutionary search. Much previous work applying GANs to level generation focuses on fixed-size segments combined into a whole level, but individual segments may not fit together cohesively. In contrast, segments in human designed levels are often repeated, directly or with variation, and organized into patterns (the symmetric eagle in Level 1 of The Legend of Zelda, or repeated pipe motifs in Super Mario Bros.). Such patterns can be produced with compositional pattern producing networks (CPPNs). CPPNs define latent vector GAN inputs as a function of geometry, organizing segments output by a GAN into complete levels. However, collections of latent vectors can also be evolved directly, producing more chaotic levels. We propose a hybrid approach that evolves CPPNs first, but allows latent vectors to evolve later, combining the benefits of both approaches. These approaches are evaluated in Super Mario Bros. and The Legend of Zelda. We previously demonstrated via a quality-diversity algorithm that CPPNs better cover the space of possible levels than directly evolved levels. Here, we show that the hybrid approach first, covers areas that neither of the other methods can, and second, achieves comparable or superior quality diversity (QD) scores.</t>
  </si>
  <si>
    <t>[Schrum, Jacob; Capps, Benjamin; Steckel, Kirby] Southwestern Univ, Georgetown, TX 78626 USA; [Volz, Vanessa; Risi, Sebastian] Modl Ai, DK-2200 Copenhagen, Denmark; [Risi, Sebastian] IT Univ Copenhagen, Ctr Comp Games Res, DK-2300 Copenhagen, Denmark</t>
  </si>
  <si>
    <t>IT University Copenhagen</t>
  </si>
  <si>
    <t>Schrum, J (corresponding author), Southwestern Univ, Georgetown, TX 78626 USA.</t>
  </si>
  <si>
    <t>schrum2@southwestern.edu; cappsb@alumni.southwestern.edu; steckelk@alumni.southwestern.edu; vanessa@modl.ai; sebr@itu.dk</t>
  </si>
  <si>
    <t>Risi, Sebastian/0000-0003-3607-8400; Schrum, Jacob/0000-0002-7315-0515</t>
  </si>
  <si>
    <t>Southwestern University's SCOPE program</t>
  </si>
  <si>
    <t>The authors would like to thank Schloss Dagstuhl and the organizers of Dagstuhl Seminars 17471 and 19511 for productive seminars. They would also like to thank Southwestern University's SCOPE program for supporting this research with undergraduate researchers.</t>
  </si>
  <si>
    <t>2475-1502</t>
  </si>
  <si>
    <t>2475-1510</t>
  </si>
  <si>
    <t>IEEE T GAMES</t>
  </si>
  <si>
    <t>IEEE Trans. Gamres</t>
  </si>
  <si>
    <t>10.1109/TG.2022.3170730</t>
  </si>
  <si>
    <t>AY3S7</t>
  </si>
  <si>
    <t>WOS:001121975100002</t>
  </si>
  <si>
    <t>Peng, YF; Tan, GZ; Si, HW</t>
  </si>
  <si>
    <t>Peng, Yanfei; Tan, Guozhen; Si, Huaiwei</t>
  </si>
  <si>
    <t>RTA-IR: A runtime assurance framework for behavior planning based on imitation learning and responsibility-sensitive safety model</t>
  </si>
  <si>
    <t>EXPERT SYSTEMS WITH APPLICATIONS</t>
  </si>
  <si>
    <t>Runtime assurance framework; Responsibility-sensitive safety model; Generative adversarial imitation learning; Autonomous driving</t>
  </si>
  <si>
    <t>ARCHITECTURE</t>
  </si>
  <si>
    <t>Current research on artificial intelligence (AI) algorithms in safety-critical areas remains extremely challenging due to their inability to be fully verified at design time. In this paper, we propose an RTA-IR architecture, which bypasses the formal verification of the AI algorithm by incorporating runtime assurance (RTA) and provides safety assurances for the AI controllers of complex autonomous vehicles (such as those obtained using neural networks) without excessive performance sacrifice. RTA-IR consists of a high-performance and unproven advanced controller and two verifiable safety controllers and a decision module designed based on the Responsibility Sensitive Safety Model (RSS). The advanced controller is designed based on attention generating adversarial imitation learning(GAIL), which can imitate the efficient policies of experts from a set of expert demonstrations. RSS provides verifiable safety criteria and switching logic for the decision module, and RTA-IR provides safety for autonomous vehicles when the advanced controller produces unsafe control, as well as restoring control of the vehicle by the advanced controller under conditions that confirm safety. We tested and evaluated RTA-IR separately for two levels of traffic density in one driving task. Experiments have shown that RTA-IR exhibits superior performance in terms of both safety and efficiency compared to the baseline method.</t>
  </si>
  <si>
    <t>[Peng, Yanfei; Tan, Guozhen; Si, Huaiwei] Dalian Univ Technol, Sch Comp Sci &amp; Technol, Dalian 116024, Liaoning, Peoples R China</t>
  </si>
  <si>
    <t>Dalian University of Technology</t>
  </si>
  <si>
    <t>Tan, GZ (corresponding author), Dalian Univ Technol, Sch Comp Sci &amp; Technol, Dalian 116024, Liaoning, Peoples R China.</t>
  </si>
  <si>
    <t>yfpeng@mail.dlut.edu.cn; gztan@dlut.edu.cn; sihuawei@mail.dlut.edu.cn</t>
  </si>
  <si>
    <t>Peng, Yanfei/0000-0002-6953-249X</t>
  </si>
  <si>
    <t>National Natural Science Foundation of China; [U1808206]</t>
  </si>
  <si>
    <t>National Natural Science Foundation of China(National Natural Science Foundation of China (NSFC));</t>
  </si>
  <si>
    <t>Acknowledgments This work was supported in part by the National Natural Science Foundation of China under Grant No. U1808206</t>
  </si>
  <si>
    <t>0957-4174</t>
  </si>
  <si>
    <t>1873-6793</t>
  </si>
  <si>
    <t>EXPERT SYST APPL</t>
  </si>
  <si>
    <t>Expert Syst. Appl.</t>
  </si>
  <si>
    <t>10.1016/j.eswa.2023.120824</t>
  </si>
  <si>
    <t>Computer Science, Artificial Intelligence; Engineering, Electrical &amp; Electronic; Operations Research &amp; Management Science</t>
  </si>
  <si>
    <t>Computer Science; Engineering; Operations Research &amp; Management Science</t>
  </si>
  <si>
    <t>P9IM2</t>
  </si>
  <si>
    <t>WOS:001053740400001</t>
  </si>
  <si>
    <t>Hwang, HJ; Kim, H; Seo, JB; Ye, JC; Oh, G; Lee, SM; Jang, R; Yun, JHY; Kim, N; Park, HJ; Lee, HY; Yoon, SH; Shin, KE; Lee, JW; Kwon, W; Sun, JS; You, SL; Chung, MH; Gil, BM; Lim, JK; Lee, YKY; Hong, SJ; Choi, YW</t>
  </si>
  <si>
    <t>Hwang, Hye Jeon; Kim, Hyunjong; Seo, Joon Beom; Ye, Jong Chul; Oh, Gyutaek; Lee, Sang Min; Jang, Ryoungwoo; Yun, Jihye; Kim, Namkug; Park, Hee Jun; Lee, Ho Yun; Yoon, Soon Ho; Shin, Kyung Eun; Lee, Jae Wook; Kwon, Woocheol; Sun, Joo Sung; You, Seulgi; Chung, Myung Hee; Gil, Bo Mi; Lim, Jae-Kwang; Lee, Youkyung; Hong, Su Jin; Choi, Yo Won</t>
  </si>
  <si>
    <t>Generative Adversarial Network-Based Image Conversion Among Different Computed Tomography Protocols and Vendors: Effects on Accuracy and Variability in Quantifying Regional Disease Patterns of Interstitial Lung Disease</t>
  </si>
  <si>
    <t>KOREAN JOURNAL OF RADIOLOGY</t>
  </si>
  <si>
    <t>Interstitial lung disease; Computed tomography; Quantification; Artificial intelligence</t>
  </si>
  <si>
    <t>IDIOPATHIC PULMONARY-FIBROSIS; QUANTITATIVE CT INDEXES; HIGH-RESOLUTION CT; AUTOMATED QUANTIFICATION; PNEUMONIA; DIAGNOSIS; SURVIVAL; HRCT</t>
  </si>
  <si>
    <t>Objective: To assess whether computed tomography (CT) conversion across different scan parameters and manufacturers using a routable generative adversarial network (RouteGAN) can improve the accuracy and variability in quantifying interstitial lung disease (ILD) using a deep learning-based automated software.Materials and Methods: This study included patients with ILD who underwent thin-section CT. Unmatched CT images obtained using scanners from four manufacturers (vendors A-D), standard-or low-radiation doses, and sharp or medium kernels were classified into groups 1-7 according to acquisition conditions. CT images in groups 2-7 were converted into the target CT style (Group 1: vendor A, standard dose, and sharp kernel) using a RouteGAN. ILD was quantified on original and converted CT images using a deep learning-based software (Aview, Coreline Soft). The accuracy of quantification was analyzed using the dice similarity coefficient (DSC) and pixel-wise overlap accuracy metrics against manual quantification by a radiologist. Five radiologists evaluated quantification accuracy using a 10-point visual scoring system.Results: Three hundred and fifty CT slices from 150 patients (mean age: 67.6 +/- 10.7 years; 56 females) were included. The overlap accuracies for quantifying total abnormalities in groups 2-7 improved after CT conversion (original vs. converted: 0.63 vs. 0.68 for DSC, 0.66 vs. 0.70 for pixel-wise recall, and 0.68 vs. 0.73 for pixel-wise precision; P &lt; 0.002 for all). The DSCs of fibrosis score, honeycombing, and reticulation significantly increased after CT conversion (0.32 vs. 0.64, 0.19 vs. 0.47, and 0.23 vs. 0.54, P &lt; 0.002 for all), whereas those of ground-glass opacity, consolidation, and emphysema did not change significantly or decreased slightly. The radiologists' scores were significantly higher (P &lt; 0.001) and less variable on converted CT. Conclusion: CT conversion using a RouteGAN can improve the accuracy and variability of CT images obtained using different scan parameters and manufacturers in deep learning-based quantification of ILD.</t>
  </si>
  <si>
    <t>[Hwang, Hye Jeon; Seo, Joon Beom; Lee, Sang Min; Jang, Ryoungwoo; Yun, Jihye; Kim, Namkug; Chung, Myung Hee] Univ Ulsan, Asan Med Ctr, Dept Radiol, Coll Med, 86 Olymp Ro 43 Gil, Seoul 05505, South Korea; [Hwang, Hye Jeon; Seo, Joon Beom; Lee, Sang Min; Jang, Ryoungwoo; Yun, Jihye; Kim, Namkug] Univ Ulsan, Res Inst Radiol, Asan Med Ctr, Coll Med, 86 Olymp Ro 43 Gil, Seoul 05505, South Korea; [Kim, Hyunjong] Korea Adv Inst Sci &amp; Technol KAIST, Robot Program, Daejeon, South Korea; [Ye, Jong Chul] Korea Adv Inst Sci &amp; Technol KAIST, Kim Jaechul Grad Sch AI, Daejeon, South Korea; [Oh, Gyutaek] Korea Adv Inst Sci &amp; Technol KAIST, Dept Bio &amp; Brain Engn, Daejeon, South Korea; [Park, Hee Jun] Coreline Soft Co Ltd, Seoul, South Korea; [Lee, Ho Yun] Sungkyunkwan Univ, Sch Med, Samsung Med Ctr, Dept Radiol, Republic, Seoul, South Korea; [Lee, Ho Yun] Sungkyunkwan Univ, Ctr Imaging Sci, Samsung Med Ctr, Sch Med, Seoul, South Korea; [Lee, Ho Yun] Sungkyunkwan Univ, Dept Hlth Sci &amp; Technol, SAIHST, Seoul, South Korea; [Yoon, Soon Ho] Seoul Natl Univ, Seoul Natl Univ Hosp, Coll Med, Dept Radiol, Seoul, South Korea; [Shin, Kyung Eun; Lee, Jae Wook] Soonchunhyang Univ, Bucheon Hosp, Dept Radiol, Bucheon, South Korea; [Kwon, Woocheol] Ewha Womans Univ, Dept Radiol, Seoul Hosp, Seoul, South Korea; Yonsei Univ, Dept Radiol, Wonju Coll Med, Wonju, South Korea; Ajou Univ, Dept Radiol, Sch Med, Suwon, South Korea; Catholic Univ Korea, Bucheon St Marys Hosp, Coll Med, Dept Radiol, Seoul, South Korea; Kyungpook Natl Univ, Dept Radiol, Sch Med, Daegu, South Korea; Hanyang Univ, Coll Med, Dept Radiol, Guri Hosp, Guri, South Korea; Hanyang Univ, Coll Med, Dept Radiol, Seoul Hosp, Seoul, South Korea</t>
  </si>
  <si>
    <t>University of Ulsan; University of Ulsan; Korea Advanced Institute of Science &amp; Technology (KAIST); Korea Advanced Institute of Science &amp; Technology (KAIST); Korea Advanced Institute of Science &amp; Technology (KAIST); Sungkyunkwan University (SKKU); Samsung Medical Center; Sungkyunkwan University (SKKU); Samsung Medical Center; Sungkyunkwan University (SKKU); Seoul National University (SNU); Seoul National University Hospital; Soonchunhyang University; Ewha Womans University; Yonsei University; Ajou University; Catholic University of Korea; Kyungpook National University; Hanyang University; Hanyang University</t>
  </si>
  <si>
    <t>Seo, JB (corresponding author), Univ Ulsan, Asan Med Ctr, Dept Radiol, Coll Med, 86 Olymp Ro 43 Gil, Seoul 05505, South Korea.;Seo, JB (corresponding author), Univ Ulsan, Res Inst Radiol, Asan Med Ctr, Coll Med, 86 Olymp Ro 43 Gil, Seoul 05505, South Korea.</t>
  </si>
  <si>
    <t>seojb@amc.seoul.kr</t>
  </si>
  <si>
    <t>Kim, Namkug/E-3843-2012; Lee, Ho Yun/D-6086-2012; Gil, Bomi/P-7293-2018</t>
  </si>
  <si>
    <t>Kim, Namkug/0000-0002-3438-2217; Lee, Sang Min/0000-0002-2173-2193; Seo, Joon Beom/0000-0003-0271-7884; Oh, Gyutaek/0000-0002-7689-1538; Jang, Ryoungwoo/0000-0002-1511-7469; Gil, Bomi/0000-0003-0576-5830; Ye, Jong Chul/0000-0001-9763-9609</t>
  </si>
  <si>
    <t>Korea Medical Device Development Fund - Korea government (the Ministry of Science and ICT); Korea Medical Device Development Fund grant funded by the Korea government (the Ministry of Trade, Industry energy); Korea Medical Device Development Fund grant funded by the Korea government (the Ministry of Health Welfare); Korea Medical Device Development Fund grant funded by the Korea government (Republic of Korea); Korea Medical Device Development Fund grant funded by the Korea government (the Ministry of Food and Drug Safety); [NTIS 1711138474]</t>
  </si>
  <si>
    <t>Korea Medical Device Development Fund - Korea government (the Ministry of Science and ICT)(Ministry of Science, ICT &amp; Future Planning, Republic of Korea); Korea Medical Device Development Fund grant funded by the Korea government (the Ministry of Trade, Industry energy); Korea Medical Device Development Fund grant funded by the Korea government (the Ministry of Health Welfare); Korea Medical Device Development Fund grant funded by the Korea government (Republic of Korea); Korea Medical Device Development Fund grant funded by the Korea government (the Ministry of Food and Drug Safety);</t>
  </si>
  <si>
    <t>This work was supported by the Korea Medical Device Development Fund grant funded by the Korea government (the Ministry of Science and ICT, the Ministry of Trade, Industry and Energy, the Ministry of Health &amp; Welfare, Republic of Korea, the Ministry of Food and Drug Safety) (Project Number: NTIS 1711138474) .</t>
  </si>
  <si>
    <t>KOREAN SOCIETY OF RADIOLOGY</t>
  </si>
  <si>
    <t>71, YANGJAECHEON-RO, SEOCHO-GU, SEOUL, SOUTH KOREA</t>
  </si>
  <si>
    <t>1229-6929</t>
  </si>
  <si>
    <t>2005-8330</t>
  </si>
  <si>
    <t>KOREAN J RADIOL</t>
  </si>
  <si>
    <t>Korean J. Radiol.</t>
  </si>
  <si>
    <t>10.3348/kjr.2023.0088</t>
  </si>
  <si>
    <t>CG9S5</t>
  </si>
  <si>
    <t>WOS:001124224700007</t>
  </si>
  <si>
    <t>Siebenlist, T</t>
  </si>
  <si>
    <t>Sabatini, N; Hagen, L; Liao, HC; Cid, DD</t>
  </si>
  <si>
    <t>Siebenlist, Tobias</t>
  </si>
  <si>
    <t>Approaches towards using ChatGPT as an open data companion</t>
  </si>
  <si>
    <t>TOGETHER IN THE UNSTABLE WORLD: DIGITAL GOVERNMENT AND SOLIDARITY</t>
  </si>
  <si>
    <t>24th Annual International Conference on Digital Government Research (DGO) - Together in the Unstable World - Digital Government and Solidarity</t>
  </si>
  <si>
    <t>JUL 11-14, 2023</t>
  </si>
  <si>
    <t>Gdansk, POLAND</t>
  </si>
  <si>
    <t>Elsevier,Digital Govt Soc,Gdansk Univ Technol, Res Univ Excellence Initiat,Fdn Lech Walesa Inst,Marshal Pomorskie Voivodeship,President City Gdansk,Rector Gdansk Univ Technol,Gdansk Univ Technol, Fac Management &amp; Econ</t>
  </si>
  <si>
    <t>open data; artificial intelligence; chatgpt</t>
  </si>
  <si>
    <t>Many challenges are associated with the public's use of open data. Often, there needs to be more skills and knowledge to develop ideas from published raw data, implement specific projects, and generate added value. The emergence of generative AI tools can help remedy this. This work-in-progress article presents approaches towards using ChatGPT as a companion for interested users who want to deal with open data and points out exemplary applications.</t>
  </si>
  <si>
    <t>[Siebenlist, Tobias] Rhine Waal Univ Appl Sci, Kamp Lintfort, Germany</t>
  </si>
  <si>
    <t>Siebenlist, T (corresponding author), Rhine Waal Univ Appl Sci, Kamp Lintfort, Germany.</t>
  </si>
  <si>
    <t>tobias.siebenlist@hochschule-rhein-waal.de</t>
  </si>
  <si>
    <t>979-8-4007-0837-4</t>
  </si>
  <si>
    <t>10.1145/3598469.3598554</t>
  </si>
  <si>
    <t>Computer Science, Interdisciplinary Applications; Public Administration; Social Issues</t>
  </si>
  <si>
    <t>Computer Science; Public Administration; Social Issues</t>
  </si>
  <si>
    <t>BV5HB</t>
  </si>
  <si>
    <t>WOS:001048270700084</t>
  </si>
  <si>
    <t>Crawford, J; Vallis, C; Yang, JH; Fitzgerald, R; O'Dea, C</t>
  </si>
  <si>
    <t>Crawford, Joseph; Vallis, Carmen; Yang, Jianhua; Fitzgerald, Rachel; O'Dea, Christine</t>
  </si>
  <si>
    <t>Editorial: Artifiicial Intelligence is Awesome, but Good Teaching Should Always Come First.</t>
  </si>
  <si>
    <t>ChatGPT; Bard; Andragogy; AIED; large language model; higher education</t>
  </si>
  <si>
    <t>HIGHER-EDUCATION; SOCIAL MEDIA</t>
  </si>
  <si>
    <t>The explosion of generative artificial intelligence into the mainstream of society some twelve months ago has seriously challenged learning and teaching practice. Since then, AI companies such as OpenAI are constantly improving their language models and releasing new features to make them more capable and useful. So, given there have been many disruptors in the past and emerging disruptions in the present, what can we learn in this situation, where Generative AI stands poised to challenge the purpose and relevance of assessment models? From our examples, disruptive technologies only have a major impact when they positively transform practice and are informed by pedagogic models and learning theory. GenAI as a disruptor is only likely to have this positive impact when it informs quality learning and teaching practice. We should be focused on the opportunities that GenAI now presents to higher education. It is argued here and elsewhere that the relative weakness of GenAI is that it creates poor quality output, delivering uninformed, incorrect, biased and bland responses. In itself, this offers opportunities for 'teachable moments' (Newell et al, 2023) and gives us room to support students with their capabilities in an AI informed world. Historically, these opportunities enable higher education to grow and progress. What we have learned so far would appears to be that for research to contribute to the literature, they needed to be informed by it. Likewise, need to ensure that pedagogy, andragogy, and heutagogy come first. We also need to remember that people processes happen, artificial intelligence happens around them, and that artificial intelligence comes after human intelligence. Practitioner Notes1. For AI research to contribute to the literature, it needs to be informed by it.2. Scholars need to ensure that pedagogy, andragogy, and heutagogy come before artificial intelligence.3. People processes happen, artificial intelligence happens around them, and that artificial intelligence comes after human intelligence. 4. Artificial Intelligence comes after human intelligence</t>
  </si>
  <si>
    <t>[Crawford, Joseph] Univ Tasmania, Hobart, Australia; [Vallis, Carmen] Univ Sydney, Sydney, Australia; [Yang, Jianhua] Univ Warwick, Warwick, England; [Fitzgerald, Rachel] Univ Queensland, Brisbane, Australia; [O'Dea, Christine] Univ Huddersfield, Huddersfield, England</t>
  </si>
  <si>
    <t>University of Tasmania; University of Sydney; University of Warwick; University of Queensland; University of Huddersfield</t>
  </si>
  <si>
    <t>Crawford, J (corresponding author), Univ Tasmania, Hobart, Australia.</t>
  </si>
  <si>
    <t>joseph.crawford@utas.edu.au; carmen.vallis@sydney.edu.au; jianhua.yang@warwick.ac.uk; rachel.fitzgerald@uq.edu.au; x.odea@hud.ac.uk</t>
  </si>
  <si>
    <t>10.53761/1.20.7.01</t>
  </si>
  <si>
    <t>WOS:001103781300009</t>
  </si>
  <si>
    <t>Currie, G; Singh, C; Nelson, T; Nabasenja, C; Al-Hayek, Y; Spuur, K</t>
  </si>
  <si>
    <t>Currie, G.; Singh, C.; Nelson, T.; Nabasenja, C.; Al-Hayek, Y.; Spuur, K.</t>
  </si>
  <si>
    <t>ChatGPT in medical imaging higher education</t>
  </si>
  <si>
    <t>RADIOGRAPHY</t>
  </si>
  <si>
    <t>ChatGPT; Artificial intelligence; Higher education; Academic integrity; Generative algorithms; Language model</t>
  </si>
  <si>
    <t>Introduction: Academic integrity among radiographers and nuclear medicine technologists/scientists in both higher education and scientific writing has been challenged by advances in artificial intelligence (AI). The recent release of ChatGPT, a chatbot powered by GPT-3.5 capable of producing accurate and human-like responses to questions in real-time, has redefined the boundaries of academic and scientific writing. These boundaries require objective evaluation. Method: ChatGPT was tested against six subjects across the first three years of the medical radiation science undergraduate course for both exams (n = 6) and written assignment tasks (n = 3). ChatGPT submissions were marked against standardised rubrics and results compared to student cohorts. Submissions were also evaluated by Turnitin for similarity and AI scores.Results: ChatGPT powered by GPT-3.5 performed below the average student performance in all written tasks with an increasing disparity as subjects advanced. ChatGPT performed better than the average student in foundation or general subject examinations where shallow responses meet learning outcomes. For discipline specific subjects, ChatGPT lacked the depth, breadth, and currency of insight to provide pass level answers.Conclusion: ChatGPT simultaneously poses a risk to academic integrity in writing and assessment while affording a tool for enhanced learning environments. These risks and benefits are likely to be restricted to learning outcomes of lower taxonomies. Both risks and benefits are likely to be constrained by higher order taxonomies. Implications for practice: ChatGPT powered by GPT3.5 has limited capacity to support student cheating, introduces errors and fabricated information, and is readily identified by software as AI generated. Lack of depth of insight and appropriateness for professional communication also limits capacity as a learning enhancement tool.</t>
  </si>
  <si>
    <t>[Currie, G.; Singh, C.; Al-Hayek, Y.; Spuur, K.] Charles Sturt Univ, Wagga Wagga, NSW, Australia; [Nelson, T.; Nabasenja, C.] Charles Sturt Univ, Port Macquarie, NSW, Australia; [Currie, G.] Charles Sturt Univ, Sch Dent &amp; Med Sci, Locked Bag 588, Wagga Wagga, NSW 2678, Australia</t>
  </si>
  <si>
    <t>Charles Sturt University; Charles Sturt University; Charles Sturt University</t>
  </si>
  <si>
    <t>Currie, G (corresponding author), Charles Sturt Univ, Sch Dent &amp; Med Sci, Locked Bag 588, Wagga Wagga, NSW 2678, Australia.</t>
  </si>
  <si>
    <t>Al-Hayek, Yazan/0000-0003-3985-1796; Spuur, Kelly/0000-0003-0285-9962; Currie, Geoffrey/0000-0002-6180-8586; Singh, Clare Louise/0000-0001-6632-0427; Nabasenja, Caroline/0000-0002-1005-1325</t>
  </si>
  <si>
    <t>1078-8174</t>
  </si>
  <si>
    <t>1532-2831</t>
  </si>
  <si>
    <t>Radiography</t>
  </si>
  <si>
    <t>10.1016/j.radi.2023.05.011</t>
  </si>
  <si>
    <t>K2DD8</t>
  </si>
  <si>
    <t>WOS:001014589600001</t>
  </si>
  <si>
    <t>McAfee, A; Rock, D; Brynjolfsson, E</t>
  </si>
  <si>
    <t>McAfee, Andrew; Rock, Daniel; Brynjolfsson, Erik</t>
  </si>
  <si>
    <t>How to Capitalize on Generative Al A guice to realizing its benefits while limiting its risks</t>
  </si>
  <si>
    <t>[McAfee, Andrew] MIT, Cambridge, MA 02139 USA; [Rock, Daniel] Univ Penn, Operat Informat &amp; Decis, Wharton Sch, Philadelphia, PA 19104 USA; [Brynjolfsson, Erik] Stanford Digital Econ Lab, Stanford, CA USA; [Brynjolfsson, Erik] Stanford Inst Human Ctr AI, Stanford, CA USA; [Brynjolfsson, Erik] Natl Bur Econ Res, Cambridge, MA 02138 USA</t>
  </si>
  <si>
    <t>Massachusetts Institute of Technology (MIT); University of Pennsylvania; National Bureau of Economic Research</t>
  </si>
  <si>
    <t>McAfee, A (corresponding author), MIT, Cambridge, MA 02139 USA.</t>
  </si>
  <si>
    <t>11-12</t>
  </si>
  <si>
    <t>U5HL3</t>
  </si>
  <si>
    <t>WOS:001085108200016</t>
  </si>
  <si>
    <t>Tavares, C; Oliveira, L; Duarte, P; da Silva, MM</t>
  </si>
  <si>
    <t>Tavares, Celia; Oliveira, Luciana; Duarte, Pedro; da Silva, Manuel Moreira</t>
  </si>
  <si>
    <t>Artificial Intelligence: A Blessing or a Threat for Language Service Providers in Portugal</t>
  </si>
  <si>
    <t>INFORMATICS-BASEL</t>
  </si>
  <si>
    <t>artificial intelligence; neural machine translation; large language models; language service providers; translators; interpreters</t>
  </si>
  <si>
    <t>According to a recent study by OpenAI, Open Research, and the University of Pennsylvania, large language models (LLMs) based on artificial intelligence (AI), such as generative pretrained transformers (GPTs), may have potential implications for the job market, specifically regarding occupations that demand writing or programming skills. This research points out that interpreters and translators are one of the main occupations with greater exposure to AI in the US job market (76.5%), in a trend that is expected to affect other regions of the globe. This article, following a mixed-methods survey-based research approach, provides insights into the awareness and knowledge about AI among Portuguese language service providers (LSPs), specifically regarding neural machine translation (NMT) and large language models (LLM), their actual use and usefulness, as well as their potential influence on work performance and the labour market. The results show that most professionals are unable to identify whether AI and/or automation technologies support the tools that are most used in the profession. The usefulness of AI is essentially low to moderate and the professionals who are less familiar with it and less knowledgeable also demonstrate a lack of trust in it. Two thirds of the sample estimate negative or very negative effects of AI in their profession, expressing the devaluation and replacement of experts, the reduction of income, and the reconfiguration of the career of translator to mere post-editors as major concerns.</t>
  </si>
  <si>
    <t>[Tavares, Celia; Oliveira, Luciana; Duarte, Pedro; da Silva, Manuel Moreira] Polytech Porto, CEOSPP, ISCAP, P-4465004 Porto, Portugal</t>
  </si>
  <si>
    <t>Instituto Politecnico do Porto</t>
  </si>
  <si>
    <t>Oliveira, L (corresponding author), Polytech Porto, CEOSPP, ISCAP, P-4465004 Porto, Portugal.</t>
  </si>
  <si>
    <t>celiat@iscap.ipp.pt; lgo@eu.ipp.pt; pduarte@iscap.ipp.pt; mdasilva@iscap.ipp.pt</t>
  </si>
  <si>
    <t>Tavares, Célia/HKW-6691-2023; Oliveira, Luciana/B-8339-2016; Silva, Manuel/R-9753-2016</t>
  </si>
  <si>
    <t>Tavares, Célia/0000-0002-6201-8690; Oliveira, Luciana/0000-0003-2419-4332; Duarte, Pedro/0000-0002-1586-2012; Silva, Manuel/0000-0002-5966-4229</t>
  </si>
  <si>
    <t>FCT-Fundao para a Cincia e Tecnologia</t>
  </si>
  <si>
    <t>2227-9709</t>
  </si>
  <si>
    <t>Informatics-Basel</t>
  </si>
  <si>
    <t>10.3390/informatics10040081</t>
  </si>
  <si>
    <t>DG9K4</t>
  </si>
  <si>
    <t>WOS:001130992000001</t>
  </si>
  <si>
    <t>Altma, S; Sola-Leyva, A; Salumets, A</t>
  </si>
  <si>
    <t>Altma, Signe; Sola-Leyva, Alberto; Salumets, Andres</t>
  </si>
  <si>
    <t>Artificial intelligence in scientific writing: a friend or a foe?</t>
  </si>
  <si>
    <t>REPRODUCTIVE BIOMEDICINE ONLINE</t>
  </si>
  <si>
    <t>Artificial intelligence; Chatbot; ChatGPT; Large language model; Scientific writing</t>
  </si>
  <si>
    <t>The generative pre-trained transformer, ChatGPT, is a chatbot that could serve as a powerful tool in scientific writing. ChatGPT isa so-called large language model (LLM) that is trained to mimic the statistical patterns of language in an enormous database of human-generated text combined from text in books, articles and websites across a wide range of domains. ChatGPT can assist scientists with material organization, draft creation and proofreading, making it a valuable tool in research and publishing. This paper discusses the use of this artificial intelligence (AI) chatbot in academic writing by presenting one simplified example. Specifically, it reflects our experience of using ChatGPT to draft a scientific article for Reproductive BioMedicine Online and highlights the pros, cons and concerns associated with using LLM-based AI for generating a manuscript.</t>
  </si>
  <si>
    <t>[Altma, Signe; Sola-Leyva, Alberto] Univ Granada, Fac Sci, Dept Biochem &amp; Mol Biol, Granada, Spain; [Altma, Signe; Sola-Leyva, Alberto] GRANADA, Inst Invest Biosanitaria ibs, Granada, Spain; [Altma, Signe; Salumets, Andres] Karolinska Univ Hosp, Dept Clin Sci, Div Obstet &amp; Gynecol, Dept Clin Sci Intervent &amp; Technol CLINTEC, Stockholm, Sweden; [Altma, Signe; Salumets, Andres] Karolinska Univ Hosp, Stockholm, Sweden; [Salumets, Andres] Competence Ctr Hlth Technol, Tartu, Estonia; [Salumets, Andres] Univ Tartu, Inst Clin Med, Dept Obstet &amp; Gynaecol, Tartu, Estonia</t>
  </si>
  <si>
    <t>University of Granada; Instituto de Investigacion Biosanitaria IBS Granada; Karolinska Institutet; Karolinska University Hospital; Karolinska Institutet; Karolinska University Hospital; University of Tartu</t>
  </si>
  <si>
    <t>Altma, S (corresponding author), Univ Granada, Fac Sci, Dept Biochem &amp; Mol Biol, Granada, Spain.;Altma, S (corresponding author), GRANADA, Inst Invest Biosanitaria ibs, Granada, Spain.;Altma, S (corresponding author), Karolinska Univ Hosp, Dept Clin Sci, Div Obstet &amp; Gynecol, Dept Clin Sci Intervent &amp; Technol CLINTEC, Stockholm, Sweden.;Altma, S (corresponding author), Karolinska Univ Hosp, Stockholm, Sweden.</t>
  </si>
  <si>
    <t>signealtmae@ugr.es</t>
  </si>
  <si>
    <t>Salumets, Andres/J-2278-2015; Altmae, Signe/J-2441-2015</t>
  </si>
  <si>
    <t>Altmae, Signe/0000-0002-0708-1865</t>
  </si>
  <si>
    <t>Grants Endo Map - MCIN/AEI [PID2021-12728OB-100, PRE2018-085440]; ERFD A way of making Europe; MCIN/AEI [RYC-2016-21199]; ESF Investing in your future; FEDER/Junta de Andalucia Consejeria de Economia y Conocimiento [ROBIN A-CTS-614-UGR20, IRENE P20_00158]</t>
  </si>
  <si>
    <t>Grants Endo Map - MCIN/AEI; ERFD A way of making Europe; MCIN/AEI; ESF Investing in your future; FEDER/Junta de Andalucia Consejeria de Economia y Conocimiento</t>
  </si>
  <si>
    <t>This work is supported by Grants Endo Map PID2021-12728OB-100 and PRE2018-085440 funded by MCIN/AEI/10.13039/501100011033 and ERFD A way of making Europe; Grants RYC-2016-21199 funded by MCIN/AEI/10.13039/501100011033 and by ESF Investing in your future; FEDER/Junta de Andalucia Consejeria de Economia y Conocimiento: ROBIN A-CTS-614-UGR20, and IRENE P20_00158.</t>
  </si>
  <si>
    <t>1472-6483</t>
  </si>
  <si>
    <t>1472-6491</t>
  </si>
  <si>
    <t>REPROD BIOMED ONLINE</t>
  </si>
  <si>
    <t>Reprod. Biomed. Online</t>
  </si>
  <si>
    <t>10.1016/j.rbmo.2023.04.009</t>
  </si>
  <si>
    <t>M8NK8</t>
  </si>
  <si>
    <t>WOS:001032726300001</t>
  </si>
  <si>
    <t>Bitterman, DS; Gensheimer, MF; Jaffray, D; Pryma, DA; Jiang, SB; Morin, O; Ginart, JB; Upadhaya, T; Vallis, KA; Buatti, JM; Deasy, J; Hsiao, HT; Chung, C; Fuller, CD; Greenspan, E; Cloyd-Warwick, K; Courdy, S; Mao, A; Barnholtz-Sloan, J; Topaloglu, U; Hands, I; Maurer, I; Terry, M; Curran, WJ; Le, QT; Nadaf, S; Kibbe, W</t>
  </si>
  <si>
    <t>Bitterman, Danielle S.; Gensheimer, Michael F.; Jaffray, David; Pryma, Daniel A.; Jiang, Steve B.; Morin, Olivier; Ginart, Jorge Barrios; Upadhaya, Taman; Vallis, Katherine A.; Buatti, John M.; Deasy, Joseph; Hsiao, H. Timothy; Chung, Caroline; Fuller, Clifton D.; Greenspan, Emily; Cloyd-Warwick, Kristy; Courdy, Samir; Mao, Allen; Barnholtz-Sloan, Jill; Topaloglu, Umit; Hands, Isaac; Maurer, Ian; Terry, May; Curran, Walter J.; Quynh-Thu Le; Nadaf, Sorena; Kibbe, Warren</t>
  </si>
  <si>
    <t>Cancer Informatics for Cancer Centers: Sharing Ideas on How to Build an Artificial Intelligence-Ready Informatics Ecosystem for Radiation Oncology</t>
  </si>
  <si>
    <t>JCO CLINICAL CANCER INFORMATICS</t>
  </si>
  <si>
    <t>LUNG-CANCER; HEAD; SEGMENTATION; MUTATIONS</t>
  </si>
  <si>
    <t>In August 2022, the Cancer Informatics for Cancer Centers brought together cancer informatics leaders for its biannual symposium, PrecisionMedicine Applications in Radiation Oncology, co-chaired by Quynh-Thu Le, MD (Stanford University), and Walter J. Curran, MD (GenesisCare). Over the course of 3 days, presenters discussed a range of topics relevant to radiation oncology and the cancer informatics community more broadly, including biomarker development, decision support algorithms, novel imaging tools, theranostics, and artificial intelligence (AI) for the radiotherapy workflow. Since the symposium, there has been an impressive shift in the promise and potential for integration of AI in clinical care, accelerated in large part by major advances in generative AI. AI is nowpoisedmore than ever to revolutionize cancer care. Radiation oncology is a field that uses and generates a large amount of digital data and is therefore likely to be one of the first fields to be transformed by AI. As experts in the collection, management, and analysis of these data, the informatics community will take a leading role in ensuring that radiation oncology is prepared to take full advantage of these technological advances. In this report, we providehighlights fromthe symposium, which took place in Santa Barbara, California, fromAugust 29 to 31, 2022. Wediscuss lessons learned fromthe symposiumfor data acquisition, management, representation, and sharing, and put these themes into context to prepare radiation oncology for the successful and safe integration of AI and informatics technologies.</t>
  </si>
  <si>
    <t>[Bitterman, Danielle S.] Harvard Med Sch, Mass Gen Brigham, Artificial Intelligence Med AIM Program, Boston, MA 02115 USA; [Bitterman, Danielle S.] Brigham &amp; Womens Hosp, Dana Farber Canc Inst, Dept Radiat Oncol, 75 Francis St, Boston, MA 02115 USA; [Gensheimer, Michael F.; Quynh-Thu Le] Stanford Univ, Sch Med, Dept Radiat Oncol, Stanford, CA 94305 USA; [Jaffray, David] Univ Texas MD Anderson Canc Ctr, Dept Radiat Phys, Houston, TX 77030 USA; [Pryma, Daniel A.] Univ Penn, Perelman Sch Med, Abramson Canc Ctr, Philadelphia, PA 19104 USA; [Jiang, Steve B.] Univ Texas Southwestern Med Ctr Dallas, Med Artificial Intelligence &amp; Automat Lab, Dallas, TX 75390 USA; [Jiang, Steve B.; Chung, Caroline; Fuller, Clifton D.] Univ Texas Southwestern Med Ctr Dallas, Dept Radiat Oncol, Dallas, TX 75390 USA; [Morin, Olivier; Ginart, Jorge Barrios; Upadhaya, Taman] Univ Calif San Francisco, Dept Radiat Oncol, MEDom Lab, San Francisco, CA USA; [Vallis, Katherine A.] Univ Oxford, Dept Oncol, Oxford, England; [Buatti, John M.] Univ Iowa, Carver Coll Med, Dept Radiat Oncol, Iowa City, IA USA; [Deasy, Joseph] Mem Sloan Kettering Canc Ctr, Dept Med Phys, New York, NY 10021 USA; [Hsiao, H. Timothy] Amer Soc Radiat Oncol, Dept Sci Affairs, Arlington, VA USA; [Greenspan, Emily; Barnholtz-Sloan, Jill; Topaloglu, Umit] NCI, Ctr Biomed Informat &amp; Informat Technol, Rockville, MD USA; [Cloyd-Warwick, Kristy] DNAnexus, Mountain View, CA USA; [Courdy, Samir; Mao, Allen] City Hope Natl Comprehens Canc Ctr, Ctr Informat, Digital Vert, Los Angeles, CA USA; [Barnholtz-Sloan, Jill] NCI, Div Canc Epidemiol &amp; Genet, Rockville, MD USA; [Hands, Isaac] Univ Kentucky, Markey Canc Ctr, Canc Res Informat Shared Resource Facil, Lexington, NY USA; [Hands, Isaac] Kentucky Canc Registry, Lexington, NY USA; [Maurer, Ian] GenomOncology, Cleveland, OH USA; [Terry, May] MITRE Corp, Bedford, MA USA; [Curran, Walter J.] GenesisCare, Ft Myers, FL USA; [Curran, Walter J.] Emory Univ, Dept Radiat Oncol, Atlanta, GA 30322 USA; [Nadaf, Sorena] Canc Ctr Informat Soc, Los Angeles, CA USA; [Kibbe, Warren] Duke Univ, Dept Biostat &amp; Bioinformat, Durham, NC USA</t>
  </si>
  <si>
    <t>Harvard University; Harvard Medical School; Harvard University; Dana-Farber Cancer Institute; Brigham &amp; Women's Hospital; Stanford University; University of Texas System; UTMD Anderson Cancer Center; University of Pennsylvania; University of Texas System; University of Texas Southwestern Medical Center Dallas; University of Texas System; University of Texas Southwestern Medical Center Dallas; University of California System; University of California San Francisco; University of Oxford; University of Iowa; Memorial Sloan Kettering Cancer Center; National Institutes of Health (NIH) - USA; NIH National Cancer Institute (NCI); National Institutes of Health (NIH) - USA; NIH National Cancer Institute (NCI); MITRE Corporation; Emory University; Duke University</t>
  </si>
  <si>
    <t>Bitterman, DS (corresponding author), Brigham &amp; Womens Hosp, Dana Farber Canc Inst, Dept Radiat Oncol, 75 Francis St, Boston, MA 02115 USA.</t>
  </si>
  <si>
    <t>Danielle_Bitterman@dfci.harvard.edu</t>
  </si>
  <si>
    <t>Fuller, Clifton D./AAB-4012-2019</t>
  </si>
  <si>
    <t>Fuller, Clifton D./0000-0002-5264-3994; Buatti, John/0000-0001-8499-3721; Bitterman, Danielle/0000-0003-0345-2232; Le, Quynh Thu/0000-0002-3682-1439; Gensheimer, Michael/0000-0002-4897-3843</t>
  </si>
  <si>
    <t>2473-4276</t>
  </si>
  <si>
    <t>JCO CLIN CANCER INFO</t>
  </si>
  <si>
    <t>JCO Clin. Cancer Info.</t>
  </si>
  <si>
    <t>e2300136</t>
  </si>
  <si>
    <t>10.1200/CCI.23.00136</t>
  </si>
  <si>
    <t>DP6P1</t>
  </si>
  <si>
    <t>WOS:001133302300122</t>
  </si>
  <si>
    <t>Dopazo, P</t>
  </si>
  <si>
    <t>Dopazo, Pilar</t>
  </si>
  <si>
    <t>Artificial intelligence and educational innovation: Legal challenges and teaching entrepreneurship</t>
  </si>
  <si>
    <t>REVISTA ELETRONICA PESQUISEDUCA</t>
  </si>
  <si>
    <t>artificial intelligence; educational innovation; law innovation; teaching innovation projects</t>
  </si>
  <si>
    <t>This study reflects and examines the main implications of the use of Artificial Intelligence (AI) at this time, especially, given the new generative technological tools that have been developed. In the academic and educational environment, its impact is already noted, also regarding the legal clinic. In accordance with this interest, knowledge about the state of this issue is approached and its implications are analyzed from a technical and legal perspective. Thus, recognizing that AI is one more and decisive step in the digital age we live in, it is also important to warn and prevent its risks. Therefore, given this phenomenon, adopting a proactive approach can be the most effective, acting via legal and educational innovation. This strategic binomial may be the key to successfully addres- sing the challenges posed.</t>
  </si>
  <si>
    <t>[Dopazo, Pilar] Univ Complutense Madrid UCM Espanha, Dept Derecho Adm, Madrid, Spain</t>
  </si>
  <si>
    <t>Dopazo, P (corresponding author), Univ Complutense Madrid UCM Espanha, Dept Derecho Adm, Madrid, Spain.</t>
  </si>
  <si>
    <t>mdopazo@ucm.es</t>
  </si>
  <si>
    <t>EDITORA UNIV LEOPOLDLANUM</t>
  </si>
  <si>
    <t>SANTOS</t>
  </si>
  <si>
    <t>EDITORA UNIV LEOPOLDLANUM, SANTOS, 00000, BRAZIL</t>
  </si>
  <si>
    <t>2177-1626</t>
  </si>
  <si>
    <t>REV ELECTRONICA PESQ</t>
  </si>
  <si>
    <t>Rev. Electronica Pesqui.</t>
  </si>
  <si>
    <t>SEP-DEC</t>
  </si>
  <si>
    <t>10.58422/repesq.2023.e1521</t>
  </si>
  <si>
    <t>DC6W5</t>
  </si>
  <si>
    <t>WOS:001129882400008</t>
  </si>
  <si>
    <t>Silva, MEP; Veloso, B; Gama, J</t>
  </si>
  <si>
    <t>Silva, Miguel E. P.; Veloso, Bruno; Gama, Joao</t>
  </si>
  <si>
    <t>Predictive Maintenance, Adversarial Autoencoders and Explainability</t>
  </si>
  <si>
    <t>Anomaly Detection; Time-series Data Streams; Generative Adversarial Networks</t>
  </si>
  <si>
    <t>The transition to Industry 4.0 provoked a transformation of industrial manufacturing with a significant leap in automation and intelligent systems. This paradigm shift has brought about a mindset that emphasizes predictive maintenance: detecting future failures when current behaviour of industrial processes and machines is thought to be normal. The constant monitoring of industrial equipment produces massive quantities of data that enables the application of machine learning approaches to this task. This study uses deep learning-based models to build a data-driven predictive maintenance framework for the air production unit (APU), a crucial system for the proper functioning of a Metro do Porto train. This public transport system moves thousands of people every day and train failures lead to delays and loss of trust by clients. Therefore, it is essential not only to detect APU failures before they occur to minimize negative impacts, but also to provide explanations for the failure warnings that can aid in decision-making processes. We propose an autoencoder architecture trained with an adversarial loss, known as the Wasserstein Autoencoder with Generative Adversarial Network (WAE-GAN), designed to detect sensor failures in systems connected to the APU. Our model can detect APU failures up to two hours before they occur, allowing timely intervention of the maintenance teams. We further augment our model with an explainability layer, by providing explanations generated by a rule-based model that focuses on rare events. Results show that our model is able to detect APU failures without any false alarms, fulfilling the requisites of Metro do Porto for early detection of the failures.</t>
  </si>
  <si>
    <t>[Veloso, Bruno; Gama, Joao] Univ Porto, Fac Econ, Porto, Portugal; [Silva, Miguel E. P.; Veloso, Bruno; Gama, Joao] INESC TEC, Porto, Portugal</t>
  </si>
  <si>
    <t>Silva, MEP (corresponding author), INESC TEC, Porto, Portugal.</t>
  </si>
  <si>
    <t>bveloso@fep.up.pt; miguel.p.silva@inesctec.pt; jgama@fep.up.pt</t>
  </si>
  <si>
    <t>Veloso, Bruno/ADP-9236-2022; Gama, Joao/A-2070-2008</t>
  </si>
  <si>
    <t>Veloso, Bruno/0000-0001-7980-0972; Gama, Joao/0000-0003-3357-1195</t>
  </si>
  <si>
    <t>National Funds through the Portuguese funding agency, FCT [UIDP/50014/2020]; European Union [952026]</t>
  </si>
  <si>
    <t>National Funds through the Portuguese funding agency, FCT(Fundacao para a Ciencia e a Tecnologia (FCT)); European Union(European Union (EU))</t>
  </si>
  <si>
    <t>Miguel E. P. Silva is financed by National Funds through the Portuguese funding agency, FCT - within project UIDP/50014/2020. Joao Gama is financed by the European Union's Horizon 2020 research and innovation programme under grant agreement No 952026 (HumanE-AI-Net project). We also would like to acknowledge CHIST-ERA-19-XAI-012 and CHIST-ERA/0004/2019.</t>
  </si>
  <si>
    <t>10.1007/978-3-031-43430-3_16</t>
  </si>
  <si>
    <t>WOS:001156145400019</t>
  </si>
  <si>
    <t>Cardenuto, JP; Yang, J; Padilha, R; Wan, RJ; Moreira, D; Li, HL; Wang, SQ; Andaló, F; Marcel, S; Rocha, A</t>
  </si>
  <si>
    <t>Cardenuto, Joao Phillipe; Yang, Jing; Padilha, Rafael; Wan, Renjie; Moreira, Daniel; Li, Haoliang; Wang, Shiqi; Andalo, Fernanda; Marcel, Sebastien; Rocha, Anderson</t>
  </si>
  <si>
    <t>The Age of Synthetic Realities: Challenges and Opportunities</t>
  </si>
  <si>
    <t>DETECT; NETWORKS; MODEL; IDENTIFICATION; LOCALIZATION; MANIPULATION; FORGERIES</t>
  </si>
  <si>
    <t>Synthetic realities are digital creations or augmentations that are contextually generated through the use of Artificial Intelligence (AI) methods, leveraging extensive amounts of data to construct new narratives or realities, regardless of the intent to deceive. In this paper, we delve into the concept of synthetic realities and their implications for Digital Forensics and society at large within the rapidly advancing field of AI. We highlight the crucial need for the development of forensic techniques capable of identifying harmful synthetic creations and distinguishing them from reality. This is especially important in scenarios involving the creation and dissemination of fake news, disinformation, and misinformation. Our focus extends to various forms of media, such as images, videos, audio, and text, as we examine how synthetic realities are crafted and explore approaches to detecting these malicious creations. Additionally, we shed light on the key research challenges that lie ahead in this area. This study is of paramount importance due to the rapid progress of AI generative techniques and their impact on the fundamental principles of Forensic Science.</t>
  </si>
  <si>
    <t>[Cardenuto, Joao Phillipe; Yang, Jing; Padilha, Rafael; Andalo, Fernanda; Rocha, Anderson] Univ Estadual Campinas, Inst Comp, Artificial Intelligence Lab, Campinas, SP, Brazil; [Wan, Renjie] Hong Kong Baptist Univ, Dept Comp Sci, Hong Kong, Peoples R China; [Moreira, Daniel] Loyola Univ Chicago, Dept Comp Sci, Chicago, IL USA; [Li, Haoliang] City Univ Hong Kong, Dept Elect Engn, Hong Kong, Peoples R China; [Wang, Shiqi] City Univ Hong Kong, Dept Comp Sci, Hong Kong, Peoples R China; [Marcel, Sebastien] Idiap Res Inst, Martigny, Switzerland; [Marcel, Sebastien] Univ Lausanne, Lausanne, Switzerland</t>
  </si>
  <si>
    <t>Universidade Estadual de Campinas; Hong Kong Baptist University; Loyola University Chicago; City University of Hong Kong; City University of Hong Kong; University of Lausanne</t>
  </si>
  <si>
    <t>Cardenuto, JP (corresponding author), Univ Estadual Campinas, Inst Comp, Artificial Intelligence Lab, Campinas, SP, Brazil.</t>
  </si>
  <si>
    <t>phillipe.cardenuto@ic.unicamp.br</t>
  </si>
  <si>
    <t>Wan, Patrick/AAL-2841-2021; Wang, Shiqi/AAR-5013-2020</t>
  </si>
  <si>
    <t>Wan, Patrick/0000-0002-0161-0367; Wang, Shiqi/0000-0002-6338-1432; Moreira, Daniel/0000-0001-9757-5756</t>
  </si>
  <si>
    <t>Sao Paulo Research Foundation (FAPESP) [2020/02211-2, 2017/12646-3, 2019/04053-8, 2022/05002-0]; Blue Sky Research Fund of HKBU [BSRF/21-22/16]; Guangdong Basic and Applied Basic Research Foundation [2022A1515110692]; Defense Advanced Research Projects Agency (DARPA); Air Force Research Laboratory (AFRL) [FA8750-20-2-1004]; Research Grant Council (RGC) of Hong Kong through Early Career Scheme (ECS) [21200522]; Swiss State Secretariat for Education, Research and Innovation (SERI); Swiss State of Valais; City of Martigny</t>
  </si>
  <si>
    <t>Sao Paulo Research Foundation (FAPESP)(Fundacao de Amparo a Pesquisa do Estado de Sao Paulo (FAPESP)); Blue Sky Research Fund of HKBU; Guangdong Basic and Applied Basic Research Foundation; Defense Advanced Research Projects Agency (DARPA)(United States Department of DefenseDefense Advanced Research Projects Agency (DARPA)); Air Force Research Laboratory (AFRL)(United States Department of DefenseUS Air Force Research Laboratory); Research Grant Council (RGC) of Hong Kong through Early Career Scheme (ECS); Swiss State Secretariat for Education, Research and Innovation (SERI); Swiss State of Valais; City of Martigny</t>
  </si>
  <si>
    <t>This work was supported by the Sao Paulo Research Foundation (FAPESP) (J.P.C., grant numbers 2020/02211-2, 2017/12646-3), (J.Y., grant numbers 2019/04053-8, 2022/05002-0), (A.R., grant number 2017/12646-3); Blue Sky Research Fund of HKBU (R.W., grant number BSRF/21-22/16); Guangdong Basic and Applied Basic Research Foundation (R.W., grant number 2022A1515110692); Defense Advanced Research Projects Agency (DARPA) and the Air Force Research Laboratory (AFRL) (D.M., grant number FA8750-20-2-1004); and the Research Grant Council (RGC) of Hong Kong through Early Career Scheme (ECS) (H.L., grant number 21200522). Also, part of this work within the Idiap Research Institute received funding from the Swiss State Secretariat for Education, Research and Innovation (SERI), the Swiss State of Valais and the City of Martigny.</t>
  </si>
  <si>
    <t>10.1561/116.00000138</t>
  </si>
  <si>
    <t>X6LA5</t>
  </si>
  <si>
    <t>WOS:001099533000001</t>
  </si>
  <si>
    <t>Yan, LH; Kao, CW; Hwang, BJ; Chen, HH; Huang, HC</t>
  </si>
  <si>
    <t>Yan, Li-Hong; Kao, Chiao-Wen; Hwang, Bor-Jiunn; Chen, Hui-Hui; Huang, Hui-Chia</t>
  </si>
  <si>
    <t>Home-Based Real-Time Abnormal Movement Detection System Deployed on On-Device Artificial Intelligence</t>
  </si>
  <si>
    <t>INTERNATIONAL JOURNAL OF PATTERN RECOGNITION AND ARTIFICIAL INTELLIGENCE</t>
  </si>
  <si>
    <t>Abnormal Movement Detection; deep learning; scoring method; On-device AI</t>
  </si>
  <si>
    <t>AUGMENTATION; GAN</t>
  </si>
  <si>
    <t>In response to the aging trend in society and to Human Augmentation beings for home-based activities, this paper proposes an Abnormal Movement Detection system, using the common athome movements of standing up and hand tremors while picking up items for abnormal movement verification. This can be easily applied in ordinary homes or long-term care institutions; for those living alone with limited resources, there is no longer any need to purchase expensive monitoring equipment to achieve improved quality of life. Therefore, this research collected and built the own dataset as the first important step of the study. The proposed Abnormal Movement Detection system is implemented by designing a deep learning network. Several issues, including the network architecture, the novel method of data augmentation and the scoring method of expanding the intervals between abnormality levels, are studied. For achieving the home-based real-time detection, there are four main contributions of this paper. The first is that a training dataset was collected and established: From this, the pathognomonic movement categories are easy to observe in home activities and geometric data augmentation can be used to improve the related home activity video collection. The second is the abnormal behavior detection architecture: This architecture has several important function blocks including detecting object, detecting action, inspecting abnormal movement and reminding event, using Convolutional Neural Network combined with Long Short-Term Memory (CNN + LSTM) as the core network for abnormal motion detection. With movement abnormality evaluation based on different levels, it can judge abnormal behaviors and conduct model training, performance evaluation and architecture optimization with both public domain datasets and the movement dataset collected in this research project. The third is the proliferation of new attributes in the videos: New attributes are added to the original videos through a Generative Adversarial Network (GAN), producing new training videos; the effectiveness of two different generation methods is evaluated. Finally, the algorithms developed in this paper are deployed on resource-constrained On-device Artificial Intelligence (AI). Activity videos from a total of 20 people were collected; in all, 53 videos of StandUp and 60 videos of PickUpItems were obtained to establish the training dataset. When CNN and LSTM network were added to Batch Normalization (BN), and Global Average Pooling (GAP) replaced Fully Connected (FC) layers, the accuracy rate reached 98.4%. In terms of data augmentation, geometric transformations and GAN were used to estimate the performance. The experimental results showed that the geometric transformation using brightness adjustment had the highest accuracy rate of 98.6%. Finally, the Softmax layer using Phi-Softmax-tan(.) function was shown to be the best method to expand the intervals between abnormality levels.</t>
  </si>
  <si>
    <t>[Yan, Li-Hong] Xian Eurasia Univ, Sch Informat Engn, Xian 710065, Shaanxi, Peoples R China; [Kao, Chiao-Wen; Hwang, Bor-Jiunn; Chen, Hui-Hui; Huang, Hui-Chia] Ming Chuan Univ, Dept Comp &amp; Commun Engn, 5 De Ming Rd, Taoyuan 333, Taiwan</t>
  </si>
  <si>
    <t>Ming Chuan University</t>
  </si>
  <si>
    <t>Hwang, BJ (corresponding author), Ming Chuan Univ, Dept Comp &amp; Commun Engn, 5 De Ming Rd, Taoyuan 333, Taiwan.</t>
  </si>
  <si>
    <t>yanlihong@eurasia.edu; chiaowen@mail.mcu.edu.tw; bjhwang@mail.mcu.edu.tw; huichen@mail.mcu.edu.tw; zeojudy@gmail.com</t>
  </si>
  <si>
    <t>Ministry of Science and Technology (MOST), Taiwan, Republic of China [MOST 109-2410-H-130-044]; Technical Services of Xi'an Eurasia College [OYGJS-2021005]; Level General Project of Xi'an Eurasia College [2020GKYB001]</t>
  </si>
  <si>
    <t>Ministry of Science and Technology (MOST), Taiwan, Republic of China; Technical Services of Xi'an Eurasia College; Level General Project of Xi'an Eurasia College</t>
  </si>
  <si>
    <t>This work was supported by the Ministry of Science and Technology (MOST), Taiwan, Republic of China, under the Contract of MOST 109-2410-H-130-044, the Technical Services of Xi'an Eurasia College (Grant No. OYGJS-2021005) and the Level General Project of Xi'an Eurasia College (Grant No. 2020GKYB001).</t>
  </si>
  <si>
    <t>WORLD SCIENTIFIC PUBL CO PTE LTD</t>
  </si>
  <si>
    <t>5 TOH TUCK LINK, SINGAPORE 596224, SINGAPORE</t>
  </si>
  <si>
    <t>0218-0014</t>
  </si>
  <si>
    <t>1793-6381</t>
  </si>
  <si>
    <t>INT J PATTERN RECOGN</t>
  </si>
  <si>
    <t>Int. J. Pattern Recognit. Artif. Intell.</t>
  </si>
  <si>
    <t>10.1142/S0218001423590127</t>
  </si>
  <si>
    <t>K8GO1</t>
  </si>
  <si>
    <t>WOS:000980466100003</t>
  </si>
  <si>
    <t>Lewandowski, M; Lukowicz, P; Swietlik, D; Baranska-Rybak, W</t>
  </si>
  <si>
    <t>Lewandowski, Milosz; Lukowicz, Pawel; Swietlik, Dariusz; Baranska-Rybak, Wioletta</t>
  </si>
  <si>
    <t>ChatGPT-3.5 and ChatGPT-4 dermatological knowledge level based on the Specialty Certificate Examination in Dermatology</t>
  </si>
  <si>
    <t>CLINICAL AND EXPERIMENTAL DERMATOLOGY</t>
  </si>
  <si>
    <t>Background The global use of artificial intelligence (AI) has the potential to revolutionize the healthcare industry. Despite the fact that AI is becoming more popular, there is still a lack of evidence on its use in dermatology.Objectives To determine the capacity of ChatGPT-3.5 and ChatGPT-4 to support dermatology knowledge and clinical decision-making in medical practice.Methods Three Specialty Certificate Examination in Dermatology tests, in English and Polish, consisting of 120 single-best-answer, multiple-choice questions each, were used to assess the performance of ChatGPT-3.5 and ChatGPT-4.Results ChatGPT-4 exceeded the 60% pass rate in every performed test, with a minimum of 80% and 70% correct answers for the English and Polish versions, respectively. ChatGPT-4 performed significantly better on each exam (P &lt; 0.01), regardless of language, compared with ChatGPT-3.5. Furthermore, ChatGPT-4 answered clinical picture-type questions with an average accuracy of 93.0% and 84.2% for questions in English and Polish, respectively. The difference between the tests in Polish and English were not significant; however, ChatGPT-3.5 and ChatGPT-4 performed better overall in English than in Polish by an average of 8 percentage points for each test. Incorrect ChatGPT answers were highly correlated with a lower difficulty index, denoting questions of higher difficulty in most of the tests (P &lt; 0.05).Conclusions The dermatology knowledge level of ChatGPT was high, and ChatGPT-4 performed significantly better than ChatGPT-3.5. Although the use of ChatGPT will not replace a doctor's final decision, physicians should support the development of AI in dermatology to raise the standards of medical care.</t>
  </si>
  <si>
    <t>[Lewandowski, Milosz; Baranska-Rybak, Wioletta] Med Univ Gdansk, Fac Med, Dept Dermatol Venereol &amp; Allergol, Gdansk, Poland; [Lukowicz, Pawel; Swietlik, Dariusz] Med Univ Gdansk, Div Biostat &amp; Neural Networks, Gdansk, Poland</t>
  </si>
  <si>
    <t>Fahrenheit Universities; Medical University Gdansk; Fahrenheit Universities; Medical University Gdansk</t>
  </si>
  <si>
    <t>Lewandowski, M (corresponding author), Med Univ Gdansk, Fac Med, Dept Dermatol Venereol &amp; Allergol, Gdansk, Poland.</t>
  </si>
  <si>
    <t>milosz.lewandowski@gumed.edu.pl</t>
  </si>
  <si>
    <t>Lewandowski, Miłosz/ABD-2045-2021</t>
  </si>
  <si>
    <t>Lewandowski, Miłosz/0000-0002-3561-5705; Lukowicz, Pawel/0009-0008-8643-1990; Swietlik, Dariusz/0000-0002-9127-7368</t>
  </si>
  <si>
    <t>The manuscript was prepared entirely by the authors with no direct assistance from generative artificial intelligence, large language models or similar technologies.</t>
  </si>
  <si>
    <t>0307-6938</t>
  </si>
  <si>
    <t>1365-2230</t>
  </si>
  <si>
    <t>CLIN EXP DERMATOL</t>
  </si>
  <si>
    <t>Clin. Exp. Dermatol.</t>
  </si>
  <si>
    <t>10.1093/ced/llad255</t>
  </si>
  <si>
    <t>R8KH3</t>
  </si>
  <si>
    <t>WOS:001066785500001</t>
  </si>
  <si>
    <t>Li, LY; Ma, ZH; Fan, LZ; Lee, SGY; Yu, HZ; Hemphill, L</t>
  </si>
  <si>
    <t>Li, Lingyao; Ma, Zihui; Fan, Lizhou; Lee, Sanggyu; Yu, Huizi; Hemphill, Libby</t>
  </si>
  <si>
    <t>ChatGPT in education: a discourse analysis of worries and concerns on social media</t>
  </si>
  <si>
    <t>ChatGPT; Education; Social media; Topic modeling; Sentiment analysis; Social network</t>
  </si>
  <si>
    <t>The rapid advancements in generative AI models present new opportunities in the education sector. However, it is imperative to acknowledge and address the potential risks and concerns that may arise with their use. We analyzed Twitter data to identify critical concerns related to the use of ChatGPT in education. We employed BERT-based topic modeling to conduct a discourse analysis and social network analysis to identify influential users in the conversation. While Twitter users generally expressed a positive attitude toward using ChatGPT, their concerns converged into five categories: academic integrity, impact on learning outcomes and skill development, limitation of capabilities, policy and social concerns, and workforce challenges. We also found that users from the tech, education, and media fields were often implicated in the conversation, while education and tech individual users led the discussion of concerns. Based on these findings, the study provides several implications for policymakers, tech companies and individuals, educators, and media agencies. In summary, our study underscores the importance of responsible and ethical use of AI in education and highlights the need for collaboration among stakeholders to regulate AI policy.</t>
  </si>
  <si>
    <t>[Li, Lingyao; Fan, Lizhou; Hemphill, Libby] Univ Michigan, Sch Informat, Ann Arbor, MI 48109 USA; [Ma, Zihui; Lee, Sanggyu] Univ Maryland, Dept Civil &amp; Environm Engn, College Pk, MD USA; [Yu, Huizi] Univ Michigan, Sch Publ Hlth, Ann Arbor, MI USA</t>
  </si>
  <si>
    <t>University of Michigan System; University of Michigan; University System of Maryland; University of Maryland College Park; University of Michigan System; University of Michigan</t>
  </si>
  <si>
    <t>Li, LY (corresponding author), Univ Michigan, Sch Informat, Ann Arbor, MI 48109 USA.</t>
  </si>
  <si>
    <t>lingyaol@umich.edu; zma88@umd.edu; lizhouf@umich.edu; slee239@terpmail.umd.edu; huiziy@umich.edu; libbyh@umich.edu</t>
  </si>
  <si>
    <t>This study is based upon work supported by the National Science Foundation under grant no. 1928434. [1928434]; National Science Foundation</t>
  </si>
  <si>
    <t>This study is based upon work supported by the National Science Foundation under grant no. 1928434.; National Science Foundation(National Science Foundation (NSF))</t>
  </si>
  <si>
    <t>This study is based upon work supported by the National Science Foundation under grant no. 1928434.</t>
  </si>
  <si>
    <t>2023 OCT 11</t>
  </si>
  <si>
    <t>10.1007/s10639-023-12256-9</t>
  </si>
  <si>
    <t>KY5Q9</t>
  </si>
  <si>
    <t>WOS:001183546500001</t>
  </si>
  <si>
    <t>Tumanyan, N; Geyer, M; Bagon, S; Dekel, T</t>
  </si>
  <si>
    <t>Tumanyan, Narek; Geyer, Michal; Bagon, Shai; Dekel, Tali</t>
  </si>
  <si>
    <t>Plug-and-Play Diffusion Features for Text-Driven Image-to-Image Translation</t>
  </si>
  <si>
    <t>Large-scale text-to-image generative models have been a revolutionary breakthrough in the evolution of generative AI, synthesizing diverse images with highly complex visual concepts. However, a pivotal challenge in leveraging such models for real-world content creation is providing users with control over the generated content. In this paper, we present a new framework that takes text-to-image synthesis to the realm of image-to-image translation given a guidance image and a target text prompt as input, our method harnesses the power of a pre-trained text-to-image diffusion model to generate a new image that complies with the target text, while preserving the semantic layout of the guidance image. Specifically, we observe and empirically demonstrate that fine-grained control over the generated structure can be achieved by manipulating spatial features and their self-attention inside the model. This results in a simple and effective approach, where features extracted from the guidance image are directly injected into the generation process of the translated image, requiring no training or fine-tuning. We demonstrate high-quality results on versatile text-guided image translation tasks, including translating sketches, rough drawings and animations into realistic images, changing the class and appearance of objects in a given image, and modifying global qualities such as lighting and color.</t>
  </si>
  <si>
    <t>[Tumanyan, Narek; Geyer, Michal; Bagon, Shai; Dekel, Tali] Weizmann Inst Sci, Rehovot, Israel</t>
  </si>
  <si>
    <t>Weizmann Institute of Science</t>
  </si>
  <si>
    <t>Tumanyan, N (corresponding author), Weizmann Inst Sci, Rehovot, Israel.</t>
  </si>
  <si>
    <t>Israeli Science Foundation [2303/20]; Carolito Stiftung; NVIDIA Applied Research Accelerator Program</t>
  </si>
  <si>
    <t>Israeli Science Foundation(Israel Science Foundation); Carolito Stiftung; NVIDIA Applied Research Accelerator Program</t>
  </si>
  <si>
    <t>We thank Omer Bar-Tal for his insights. This project received funding from the Israeli Science Foundation (grant 2303/20), the Carolito Stiftung, and the NVIDIA Applied Research Accelerator Program. Dr. Bagon is a Robin Chemers Neustein AI Fellow.</t>
  </si>
  <si>
    <t>10.1109/CVPR52729.2023.00191</t>
  </si>
  <si>
    <t>WOS:001058542602024</t>
  </si>
  <si>
    <t>Mukherjee, P; Gokul, RS; Sadhukhan, S; Godse, M; Chakraborty, B</t>
  </si>
  <si>
    <t>Mukherjee, Prasenjit; Gokul, R. S.; Sadhukhan, Sourav; Godse, Manish; Chakraborty, Baisakhi</t>
  </si>
  <si>
    <t>Detection of Autism Spectrum Disorder (ASD) from Natural Language Text using BERT and ChatGPT Models</t>
  </si>
  <si>
    <t>-BERT model; ChatGPT model; autism; machine learning; generative AI; autism detection</t>
  </si>
  <si>
    <t>D may be caused by a combination of genetic and environmental factors, including gene mutations and exposure to toxins. People with ASD may also have trouble forming social relationships, have difficulty with communication and language, and struggle with sensory sensitivity. These difficulties can range from mild to severe and can affect a person's ability to interact with the world around them. Autism spectrum disorder (ASD) is a developmental disorder that affects people in different ways. But early detection of ASD in a child is a good option for parents to start corrective therapies and treatment. They can take action to reduce the ASD symptoms in their child. The proposed work is the detection of ASD in a child using a parent's dialog. The most popular Bert model and recent ChatGPT have been utilized to analyze the sentiment of each statement from parents for the detection of symptoms of ASD. The Bert model has been developed by the transformers which are the most popular in the natural language processing field whereas the ChatGPT model is a large language model (LLM). It is based on Reinforcement learning from human feedback (RLHF) that can able to generate the sentiment of the sentence, computer language codes, text paragraphs, etc. The sentiment analysis has been done on parents' dialog using the Bert model and ChatGPT model. The data has been prepared from various Autism groups on social sites and other resources on the internet. The data has been cleaned and prepared to train the Bert model and ChatGPT model. The Bert model is able to detect the sentiment of each sentence from parents. Any positive sentiment detection means parents should be aware of their children. The proposed model has given 83 percent accuracy according to the prepared data.</t>
  </si>
  <si>
    <t>[Mukherjee, Prasenjit; Gokul, R. S.] Vodafone Intelligent Solut, Dept Technol, Pune, India; [Mukherjee, Prasenjit] Manipur Int Univ, Dept Comp Sci, Imphal, Manipur, India; [Sadhukhan, Sourav] Pune Inst Business Management, Dept Finance, Pune, India; [Godse, Manish] BizAm Software, Dept IT, Pune, India; [Chakraborty, Baisakhi] Natl Inst Technol, Dept Comp Sci &amp; Engn, Durgapur, India</t>
  </si>
  <si>
    <t>National Institute of Technology (NIT System); National Institute of Technology Durgapur</t>
  </si>
  <si>
    <t>Mukherjee, P (corresponding author), Vodafone Intelligent Solut, Dept Technol, Pune, India.;Mukherjee, P (corresponding author), Manipur Int Univ, Dept Comp Sci, Imphal, Manipur, India.</t>
  </si>
  <si>
    <t>Manipur International University, Imphal, India</t>
  </si>
  <si>
    <t>The authors extend their appreciation to the Manipur International University, Imphal, India for supporting this Post-Doctoral (D.Sc.) research work on Autism.</t>
  </si>
  <si>
    <t>CN6Y1</t>
  </si>
  <si>
    <t>WOS:001125979200001</t>
  </si>
  <si>
    <t>Gao, XY; Shi, F; Shen, DG; Liu, MH</t>
  </si>
  <si>
    <t>Gao, Xingyu; Shi, Feng; Shen, Dinggang; Liu, Manhua</t>
  </si>
  <si>
    <t>Multimodal transformer network for incomplete image generation and diagnosis of Alzheimer's disease</t>
  </si>
  <si>
    <t>COMPUTERIZED MEDICAL IMAGING AND GRAPHICS</t>
  </si>
  <si>
    <t>Multimodal brain images; Generative adversarial network; Transformer; Image generation; Disease diagnosis</t>
  </si>
  <si>
    <t>ESTIMATING CT IMAGE; CLASSIFICATION; REPRESENTATION; ROBUST; GAN</t>
  </si>
  <si>
    <t>Multimodal images such as magnetic resonance imaging (MRI) and positron emission tomography (PET) could provide complementary information about the brain and have been widely investigated for the diagnosis of neurodegenerative disorders such as Alzheimer's disease (AD). However, multimodal brain images are often incomplete in clinical practice. It is still challenging to make use of multimodality for disease diagnosis with missing data. In this paper, we propose a deep learning framework with the multi-level guided generative adversarial network (MLG-GAN) and multimodal transformer (Mul-T) for incomplete image generation and disease classification, respectively. First, MLG-GAN is proposed to generate the missing data, guided by multi-level information from voxels, features, and tasks. In addition to voxel-level supervision and task-level constraint, a feature-level auto-regression branch is proposed to embed the features of target images for an accurate generation. With the complete multimodal images, we propose a Mul-T network for disease diagnosis, which can not only combine the global and local features but also model the latent interactions and correlations from one modality to another with the cross-modal attention mechanism. Comprehensive experiments on three independent datasets (i.e., ADNI-1, ADNI-2, and OASIS-3) show that the proposed method achieves superior performance in the tasks of image generation and disease diagnosis compared to state-of-the-art methods.</t>
  </si>
  <si>
    <t>[Gao, Xingyu; Liu, Manhua] Shanghai Jiao Tong Univ, Sch Elect Informat &amp; Elect Engn, Shanghai, Peoples R China; [Shi, Feng; Shen, Dinggang] Shanghai United Imaging Intelligence Co Ltd, Dept Res &amp; Dev, Shanghai, Peoples R China; [Shen, Dinggang] ShanghaiTech Univ, Sch Biomed Engn, Shanghai, Peoples R China; [Liu, Manhua] Shanghai Jiao Tong Univ, AI Inst, MoE Key Lab Artificial Intelligence, Shanghai, Peoples R China</t>
  </si>
  <si>
    <t>Shanghai Jiao Tong University; ShanghaiTech University; Shanghai Jiao Tong University</t>
  </si>
  <si>
    <t>Liu, MH (corresponding author), Shanghai Jiao Tong Univ, Sch Elect Informat &amp; Elect Engn, Shanghai, Peoples R China.;Shi, F; Shen, DG (corresponding author), Shanghai United Imaging Intelligence Co Ltd, Dept Res &amp; Dev, Shanghai, Peoples R China.;Shen, DG (corresponding author), ShanghaiTech Univ, Sch Biomed Engn, Shanghai, Peoples R China.;Liu, MH (corresponding author), Shanghai Jiao Tong Univ, AI Inst, MoE Key Lab Artificial Intelligence, Shanghai, Peoples R China.</t>
  </si>
  <si>
    <t>feng.shi@uii-ai.com; Dinggang.Shen@gmail.com; mhliu@sjtu.edu.cn</t>
  </si>
  <si>
    <t>gao, xingyu/0000-0003-2427-3540; Shi, Feng/0000-0003-1522-9943</t>
  </si>
  <si>
    <t>National Natural Science Foundation of China [62171283]; Natural Science Foundation of Shanghai [20ZR1426300]; National Key Research and Development program of China [2022YFC2503302, 2022YFC2503305, 2022YFE0205700]; CAAI-Huawei MindSpore Open Fund, Shanghai Municipal Science and Technology Major Project [2021SHZDZX0102, 2018SHZDZX01]; Fundamental Research Funds for the Central Universities; Key Laboratory of Computational Neuroscience and Brain-Inspired Intelligence (LCNBI); ZJLab</t>
  </si>
  <si>
    <t>National Natural Science Foundation of China(National Natural Science Foundation of China (NSFC)); Natural Science Foundation of Shanghai(Natural Science Foundation of Shanghai); National Key Research and Development program of China; CAAI-Huawei MindSpore Open Fund, Shanghai Municipal Science and Technology Major Project; Fundamental Research Funds for the Central Universities(Fundamental Research Funds for the Central Universities); Key Laboratory of Computational Neuroscience and Brain-Inspired Intelligence (LCNBI); ZJLab</t>
  </si>
  <si>
    <t>This work was supported in part by the National Natural Science Foundation of China under Grant 62171283, in part by the Natural Science Foundation of Shanghai under Grant 20ZR1426300, in part by the National Key Research and Development program of China under Grant 2022YFC2503302, 2022YFC2503305 and 2022YFE0205700, in part by the CAAI-Huawei MindSpore Open Fund, Shanghai Municipal Science and Technology Major Project under Grant 2021SHZDZX0102 and 2018SHZDZX01, and in part by the Fundamental Research Funds for the Central Universities. and the Key Laboratory of Computational Neuroscience and Brain-Inspired Intelligence (LCNBI) and ZJLab. We also thank the ADNI and OASIS very much for their data collection and sharing. For more information, we refer readers to web-site of the ADNI: https://adni.loni.usc.edu/and OASIS:https:// www.oasis-brains.org/.</t>
  </si>
  <si>
    <t>0895-6111</t>
  </si>
  <si>
    <t>1879-0771</t>
  </si>
  <si>
    <t>COMPUT MED IMAG GRAP</t>
  </si>
  <si>
    <t>Comput. Med. Imaging Graph.</t>
  </si>
  <si>
    <t>10.1016/j.compmedimag.2023.102303</t>
  </si>
  <si>
    <t>Engineering, Biomedical; Radiology, Nuclear Medicine &amp; Medical Imaging</t>
  </si>
  <si>
    <t>Engineering; Radiology, Nuclear Medicine &amp; Medical Imaging</t>
  </si>
  <si>
    <t>X4OI7</t>
  </si>
  <si>
    <t>WOS:001098257500001</t>
  </si>
  <si>
    <t>Cheng, ZH; Shen, L; Zhu, MX; Guo, JX; Fang, M; Liu, L; Du, B; Tao, DC</t>
  </si>
  <si>
    <t>Cheng, Zhihao; Shen, Li; Zhu, Miaoxi; Guo, Jiaxian; Fang, Meng; Liu, Liu; Du, Bo; Tao, Dacheng</t>
  </si>
  <si>
    <t>Prescribed Safety Performance Imitation Learning From a Single Expert Dataset</t>
  </si>
  <si>
    <t>Imitation learning; safe imitation learning; inverse reinforcement learning; generative adversarial imitation; Lagrange multiplier</t>
  </si>
  <si>
    <t>REINFORCEMENT; POLICIES</t>
  </si>
  <si>
    <t>Existing safe imitation learning (safe IL) methods mainly focus on learning safe policies that are similar to expert ones, but may fail in applications requiring different safety constraints. In this paper, we propose the Lagrangian Generative Adversarial Imitation Learning (LGAIL) algorithm, which can adaptively learn safe policies from a single expert dataset under diverse prescribed safety constraints. To achieve this, we augment GAIL with safety constraints and then relax it as an unconstrained optimization problem by utilizing a Lagrange multiplier. The Lagrange multiplier enables explicit consideration of the safety and is dynamically adjusted to balance the imitation and safety performance during training. Then, we apply a two-stage optimization framework to solve LGAIL: (1) a discriminator is optimized to measure the similarity between the agent-generated data and the expert ones; (2) forward reinforcement learning is employed to improve the similarity while considering safety concerns enabled by a Lagrange multiplier. Furthermore, theoretical analyses on the convergence and safety of LGAIL demonstrate its capability of adaptively learning a safe policy given prescribed safety constraints. At last, extensive experiments in OpenAI Safety Gym conclude the effectiveness of our approach.</t>
  </si>
  <si>
    <t>[Cheng, Zhihao; Guo, Jiaxian; Liu, Liu; Tao, Dacheng] Univ Sydney, Sydney AI Ctr, Darlington, NSW 2008, Australia; [Cheng, Zhihao; Guo, Jiaxian; Liu, Liu; Tao, Dacheng] Univ Sydney, Fac Engn, Sch Comp Sci, Darlington, NSW 2008, Australia; [Shen, Li] JD Explore Acad, Beijing 101111, Peoples R China; [Zhu, Miaoxi; Du, Bo] Wuhan Univ, Natl Engn Res Ctr Multimedia Software, Sch Comp Sci, Inst Artificial Intelligence, Wuhan 430072, Peoples R China; [Zhu, Miaoxi; Du, Bo] Wuhan Univ, Hubei Key Lab Multimedia &amp; Network Commun Engn, Wuhan 430072, Peoples R China; [Fang, Meng] Univ Liverpool, Liverpool L69 7ZX, England</t>
  </si>
  <si>
    <t>University of Sydney; University of Sydney; Wuhan University; Wuhan University; University of Liverpool</t>
  </si>
  <si>
    <t>Tao, DC (corresponding author), Univ Sydney, Sydney AI Ctr, Darlington, NSW 2008, Australia.;Tao, DC (corresponding author), Univ Sydney, Fac Engn, Sch Comp Sci, Darlington, NSW 2008, Australia.</t>
  </si>
  <si>
    <t>zche3121@uni.sydney.edu.au; mathshenli@gmail.com; zhumx@whu.edu.cn; jguo5934@uni.sydney.edu.au; Meng.Fang@liverpool.ac.uk; liu.liu1@sydney.edu.au; dubo@whu.edu.cn; dacheng.tao@sydney.edu.au</t>
  </si>
  <si>
    <t>Shen, Li/AEZ-9528-2022; Tao, Dacheng/A-5449-2012</t>
  </si>
  <si>
    <t>Shen, Li/0000-0001-5659-3464; Tao, Dacheng/0000-0001-7225-5449; liu, liu/0000-0002-8128-2788</t>
  </si>
  <si>
    <t>10.1109/TPAMI.2023.3287908</t>
  </si>
  <si>
    <t>S1KC4</t>
  </si>
  <si>
    <t>WOS:001068816800046</t>
  </si>
  <si>
    <t>Peña-Fernández, S; Meso-Ayerdi, K; Larrondo-Ureta, A; Díaz-Noci, J</t>
  </si>
  <si>
    <t>Pena-Fernandez, Simon; Meso-Ayerdi, Koldobika; Larrondo-Ureta, Ainara; Diaz-Noci, Javier</t>
  </si>
  <si>
    <t>Without journalists, there is no journalism: the social dimension of artificial intelligence in the media</t>
  </si>
  <si>
    <t>Media; Journalism; Generative artificial intelligence; Algorithms; Audiences; Journalists; Automation; News; Digital divide; Society</t>
  </si>
  <si>
    <t>AUTOMATED JOURNALISM; NEWS; MACHINE; ALGORITHMS; PERCEPTIONS; AUTHORSHIP; IMPACT; WRITTEN; COMMUNICATION; FORMS</t>
  </si>
  <si>
    <t>The implementation of artificial intelligence techniques and tools in the media will systematically and continuously alter their work and that of their professionals during the coming decades. To this end, this article carries out a systematic review of the research conducted on the implementation of AI in the media over the last two decades, particularly empirical research, to identify the main social and epistemological challenges posed by its adoption. For the media, increased dependence on technological platforms and the defense of their editorial independence will be the main challenges. Journalists, in turn, are torn between the perceived threat to their jobs and the loss of their symbolic capital as intermediaries between reality and audiences, and a liberation from routine tasks that subsequently allows them to produce higher quality content. Meanwhile, audiences do not seem to perceive a great difference in the quality and credibility of automated texts, although the ease with which texts are read still favors human authorship. In short, beyond technocentric or deterministic approaches, the use of AI in a specifically human field such as journalism requires a social approach in which the appropriation of innovations by audiences and the impact it has on them is one of the keys to its development. Therefore, the study of AI in the media should focus on analyzing how it can affect individuals and journalists, how it can be used for the proper purposes of the profession and social good, and how to close the gaps that its use can cause.</t>
  </si>
  <si>
    <t>[Pena-Fernandez, Simon; Meso-Ayerdi, Koldobika; Larrondo-Ureta, Ainara] Univ Pais Vasco UPV EHU, Fac Ciencias Soci Comunicac, Barrio Sarriena,S-N, Leioa 48940, Vizcaya, Spain; [Diaz-Noci, Javier] Univ Pompeu Fabra, Dept Comunicacio, Roc Boronat,138, Barcelona 08018, Spain</t>
  </si>
  <si>
    <t>University of Basque Country; Pompeu Fabra University</t>
  </si>
  <si>
    <t>Peña-Fernández, S (corresponding author), Univ Pais Vasco UPV EHU, Fac Ciencias Soci Comunicac, Barrio Sarriena,S-N, Leioa 48940, Vizcaya, Spain.</t>
  </si>
  <si>
    <t>simon.pena@ehu.eus; koldo.meso@ehu.eus; ainara.larrondo@ehu.eus; javier.diaz@upf.edu</t>
  </si>
  <si>
    <t>Díaz Noci, Javier/C-6496-2012; Meso Ayerdi, Koldobika/H-1964-2015; Pena-Fernandez, Simon/C-4850-2013; Larrondo Ureta, Ainara/ADN-4801-2022</t>
  </si>
  <si>
    <t>Meso Ayerdi, Koldobika/0000-0002-0400-133X; Pena-Fernandez, Simon/0000-0003-2080-3241; Diaz-Noci, Javier/0000-0001-9559-4283; Larrondo Ureta, Ainara/0000-0003-3303-4330</t>
  </si>
  <si>
    <t>Agencia Estatal de Investigacion (AEI) of the Spanish Ministry of Science and Innovation (Micin) [TED2021-130810B-C22]; Gureiker consolidated research group of the Basque University System [IT1496-22]; European Commission NextGeneration EU/PRTR</t>
  </si>
  <si>
    <t>Agencia Estatal de Investigacion (AEI) of the Spanish Ministry of Science and Innovation (Micin); Gureiker consolidated research group of the Basque University System; European Commission NextGeneration EU/PRTR</t>
  </si>
  <si>
    <t>This work is part of the research project TED2021-130810B-C22 funded by Agencia Estatal de Investigacion (AEI) of the Spanish Ministry of Science and Innovation (Micin) 10.13039/501100011033 and by the European Commission NextGeneration EU/PRTR. It is also part of the scientific production of the Gureiker consolidated research group of the Basque University System (IT1496-22).</t>
  </si>
  <si>
    <t>e320227</t>
  </si>
  <si>
    <t>10.3145/epi.2023.mar.27</t>
  </si>
  <si>
    <t>O1BJ0</t>
  </si>
  <si>
    <t>WOS:001041238800003</t>
  </si>
  <si>
    <t>Xue, B; Said, AS; Xu, ZQ; Liu, HY; Shah, N; Yang, HQ; Payne, P; Lu, CY</t>
  </si>
  <si>
    <t>Xue, Bing; Said, Ahmed Sameh; Xu, Ziqi; Liu, Hanyang; Shah, Neel; Yang, Hanqing; Payne, Philip; Lu, Chenyang</t>
  </si>
  <si>
    <t>Assisting Clinical Decisions for Scarcely Available Treatment via Disentangled Latent Representation</t>
  </si>
  <si>
    <t>Machine Learning for Healthcare; Causal Inference; Representation Learning; Semi-supervised Learning; Treatment Effect Estimation; COVID Analysis; Generative AI; Deep Latent Variable Models; Variational Autoencoder</t>
  </si>
  <si>
    <t>EXTRACORPOREAL MEMBRANE-OXYGENATION; MORTALITY RISK; PREDICTION; SCORE</t>
  </si>
  <si>
    <t>Extracorporeal membrane oxygenation (ECMO) is an essential life-supporting modality for COVID-19 patients who are refractory to conventional therapies. However, the proper treatment decision has been the subject of significant debate and it remains controversial about who benefits from this scarcely available and technically complex treatment option. To support clinical decisions, it is a critical need to predict the treatment need and the potential treatment and no-treatment responses. Targeting this clinical challenge, we propose Treatment Variational AutoEncoder (TVAE), a novel approach for individualized treatment analysis. TVAE is specifically designed to address the modeling challenges like ECMO with strong treatment selection bias and scarce treatment cases. TVAE conceptualizes the treatment decision as a multi-scale problem. We model a patient's potential treatment assignment and the factual and counterfactual outcomes as part of their intrinsic characteristics that can be represented by a deep latent variable model. The factual and counterfactual prediction errors are alleviated via a reconstruction regularization scheme together with semi-supervision, and the selection bias and the scarcity of treatment cases are mitigated by the disentangled and distribution-matched latent space and the label-balancing generative strategy. We evaluate TVAE on two real-world COVID-19 datasets: an international dataset collected from 1651 hospitals across 63 countries, and a institutional dataset collected from 15 hospitals. The results show that TVAE outperforms state-of-the-art treatment effect models in predicting both the propensity scores and factual outcomes on heterogeneous COVID-19 datasets. Additional experiments also show TVAE outperforms the best existing models in individual treatment effect estimation on the synthesized IHDP benchmark dataset.</t>
  </si>
  <si>
    <t>[Xue, Bing; Xu, Ziqi; Liu, Hanyang; Yang, Hanqing; Lu, Chenyang] Washington Univ, McKelvey Sch Engn, St Louis, MO 63110 USA; [Said, Ahmed Sameh; Shah, Neel; Payne, Philip] Washington Univ, Sch Med, St Louis, MO USA</t>
  </si>
  <si>
    <t>Washington University (WUSTL); Washington University (WUSTL)</t>
  </si>
  <si>
    <t>Lu, CY (corresponding author), Washington Univ, McKelvey Sch Engn, St Louis, MO 63110 USA.</t>
  </si>
  <si>
    <t>xuebing1234@gmail.com; said_a@wustl.edu; ziqixu@wustl.edu; hanyang.liu@wustl.edu; neel.shah@wustl.edu; alberty@wustl.edu; prpayne@wustl.edu; lu@cse.wustl.edu</t>
  </si>
  <si>
    <t>Said, Ahmed/AAA-1152-2022; XUE, Bing/JOZ-6681-2023; Payne, Philip R.O./E-3841-2011</t>
  </si>
  <si>
    <t>Said, Ahmed/0000-0002-1215-2664; XUE, Bing/0000-0002-4865-8026; Payne, Philip/0000-0002-9532-2998; Shah, Neel/0000-0001-8873-6482</t>
  </si>
  <si>
    <t>ISARIC Clinical Characterisation Group, Pandemic Sciences Institute, University of Oxford [0009-0004-5601-9672]; Fullgraf Foundation; Big Ideas 2020 COVID Grant through the Healthcare Innovations Lab at the BJC Healthcare and Washington University in St. Louis School of Medicine; Children's Discovery Institute Faculty Development Award at Washington University in St. Louis</t>
  </si>
  <si>
    <t>ISARIC Clinical Characterisation Group, Pandemic Sciences Institute, University of Oxford; Fullgraf Foundation; Big Ideas 2020 COVID Grant through the Healthcare Innovations Lab at the BJC Healthcare and Washington University in St. Louis School of Medicine; Children's Discovery Institute Faculty Development Award at Washington University in St. Louis</t>
  </si>
  <si>
    <t>The completion of this research project would not have been possible without the contributions and support of the ISARIC Clinical Characterisation Group (ORCID ID: 0009-0004-5601-9672), Pandemic Sciences Institute, University of Oxford. We are deeply grateful to all contributors who played a role in the success of this project. The full author list and funding information is provided in the permanent link.; This work was supported by the Fullgraf Foundation, and the Big Ideas 2020 COVID Grant through the Healthcare Innovations Lab at the BJC Healthcare and Washington University in St. Louis School of Medicine. ASS has received research support from the Children's Discovery Institute Faculty Development Award at Washington University in St. Louis.</t>
  </si>
  <si>
    <t>10.1145/3580305.3599774</t>
  </si>
  <si>
    <t>WOS:001118896305036</t>
  </si>
  <si>
    <t>Cho, SI; Navarrete-Dechent, C; Daneshjou, R; Cho, HS; Chang, SE; Kim, SH; Na, JI; Han, SS</t>
  </si>
  <si>
    <t>Cho, Soo Ick; Navarrete-Dechent, Cristian; Daneshjou, Roxana; Cho, Hye Soo; Chang, Sung Eun; Kim, Seong Hwan; Na, Jung-Im; Han, Seung Seog</t>
  </si>
  <si>
    <t>Generation of a Melanoma and Nevus Data Set From Unstandardized Clinical Photographs on the Internet</t>
  </si>
  <si>
    <t>JAMA DERMATOLOGY</t>
  </si>
  <si>
    <t>SKIN-CANCER; CLASSIFICATION; IMAGES; ACCESS; COLOR</t>
  </si>
  <si>
    <t>ImportanceArtificial intelligence (AI) training for diagnosing dermatologic images requires large amounts of clean data. Dermatologic images have different compositions, and many are inaccessible due to privacy concerns, which hinder the development of AI.ObjectiveTo build a training data set for discriminative and generative AI from unstandardized internet images of melanoma and nevus.Design, Setting, and ParticipantsIn this diagnostic study, a total of 5619 (CAN5600 data set) and 2006 (CAN2000 data set; a manually revised subset of CAN5600) cropped lesion images of either melanoma or nevus were semiautomatically annotated from approximately 500 000 photographs on the internet using convolutional neural networks (CNNs), region-based CNNs, and large mask inpainting. For unsupervised pretraining, 132 673 possible lesions (LESION130k data set) were also created with diversity by collecting images from 18 482 websites in approximately 80 countries. A total of 5000 synthetic images (GAN5000 data set) were generated using the generative adversarial network (StyleGAN2-ADA; training, CAN2000 data set; pretraining, LESION130k data set).Main Outcomes and MeasuresThe area under the receiver operating characteristic curve (AUROC) for determining malignant neoplasms was analyzed. In each test, 1 of the 7 preexisting public data sets (total of 2312 images; including Edinburgh, an SNU subset, Asan test, Waterloo, 7-point criteria evaluation, PAD-UFES-20, and MED-NODE) was used as the test data set. Subsequently, a comparative study was conducted between the performance of the EfficientNet Lite0 CNN on the proposed data set and that trained on the remaining 6 preexisting data sets.ResultsThe EfficientNet Lite0 CNN trained on the annotated or synthetic images achieved higher or equivalent mean (SD) AUROCs to the EfficientNet Lite0 trained using the pathologically confirmed public data sets, including CAN5600 (0.874 [0.042]; P = .02), CAN2000 (0.848 [0.027]; P = .08), and GAN5000 (0.838 [0.040]; P = .31 [Wilcoxon signed rank test]) and the preexisting data sets combined (0.809 [0.063]) by the benefits of increased size of the training data set.Conclusions and RelevanceThe synthetic data set in this diagnostic study was created using various AI technologies from internet images. A neural network trained on the created data set (CAN5600) performed better than the same network trained on preexisting data sets combined. Both the annotated (CAN5600 and LESION130k) and synthetic (GAN5000) data sets could be shared for AI training and consensus between physicians.</t>
  </si>
  <si>
    <t>[Cho, Soo Ick] Lunit Inc, Seoul, South Korea; [Navarrete-Dechent, Cristian] Pontificia Univ Catolica Chile, Dept Gastroenterol, Sch Med, Santiago, Chile; [Daneshjou, Roxana] Stanford Univ, Dept Dermatol, Stanford, CA USA; [Cho, Hye Soo; Chang, Sung Eun] Univ Ulsan, Coll Med, Asan Med Ctr, Dept Dermatol, Seoul, South Korea; [Kim, Seong Hwan] Hallym Univ, Kangnam Sacred Heart Hosp, Coll Med, Dept Plast &amp; Reconstruct Surg, Seoul, South Korea; [Na, Jung-Im] Seoul Natl Univ, Seoul Natl Univ Bundang Hosp, Coll Med, Dept Dermatol, Seoul, South Korea; [Han, Seung Seog] Dept Dermatol, Dermatol Clin 1, Seoul, South Korea; [Han, Seung Seog] IDerma Inc, Seoul, South Korea; [Na, Jung-Im] Seoul Natl Univ, Bundang Hosp, Dept Dermatol, 82 Gumi Ro 173 Beon Gil, Seongnam 463707, South Korea; [Kim, Seong Hwan] Hallym Univ, Kangnam Sacred Heart Hosp, Dept Plast &amp; Reconstruct Surg, Coll Med, Singil Ro, Seoul, South Korea</t>
  </si>
  <si>
    <t>Pontificia Universidad Catolica de Chile; Stanford University; University of Ulsan; Asan Medical Center; Hallym University; Seoul National University (SNU); Seoul National University Hospital; Seoul National University (SNU); Hallym University</t>
  </si>
  <si>
    <t>Na, JI (corresponding author), Seoul Natl Univ, Bundang Hosp, Dept Dermatol, 82 Gumi Ro 173 Beon Gil, Seongnam 463707, South Korea.;Kim, SH (corresponding author), Hallym Univ, Kangnam Sacred Heart Hosp, Dept Plast &amp; Reconstruct Surg, Coll Med, Singil Ro, Seoul, South Korea.</t>
  </si>
  <si>
    <t>kalosmanus@naver.com; jina1@snu.ac.kr</t>
  </si>
  <si>
    <t>Daneshjou, Roxana/0000-0001-7988-9356</t>
  </si>
  <si>
    <t>Basic Science Research Program through the National Research Foundation of Korea, Ministry of Science, Information and Communications Technologies [2021R1F1A1062758]</t>
  </si>
  <si>
    <t>Basic Science Research Program through the National Research Foundation of Korea, Ministry of Science, Information and Communications Technologies(National Research Foundation of Korea)</t>
  </si>
  <si>
    <t>This study was supported by grant 2021R1F1A1062758 from the Basic Science Research Program through the National Research Foundation of Korea, Ministry of Science, Information and Communications Technologies (Dr Kim).</t>
  </si>
  <si>
    <t>2168-6068</t>
  </si>
  <si>
    <t>2168-6084</t>
  </si>
  <si>
    <t>JAMA DERMATOL</t>
  </si>
  <si>
    <t>JAMA Dermatol.</t>
  </si>
  <si>
    <t>10.1001/jamadermatol.2023.3521</t>
  </si>
  <si>
    <t>CU0C2</t>
  </si>
  <si>
    <t>WOS:001078129300002</t>
  </si>
  <si>
    <t>Malik, N; Singh, PV; Srinivasan, K</t>
  </si>
  <si>
    <t>Malik, Nikhil; Singh, Param Vir; Srinivasan, Kannan</t>
  </si>
  <si>
    <t>When Does Beauty Pay? A Large-Scale Image-Based Appearance Analysis on Career Transitions</t>
  </si>
  <si>
    <t>INFORMATION SYSTEMS RESEARCH</t>
  </si>
  <si>
    <t>beauty premium; attractiveness bias; labor market; image morphing; generative AI; PSM</t>
  </si>
  <si>
    <t>INTERNAL ECONOMICS; ATTRACTIVENESS; DISCRIMINATION; BIAS; FIRM</t>
  </si>
  <si>
    <t>We compare the career outcomes of MBA graduates with attractive and plain looking faces. Our findings reveal that attractive MBA graduates have a higher probability of holding more desirable jobs compared with their plain-looking counterparts 15 years after obtaining their MBA degree, resulting in a 15-year attractiveness premium of 2.4%. This premium corresponds to an annual salary differential of $2,508. Additionally, we observed an extreme attractiveness premium of over 11% for the top 10% most attractive graduates, leading to a yearly salary differential of $5,528. Notably, this attractiveness premium is accumulated persistently over a decade. Moreover, the attractiveness premium is more pronounced among arts undergraduate graduates and those in managerial roles or the management industry, as opposed to those with IT backgrounds or working in technical jobs or the IT industry post-MBA. To achieve these results, we devised a robust methodological framework that combines custom machine learning (ML) models. These models generate a time series of an individual's attractiveness by morphing a single profile picture and determine career success by ranking job titles based on revealed preferences in job transitions. Additionally, we employed a quasi-experiment design using propensity score matching to ensure the accuracy and reliability of our analysis.</t>
  </si>
  <si>
    <t>[Malik, Nikhil] Univ Southern Calif, Marshall Sch Business, Los Angeles, CA 90089 USA; [Singh, Param Vir; Srinivasan, Kannan] Carnegie Mellon Univ, Tepper Sch Business, Pittsburgh, PA 15213 USA</t>
  </si>
  <si>
    <t>University of Southern California; Carnegie Mellon University</t>
  </si>
  <si>
    <t>Malik, N (corresponding author), Univ Southern Calif, Marshall Sch Business, Los Angeles, CA 90089 USA.</t>
  </si>
  <si>
    <t>maliknik@usc.edu; psidhu@cmu.edu; kannans@cmu.edu</t>
  </si>
  <si>
    <t>Singh, Param Vir/0000-0002-0211-7849</t>
  </si>
  <si>
    <t>INFORMS</t>
  </si>
  <si>
    <t>CATONSVILLE</t>
  </si>
  <si>
    <t>5521 RESEARCH PARK DR, SUITE 200, CATONSVILLE, MD 21228 USA</t>
  </si>
  <si>
    <t>1047-7047</t>
  </si>
  <si>
    <t>1526-5536</t>
  </si>
  <si>
    <t>INFORM SYST RES</t>
  </si>
  <si>
    <t>Inf. Syst. Res.</t>
  </si>
  <si>
    <t>10.1287/isre.2021.0559</t>
  </si>
  <si>
    <t>Information Science &amp; Library Science; Management</t>
  </si>
  <si>
    <t>Information Science &amp; Library Science; Business &amp; Economics</t>
  </si>
  <si>
    <t>X8UQ3</t>
  </si>
  <si>
    <t>WOS:001101139800001</t>
  </si>
  <si>
    <t>Wyk, MMV; Adarkwah, MA; Amponsah, S</t>
  </si>
  <si>
    <t>Wyk, Micheal m. van; Adarkwah, Michael agyemang; Amponsah, Samuel</t>
  </si>
  <si>
    <t>Why All the Hype about ChatGPT? Academics' Views of a Chat-based Conversational Learning Strategy at an Open Distance e-Learning Institution</t>
  </si>
  <si>
    <t>artificial intelligence; technology awareness; Chat Generative Pre-Trained Transformer; ChatGPT; chat-based conversational learning strategy; open distance e-learning</t>
  </si>
  <si>
    <t>The launch of ChatGPT has been revolutionary. This AI chatbot can produce conversations which are indistinguishable from that of humans. This exploratory qualitative study is foregrounded in a constructivist-interpretative perspective. The principal objective of this paper is to explore the views of academics on ChatGPT as an AI-based learning strategy at an open distance e-learning (ODeL) institution of higher education. Thirteen academics, who were enrolled as study participants, posted their views of ChatGPT as an AI-based learning strategy on a Teams chat at an institution of higher learning. The results support a few research studies on ChatGPT. The academics recognized the benefits and risks of using ChatGPT for teaching and learning. Further investigations are recommended to explore similar studies in higher education spaces and specifications.</t>
  </si>
  <si>
    <t>[Wyk, Micheal m. van; Amponsah, Samuel] Univ South Africa, Pretoria, South Africa; [Adarkwah, Michael agyemang] Beijing Normal Univ, Smart Learning Inst, Beijing, Peoples R China</t>
  </si>
  <si>
    <t>University of South Africa; Beijing Normal University</t>
  </si>
  <si>
    <t>Wyk, MMV (corresponding author), Univ South Africa, Pretoria, South Africa.</t>
  </si>
  <si>
    <t>vwykmm@unisa.ac.za</t>
  </si>
  <si>
    <t>Adarkwah, Michael Agyemang/AAC-8210-2021; van Wyk, Micheal M/P-1211-2016</t>
  </si>
  <si>
    <t>Adarkwah, Michael Agyemang/0000-0001-8201-8965; van Wyk, Micheal M/0000-0001-5536-1362; amponsah, samuel/0000-0002-4303-4863</t>
  </si>
  <si>
    <t>10.55982/openpraxis.15.3.563</t>
  </si>
  <si>
    <t>WOS:001163687500004</t>
  </si>
  <si>
    <t>Kim, M; Lee, J; Choi, L; Choi, M</t>
  </si>
  <si>
    <t>Kim, Mingyu; Lee, Jaekyeong; Choi, Leechan; Choi, Minjoo</t>
  </si>
  <si>
    <t>PolarGAN: Creating realistic Arctic sea ice concentration images with user-defined geometric preferences</t>
  </si>
  <si>
    <t>Generative adversarial networks; Sea ice concentration; Artificial sea ice images; Geometric preferences; Data augmentation</t>
  </si>
  <si>
    <t>DATA AUGMENTATION; NEURAL-NETWORK; GAN; CLASSIFICATION</t>
  </si>
  <si>
    <t>In this paper, we introduce a novel generative adversarial network (GAN), called PolarGAN, that is capable of creating realistic artificial images of Arctic sea ice concentration (SIC) for data augmentation. One of the key features of the PolarGAN is that it considers real-valued geometric preferences, defined by six statistics, to generate SIC images that align with specific geometric characteristics. Unlike other GANs that also consider user-defined preferences, the PolarGAN allows for more detailed control over the shape and size of the generated images by using differentiable projection functions to convert the created images into geometric features, and a newly-designed loss function to minimize the gap between the user-defined preferences and the geometric features of the generated images. Through extensive experimentation, we compare the PolarGAN with other GANs and demonstrate artificial SIC scenarios that can be used to test the performance of algorithms for Arctic route planning in edge cases or to improve data-driven models such as SIC prediction models which require additional data to avoid overfitting issues.</t>
  </si>
  <si>
    <t>[Kim, Mingyu] Korea Adv Inst Sci &amp; Technol, Kim Jaechul Grad Sch AI, Seoul 02455, South Korea; [Lee, Jaekyeong; Choi, Leechan; Choi, Minjoo] Korea Maritime &amp; Ocean Univ, Dept Naval Architecture &amp; Ocean Syst Engn, Busan 49112, South Korea</t>
  </si>
  <si>
    <t>Korea Advanced Institute of Science &amp; Technology (KAIST); Korea Maritime &amp; Ocean University</t>
  </si>
  <si>
    <t>Choi, M (corresponding author), Korea Maritime &amp; Ocean Univ, Dept Naval Architecture &amp; Ocean Syst Engn, Busan 49112, South Korea.</t>
  </si>
  <si>
    <t>minjoo.choi@g.kmou.ac.kr</t>
  </si>
  <si>
    <t>Choi, Minjoo/0000-0001-6797-0210; Kim, Mingyu/0000-0001-5082-7223</t>
  </si>
  <si>
    <t>Basic Science Research Program through the National Research Foundation of Korea (NRF) - Ministry of Education; [NRF2020R1G1A101417213]</t>
  </si>
  <si>
    <t>Basic Science Research Program through the National Research Foundation of Korea (NRF) - Ministry of Education(National Research Foundation of KoreaMinistry of Education (MOE), Republic of KoreaNational Research Council for Economics, Humanities &amp; Social Sciences, Republic of Korea);</t>
  </si>
  <si>
    <t>This research was supported by Basic Science Research Program through the National Research Foundation of Korea (NRF) funded by the Ministry of Education (NRF2020R1G1A101417213) .</t>
  </si>
  <si>
    <t>10.1016/j.engappai.2023.106920</t>
  </si>
  <si>
    <t>Q7II1</t>
  </si>
  <si>
    <t>WOS:001059218900001</t>
  </si>
  <si>
    <t>Park, NH; Manica, M; Born, J; Hedrick, JL; Erdmann, T; Zubarev, DY; Adell-Mill, N; Arrechea, PL</t>
  </si>
  <si>
    <t>Park, Nathaniel H.; Manica, Matteo; Born, Jannis; Hedrick, James L.; Erdmann, Tim; Zubarev, Dmitry Yu.; Adell-Mill, Nil; Arrechea, Pedro L.</t>
  </si>
  <si>
    <t>Artificial intelligence driven design of catalysts and materials for ring opening polymerization using a domain-specific language</t>
  </si>
  <si>
    <t>INVERSE DESIGN; INFORMATICS; SYSTEM; EXPLORATION; GUANIDINES; ALGORITHM; ALKOXIDES</t>
  </si>
  <si>
    <t>Developing accessible polymeric materials is a challenging task for generative AI models. Here, the authors show that a domain-specific language enables the use of historical data to tune generative models to produce experimentally achievable material designs. Advances in machine learning (ML) and automated experimentation are poised to vastly accelerate research in polymer science. Data representation is a critical aspect for enabling ML integration in research workflows, yet many data models impose significant rigidity making it difficult to accommodate a broad array of experiment and data types found in polymer science. This inflexibility presents a significant barrier for researchers to leverage their historical data in ML development. Here we show that a domain specific language, termed Chemical Markdown Language (CMDL), provides flexible, extensible, and consistent representation of disparate experiment types and polymer structures. CMDL enables seamless use of historical experimental data to fine-tune regression transformer (RT) models for generative molecular design tasks. We demonstrate the utility of this approach through the generation and the experimental validation of catalysts and polymers in the context of ring-opening polymerization-although we provide examples of how CMDL can be more broadly applied to other polymer classes. Critically, we show how the CMDL tuned model preserves key functional groups within the polymer structure, allowing for experimental validation. These results reveal the versatility of CMDL and how it facilitates translation of historical data into meaningful predictive and generative models to produce experimentally actionable output.</t>
  </si>
  <si>
    <t>[Park, Nathaniel H.; Hedrick, James L.; Erdmann, Tim; Zubarev, Dmitry Yu.; Arrechea, Pedro L.] IBM Res Almaden, 650 Harry Rd, San Jose, CA 95120 USA; [Manica, Matteo; Born, Jannis; Adell-Mill, Nil] IBM Res Zurich, Saumerstr 4, CH-8803 Ruschlikon, Switzerland; [Born, Jannis] Swiss Fed Inst Technol, Dept Biosyst Sci &amp; Engn, Mattenstr 26, CH-4058 Basel, Switzerland; [Adell-Mill, Nil] Arctoris, 120E Olymp Ave, Abingdon OX14 4SA, Oxon, England</t>
  </si>
  <si>
    <t>International Business Machines (IBM); International Business Machines (IBM); Swiss Federal Institutes of Technology Domain; ETH Zurich</t>
  </si>
  <si>
    <t>Park, NH (corresponding author), IBM Res Almaden, 650 Harry Rd, San Jose, CA 95120 USA.</t>
  </si>
  <si>
    <t>npark@us.ibm.com</t>
  </si>
  <si>
    <t>Erdmann, Tim/KFR-8270-2024</t>
  </si>
  <si>
    <t>Manica, Matteo/0000-0002-8872-0269</t>
  </si>
  <si>
    <t>JUN 21</t>
  </si>
  <si>
    <t>10.1038/s41467-023-39396-3</t>
  </si>
  <si>
    <t>J9BJ0</t>
  </si>
  <si>
    <t>WOS:001012502600009</t>
  </si>
  <si>
    <t>Kralik, JD</t>
  </si>
  <si>
    <t>Goertzel, B; Ikle, M; Potapov, A; Ponomaryov, D</t>
  </si>
  <si>
    <t>Kralik, Jerald D.</t>
  </si>
  <si>
    <t>Toward a Comprehensive List of Necessary Abilities for Human Intelligence, Part 1: Constructing Knowledge</t>
  </si>
  <si>
    <t>ARTIFICIAL GENERAL INTELLIGENCE, AGI 2022</t>
  </si>
  <si>
    <t>15th International Conference on Artificial General Intelligence (AGI)</t>
  </si>
  <si>
    <t>AUG 19-22, 2022</t>
  </si>
  <si>
    <t>SingularityNETs YouTube Channel,Future AI</t>
  </si>
  <si>
    <t>Emotion; Perception; Attention; Memory; Generative; knowledge; Reasoning; Imagination; Creativity; Simulation; Artificial intelligence; Cognition</t>
  </si>
  <si>
    <t>ATTENTION; MIND</t>
  </si>
  <si>
    <t>In [1], Adams et al. chart a roadmap toward the grand AI vision, with human-level (or greater) intelligence as destination. To that end, in this and a companion paper [2], I take one of the next steps they outline, to refine the list of specific competency areas in human cognition. It is argued that we should move toward a comprehensive list of all required abilities to make clearer what is known, unknown, and what the next steps should be, such as resolving how abilities piece together into the larger-scale puzzle of general intelligence. This paper concentrates roughly on the first half of cognitive processing, from initial input to knowledge construction and memory storage (including, for example, emotion, perception, attention, memory, and knowledge construction processes, such as reasoning, imagination, and simulation); with the second paper on the action-based second half that uses the knowledge for constructive outcomes.</t>
  </si>
  <si>
    <t>[Kralik, Jerald D.] Korea Adv Inst Sci &amp; Technol KAIST, Daejeon 34141, South Korea</t>
  </si>
  <si>
    <t>Kralik, JD (corresponding author), Korea Adv Inst Sci &amp; Technol KAIST, Daejeon 34141, South Korea.</t>
  </si>
  <si>
    <t>jerald.kralik@gmail.com</t>
  </si>
  <si>
    <t>978-3-031-19906-6; 978-3-031-19907-3; 978-3-031-19906-6</t>
  </si>
  <si>
    <t>10.1007/978-3-031-19907-3_27</t>
  </si>
  <si>
    <t>BV0HS</t>
  </si>
  <si>
    <t>WOS:000971476600025</t>
  </si>
  <si>
    <t>Sha, T; Zhang, W; Shen, T; Li, ZJ; Mei, T</t>
  </si>
  <si>
    <t>Sha, Tong; Zhang, Wei; Shen, Tong; Li, Zhoujun; Mei, Tao</t>
  </si>
  <si>
    <t>Deep Person Generation: A Survey from the Perspective of Face, Pose, and Cloth Synthesis</t>
  </si>
  <si>
    <t>ACM COMPUTING SURVEYS</t>
  </si>
  <si>
    <t>Deep person generation; talking-head generation; pose-guided person; generation; garment-oriented person generation; virtual try-on; Generative Adversarial Networks; digital; human</t>
  </si>
  <si>
    <t>CORPUS; IMAGE; SPEECH; ACTORS; VIDEO</t>
  </si>
  <si>
    <t>Deep person generation has attracted extensive research attention due to its wide applications in virtual agents, video conferencing, online shopping, and art/movie production. With the advancement of deep learning, visual appearances (face, pose, cloth) of a person image can be easily generated on demand. In this survey, we first summarize the scope of person generation, and then systematically reviewrecent progress and technical trends in identity-preserving deep person generation, covering three major tasks: talking-head generation (face), pose-guided person generation (pose), and garment-oriented person generation (cloth). More than two hundred papers are covered for a thorough overview, and the milestone works are highlighted to witness the major technical breakthrough. Based on these fundamental tasks, many applications are investigated, e.g., virtual fitting, digital human, and generative data augmentation. We hope this survey could shed some light on the future prospects of identity-preserving deep person generation, and provide a helpful foundation for full applications towards the digital human.</t>
  </si>
  <si>
    <t>[Sha, Tong; Li, Zhoujun] Beihang Univ, Beijing, Peoples R China; [Zhang, Wei; Shen, Tong; Mei, Tao] JD AI Res, Beijing, Peoples R China</t>
  </si>
  <si>
    <t>Li, ZJ (corresponding author), Beihang Univ, Beijing, Peoples R China.;Zhang, W (corresponding author), JD AI Res, Beijing, Peoples R China.</t>
  </si>
  <si>
    <t>tongsha@buaa.edu.cn; wzhang.cu@gmail.com; tshen.st@outlook.com; lizj@buaa.edu.cn; tmei@live.com</t>
  </si>
  <si>
    <t>Zhang, Wei/IVH-1676-2023</t>
  </si>
  <si>
    <t>This work was supported in part by the National Natural Science Foundation of China (Grant Nos. 62276017, U1636211, 61672081), the 2022 Tencent Big Travel Rhino-Bird Special Research Program, and the Fund of the State Key Laboratory of Software Development Environment (Grant No. SKLSDE-2021ZX-18).</t>
  </si>
  <si>
    <t>0360-0300</t>
  </si>
  <si>
    <t>1557-7341</t>
  </si>
  <si>
    <t>ACM COMPUT SURV</t>
  </si>
  <si>
    <t>ACM Comput. Surv.</t>
  </si>
  <si>
    <t>10.1145/3575656</t>
  </si>
  <si>
    <t>A1BH3</t>
  </si>
  <si>
    <t>WOS:000952547400017</t>
  </si>
  <si>
    <t>Jeon, J; Lee, SY</t>
  </si>
  <si>
    <t>Jeon, Jaeho; Lee, Seongyong</t>
  </si>
  <si>
    <t>Large language models in education: A focus on the complementary relationship between human teachers and ChatGPT</t>
  </si>
  <si>
    <t>ChatGPT; Large language model; Chatbot; AIEd; Human-computer interaction; Artificial intelligence; Large language model-powered chatbot</t>
  </si>
  <si>
    <t>COMMUNICATION</t>
  </si>
  <si>
    <t>Artificial Intelligence (AI) is developing in a manner that blurs the boundaries between specific areas of application and expands its capability to be used in a wide range of applications. The public release of ChatGPT, a generative AI chatbot powered by a large language model (LLM), represents a significant step forward in this direction. Accordingly, professionals predict that this technology will affect education, including the role of teachers. However, despite some assumptions regarding its influence on education, how teachers may actually use the technology and the nature of its relationship with teachers remain under-investigated. Thus, in this study, the relationship between ChatGPT and teachers was explored with a particular focus on identifying the complementary roles of each in education. Eleven language teachers were asked to use ChatGPT for their instruction during a period of two weeks. They then participated in individual interviews regarding their experiences and provided interaction logs produced during their use of the technology. Through qualitative analysis of the data, four ChatGPT roles (interlocutor, content provider, teaching assistant, and evaluator) and three teacher roles (orchestrating different resources with quality pedagogical decisions, making students active investigators, and raising AI ethical awareness) were identified. Based on the findings, an in-depth discussion of teacher-AI collaboration is presented, highlighting the importance of teachers' pedagogical expertise when using AI tools. Implications regarding the future use of LLM-powered chatbots in education are also provided.</t>
  </si>
  <si>
    <t>[Jeon, Jaeho] Indiana Univ, Dept Literacy Culture &amp; Language Educ, 107 S Indiana Ave, Bloomington, IN 47405 USA; [Lee, Seongyong] Hannam Univ, Dept English Educ, 70 Hannam Ro, Daejeon 34430, South Korea</t>
  </si>
  <si>
    <t>Indiana University System; Indiana University Bloomington; Hannam University</t>
  </si>
  <si>
    <t>Lee, SY (corresponding author), Hannam Univ, Dept English Educ, 70 Hannam Ro, Daejeon 34430, South Korea.</t>
  </si>
  <si>
    <t>seongyonglee77@gmail.com</t>
  </si>
  <si>
    <t>Lee, Seongyong/H-7230-2013</t>
  </si>
  <si>
    <t>Lee, Seongyong/0000-0002-9436-4272</t>
  </si>
  <si>
    <t>10.1007/s10639-023-11834-1</t>
  </si>
  <si>
    <t>AW8S5</t>
  </si>
  <si>
    <t>WOS:000984011500002</t>
  </si>
  <si>
    <t>Martis, JE; Shetty, SM; Pradhan, MR; Desai, U; Acharya, B</t>
  </si>
  <si>
    <t>Martis, Jason Elroy; Shetty, Sannidhan Manjaya; Pradhan, Manas Ranjan; Desai, Usha; Acharya, Biswaranjan</t>
  </si>
  <si>
    <t>Text-to-Sketch Synthesis via Adversarial Network</t>
  </si>
  <si>
    <t>Generative adversarial networks; inverse gamma correction; sketch attributes; text-to-sketch synthesis; deep learning techniques</t>
  </si>
  <si>
    <t>In the past, sketches were a standard technique used for recognizing offenders and have remained a valuable tool for law enforcement and social security purposes. However, relying on eyewitness observations can lead to discrepancies in the depictions of the sketch, depending on the experience and skills of the sketch artist. With the emergence of modern technologies such as Generative Adversarial Networks (GANs), generating images using verbal and textual cues is now possible, resulting in more accurate sketch depictions. In this study, we propose an adversarial network that generates human facial sketches using such cues provided by an observer. Additionally, we have introduced an Inverse Gamma Correction Technique to improve the training and enhance the quality of the generated sketches. To evaluate the effectiveness of our proposed method, we conducted experiments and analyzed the results using the inception score and Frechet Inception Distance metrics. Our proposed method achieved an overall inception score of 1.438 &amp; PLUSMN; 0.049 and a Frechet Inception Distance of 65.29, outperforming other stateof-the-art techniques.</t>
  </si>
  <si>
    <t>[Martis, Jason Elroy] Nitte Deemed be Univ, NMAM Inst Technol, Dept Informat Sci &amp; Engn, Nitte, India; [Shetty, Sannidhan Manjaya] Nitte Deemed be Univ, NMAM Inst Technol, Dept Comp Sci &amp; Engn, Nitte, India; [Pradhan, Manas Ranjan] Skyline Univ Coll, Sch Comp, Sharjah, U Arab Emirates; [Desai, Usha] SR Univ, Dept Elect &amp; Commun Engn, Warangal, Telangana, India; [Acharya, Biswaranjan] Marwadi Univ, Dept Comp Engn AI &amp; BDA, Rajkot, Gujarat, India</t>
  </si>
  <si>
    <t>NITTE (Deemed to be University); NMAM Institute of Technology; NITTE (Deemed to be University); NMAM Institute of Technology</t>
  </si>
  <si>
    <t>Shetty, SM (corresponding author), Nitte Deemed be Univ, NMAM Inst Technol, Dept Comp Sci &amp; Engn, Nitte, India.;Acharya, B (corresponding author), Marwadi Univ, Dept Comp Engn AI &amp; BDA, Rajkot, Gujarat, India.</t>
  </si>
  <si>
    <t>sannidhan@nitte.edu.in; biswaacharya@ieee.org</t>
  </si>
  <si>
    <t>S, Sannidhan M/B-1611-2019; Acharya, Biswaranjan/AAL-1977-2020; Desai, Usha/JNT-4615-2023</t>
  </si>
  <si>
    <t>S, Sannidhan M/0000-0003-2871-3451; Acharya, Biswaranjan/0000-0002-6506-9207;</t>
  </si>
  <si>
    <t>10.32604/cmc.2023.038847</t>
  </si>
  <si>
    <t>K7MU3</t>
  </si>
  <si>
    <t>WOS:001018251400018</t>
  </si>
  <si>
    <t>Kieser, F; Wulff, P; Kuhn, J; Küchemann, S</t>
  </si>
  <si>
    <t>Kieser, Fabian; Wulff, Peter; Kuhn, Jochen; Kuechemann, Stefan</t>
  </si>
  <si>
    <t>Educational data augmentation in physics education research using ChatGPT</t>
  </si>
  <si>
    <t>PHYSICAL REVIEW PHYSICS EDUCATION RESEARCH</t>
  </si>
  <si>
    <t>Generative AI technologies such as large language models show novel potential to enhance educational research. For example, generative large language models were shown to be capable of solving quantitative reasoning tasks in physics and concept tests such as the Force Concept Inventory (FCI). Given the importance of such concept inventories for physics education research, and the challenges in developing them such as field testing with representative populations, this study seeks to examine to what extent a generative large language model could be utilized to generate a synthetic dataset for the FCI that exhibits content-related variability in responses. We use the recently introduced ChatGPT based on the GPT 4 generative large language model and investigate to what extent ChatGPT could solve the FCI accurately (RQ1) and could be prompted to solve the FCI as if it were a student belonging to a different cohort (RQ2). Furthermore, we study, to what extent ChatGPT could be prompted to solve the FCI as if it were a student having a different force- and mechanics-related preconception (RQ3). In alignment with other research, we found that ChatGPT could accurately solve the FCI. We furthermore found that prompting ChatGPT to respond to the inventory as if it belonged to a different cohort yielded no variance in responses, however, responding as if it had a certain preconception introduced much variance in responses that approximate real human responses on the FCI in some regards.</t>
  </si>
  <si>
    <t>[Kieser, Fabian; Wulff, Peter] Heidelberg Univ Educ, Phys &amp; Phys Educ Res, Neuenheimer Feld 561, D-69120 Heidelberg, Germany; [Kuhn, Jochen; Kuechemann, Stefan] Ludwig Maximilians Univ Munchen LMU Munich, Fac Phys, Chair Phys Educ, Geschwister Scholl Pl 1, D-80539 Munich, Germany</t>
  </si>
  <si>
    <t>Ruprecht Karls University Heidelberg; University of Munich</t>
  </si>
  <si>
    <t>Küchemann, S (corresponding author), Ludwig Maximilians Univ Munchen LMU Munich, Fac Phys, Chair Phys Educ, Geschwister Scholl Pl 1, D-80539 Munich, Germany.</t>
  </si>
  <si>
    <t>Wulff, Peter/GSI-9069-2022; Kuhn, Jochen/K-4031-2014</t>
  </si>
  <si>
    <t>Wulff, Peter/0000-0002-5471-7977; Kuchemann, Stefan/0000-0003-2729-1592; Kuhn, Jochen/0000-0002-6985-3218</t>
  </si>
  <si>
    <t>LMUexcellent - Federal Ministry of Education and Research (BMBF); Free State of Bavaria; Lander</t>
  </si>
  <si>
    <t>LMUexcellent - Federal Ministry of Education and Research (BMBF)(Federal Ministry of Education &amp; Research (BMBF)); Free State of Bavaria; Lander</t>
  </si>
  <si>
    <t>This research was supported by LMUexcellent, funded by the Federal Ministry of Education and Research (BMBF) and the Free State of Bavaria under the Excellence Strategy of the Federal Government and the Lander.</t>
  </si>
  <si>
    <t>2469-9896</t>
  </si>
  <si>
    <t>PHYS REV PHYS EDUC R</t>
  </si>
  <si>
    <t>Phys. Rev. Phys. Educ. Res.</t>
  </si>
  <si>
    <t>10.1103/PhysRevPhysEducRes.19.020150</t>
  </si>
  <si>
    <t>CB8V3</t>
  </si>
  <si>
    <t>WOS:001122891200001</t>
  </si>
  <si>
    <t>Vaughn, J; Ford, SH; Scott, M; Jones, C; Lewinski, A</t>
  </si>
  <si>
    <t>Vaughn, Jacqueline; Ford, Shannon H.; Scott, Melissa; Jones, Carolyn; Lewinski, Allison</t>
  </si>
  <si>
    <t>Enhancing Healthcare Education: Leveraging ChatGPT for Innovative Simulation Scenarios</t>
  </si>
  <si>
    <t>CLINICAL SIMULATION IN NURSING</t>
  </si>
  <si>
    <t>generative artificial intelligence; ChatGPT; simulation; Scenario Design</t>
  </si>
  <si>
    <t>Background: Developing simulation scenarios for implementation in nursing programs is labor intensive and time consuming. The purpose of this study was to determine if ChatGPT could create accurate and realistic simulation scenarios efficiently to assist faculty in healthcare education.Methods: ChatGPT was used to create five healthcare simulations. The scenarios were sent to 18 peer reviewers who evaluated them using a 25-question Likert scale survey, which also included opportunities to provide qualitative feedback.Results: Data analysis revealed that scenarios varied in terms of realism regarding patient profile, history, present illness and the way the scenario unfolded. Also noted was that pertinent information was missing in all scenarios however, the information generated was accurate. Most of the reviewer comments were positive and many were surprised at the amount of overall information included in each scenario.Conclusions: ChatGPT is a powerful AI tool that has the potential to help simulation educators de-velop simulation scenarios. However, at present, caution needs to be employed, considering its current limitations.</t>
  </si>
  <si>
    <t>[Vaughn, Jacqueline; Ford, Shannon H.; Scott, Melissa; Jones, Carolyn] Univ North Carolina Wilmington, Sch Nursing, Coll Hlth &amp; Human Serv, Wilmington, NC 28403 USA; [Lewinski, Allison] Duke Univ, Durham Ctr Innovat Accelerate Discovery &amp; Practice, Durham Vet Affairs Med Ctr, Sch Nursing, Durham, NC USA</t>
  </si>
  <si>
    <t>University of North Carolina; University of North Carolina Wilmington; US Department of Veterans Affairs; Veterans Health Administration (VHA); Durham VA Medical Center; Duke University</t>
  </si>
  <si>
    <t>Vaughn, J (corresponding author), Univ North Carolina Wilmington, Sch Nursing, Coll Hlth &amp; Human Serv, Wilmington, NC 28403 USA.</t>
  </si>
  <si>
    <t>Vaughnj@uncw.edu</t>
  </si>
  <si>
    <t>Durham Center of Innovation [CIN 13-410]; VA HSRD [18-234]</t>
  </si>
  <si>
    <t>Durham Center of Innovation; VA HSRD</t>
  </si>
  <si>
    <t>Funding for Dr. Lewinski: Dr. Lewinski is supported by the Durham Center of Innovation to Accelerate Discovery and Practice Transformation grant #CIN 13-410 and VA HSR &amp; D grant #18-234. The content is solely the responsibility of the authors and does not reflect the position or policy of Duke University, the University of Massachusetts Boston, the US Department of Veterans Affairs, or the US government.</t>
  </si>
  <si>
    <t>1876-1399</t>
  </si>
  <si>
    <t>1876-1402</t>
  </si>
  <si>
    <t>CLIN SIMUL NURS</t>
  </si>
  <si>
    <t>Clin. Simul. Nurs.</t>
  </si>
  <si>
    <t>10.1016/j.ecns.2023.101487</t>
  </si>
  <si>
    <t>FQ6Z4</t>
  </si>
  <si>
    <t>WOS:001147368600001</t>
  </si>
  <si>
    <t>Liu, S; Bao, RD; Zhu, DF; Huang, SF; Yan, Q; Lin, L; Dong, C</t>
  </si>
  <si>
    <t>Liu, Si; Bao, Renda; Zhu, Defa; Huang, Shaofei; Yan, Qiong; Lin, Liang; Dong, Chao</t>
  </si>
  <si>
    <t>Fine-Grained Face Editing via Personalized Spatial-Aware Affine Modulation</t>
  </si>
  <si>
    <t>Faces; Modulation; Task analysis; Tensors; Training; Generators; Lighting; Fine-grained; face editing; generative adversarial networks</t>
  </si>
  <si>
    <t>Fine-grained face editing, as a special case of image translation task, aims at modifying face attributes according to users' preference. Although generative adversarial networks (GANs) have achieved great success in general image translation tasks, these models cannot be directly applied in the face editing problem. Ideal face editing is challenging as it has two special requirements - personalization and spatial-awareness. To address these issues, we propose a novel Personalized Spatial-aware Affine Modulation (PSAM) method based on a general GAN structure. The key idea is to modulate the intermediate features in a personalized and spatial-aware manner, which corresponds to the face editing procedure. Specifically, for personalization, we adopt both the face image and the desired attribute as input to generate the modulation tensors. For spatial-aware, we set these tensors to be of the same size as the input image, allowing pixel-wise modulation. Extensive experiments in four fine-grained face editing tasks, i.e., makeup, expression, illumination and aging, demonstrate the effectiveness of the proposed PSAM method. The synthesis results of PSAM can be further boosted by a new transferable training strategy.</t>
  </si>
  <si>
    <t>[Liu, Si] Beihang Univ, Inst Artificial Intelligence, Beijing 100083, Peoples R China; [Bao, Renda; Zhu, Defa; Huang, Shaofei] Chinese Acad Sci, Inst Adv Technol, Beijing 100045, Peoples R China; [Dong, Chao] Chinese Acad Sci, Shenzhen Inst Adv Technol, Shanghai AI Lab, Shenzhen 518055, Peoples R China; [Yan, Qiong] SenseTime Grp Ltd, Hong Kong, Peoples R China; [Lin, Liang] Sun Yat sen Univ, Guangzhou 510275, Peoples R China</t>
  </si>
  <si>
    <t>Beihang University; Chinese Academy of Sciences; Chinese Academy of Sciences; Shenzhen Institute of Advanced Technology, CAS; Sun Yat Sen University</t>
  </si>
  <si>
    <t>Dong, C (corresponding author), Chinese Acad Sci, Shenzhen Inst Adv Technol, Shanghai AI Lab, Shenzhen 518055, Peoples R China.</t>
  </si>
  <si>
    <t>liusi@buaa.edu.cn; baorenda@iie.ac.cn; zhudefa@iie.ac.cn; huangshaofei@iie.ac.cn; sophie.yanqiong@gmail.com; linliang@live.com; chao.dong@siat.ac.cn</t>
  </si>
  <si>
    <t>Lin, Liang/IQR-8601-2023</t>
  </si>
  <si>
    <t>Lin, Liang/0000-0003-2248-3755; Huang, Shaofei/0000-0001-8996-9907; liu, si/0000-0002-9180-2935</t>
  </si>
  <si>
    <t>National Natural Science Foundation of China [62122010, 61876177]; National Natural Science Foundation of China; Fundamental Research Funds for the Central Universities</t>
  </si>
  <si>
    <t>National Natural Science Foundation of China(National Natural Science Foundation of China (NSFC)); National Natural Science Foundation of China(National Natural Science Foundation of China (NSFC)); Fundamental Research Funds for the Central Universities(Fundamental Research Funds for the Central Universities)</t>
  </si>
  <si>
    <t>This work was partly supported in part by National Natural Science Foundation of China under Grants 62122010, 61876177, and 61906184, and in part by the Fundamental Research Funds for the Central Universities. The Associate Editor coordinating the review of this manuscript and approving it for publication was Dr.Alexandros(Alexis)Michael Tourapis.</t>
  </si>
  <si>
    <t>10.1109/TMM.2022.3172548</t>
  </si>
  <si>
    <t>W1OJ1</t>
  </si>
  <si>
    <t>WOS:001089390200011</t>
  </si>
  <si>
    <t>Ock, J; No, H; Kim, S</t>
  </si>
  <si>
    <t>Ock, Jiwon; No, Hyeon; Kim, Seongmin</t>
  </si>
  <si>
    <t>Poster: Exploring Synthetic Data Generation for Anomaly Detection in the 5G NWDAF Architecture</t>
  </si>
  <si>
    <t>2023 IEEE 43RD INTERNATIONAL CONFERENCE ON DISTRIBUTED COMPUTING SYSTEMS, ICDCS</t>
  </si>
  <si>
    <t>IEEE International Conference on Distributed Computing Systems</t>
  </si>
  <si>
    <t>5G Network; NWDAF; synthetic data; CTGAN; anomaly detection</t>
  </si>
  <si>
    <t>The transition of paradigm from non-standalone to standalone mode in 5G network creates an opportunity to utilize innovative machine learning and AI-based technology for network traffic analysis. In particular, NWDAF plays a key role in leveraging AI-based models to optimize and enhance the 5G core network functions, including anomaly detection and load balancing. However, it is challenging to ensure the sufficient performance of prediction algorithms under dynamic conditions in NWDAF without guaranteeing the quality and quantity of training data, but only a select group has access to the 5G dataset. To overcome this issue, this paper proposes an approach to generate high-quality synthetic 5G NWDAF data using CTGAN, a specialized generative model that creates synthetic output based on tabular input data. We provide preliminary results of leveraging CTGAN to generate 5G synthetic data and evaluate the synthesizing quality for anomaly detection.</t>
  </si>
  <si>
    <t>[Ock, Jiwon; No, Hyeon; Kim, Seongmin] Sungshin Womens Univ, Seoul, South Korea</t>
  </si>
  <si>
    <t>Sungshin Women's University</t>
  </si>
  <si>
    <t>Ock, J (corresponding author), Sungshin Womens Univ, Seoul, South Korea.</t>
  </si>
  <si>
    <t>220224011@sungshin.ac.kr; 220224007@sungshin.ac.kr; sm.kim@sungshin.ac.kr</t>
  </si>
  <si>
    <t>NRF - Korea government (MSIT) [2021R1G1A1006326]; KIAT grant - Korean Government (MOTIE) [P0008703]; MSIT under the ICAN program [IITP-2022-RS-2022-00156310]</t>
  </si>
  <si>
    <t>NRF - Korea government (MSIT)(National Research Foundation of KoreaMinistry of Science &amp; ICT (MSIT), Republic of Korea); KIAT grant - Korean Government (MOTIE)(Ministry of Trade, Industry &amp; Energy (MOTIE), Republic of Korea); MSIT under the ICAN program</t>
  </si>
  <si>
    <t>This work was partly supported by the NRF grant funded by the Korea government (MSIT) No. 2021R1G1A1006326, a KIAT grant funded by the Korean Government (MOTIE) (P0008703), and the MSIT under the ICAN program (No. IITP-2022-RS-2022-00156310) supervised by the IITP.</t>
  </si>
  <si>
    <t>1063-6927</t>
  </si>
  <si>
    <t>979-8-3503-3986-4</t>
  </si>
  <si>
    <t>INT CON DISTR COMP S</t>
  </si>
  <si>
    <t>10.1109/ICDCS57875.2023.00129</t>
  </si>
  <si>
    <t>Computer Science, Hardware &amp; Architecture; Computer Science, Software Engineering; Telecommunications</t>
  </si>
  <si>
    <t>BV8QU</t>
  </si>
  <si>
    <t>WOS:001081242600122</t>
  </si>
  <si>
    <t>Dale, R</t>
  </si>
  <si>
    <t>Dale, Robert</t>
  </si>
  <si>
    <t>Navigating the text generation revolution: Traditional data-to-text NLG companies and the rise of ChatGPT</t>
  </si>
  <si>
    <t>NATURAL LANGUAGE ENGINEERING</t>
  </si>
  <si>
    <t>Natural language generation; Automated writing assistance</t>
  </si>
  <si>
    <t>Since the release of ChatGPT at the end of November 2022, generative AI has been talked about endlessly in both the technical press and the mainstream media. Large language model technology has been heralded as many things: the disruption of the search engine, the end of the student essay, the bringer of disinformation horizontal ellipsis but what does it mean for commercial providers of earlier iterations of natural language generation technology? We look at how the major players in the space are responding, and where things might go in the future.</t>
  </si>
  <si>
    <t>[Dale, Robert] Language Technol Grp, Church Point, NSW, Australia</t>
  </si>
  <si>
    <t>Dale, R (corresponding author), Language Technol Grp, Church Point, NSW, Australia.</t>
  </si>
  <si>
    <t>rdale@language-technology.com</t>
  </si>
  <si>
    <t>Dale, Robert/0000-0001-7864-6942</t>
  </si>
  <si>
    <t>1351-3249</t>
  </si>
  <si>
    <t>1469-8110</t>
  </si>
  <si>
    <t>NAT LANG ENG</t>
  </si>
  <si>
    <t>Nat. Lang. Eng.</t>
  </si>
  <si>
    <t>10.1017/S1351324923000347</t>
  </si>
  <si>
    <t>M8CH8</t>
  </si>
  <si>
    <t>WOS:001032435400011</t>
  </si>
  <si>
    <t>Vlasov, AV</t>
  </si>
  <si>
    <t>Vlasov, Andrey V.</t>
  </si>
  <si>
    <t>GALA Inspired by Klimt's Art: Text-to-image Processing with Implementation in Interaction and Perception Studies: Library and Case Examples</t>
  </si>
  <si>
    <t>ANNUAL REVIEW OF CYBERTHERAPY AND TELEMEDICINE</t>
  </si>
  <si>
    <t>art library; Klimt; GALA; text-to-image; AIGC; dataset; neuropoem</t>
  </si>
  <si>
    <t>Objectives: (a) to develop a library with AI generated content (AIGC) based on. combinatorial scheme of prompting for interaction and perception research; (b) to show examples of AIGC implementation. The result is a public library for applied research in the cyber-psychological community (CYPSY). The Generative Art Library Abstractions (GALA) include images ( Figures 1-2) based on the text-image model and inspired by the artwork of Gustav Klimt. They can be used for comparative analysis ( benchmarking), end-to-end evaluation, and advanced design. This allows experimentation with complex human-computer interaction (HCI) architectures and visual communication systems, and provides creative design support for experimenting. Examples include: interactive perception of positively colored generative images; HCI dialogues using visual language; generated moods in a VR environment; brain-computer interface for HCI. Respectfully, these visualization resources are a valuable example of AIGC for next-generation R&amp;D. Any suggestions from the CYPSY community are welcome.</t>
  </si>
  <si>
    <t>[Vlasov, Andrey V.] HSE Univ, Int Lab Expt &amp; Behav Econ, Moscow, Russia; [Vlasov, Andrey V.] Izmerov Res Inst Occupat Hlth, Moscow, Russia; [Vlasov, Andrey V.] DDT, Moscow, Russia</t>
  </si>
  <si>
    <t>HSE University (National Research University Higher School of Economics)</t>
  </si>
  <si>
    <t>Vlasov, AV (corresponding author), HSE Univ, Int Lab Expt &amp; Behav Econ, Moscow, Russia.;Vlasov, AV (corresponding author), Izmerov Res Inst Occupat Hlth, Moscow, Russia.;Vlasov, AV (corresponding author), DDT, Moscow, Russia.</t>
  </si>
  <si>
    <t>avvlasov@hse.ru</t>
  </si>
  <si>
    <t>DDT</t>
  </si>
  <si>
    <t>The research was prepared within the framework of the Basic Research Program at HSE University, Izmerov Research Institute of Occupational health. and partially it was supported (granted) by DDT. The author would say special thanks to Alex Shonenkov, SberAI's team, Gustav Klimt, and his parents.</t>
  </si>
  <si>
    <t>INTERACTIVE MEDIA INST</t>
  </si>
  <si>
    <t>9565 WAPLES ST, STE 200, SAN DIEGO, CA 92121 USA</t>
  </si>
  <si>
    <t>1554-8716</t>
  </si>
  <si>
    <t>2352-927X</t>
  </si>
  <si>
    <t>ANN REV CYBERTHERAPY</t>
  </si>
  <si>
    <t>Ann. Rev. CyberTherapy Telemed.</t>
  </si>
  <si>
    <t>AA9S4</t>
  </si>
  <si>
    <t>WOS:001115856700035</t>
  </si>
  <si>
    <t>Zhao, W; Ai, XY; Zhao, H</t>
  </si>
  <si>
    <t>Zhao, Wei; Ai, Xianyun; Zhao, Hui</t>
  </si>
  <si>
    <t>Quantitative analysis of energy-dispersive X-ray fluorescence spectroscopy based on machine learning and a generative data enhancement technique</t>
  </si>
  <si>
    <t>APPLIED OPTICS</t>
  </si>
  <si>
    <t>CALIBRATION; INTENSITIES; PREDICTION; ALGORITHM; STRATEGY; EDXRF</t>
  </si>
  <si>
    <t>This paper proposes a data enhancement technique to generate expanded datasets for machine learning by developing an X-ray fluorescence spectra simulator based on the physical process. The simulator consists of several modules, including the excitation source, the interaction process, and the detection system. The spectra generated by the simulator are subject to dimension reduction through feature selection and feature extraction algorithms, and then serve as the input for the XGBoost (extreme gradient boosting) model. Six elements of metal samples with various content ranges were selected as the research target. The results showed that for simulated data, the R-2 value for elements with concentrations ranging from 0% to 100% is greater than 95%, and for elements with concentrations of &lt;0.3%, the R-2 value is greater than 85%. The experimental data were predicted by the model trained by the simulated spectra. Therefore, this approach provides reliable results for practical application and can supply additional datasets to obtain reasonable prediction results for machine learning with inadequate reference materials. (c) 2023 Optica Publishing Group</t>
  </si>
  <si>
    <t>[Zhao, Wei; Ai, Xianyun; Zhao, Hui] State Key Lab NBC Protect Civilian, Beijing, Peoples R China</t>
  </si>
  <si>
    <t>Ai, XY (corresponding author), State Key Lab NBC Protect Civilian, Beijing, Peoples R China.</t>
  </si>
  <si>
    <t>z1274883671@163.com</t>
  </si>
  <si>
    <t>State Key Laboratory of NBC Protection for Civilian [SKLNBC2022-01]; National Natural Science Foundation of China [12075318]</t>
  </si>
  <si>
    <t>State Key Laboratory of NBC Protection for Civilian; National Natural Science Foundation of China(National Natural Science Foundation of China (NSFC))</t>
  </si>
  <si>
    <t>Funding. State Key Laboratory of NBC Protection for Civilian (SKLNBC2022-01) ; National Natural Science Foundation of China (12075318) .</t>
  </si>
  <si>
    <t>1559-128X</t>
  </si>
  <si>
    <t>2155-3165</t>
  </si>
  <si>
    <t>APPL OPTICS</t>
  </si>
  <si>
    <t>Appl. Optics</t>
  </si>
  <si>
    <t>DEC 20</t>
  </si>
  <si>
    <t>10.1364/AO.506027</t>
  </si>
  <si>
    <t>FV6F1</t>
  </si>
  <si>
    <t>WOS:001148661200004</t>
  </si>
  <si>
    <t>Hakopian, MF</t>
  </si>
  <si>
    <t>Hakopian, Mashinka Firunts</t>
  </si>
  <si>
    <t>Art histories from nowhere: on the coloniality of experiments in art and artificial intelligence</t>
  </si>
  <si>
    <t>Artificial intelligence; Art history; Coloniality; Decolonial aesthetics; Algorithmic art; Data feminism</t>
  </si>
  <si>
    <t>This paper considers recent experiments in art and artificial intelligence that crystallize around training algorithms to generate artworks based on datasets derived from the Western art historical canon. Over the last decade, a shift towards the rejection of canonicity has begun to take shape in art historical discourse. At the same time, algorithmically enabled practices in the US and Europe have emerged that entrench the Western canon as a locus and guarantor of aesthetic value. Operating within the epistemic framework of a view from nowhere, this tendency in generative art inherits the coloniality of both art history and artificial intelligence. Producing art histories from nowhere, this tendency conflates the conceptual category of visual art with the histories of Western cultural production. It reproduces a set of aesthetic values that entrench the mythology of the artist-genius and his imputed whiteness and masculinity; the extolment of innovation and novelty as self-evident virtues; disembodied Cartesian models of knowing and sensing; and the erasure of contributions that have been occluded from canonical visibility. As we encounter systems trained on particular visions of art history and of the artist, how might we remain attentive to the specific lens through which they are taught to see? This essay addresses that question by bringing the coloniality of recent experiments into view, bridging data feminisms and decolonial studies to formulate alternative visions of encounters between art and AI.</t>
  </si>
  <si>
    <t>[Hakopian, Mashinka Firunts] ArtCtr Coll Design, Pasadena, CA 91103 USA</t>
  </si>
  <si>
    <t>Hakopian, MF (corresponding author), ArtCtr Coll Design, Pasadena, CA 91103 USA.</t>
  </si>
  <si>
    <t>mashinka.hakopian@artcenter.edu</t>
  </si>
  <si>
    <t>10.1007/s00146-023-01768-0</t>
  </si>
  <si>
    <t>WOS:001069069900002</t>
  </si>
  <si>
    <t>Witte, H; Blatter, TU; Nagabhushana, P; Schaer, D; Ackermann, J; Cadamuro, J; Leichtle, AB</t>
  </si>
  <si>
    <t>Witte, Harald; Blatter, Tobias U. U.; Nagabhushana, Priyanka; Schaer, David; Ackermann, James; Cadamuro, Janne; Leichtle, Alexander B. B.</t>
  </si>
  <si>
    <t>Statistical learning and big data applications</t>
  </si>
  <si>
    <t>JOURNAL OF LABORATORY MEDICINE</t>
  </si>
  <si>
    <t>ChatGPT; clinical decision-support systems; laboratory medicine; machine learning; personalized medicine; wearables</t>
  </si>
  <si>
    <t>The amount of data generated in the field of laboratory medicine has grown to an extent that conventional laboratory information systems (LISs) are struggling to manage and analyze this complex, entangled information (Big Data). Statistical learning, a generalized framework from machine learning (ML) and artificial intelligence (AI) is predestined for processing Big Data and holds the potential to revolutionize the field of laboratory medicine. Personalized medicine may in particular benefit from AI-based systems, especially when coupled with readily available wearables and smartphones which can collect health data from individual patients and offer new, cost-effective access routes to healthcare for patients worldwide. The amount of personal data collected, however, also raises concerns about patient-privacy and calls for clear ethical guidelines for Big Data research, including rigorous quality checks of data and algorithms to eliminate underlying bias and enable transparency. Likewise, novel federated privacy-preserving data processing approaches may reduce the need for centralized data storage. Generative AI-systems including large language models such as ChatGPT currently enter the stage to reshape clinical research, clinical decision-support systems, and healthcare delivery. In our opinion, AI-based systems have a tremendous potential to transform laboratory medicine, however, their opportunities should be weighed against the risks carefully. Despite all enthusiasm, we advocate for stringent added-value assessments, just as for any new drug or treatment. Human experts should carefully validate AI-based systems, including patient-privacy protection, to ensure quality, transparency, and public acceptance. In this opinion paper, data prerequisites, recent developments, chances, and limitations of statistical learning approaches are highlighted.</t>
  </si>
  <si>
    <t>[Witte, Harald; Blatter, Tobias U. U.; Nagabhushana, Priyanka; Schaer, David; Ackermann, James; Leichtle, Alexander B. B.] Inselspital Univ Hosp Bern, Dept Clin Chem, Bern, Switzerland; [Witte, Harald] Univ Bern, Dept Biomed Res DBMR, Bern, Switzerland; [Blatter, Tobias U. U.] Univ Bern, Grad Sch Hlth Sci GHS, Bern, Switzerland; [Cadamuro, Janne] Univ Salzburg, Dept Lab Med, Paracelsus Med, Salzburg, Austria; [Leichtle, Alexander B. B.] Univ Bern, Ctr Artificial Intelligence Med CAIM, Bern, Switzerland</t>
  </si>
  <si>
    <t>University of Bern; University Hospital of Bern; University of Bern; University of Bern; Salzburg University; University of Bern</t>
  </si>
  <si>
    <t>Witte, H (corresponding author), Inselspital Univ Hosp Bern, Dept Clin Chem, Bern, Switzerland.;Witte, H (corresponding author), Univ Bern, Dept Biomed Res DBMR, Bern, Switzerland.</t>
  </si>
  <si>
    <t>harald.witte@unibe.ch</t>
  </si>
  <si>
    <t>Nasarian, Elham/ISB-6863-2023; Leichtle, Alexander/C-7262-2011; Leichtle, Alexander/JQI-9700-2023</t>
  </si>
  <si>
    <t>Leichtle, Alexander/0000-0002-6528-9904; Blatter, Tobias Ueli/0000-0002-0298-8177; Witte, Harald/0000-0002-4421-3580</t>
  </si>
  <si>
    <t>Bern Centre for Precision Medicine; Swiss National Science Foundation [202101104]; Swiss Personalized Health Network [2018DEV22]</t>
  </si>
  <si>
    <t>Bern Centre for Precision Medicine; Swiss National Science Foundation(Swiss National Science Foundation (SNSF)); Swiss Personalized Health Network</t>
  </si>
  <si>
    <t>This work has been funded by grantsfrom the Bern Centre for Precision Medicine (PGX-link PGM),the Swiss National Science Foundation (2021-01104), and the Swiss Personalized Health Network (2018DEV22).</t>
  </si>
  <si>
    <t>2567-9430</t>
  </si>
  <si>
    <t>2567-9449</t>
  </si>
  <si>
    <t>J LAB MED</t>
  </si>
  <si>
    <t>J. Lab. Med.</t>
  </si>
  <si>
    <t>10.1515/labmed-2023-0037</t>
  </si>
  <si>
    <t>Medical Laboratory Technology</t>
  </si>
  <si>
    <t>N8GK1</t>
  </si>
  <si>
    <t>WOS:001000436200001</t>
  </si>
  <si>
    <t>Coeurdoux, F; Dobigeon, N; Chainais, P</t>
  </si>
  <si>
    <t>Coeurdoux, Florentin; Dobigeon, Nicolas; Chainais, Pierre</t>
  </si>
  <si>
    <t>Learning Optimal Transport Between Two Empirical Distributions with Normalizing Flows</t>
  </si>
  <si>
    <t>Normalizing flows; Optimal transport; Generative model</t>
  </si>
  <si>
    <t>BARYCENTERS</t>
  </si>
  <si>
    <t>Optimal transport (OT) provides effective tools for comparing and mapping probability measures. We propose to leverage the flexibility of neural networks to learn an approximate optimal transport map. More precisely, we present a new and original method to address the problem of transporting a finite set of samples associated with a first underlying unknown distribution towards another finite set of samples drawn from another unknown distribution. We show that a particular instance of invertible neural networks, namely the normalizing flows, can be used to approximate the solution of this OT problem between a pair of empirical distributions. To this aim, we propose to relax the Monge formulation of OT by replacing the equality constraint on the pushforward measure by the minimization of the corresponding Wasserstein distance. The push-forward operator to be retrieved is then restricted to be a normalizing flow which is trained by optimizing the resulting cost function. This approach allows the transport map to be discretized as a composition of functions. Each of these functions is associated to one sub-flow of the network, whose output provides intermediate steps of the transport between the original and target measures. This discretization yields also a set of intermediate barycenters between the two measures of interest. Experiments conducted on toy examples as well as a challenging task of unsupervised translation demonstrate the interest of the proposed method. Finally, some experiments show that the proposed approach leads to a good approximation of the true OT.</t>
  </si>
  <si>
    <t>[Coeurdoux, Florentin; Dobigeon, Nicolas] Univ Toulouse, IRIT, INP ENSEEIHT, F-31071 Toulouse, France; [Chainais, Pierre] Univ Lille, CNRS, Cent Lille, CRIStAL,UMR 9189, F-59000 Lille, France</t>
  </si>
  <si>
    <t>Universite de Toulouse; Universite Toulouse III - Paul Sabatier; Universite Federale Toulouse Midi-Pyrenees (ComUE); Institut National Polytechnique de Toulouse; Universite de Lille; Centre National de la Recherche Scientifique (CNRS); Centrale Lille</t>
  </si>
  <si>
    <t>Coeurdoux, F (corresponding author), Univ Toulouse, IRIT, INP ENSEEIHT, F-31071 Toulouse, France.</t>
  </si>
  <si>
    <t>Florentin.Coeurdoux@irit.fr; Nicolas.Dobigeon@irit.fr; pierre.chainais@centralelille.fr</t>
  </si>
  <si>
    <t>Dobigeon, Nicolas/O-6479-2018</t>
  </si>
  <si>
    <t>Dobigeon, Nicolas/0000-0001-8127-350X; Coeurdoux, Florentin/0000-0002-2100-1438</t>
  </si>
  <si>
    <t>Artificial Natural Intelligence Toulouse Institute (ANITI) [ANR-19-PI3A-0004]; AI Sherlock Chair [ANR-20-CHIA-0031-01]; ULNE national future investment programme [ANR-16-IDEX0004]; Hauts-de-France Region; Agence Nationale de la Recherche (ANR) [ANR-20-CHIA-0031] Funding Source: Agence Nationale de la Recherche (ANR)</t>
  </si>
  <si>
    <t>Artificial Natural Intelligence Toulouse Institute (ANITI); AI Sherlock Chair; ULNE national future investment programme; Hauts-de-France Region(Region Hauts-de-France); Agence Nationale de la Recherche (ANR)(Agence Nationale de la Recherche (ANR))</t>
  </si>
  <si>
    <t>This work was supported by the Artificial Natural Intelligence Toulouse Institute (ANITI, ANR-19-PI3A-0004), the AI Sherlock Chair (ANR-20-CHIA-0031-01), the ULNE national future investment programme (ANR-16-IDEX0004) and the Hauts-de-France Region.</t>
  </si>
  <si>
    <t>10.1007/978-3-031-26419-1_17</t>
  </si>
  <si>
    <t>WOS:000999148200017</t>
  </si>
  <si>
    <t>Qureshi, HN; Masood, U; Manalastas, M; Zaidi, SMA; Farooq, H; Forgeat, J; Bouton, M; Bothe, S; Karlsson, P; Rizwan, A; Imran, A</t>
  </si>
  <si>
    <t>Qureshi, Haneya Naeem; Masood, Usama; Manalastas, Marvin; Zaidi, Syed Muhammad Asad; Farooq, Hasan; Forgeat, Julien; Bouton, Maxime; Bothe, Shruti; Karlsson, Per; Rizwan, Ali; Imran, Ali</t>
  </si>
  <si>
    <t>Toward Addressing Training Data Scarcity Challenge in Emerging Radio Access Networks: A Survey and Framework</t>
  </si>
  <si>
    <t>IEEE COMMUNICATIONS SURVEYS AND TUTORIALS</t>
  </si>
  <si>
    <t>Scarce data; training data; big data; emerging cellular networks; RAN; machine learning; synthetic data generation; interpolation; simulators; testbeds</t>
  </si>
  <si>
    <t>AUTONOMOUS COVERAGE ESTIMATION; MAP CONSTRUCTION; INTERPOLATION; INTELLIGENCE; PERFORMANCE; USER; 5G</t>
  </si>
  <si>
    <t>The future of cellular networks is contingent on artificial intelligence (AI) based automation, particularly for radio access network (RAN) operation, optimization, and troubleshooting. To achieve such zero-touch automation, a myriad of AI-based solutions are being proposed in literature to leverage AI for modeling and optimizing network behavior to achieve the zero-touch automation goal. However, to work reliably, AI based automation, requires a deluge of training data. Consequently, the success of the proposed AI solutions is limited by a fundamental challenge faced by cellular network research community: scarcity of the training data. In this paper, we present an extensive review of classic and emerging techniques to address this challenge. We first identify the common data types in RAN and their known use-cases. We then present a taxonomized survey of techniques used in literature to address training data scarcity for various data types. This is followed by a framework to address the training data scarcity. The proposed framework builds on available information and combination of techniques including interpolation, domain-knowledge based, generative adversarial neural networks, transfer learning, autoencoders, few-shot learning, simulators and testbeds. Potential new techniques to enrich scarce data in cellular networks are also proposed, such as by matrix completion theory, and domain knowledge-based techniques leveraging different types of network geometries and network parameters. In addition, an overview of state-of-the art simulators and testbeds is also presented to make readers aware of current and emerging platforms to access real data in order to overcome the data scarcity challenge. The extensive survey of training data scarcity addressing techniques combined with proposed framework to select a suitable technique for given type of data, can assist researchers and network operators in choosing the appropriate methods to overcome the data scarcity challenge in leveraging AI to radio access network automation.</t>
  </si>
  <si>
    <t>[Qureshi, Haneya Naeem; Masood, Usama; Manalastas, Marvin; Zaidi, Syed Muhammad Asad; Imran, Ali] Univ Oklahoma, Res Ctr AI4Networks, Sch Elect &amp; Comp Engn, Tulsa, OK 74135 USA; [Farooq, Hasan; Forgeat, Julien; Bouton, Maxime; Bothe, Shruti; Karlsson, Per] Ericsson, Ericsson Res Dept, Santa Clara, CA 95054 USA; [Rizwan, Ali] Qatar Univ, Dept Elect Engn, Doha, Qatar; [Imran, Ali] Univ Glasgow, James Watt Sch Engn, Glasgow G12 8QQ, Scotland</t>
  </si>
  <si>
    <t>University of Oklahoma System; University of Oklahoma - Tulsa; Qatar University; University of Glasgow</t>
  </si>
  <si>
    <t>Qureshi, HN (corresponding author), Univ Oklahoma, Res Ctr AI4Networks, Sch Elect &amp; Comp Engn, Tulsa, OK 74135 USA.</t>
  </si>
  <si>
    <t>haneya@ou.edu</t>
  </si>
  <si>
    <t>Imran, Muhammad Ali/I-4832-2012; Bouton, maxime/JNR-7465-2023; Masood, Usama/AAM-6207-2020</t>
  </si>
  <si>
    <t>Imran, Muhammad Ali/0000-0003-4743-9136; Bouton, maxime/0000-0002-9151-1513; Masood, Usama/0000-0001-6523-7285; Zaidi, Syed Muhammad Asad/0000-0001-9879-9655; Imran, Ali/0000-0003-0564-6356; Qureshi, Haneya/0000-0003-4327-0556; Manalastas, Marvin/0000-0002-9067-9146</t>
  </si>
  <si>
    <t>National Science Foundation [1923669, 1730650]; Qatar National Research Fund (QNRF) [NPRP12-S0311-190302]; Ericsson Research, CA, USA</t>
  </si>
  <si>
    <t>National Science Foundation(National Science Foundation (NSF)); Qatar National Research Fund (QNRF)(Qatar National Research Fund (QNRF)); Ericsson Research, CA, USA</t>
  </si>
  <si>
    <t>This work was supported in part by the National Science Foundation under Grant 1923669 and Grant 1730650; in part by the Qatar National Research Fund (QNRF) under Grant NPRP12-S0311-190302; and in part by the Unrestricted Award from Ericsson Research, CA, USA.</t>
  </si>
  <si>
    <t>1553-877X</t>
  </si>
  <si>
    <t>IEEE COMMUN SURV TUT</t>
  </si>
  <si>
    <t>IEEE Commun. Surv. Tutor.</t>
  </si>
  <si>
    <t>10.1109/COMST.2023.3271419</t>
  </si>
  <si>
    <t>Q7FZ9</t>
  </si>
  <si>
    <t>WOS:001059157100014</t>
  </si>
  <si>
    <t>Araújo, JP; Li, JM; Vetrivel, K; Agarwal, R; Wu, JJ; Gopinath, D; Clegg, A; Liu, CK</t>
  </si>
  <si>
    <t>Araujo, Joao Pedro; Li, Jiaman; Vetrivel, Karthik; Agarwal, Rishi; Wu, Jiajun; Gopinath, Deepak; Clegg, Alexander; Liu, C. Karen</t>
  </si>
  <si>
    <t>CIRCLE: Capture In Rich Contextual Environments</t>
  </si>
  <si>
    <t>Synthesizing 3D human motion in a contextual, ecological environment is important for simulating realistic activities people perform in the real world. However, conventional optics-based motion capture systems are not suited for simultaneously capturing human movements and complex scenes. The lack of rich contextual 3D human motion datasets presents a roadblock to creating high-quality generative human motion models. We propose a novel motion acquisition system in which the actor perceives and operates in a highly contextual virtual world while being motion captured in the real world. Our system enables rapid collection of high-quality human motion in highly diverse scenes, without the concern of occlusion or the need for physical scene construction in the real world. We present CIRCLE, a dataset containing 10 hours of full-body reaching motion from 5 subjects across nine scenes, paired with ego-centric information of the environment represented in various forms, such as RGBD videos. We use this dataset to train a model that generates human motion conditioned on scene information. Leveraging our dataset, the model learns to use ego-centric scene information to achieve nontrivial reaching tasks in the context of complex 3D scenes. To download the data please visit our website.</t>
  </si>
  <si>
    <t>[Araujo, Joao Pedro; Li, Jiaman; Vetrivel, Karthik; Agarwal, Rishi; Wu, Jiajun; Liu, C. Karen] Stanford Univ, Stanford, CA 94305 USA; [Gopinath, Deepak; Clegg, Alexander] Meta AI, New York, NY USA</t>
  </si>
  <si>
    <t>Araújo, JP (corresponding author), Stanford Univ, Stanford, CA 94305 USA.</t>
  </si>
  <si>
    <t>Liu, Karen/0000-0001-5926-0905; Araujo, Joao/0000-0002-3298-0336</t>
  </si>
  <si>
    <t>Meta AI; NSF CCRI [2120095]; ONR MURI [N00014-22-1-2740]; Stanford Institute for Human-Centered AI</t>
  </si>
  <si>
    <t>Meta AI; NSF CCRI; ONR MURI(MURIOffice of Naval Research); Stanford Institute for Human-Centered AI</t>
  </si>
  <si>
    <t>This work is in part supported by Meta AI, NSF CCRI #2120095, ONR MURI N00014-22-1-2740, and the Stanford Institute for Human-Centered AI.</t>
  </si>
  <si>
    <t>10.1109/CVPR52729.2023.02032</t>
  </si>
  <si>
    <t>WOS:001062531305053</t>
  </si>
  <si>
    <t>Gupta, R; Park, JB; Herzog, I; Yosufi, N; Mangan, A; Firouzbakht, PK; Mailey, BA</t>
  </si>
  <si>
    <t>Gupta, Rohun; Park, John B.; Herzog, Isabel; Yosufi, Nahid; Mangan, Amelia; Firouzbakht, Peter K.; Mailey, Brian A.</t>
  </si>
  <si>
    <t>Applying GPT-4 to the Plastic Surgery Inservice Training Examination</t>
  </si>
  <si>
    <t>JOURNAL OF PLASTIC RECONSTRUCTIVE AND AESTHETIC SURGERY</t>
  </si>
  <si>
    <t>Artificial intelligence; AI; ChatGPT; Resident education</t>
  </si>
  <si>
    <t>Background: The recent introduction of Generative Pre-trained Transformer (GPT)-4 has demonstrated the potential to be a superior version of ChatGPT-3.5. According to many, GPT-4 is seen as a more reliable and creative version of GPT-3.5.Objective: In conjugation with our prior manuscript, we wanted to determine if GPT-4 could be exploited as an instrument for plastic surgery graduate medical education by evaluating its performance on the Plastic Surgery Inservice Training Examination (PSITE). Methods: Sample assessment questions from the 2022 PSITE were obtained from the American Council of Academic Plastic Surgeons website and manually inputted into GPT-4. Responses by GPT-4 were qualified using the properties of natural coherence. Incorrect answers were stratified into the consequent categories: informational, logical, or explicit fallacy.Results: From a total of 242 questions, GPT-4 provided correct answers for 187, resulting in a 77.3% accuracy rate. Logical reasoning was utilized in 95.0% of questions, internal information in 98.3%, and external information in 97.5%. Upon separating the questions based on incorrect and correct responses, a statistically significant difference was identified in GPT-4's application of logical reasoning. Conclusion: GPT-4 has shown to be more accurate and reliable for plastic surgery resident education when compared to GPT-3.5. Users should look to utilize the tool to enhance their educational curriculum. Those who adopt the use of such models may be better equipped to deliver high-quality care to their patients.(c) 2023 British Association of Plastic, Reconstructive and Aesthetic Surgeons. Published by Elsevier Ltd. All rights reserved.</t>
  </si>
  <si>
    <t>[Gupta, Rohun; Mangan, Amelia; Firouzbakht, Peter K.; Mailey, Brian A.] St Louis Univ, Sch Med, Dept Surg, Div Plast Surg, St Louis, MO USA; [Park, John B.; Herzog, Isabel] Rutgers New Jersey Sch Med, Dept Plast Surg, Newark, NJ USA; [Yosufi, Nahid] Oakland Univ, William Beaumont Sch Med, Rochester, MI USA; [Gupta, Rohun] SLUCare Acad Pavil,1008 S Spring Ave,Suite 1500, St Louis, MO 63110 USA</t>
  </si>
  <si>
    <t>Saint Louis University; Oakland University</t>
  </si>
  <si>
    <t>Gupta, R (corresponding author), SLUCare Acad Pavil,1008 S Spring Ave,Suite 1500, St Louis, MO 63110 USA.</t>
  </si>
  <si>
    <t>rohunguptamd@gmail.com</t>
  </si>
  <si>
    <t>Gupta, Rohun/0000-0003-1491-2441</t>
  </si>
  <si>
    <t>1748-6815</t>
  </si>
  <si>
    <t>1878-0539</t>
  </si>
  <si>
    <t>J PLAST RECONSTR AES</t>
  </si>
  <si>
    <t>J. Plast. Reconstr. Aesthet. Surg.</t>
  </si>
  <si>
    <t>10.1016/j.bjps.2023.09.027</t>
  </si>
  <si>
    <t>W4VL5</t>
  </si>
  <si>
    <t>WOS:001091617200001</t>
  </si>
  <si>
    <t>Standfest, M</t>
  </si>
  <si>
    <t>Standfest, Matthias</t>
  </si>
  <si>
    <t>Reducing Bias for Evidence-Based Decision Making in Design</t>
  </si>
  <si>
    <t>This paper presents a strategy to help designers confronted with a massive flow of new technologies, exhaustive regulations, and design requirements. It summarises the existing proposals for AI-driven design development strategies, and lists frequent pitfalls like the focus on local optima or the lack of backpropagation. It identifies the main source of bias in generative design as a lack of detail and contextual complexity. The paper introduces an augmented AI process for preparing real-world data and its meta information to be used in design processes (BIM, GIS, external statistics including information such as rental price or spatial cognition). This evidence-based approach for deriving verifiable fitness functions presents a way to create holistic designs that reflect the complexity of today's built environment by using a posteriori and unbiased statistical models to substitute existing speculative categorisations. Hence, it allows avoiding naive and overfitted solutions, and it inverts the dominant paradigm of automated generation and manual curation.</t>
  </si>
  <si>
    <t>[Standfest, Matthias] Archilyse AG, Fluelastr 31B, CH-8047 Zurich, Switzerland</t>
  </si>
  <si>
    <t>Standfest, M (corresponding author), Archilyse AG, Fluelastr 31B, CH-8047 Zurich, Switzerland.</t>
  </si>
  <si>
    <t>standfest@archilyse.com</t>
  </si>
  <si>
    <t>10.1007/978-3-031-13249-0_11</t>
  </si>
  <si>
    <t>WOS:000870223800011</t>
  </si>
  <si>
    <t>Sun, H; Deng, Z; Chen, H; Parkes, DC</t>
  </si>
  <si>
    <t>Sun, He; Deng, Zhun; Chen, Hui; Parkes, David C.</t>
  </si>
  <si>
    <t>Decision-Aware Conditional GANs for Time Series Data</t>
  </si>
  <si>
    <t>Time Series; Simulator; Decision Aware; GAN</t>
  </si>
  <si>
    <t>We introduce the decision-aware time-series conditional generative adversarial network (DAT-CGAN), a method for the generation of time-series data that is designed to support decision-making. The framework adopts a multi-Wasserstein loss on decision-related quantities and an overlapped block-sampling approach for sample efficiency. We characterize the generalization properties of DAT-CGAN and in application to a multi-period portfolio choice problem and financial time series data, we demonstrate better training stability and generative quality in regard to both raw data and decision-related quantities than strong GAN-based baselines.</t>
  </si>
  <si>
    <t>[Sun, He; Parkes, David C.] Harvard Univ, Boston, MA 02115 USA; [Deng, Zhun] Columbia Univ, New York, NY USA; [Chen, Hui] MIT, Cambridge, MA USA</t>
  </si>
  <si>
    <t>Harvard University; Columbia University; Massachusetts Institute of Technology (MIT)</t>
  </si>
  <si>
    <t>Sun, H (corresponding author), Harvard Univ, Boston, MA 02115 USA.</t>
  </si>
  <si>
    <t>he_sun@g.harvard.edu; zhun.d@columbia.edu; huichen@mit.edu; parkes@eecs.harvard.edu</t>
  </si>
  <si>
    <t>10.1145/3604237.3626855</t>
  </si>
  <si>
    <t>WOS:001124982700005</t>
  </si>
  <si>
    <t>Tran, QN; Yang, SH</t>
  </si>
  <si>
    <t>Tran, Quang Nhat; Yang, Shih-Hsuan</t>
  </si>
  <si>
    <t>Attention-Based Inter-Prediction for Versatile Video Coding</t>
  </si>
  <si>
    <t>Attention map; deep learning; deep video coding tool; generative adversarial networks (GANs); inter coding; video coding; Versatile Video Coding (VVC)</t>
  </si>
  <si>
    <t>Versatile Video Coding (VVC) is the latest video coding standard, which provides significant coding efficiency to its successors based on new coding tools and flexibility. In this paper, we propose a generative adversarial network-based inter-picture prediction approach for VVC. The proposed method involves two major parts, deep attention map estimation and deep frame interpolation. Adjacent VVC-coded frames in every other frame are taken as the reference data for the proposed inter-picture prediction. The deep attention map classifies pixels into high-interest and low-interest. The low-interest pixels are replaced by the generated data from frame interpolation without extra coded bits, while the other pixels are encoded using the conventional VVC coding tools. The generation of the attention map and interpolated frame can be incorporated into the VVC encoding algorithm under a unified framework. Experimental results show that the proposed method improves the coding efficiency of VVC with a moderate increase (26.7%) in runtime. A BD-rate savings of 1.91% on average was achieved compared to the VVC reference software in the Random-Access configuration. A significant reduction in bitrate was observed for chroma components (U and V).</t>
  </si>
  <si>
    <t>[Tran, Quang Nhat; Yang, Shih-Hsuan] Natl Taipei Univ Technol, Dept Comp Sci &amp; Informat Engn, Taipei 106344, Taiwan; [Tran, Quang Nhat] Family Technol Co Ltd, AI Ctr, Da Nang 550000, Vietnam</t>
  </si>
  <si>
    <t>National Taipei University of Technology</t>
  </si>
  <si>
    <t>Tran, QN (corresponding author), Natl Taipei Univ Technol, Dept Comp Sci &amp; Informat Engn, Taipei 106344, Taiwan.;Tran, QN (corresponding author), Family Technol Co Ltd, AI Ctr, Da Nang 550000, Vietnam.</t>
  </si>
  <si>
    <t>quangtn@ftech.ai</t>
  </si>
  <si>
    <t>Tran, Quang/0000-0001-9030-9447</t>
  </si>
  <si>
    <t>National Science and Technology Council, Taiwan [MOST 110-2221-E-027-083-MY2, MOST 108-2221-E-027-065-MY2]</t>
  </si>
  <si>
    <t>National Science and Technology Council, Taiwan</t>
  </si>
  <si>
    <t>This work was supported in part by the National Science and Technology Council, Taiwan, under Grant MOST 110-2221-E-027-083-MY2 and Grant MOST 108-2221-E-027-065-MY2.</t>
  </si>
  <si>
    <t>10.1109/ACCESS.2023.3303510</t>
  </si>
  <si>
    <t>P3US1</t>
  </si>
  <si>
    <t>WOS:001049933400001</t>
  </si>
  <si>
    <t>Ali, H; Grönlund, C; Shah, Z</t>
  </si>
  <si>
    <t>Ali, Hazrat; Gronlund, Christer; Shah, Zubair</t>
  </si>
  <si>
    <t>Leveraging GANs for data scarcity of COVID-19: Beyond the hype</t>
  </si>
  <si>
    <t>2023 IEEE/CVF CONFERENCE ON COMPUTER VISION AND PATTERN RECOGNITION WORKSHOPS, CVPRW</t>
  </si>
  <si>
    <t>IEEE Computer Society Conference on Computer Vision and Pattern Recognition Workshops</t>
  </si>
  <si>
    <t>AUTOMATIC DETECTION; IMAGE</t>
  </si>
  <si>
    <t>Artificial Intelligence (AI)-based models can help in diagnosing COVID-19 from lung CT scans and X-ray images; however, these models require large amounts of data for training and validation. Many researchers studied Generative Adversarial Networks (GANs) for producing synthetic lung CT scans and X-Ray images to improve the performance of AI-based models. It is not well explored how good GAN-based methods performed to generate reliable synthetic data. This work analyzes 43 published studies that reported GANs for synthetic data generation. Many of these studies suffered data bias, lack of reproducibility, and lack of feedback from the radiologists or other domain experts. A common issue in these studies is the unavailability of the source code, hindering reproducibility. The included studies reported rescaling of the input images to train the existing GANs architecture without providing clinical insights on how the rescaling was motivated. Finally, even though GAN-based methods have the potential for data augmentation and improving the training of AI-based models, these methods fall short in terms of their use in clinical practice. This paper highlights research hotspots in countering the data scarcity problem, identifies various issues as well as potentials, and provides recommendations to guide future research. These recommendations might be useful to improve acceptability for the GAN-based approaches for data augmentation as GANs for data augmentation are increasingly becoming popular in the AI and medical imaging research community.</t>
  </si>
  <si>
    <t>[Ali, Hazrat; Shah, Zubair] Hamad Bin Khalifa Univ, Qatar Fdn, Coll Sci &amp; Engn, Doha, Qatar; [Gronlund, Christer] Umea Univ, Dept Radiat Sci, Umea, Sweden</t>
  </si>
  <si>
    <t>Qatar Foundation (QF); Hamad Bin Khalifa University-Qatar; Umea University</t>
  </si>
  <si>
    <t>Ali, H (corresponding author), Hamad Bin Khalifa Univ, Qatar Fdn, Coll Sci &amp; Engn, Doha, Qatar.</t>
  </si>
  <si>
    <t>haali2@hbku.edu.qa; christer.gronlund@umu.se; zshah@hbku.edu.qa</t>
  </si>
  <si>
    <t>Ali, Hazrat/J-2920-2019</t>
  </si>
  <si>
    <t>Ali, Hazrat/0000-0003-3058-5794</t>
  </si>
  <si>
    <t>2160-7508</t>
  </si>
  <si>
    <t>979-8-3503-0249-3</t>
  </si>
  <si>
    <t>IEEE COMPUT SOC CONF</t>
  </si>
  <si>
    <t>10.1109/CVPRW59228.2023.00073</t>
  </si>
  <si>
    <t>BV6BV</t>
  </si>
  <si>
    <t>WOS:001055056500069</t>
  </si>
  <si>
    <t>Veturi, YA; Woof, W; Lazebnik, T; Moghul, I; Woodward-Court, P; Wagner, SK; de Guimaraes, TAC; Varela, MD; Liefers, B; Patel, PJ; Beck, S; Webster, AR; Mahroo, O; Keane, PA; Michaelides, M; Balaskas, K; Pontikos, N</t>
  </si>
  <si>
    <t>Veturi, Yoga Advaith; Woof, William; Lazebnik, Teddy; Moghul, Ismail; Woodward-Court, Peter; Wagner, Siegfried K.; de Guimaraes, Thales Antonio Cabral; Varela, Malena Daich; Liefers, Bart; Patel, Praveen J.; Beck, Stephan; Webster, Andrew R.; Mahroo, Omar; Keane, Pearse A.; Michaelides, Michel; Balaskas, Konstantinos; Pontikos, Nikolas</t>
  </si>
  <si>
    <t>SynthEye: Investigating the Impact of Synthetic Data on Artificial Intelligence-assisted Gene Diagnosis of Inherited Retinal Disease</t>
  </si>
  <si>
    <t>Synthetic data; Deep Learning; Generative Adversarial Networks; Inherited Retinal Diseases; Class imbalance; Clinical Decision-Support Model</t>
  </si>
  <si>
    <t>AUTOFLUORESCENCE; IMAGES</t>
  </si>
  <si>
    <t>Purpose: Rare disease diagnosis is challenging in medical image-based artificial intelligence due to a natural class imbalance in datasets, leading to biased prediction models. Inherited retinal diseases (IRDs) are a research domain that particularly faces this issue. This study investigates the applicability of synthetic data in improving artificial intelligence-enabled diagnosis of IRDs using generative adversarial networks (GANs).Design: Diagnostic study of gene-labeled fundus autofluorescence (FAF) IRD images using deep learning.Participants: Moorfields Eye Hospital (MEH) dataset of 15 692 FAF images obtained from 1800 patients with confirmed genetic diagnosis of 1 of 36 IRD genes.Methods: A StyleGAN2 model is trained on the IRD dataset to generate 512 x 512 resolution images. Convolutional neural networks are trained for classification using different synthetically augmented datasets, including real IRD images plus 1800 and 3600 synthetic images, and a fully rebalanced dataset. We also perform an experiment with only synthetic data. All models are compared against a baseline convolutional neural network trained only on real data.Main Outcome Measures: We evaluated synthetic data quality using a Visual Turing Test conducted with 4 ophthalmologists from MEH. Synthetic and real images were compared using feature space visualization, simi-larity analysis to detect memorized images, and Blind/Referenceless Image Spatial Quality Evaluator (BRISQUE) score for no-reference-based quality evaluation. Convolutional neural network diagnostic performance was determined on a held-out test set using the area under the receiver operating characteristic curve (AUROC) and Cohen's Kappa (K).Results: An average true recognition rate of 63% and fake recognition rate of 47% was obtained from the Visual Turing Test. Thus, a considerable proportion of the synthetic images were classified as real by clinical ex-perts. Similarity analysis showed that the synthetic images were not copies of the real images, indicating that copied real images, meaning the GAN was able to generalize. However, BRISQUE score analysis indicated that synthetic images were of significantly lower quality overall than real images (P &lt; 0.05). Comparing the rebalanced model (RB) with the baseline (R), no significant change in the average AUROC and K was found (R-AUROC = 0.86 [0.85-88], RB-AUROC = 0.88[0.86-0.89], R-K = 0.51[0.49-0.53], and RB-K = 0.52[0.50-0.54]). The synthetic data trained model (S) achieved similar performance as the baseline (S-AUROC = 0.86[0.85-87], S-K = 0.48[0.46-0.50]).Conclusions: Synthetic generation of realistic IRD FAF images is feasible. Synthetic data augmentation does not deliver improvements in classification performance. However, synthetic data alone deliver a similar perfor-mance as real data, and hence may be useful as a proxy to real data.</t>
  </si>
  <si>
    <t>[Veturi, Yoga Advaith; Woof, William; Woodward-Court, Peter; Wagner, Siegfried K.; de Guimaraes, Thales Antonio Cabral; Varela, Malena Daich; Keane, Pearse A.; Michaelides, Michel; Balaskas, Konstantinos; Pontikos, Nikolas] UCL, Inst Ophthalmol, London, England; [Veturi, Yoga Advaith; Woof, William; Moghul, Ismail; Woodward-Court, Peter; Wagner, Siegfried K.; de Guimaraes, Thales Antonio Cabral; Varela, Malena Daich; Liefers, Bart; Patel, Praveen J.; Webster, Andrew R.; Mahroo, Omar; Keane, Pearse A.; Michaelides, Michel; Balaskas, Konstantinos; Pontikos, Nikolas] Moorfields Eye Hosp, London, England; [Lazebnik, Teddy; Beck, Stephan] UCL, Canc Inst, London, England; [Pontikos, Nikolas] UCL, Inst Ophthalmol, 11-43 Bath St, London EC1V 9EL, England</t>
  </si>
  <si>
    <t>University of London; University College London; University of London; University College London; Moorfields Eye Hospital NHS Foundation Trust; University of London; University College London; University of London; University College London</t>
  </si>
  <si>
    <t>Pontikos, N (corresponding author), UCL, Inst Ophthalmol, 11-43 Bath St, London EC1V 9EL, England.</t>
  </si>
  <si>
    <t>n.pontikos@ucl.ac.uk</t>
  </si>
  <si>
    <t>Moghul, Ismail/HHM-9545-2022; Pontikos, Nikolas/U-3642-2018; Keane, Pearse/AAE-5709-2019; Lazebnik, Teddy/CAH-0679-2022</t>
  </si>
  <si>
    <t>Moghul, Ismail/0000-0003-3653-2327; Pontikos, Nikolas/0000-0003-1782-4711; Keane, Pearse/0000-0002-9239-745X; Lazebnik, Teddy/0000-0002-7851-8147; Cabral de Guimaraes, Thales Antonio/0000-0002-7936-6851; Balaskas, Konstantinos/0000-0003-2034-8920; Mahroo, Omar/0000-0003-1254-0832</t>
  </si>
  <si>
    <t>National Institute for Health Research (NIHR) Biomedical Research Centre (BRC) at Moorfields Eye Hospital NHS Foundation Trust; UCL Institute of Ophthalmology; NIHR AI Award [AI_AWARD02488]; Moorfields Eye Charity Career Development Award [R190031A]; Wellcome Trust [206619/Z/17/Z]; BRC Challenge Fund [BRC3_027]; Stephen and Elizabeth Archer in memory of Marion Woods; National Institutes of Health Research (NIHR) [AI_AWARD02488] Funding Source: National Institutes of Health Research (NIHR)</t>
  </si>
  <si>
    <t>National Institute for Health Research (NIHR) Biomedical Research Centre (BRC) at Moorfields Eye Hospital NHS Foundation Trust; UCL Institute of Ophthalmology; NIHR AI Award; Moorfields Eye Charity Career Development Award; Wellcome Trust(Wellcome Trust); BRC Challenge Fund; Stephen and Elizabeth Archer in memory of Marion Woods; National Institutes of Health Research (NIHR)(National Institutes of Health Research (NIHR))</t>
  </si>
  <si>
    <t>&amp; nbsp;All authors have completed and submitted the ICMJE disclosures form. The research was supported by a grant from the National Institute for Health Research (NIHR) Biomedical Research Centre (BRC) at Moorfields Eye Hospital NHS Foundation Trust and UCL Institute of Ophthalmology. Nikolas Pontikos and William Woof are currently funded by an NIHR AI Award (AI_AWARD02488) . Nikolas Pontikos was also previously funded by a Moorfields Eye Charity Career Development Award (R190031A) . Omar A. Mahroo is supported by the Wellcome Trust (206619/Z/17/Z) . The hardware used for analysis was supported by the BRC Challenge Fund (BRC3_027) . This project was also supported by a generous donation by Stephen and Elizabeth Archer in memory of Marion Woods. The hardware used for analysis was supported by the BRC Challenge Fund (BRC3_027) . The funding organizations have no role in the design or conduct of this research.</t>
  </si>
  <si>
    <t>10.1016/j.xops.2022.100258</t>
  </si>
  <si>
    <t>N5CS1</t>
  </si>
  <si>
    <t>WOS:001037195700001</t>
  </si>
  <si>
    <t>Ray, SS; Peddinti, PRT; Verma, RK; Puppala, H; Kim, B; Singh, A; Kwon, YN</t>
  </si>
  <si>
    <t>Ray, Saikat Sinha; Peddinti, Pranav R. T.; Verma, Rohith Kumar; Puppala, Harish; Kim, Byungmin; Singh, Ashutosh; Kwon, Young-Nam</t>
  </si>
  <si>
    <t>Leveraging ChatGPT and Bard: What does it convey for water treatment/desalination and harvesting sectors?</t>
  </si>
  <si>
    <t>DESALINATION</t>
  </si>
  <si>
    <t>ChatGPT; Bard; Water treatment; Desalination</t>
  </si>
  <si>
    <t>Artificial intelligence (AI) has emerged as a prominent tool in the modern day. The utilization of AI and advanced language models such as chat generative pre-trained transformer (ChatGPT) and Bard is not only innovative but also crucial for handling challenges related to water research. ChatGPT is an AI chatbot that uses natural lan-guage processing to create humanlike conversations. ChatGPT has recently gained considerable public interest, owing to its unique ability to simplify tasks from various backgrounds. Similarly, Google introduced Bard, an AI-powered chatbot to simulate human conversations. Herein, we investigated how ChatGPT and Bard (AI powdered chatbots) tools can impact water research through interactive sessions. Typically, ChatGPT and Bard offer significant benefits to various fields, including research, education, scientific publications, and outreach. ChatGPT and Bard simplify complex and challenging tasks. For instance, 50 important questions about water treatment/desalination techniques and 50 questions about water harvesting techniques were provided to both chatbots. Time analytics was performed by ChatGPT 3.5, and Bard was used to generate full responses. In particular, the effectiveness of this emerging tool for research purposes in the field of conventional water treatment techniques, advanced water treatment techniques, membrane technology and seawater desalination has been thoroughly demonstrated. Moreover, potential pitfalls and challenges were also highlighted. Thus, sharing these experiences may encourage the effective and responsible use of Bard and ChatGPT in research purposes. Finally, the responses were compared from the perspective of an expert. Although ChatGPT and Bard possess huge benefits, there are several issues, which are discussed in this study. Based on this study, we can compare the abilities of artificial intelligence and human intelligence in water sector research.</t>
  </si>
  <si>
    <t>[Ray, Saikat Sinha] SRM Univ, Sch Engn &amp; Sci, Dept Environm Sci &amp; Engn, Amaravati 522240, Andhra Pradesh, India; [Peddinti, Pranav R. T.; Kim, Byungmin; Kwon, Young-Nam] Ulsan Natl Inst Sci &amp; Technol, Dept Civil Urban Earth &amp; Environm Engn, Ulsan, South Korea; [Peddinti, Pranav R. T.] SRM Univ, Dept Civil Engn, Amaravati 522240, Andhra Pradesh, India; [Verma, Rohith Kumar; Singh, Ashutosh] Shiv Nadar Inst Eminence, Sch Nat Sci SONS, Dept Life Sci, Delhi NCR, India; [Puppala, Harish] SRM Univ, Dept Civil Engn, Amaravati, Andhra Pradesh, India</t>
  </si>
  <si>
    <t>SRM University-AP; Ulsan National Institute of Science &amp; Technology (UNIST); SRM University-AP; SRM University-AP</t>
  </si>
  <si>
    <t>Kwon, YN (corresponding author), Ulsan Natl Inst Sci &amp; Technol, Dept Civil Urban Earth &amp; Environm Engn, Ulsan, South Korea.;Singh, A (corresponding author), Shiv Nadar Inst Eminence, Sch Nat Sci SONS, Dept Life Sci, Delhi NCR, India.</t>
  </si>
  <si>
    <t>ashutosh.singh@snu.edu.in; kwonyn@unist.ac.kr</t>
  </si>
  <si>
    <t>Verma, Rohit Kumar/0009-0001-7495-5972</t>
  </si>
  <si>
    <t>National Research Foundation (NRF) of the Republic of Korea (ROK) - Ministry of Education, Science and Technology; [RS-2023-00241009]</t>
  </si>
  <si>
    <t>National Research Foundation (NRF) of the Republic of Korea (ROK) - Ministry of Education, Science and Technology;</t>
  </si>
  <si>
    <t>This research has been supported by the National Research Foundation (NRF) of the Republic of Korea (ROK) as supported by the Ministry of Education, Science and Technology (RS-2023-00241009) . The authors are grateful for the all the assistance.</t>
  </si>
  <si>
    <t>0011-9164</t>
  </si>
  <si>
    <t>1873-4464</t>
  </si>
  <si>
    <t>Desalination</t>
  </si>
  <si>
    <t>10.1016/j.desal.2023.117085</t>
  </si>
  <si>
    <t>Engineering, Chemical; Water Resources</t>
  </si>
  <si>
    <t>X2GS6</t>
  </si>
  <si>
    <t>WOS:001096697000001</t>
  </si>
  <si>
    <t>Carvalho, I; Ivanov, S</t>
  </si>
  <si>
    <t>Carvalho, Ines; Ivanov, Stanislav</t>
  </si>
  <si>
    <t>ChatGPT for tourism: applications, benefits and risks</t>
  </si>
  <si>
    <t>ChatGPT; Generative language models; LLMs; Tourism; Chatbots; AI in tourism; Intelligent automation</t>
  </si>
  <si>
    <t>INTELLIGENCE</t>
  </si>
  <si>
    <t>Purpose - The rapid growth of artificial intelligence is disrupting various industries, including the tourism sector. This paper aims to outline the applications, benefits and risks of ChatGPT and large language models in general on tourism. It also aims to establish a research agenda for investigating the implications of these models in tourism.Design/methodology/approach - Drawing on the available literature on ChatGPT, large language models and artificial intelligence, the paper identifies areas of application of ChatGPT for several tourism stakeholders. Potential benefits and risks are then considered.Findings - ChatGPT and other similar models are likely to have a profound impact on several tourism processes. They will contribute to further streamline customer service in front-of-house operations and increase productivity and efficiency in back-of-house operations. Although negative consequences for human resources are expected, this technology mostly enhances tourism employees.Originality/value - To the best of the authors' knowledge, this is one of the first studies that explore the potential implications of ChatGPT in tourism and hospitality.</t>
  </si>
  <si>
    <t>[Carvalho, Ines] Univ Europeia, Fac Social Sci &amp; Technol, Lisbon, Portugal; [Carvalho, Ines] Univ Aveiro, Res Unit Governance Competitiveness &amp; Publ Pol GO, Aveiro, Portugal; [Carvalho, Ines] Univ Lisbon, Inst Social &amp; Polit Sci, Interdisciplinary Ctr fGender Studies CIEG, Lisbon, Portugal; [Ivanov, Stanislav] Varna Univ Management, Bulgaria &amp; ZangadorResearch Inst, Dept Tourism, Varna, Bulgaria</t>
  </si>
  <si>
    <t>Universidade Europeia; Universidade de Aveiro; Universidade de Lisboa; Varna University of Management</t>
  </si>
  <si>
    <t>Ivanov, S (corresponding author), Varna Univ Management, Bulgaria &amp; ZangadorResearch Inst, Dept Tourism, Varna, Bulgaria.</t>
  </si>
  <si>
    <t>ines.carvalho@universidadeeuropeia.pt; stanislav.ivanov@vumk.eu</t>
  </si>
  <si>
    <t>Buttree, Matthew/JSK-8811-2023; Carvalho, Inês/AAW-2628-2021; Ivanov, Stanislav Hristov/D-7692-2012</t>
  </si>
  <si>
    <t>Carvalho, Inês/0000-0003-1372-1299; Ivanov, Stanislav Hristov/0000-0002-6851-5823</t>
  </si>
  <si>
    <t>FEB 6</t>
  </si>
  <si>
    <t>10.1108/TR-02-2023-0088</t>
  </si>
  <si>
    <t>GJ0B1</t>
  </si>
  <si>
    <t>WOS:000961061600001</t>
  </si>
  <si>
    <t>Tiwari, CK; Bhat, MA; Khan, ST; Subramaniam, R; Khan, MAI</t>
  </si>
  <si>
    <t>Tiwari, Chandan Kumar; Bhat, Mohd. Abass; Khan, Shagufta Tariq; Subramaniam, Rajaswaminathan; Khan, Mohammad Atif Irshad</t>
  </si>
  <si>
    <t>What drives students toward ChatGPT? An investigation of the factors influencing adoption and usage of ChatGPT</t>
  </si>
  <si>
    <t>ChatGPT; Technology acceptance model; Adoption; Education; Hedonic motivation; Perceived social presence</t>
  </si>
  <si>
    <t>ARTIFICIAL-INTELLIGENCE; TECHNOLOGY ACCEPTANCE; DISCRIMINANT VALIDITY; BEHAVIORAL INTENTION; PERCEIVED USEFULNESS; CONSUMER ADOPTION; USER ACCEPTANCE; E-COMMERCE; BANKING; MODEL</t>
  </si>
  <si>
    <t>Purpose The purpose of this paper is to identify the factors determining students' attitude toward using newly emerged artificial intelligence (AI) tool, Chat Generative Pre-Trained Transformer (ChatGPT), for educational and learning purpose based on technology acceptance model.Design/methodology/approach The recommended model was empirically tested with partial least squares structural equation modeling using 375 student survey responses.Findings The study revealed that students have a favorable view of the instructional use of ChatGPT. Usefulness, social presence and legitimacy of the tool, as well as enjoyment and motivation, contribute to a favorable attitude toward using this tool in a learning environment. However, perceived ease of use was not found to be a significant determinant in the adoption and utilization of ChatGPT by the students.Practical implications This research is intended to benefit enterprises, academic institutions and the global community by offering light on how students perceive the ChatGPT service in an educational setting. Furthermore, the application enhances confidence and interest among learners, leading to improved literacy and general awareness. Eventually, the outcome of this research will help AI developers to improve their product and service delivery, as well as benefit regulators in regulating the usage of AI-based bots.Originality/value Due to its novelty, the current research on AI-based ChatGPT usage in the education sector is rather restricted. This study provides the adoption aspects of ChatGPT, a new AI-based technology for students, thereby contributing significantly to the existing research on the adoption of advanced education technologies. In addition, the literature lacks research on the adoption of ChatGPT by students for educational purposes; this study addresses this gap by identifying adoption determinants of ChatGPT in education.</t>
  </si>
  <si>
    <t>[Tiwari, Chandan Kumar; Bhat, Mohd. Abass; Subramaniam, Rajaswaminathan; Khan, Mohammad Atif Irshad] Univ Technol &amp; Appl Sci, Coll Econ &amp; Business Adm, Muscat, Oman; [Khan, Shagufta Tariq] German Univ Technol GUtech, Dept Logist Tourism &amp; Serv Management, Muscat, Oman</t>
  </si>
  <si>
    <t>Tiwari, CK (corresponding author), Univ Technol &amp; Appl Sci, Coll Econ &amp; Business Adm, Muscat, Oman.</t>
  </si>
  <si>
    <t>dr.chandantiwari06@gmail.com</t>
  </si>
  <si>
    <t>AUG 29</t>
  </si>
  <si>
    <t>10.1108/ITSE-04-2023-0061</t>
  </si>
  <si>
    <t>W8AX6</t>
  </si>
  <si>
    <t>WOS:001093809100001</t>
  </si>
  <si>
    <t>Chen, LY; Liao, HE; Kong, WT; Zhang, DQ; Chen, F</t>
  </si>
  <si>
    <t>Chen, Lingyu; Liao, Hongen; Kong, Wentao; Zhang, Daoqiang; Chen, Fang</t>
  </si>
  <si>
    <t>Anatomy preserving GAN for realistic simulation of intraoperative liver ultrasound images</t>
  </si>
  <si>
    <t>High-accuracy structures; Anatomy preserving GAN; Liver ultrasound; Realistic simulation</t>
  </si>
  <si>
    <t>GENERATIVE ADVERSARIAL NETWORKS; MEDICAL ULTRASOUND; MR</t>
  </si>
  <si>
    <t>In ultrasound-guided liver surgery, the lack of large-scale intraoperative ultrasound images with important anatomical structures remains an obstacle hindering the successful application of AI to ultrasound guidance. In this case, intraoperative ultrasound (iUS) simulation should be conducted from preoperative magnetic resonance (pMR), which not only helps doctors understand the characteristics of iUS in advance, but also expands the iUS dataset from various imaging positions, thereby promoting the automatic iUS analysis in ultrasound guidance. Herein, a novel anatomy preserving generative adversarial network (ApGAN) framework was proposed to generate simulated intraoperative ultrasound (Sim-iUS) of liver with precise structure information from pMR. Specifically, the low-rank factors based bimodal fusion was first established focusing on the effective information of hepatic parenchyma. Then, a deformation field based correction module was introduced to learn and correct the slight structural distortion from surgical operations. Meanwhile, the multiple loss functions were designed to constrain the simulation of the content, structures, and style. Empirical results of clinical data showed that the proposed ApGAN obtained higher Structural Similarity (SSIM) of 0.74 and Fr &amp; PRIME;echet Inception Distance (FID) of 35.54 compared to existing methods. Furthermore, the average Hausdorff Distance (HD) error of the liver capsule structure was less than 0.25 mm, and the average relative (Euclidean Distance) ED error for polyps was 0.12 mm, indicating the high-level precision of this ApGAN in simulating the anatomical structures and focal areas.</t>
  </si>
  <si>
    <t>[Chen, Lingyu; Zhang, Daoqiang; Chen, Fang] Nanjing Univ Aeronaut &amp; Astronaut, Key Lab Brain Machine Intelligence Technol, Minist Educ, Nanjing, Peoples R China; [Chen, Lingyu; Zhang, Daoqiang; Chen, Fang] Nanjing Univ Aeronaut &amp; Astronaut, Coll Comp Sci &amp; Technol, Nanjing, Peoples R China; [Liao, Hongen] Tsinghua Univ, Sch Med, Dept Biomed Engn, Beijing, Peoples R China; [Kong, Wentao] Nanjing Univ, Affiliated DrumTower Hosp, Dept Ultrasound, Med Sch, Nanjing 210008, Peoples R China</t>
  </si>
  <si>
    <t>Nanjing University of Aeronautics &amp; Astronautics; Nanjing University of Aeronautics &amp; Astronautics; Tsinghua University; Nanjing University</t>
  </si>
  <si>
    <t>Chen, F (corresponding author), Nanjing Univ Aeronaut &amp; Astronaut, Key Lab Brain Machine Intelligence Technol, Minist Educ, Nanjing, Peoples R China.;Chen, F (corresponding author), Nanjing Univ Aeronaut &amp; Astronaut, Coll Comp Sci &amp; Technol, Nanjing, Peoples R China.;Kong, WT (corresponding author), Nanjing Univ, Affiliated DrumTower Hosp, Dept Ultrasound, Med Sch, Nanjing 210008, Peoples R China.</t>
  </si>
  <si>
    <t>breezewen@163.com; chenfang@nuaa.edu.cn</t>
  </si>
  <si>
    <t>National Nature Science Foundation of China [U20A20389, 62271246, 62136004, XMLX202141]</t>
  </si>
  <si>
    <t>National Nature Science Foundation of China(National Natural Science Foundation of China (NSFC))</t>
  </si>
  <si>
    <t>Fang Chen is the corresponding author. The authors acknowledge supports from National Nature Science Foundation of China grants (U20A20389, 62271246, 62136004) , Beijing Hospitals Authority Clin- ical Medicine Development of special funding support (XMLX202141) .</t>
  </si>
  <si>
    <t>10.1016/j.cmpb.2023.107642</t>
  </si>
  <si>
    <t>O9XR7</t>
  </si>
  <si>
    <t>WOS:001047279400001</t>
  </si>
  <si>
    <t>Xie, JX; Ouyang, H; Piao, JT; Lei, CY; Chen, QF</t>
  </si>
  <si>
    <t>Xie, Jiaxin; Ouyang, Hao; Piao, Jingtan; Lei, Chenyang; Chen, Qifeng</t>
  </si>
  <si>
    <t>High-fidelity 3D GAN Inversion by Pseudo-multi-view Optimization</t>
  </si>
  <si>
    <t>We present a high-fidelity 3D generative adversarial network (GAN) inversion framework that can synthesize photorealistic novel views while preserving specific details of the input image. High-fidelity 3D GAN inversion is inherently challenging due to the geometry-texture trade-off, where overfitting to a single view input image often damages the estimated geometry during the latent optimization. To solve this challenge, we propose a novel pipeline that builds on the pseudo-multi-view estimation with visibility analysis. We keep the original textures for the visible parts and utilize generative priors for the occluded parts. Extensive experiments show that our approach achieves advantageous reconstruction and novel view synthesis quality over prior work, even for images with out-of-distribution textures. The proposed pipeline also enables image attribute editing with the inverted latent code and 3D-aware texture modification. Our approach enables high-fidelity 3D rendering from a single image, which is promising for various applications of AI-generated 3D content. The source code is at https://github.com/jiaxinxie97/HFGI3D/.</t>
  </si>
  <si>
    <t>[Xie, Jiaxin; Ouyang, Hao; Chen, Qifeng] HKUST, Hong Kong, Peoples R China; [Piao, Jingtan] CUHK, MMLab, Hong Kong, Peoples R China; [Lei, Chenyang] HKISI CAS, CAIR, Hong Kong, Peoples R China</t>
  </si>
  <si>
    <t>Hong Kong University of Science &amp; Technology; Chinese University of Hong Kong</t>
  </si>
  <si>
    <t>Chen, QF (corresponding author), HKUST, Hong Kong, Peoples R China.;Piao, JT (corresponding author), CUHK, MMLab, Hong Kong, Peoples R China.</t>
  </si>
  <si>
    <t>10.1109/CVPR52729.2023.00039</t>
  </si>
  <si>
    <t>WOS:001058542600031</t>
  </si>
  <si>
    <t>O'Connor, MD</t>
  </si>
  <si>
    <t>O'Connor, Michael D.</t>
  </si>
  <si>
    <t>Design principles for work-integrated learning-based, alternative doctoral training programs informed by PhD candidate feedback</t>
  </si>
  <si>
    <t>INTERNATIONAL JOURNAL OF WORK-INTEGRATED LEARNING</t>
  </si>
  <si>
    <t>PhD; doctoral; employability skills; research skills; co-creation; satisfaction; CALD; generative AI</t>
  </si>
  <si>
    <t>SKILLS; SUPERVISION; EXPERIENCES</t>
  </si>
  <si>
    <t>This study investigated PhD candidate feedback on research and employability skills training, delivered via work-integrated learning (WIL) within an alternative doctoral training model. Voluntary feedback was received using a mixed-methods survey consisting of 10 quantitative statements reflecting on learning, and qualitative feedback comprising best aspects and needs improvement comments. The results indicate candidates highly valued the WIL-based assessments, teacher interactions, workload, research-relevant problem-solving frameworks, work-related knowledge and skills, and confidence-building. The qualitative analysis also revealed some PhD candidates desired more peer interactions early in candidature. The study reinforces four emerging design principles for WIL in doctoral programs and provides a contemporary evidence-base for improving alternative doctoral training programs. Areas for further research include: understanding training motivation and needs including content complexity, internships, and culturally and linguistically diverse (CALD) candidate needs; benchmarking engagement with doctoral WIL; increasing doctoral peer interactions; WIL for new technologies; and communicating the value of doctoral WIL.</t>
  </si>
  <si>
    <t>[O'Connor, Michael D.] Western Sydney Univ, Sydney, NSW, Australia</t>
  </si>
  <si>
    <t>Western Sydney University</t>
  </si>
  <si>
    <t>O'Connor, MD (corresponding author), Western Sydney Univ, Sydney, NSW, Australia.</t>
  </si>
  <si>
    <t>m.oconnor@westernsydney.edu.au</t>
  </si>
  <si>
    <t>Surveys Team and permission [H10462]</t>
  </si>
  <si>
    <t>Surveys Team and permission</t>
  </si>
  <si>
    <t>The author wishes to thank Dr Anna Denejkina and Dr Jessica Weir (Western Sydney University) for critical review of the manuscript, and Dr Jason Ensor from the Western Sydney University Surveys Team for access to surveys. Data was provided by the Surveys Team and permission to use was granted within the context of sections 8.6.7 and 8.6.8, H10462: The Western Sydney University Research Program for Learning and Teaching.</t>
  </si>
  <si>
    <t>Work-Integrated Learning NZ-WILNZ</t>
  </si>
  <si>
    <t>Hamilton</t>
  </si>
  <si>
    <t>Univ Waikato, Private Bag 3105, Hamilton, NEW ZEALAND</t>
  </si>
  <si>
    <t>2538-1032</t>
  </si>
  <si>
    <t>INT J WORK-INTEGR L</t>
  </si>
  <si>
    <t>Int. J. Work-Integr. L.</t>
  </si>
  <si>
    <t>FX1X6</t>
  </si>
  <si>
    <t>WOS:001149071100010</t>
  </si>
  <si>
    <t>Saifi, I; Bhat, BA; Hamdani, SS; Bhat, UY; Lobato-Tapia, CA; Mir, MA; Dar, TU; Ganie, SA</t>
  </si>
  <si>
    <t>Saifi, Ifra; Bhat, Basharat Ahmad; Hamdani, Syed Suhail; Bhat, Umar Yousuf; Lobato-Tapia, Carlos Alberto; Mir, Mushtaq Ahmad; Dar, Tanvir Ul Hasan; Ganie, Showkat Ahmad</t>
  </si>
  <si>
    <t>Artificial intelligence and cheminformatics tools: a contribution to the drug development and chemical science</t>
  </si>
  <si>
    <t>Drug discovery; artificial intelligence; cheminformatics; pharmacokinetics; molecular modeling and machine learning</t>
  </si>
  <si>
    <t>ANTIBACTERIAL ACTIVITY; SCORING FUNCTION; DOCKING; DISCOVERY; DATABASE; IDENTIFICATION; OPTIMIZATION; CONSENSUS; SOFTWARE; AUTODOCK</t>
  </si>
  <si>
    <t>In the ever-evolving field of drug discovery, the integration of Artificial Intelligence (AI) and Machine Learning (ML) with cheminformatics has proven to be a powerful combination. Cheminformatics, which combines the principles of computer science and chemistry, is used to extract chemical information and search compound databases, while the application of AI and ML allows for the identification of potential hit compounds, optimization of synthesis routes, and prediction of drug efficacy and toxicity. This collaborative approach has led to the discovery, preclinical evaluations and approval of over 70 drugs in recent years. To aid researchers in the pursuit of new drugs, this article presents a comprehensive list of databases, datasets, predictive and generative models, scoring functions and web platforms that have been launched between 2021 and 2022. These resources provide a wealth of information and tools for computer-assisted drug development, and are a valuable asset for those working in the field of cheminformatics. Overall, the integration of AI, ML and cheminformatics has greatly advanced the drug discovery process and continues to hold great potential for the future. As new resources and technologies become available, we can expect to see even more groundbreaking discoveries and advancements in these fields.Communicated by Ramaswamy H. Sarma</t>
  </si>
  <si>
    <t>[Saifi, Ifra] Chaudhary Charan Singh Univ, Meerut, Uttar Pradesh, India; [Bhat, Basharat Ahmad; Hamdani, Syed Suhail] Univ Kashmir, Sch Biol Sci, Dept Bioresources, Srinagar, J&amp;K, India; [Bhat, Umar Yousuf] Univ Kashmir, Sch Biol Sci, Dept Zool, Srinagar, J&amp;K, India; [Lobato-Tapia, Carlos Alberto] Univ Americas Puebla, Dept Ciencias Quim Biol, Cholula, Mexico; [Mir, Mushtaq Ahmad] King Khalid Univ, Coll Appl Med Sci, Dept Clin Lab Sci, Abha, Saudi Arabia; [Dar, Tanvir Ul Hasan] BGSB Univ, Sch Biosci &amp; Biotechnol, Dept Biotechnol, Rajouri, India; [Ganie, Showkat Ahmad] Univ Kashmir, Sch Biol Sci, Dept Clin Biochem, Srinagar, J&amp;K, India</t>
  </si>
  <si>
    <t>Chaudhary Charan Singh University; University of Kashmir; University of Kashmir; Universidad Americas Puebla (UDLAP); King Khalid University; University of Kashmir</t>
  </si>
  <si>
    <t>Saifi, I (corresponding author), Chaudhary Charan Singh Univ, Meerut, Uttar Pradesh, India.;Dar, TU (corresponding author), BGSB Univ, Sch Biosci &amp; Biotechnol, Dept Biotechnol, Rajouri, India.;Ganie, SA (corresponding author), Univ Kashmir, Sch Biol Sci, Dept Clin Biochem, Srinagar, J&amp;K, India.</t>
  </si>
  <si>
    <t>ifrasaifikifayat@gmail.com; tanvirulhasan@gmail.com; showkatganie@kashmiruniversity.ac.in</t>
  </si>
  <si>
    <t>Ganie, Showkat Ahmad/HFZ-7986-2022; Lobato Tapia, Carlos Alberto/AAS-4731-2020</t>
  </si>
  <si>
    <t>Ganie, Showkat Ahmad/0000-0003-0614-8260; Lobato Tapia, Carlos Alberto/0000-0002-2837-5563; Saifi, Ifra/0000-0002-4372-9833</t>
  </si>
  <si>
    <t>Deanship of Scientific Research, King Khalid University, Abha, Saudi Arabia [RGP.1/304/44]</t>
  </si>
  <si>
    <t>Deanship of Scientific Research, King Khalid University, Abha, Saudi Arabia</t>
  </si>
  <si>
    <t>The authors extend their appreciation to the Deanship of Scientific Research, King Khalid University, Abha, Saudi Arabia, for funding this work under Grant No. RGP.1/304/44</t>
  </si>
  <si>
    <t>2023 JUL 6</t>
  </si>
  <si>
    <t>10.1080/07391102.2023.2234039</t>
  </si>
  <si>
    <t>L6DR2</t>
  </si>
  <si>
    <t>WOS:001024154600001</t>
  </si>
  <si>
    <t>Tran, Q; Shpileuskaya, K; Zaunseder, E; Salg, J; Putzar, L; Blankenburg, S</t>
  </si>
  <si>
    <t>Quynh Tran; Shpileuskaya, Krystsina; Zaunseder, Elaine; Salg, Josef; Putzar, Larissa; Blankenburg, Sven</t>
  </si>
  <si>
    <t>Robustness Analysis uncovers Language Proficiency Bias in Emotion Recognition Systems</t>
  </si>
  <si>
    <t>Affective Computing; Emotion Recognition; Bias; Robustness; Artificial Intelligence; Generative AI; GPT-3</t>
  </si>
  <si>
    <t>ENGLISH</t>
  </si>
  <si>
    <t>Emotion recognition in conversations (ERC) has rapidly emerged as a vital instrument in enhancing human-computer interactions. However, concerns about the fairness and biases of these ERC systems persist and remain to be addressed by assessing their robustness. This study presents a methodology to analyze the robustness and bias of an ERC system by including complexities of user input with varying English language proficiency. We develop a novel, hybrid approach to create text perturbations by combining natural language generation techniques with rule-based constraints to simulate language proficiency levels. Specifically, we utilize the capabilities of GPT-3 to generate text modifications based on language proficiency characteristics introduced by the internationally recognized Common European Framework of Reference (CEFR). Based on the application of the widely-used COSMIC model, our robustness analysis discloses that the ERC system's performance decreased as language proficiency diminished. Hence, this study demonstrates the presence and implications of language proficiency bias in ERC systems, resulting in discriminatory consequences for non-native English speakers. Overall, our perturbation exhibits versatility for diverse analysis objectives. For instance, it allows investigating gender bias and examining unilateral linguistic bias involving native and non-native speakers. By making our implementation publicly accessible, we aim to foster the advancement of fair ERC systems.</t>
  </si>
  <si>
    <t>[Quynh Tran; Shpileuskaya, Krystsina; Blankenburg, Sven] PricewaterhouseCoopers GmbH, D-10117 Berlin, Germany; [Zaunseder, Elaine] Heidelberg Univ, D-69120 Heidelberg, Germany; [Putzar, Larissa] Hamburg Univ Appl Sci, D-22081 Hamburg, Germany; [Salg, Josef] PricewaterhouseCoopers GmbH, D-60327 Frankfurt, Germany</t>
  </si>
  <si>
    <t>Ruprecht Karls University Heidelberg; Hochschule Angewandte Wissenschaft Hamburg</t>
  </si>
  <si>
    <t>Tran, Q (corresponding author), PricewaterhouseCoopers GmbH, D-10117 Berlin, Germany.</t>
  </si>
  <si>
    <t>quynh.t.tran@pwc.com; krystsina.shpileuskaya@pwc.com; elaine.zaunseder@uni-heidelberg.de; josef.salg@pwc.com; larissa.putzar@haw-hamburg.de; sven.blankenburg@pwc.com</t>
  </si>
  <si>
    <t>10.1109/ACIIW59127.2023.10388123</t>
  </si>
  <si>
    <t>WOS:001161369900016</t>
  </si>
  <si>
    <t>Gursoy, D; Li, Y; Song, HK</t>
  </si>
  <si>
    <t>Gursoy, Dogan; Li, Yu; Song, Hakjun</t>
  </si>
  <si>
    <t>ChatGPT and the hospitality and tourism industry: an overview of current trends and future research directions</t>
  </si>
  <si>
    <t>JOURNAL OF HOSPITALITY MARKETING &amp; MANAGEMENT</t>
  </si>
  <si>
    <t>ChatGPT; customer behavior; service experience creation and delivery; benefits; challenges and threats; research agenda</t>
  </si>
  <si>
    <t>Since its launch, ChatGPT, an artificial intelligence chatbot developed by Open AI based on the premises of generative pre-trained transformer autoregressive language models, has gained widespread popularity and is making significant impact on society with its unique features, such as natural language processing and contextual awareness. ChatGPT is viewed as a major disruptive innovation that is likely to revolutionize the operations in many industries including the hospitality and tourism industry. The adoption of ChatGPT will result in substantial changes throughout the hospitality and tourism industry by disrupting how customer search for information, make decisions, and how businesses produce, create, and deliver customized services and experiences. This conceptual paper provides a comprehensive discussion on generative pre-trained transformers' (GPTs) benefits, and potential challenges and threats they pose to the hospitality and tourism industry. The feasibility of integrating GPT into different travel stages and decision-making processes is also discussed. The article concludes by proposing a potential future research agenda on using GPT in creating and delivering hospitality and tourism experiences, which can guide further advancements in the field.</t>
  </si>
  <si>
    <t>[Gursoy, Dogan] Washington State Univ, Carson Coll Business, Sch Hospitality Business Management, Pullman, WA USA; [Gursoy, Dogan] Univ Johannesburg, Sch Tourism &amp; Hospitality, Johannesburg, South Africa; [Li, Yu] Bohai Univ, Sch Tourism, Jinzhou, Peoples R China; [Song, Hakjun] Pai Chai Univ, Coll Tourism &amp; Fash, Daejeon, South Korea</t>
  </si>
  <si>
    <t>Washington State University; University of Johannesburg; Bohai University; Pai Chai University</t>
  </si>
  <si>
    <t>Song, HK (corresponding author), Pai Chai Univ, Coll Tourism &amp; Fash, Daejeon, South Korea.</t>
  </si>
  <si>
    <t>bloodia@pcu.ac.kr</t>
  </si>
  <si>
    <t>Gursoy, Dogan/A-3493-2008</t>
  </si>
  <si>
    <t>Gursoy, Dogan/0000-0002-3602-9433; Li, Yu/0000-0003-3967-876X</t>
  </si>
  <si>
    <t>2023 PaiChai University research grant</t>
  </si>
  <si>
    <t>This work was supported by 2023 PaiChai University research grant.</t>
  </si>
  <si>
    <t>1936-8623</t>
  </si>
  <si>
    <t>1936-8631</t>
  </si>
  <si>
    <t>J HOSP MARKET MANAG</t>
  </si>
  <si>
    <t>J. Hosp. Market. Manag.</t>
  </si>
  <si>
    <t>10.1080/19368623.2023.2211993</t>
  </si>
  <si>
    <t>Business; Hospitality, Leisure, Sport &amp; Tourism; Management</t>
  </si>
  <si>
    <t>Business &amp; Economics; Social Sciences - Other Topics</t>
  </si>
  <si>
    <t>I3LK8</t>
  </si>
  <si>
    <t>WOS:000986310900001</t>
  </si>
  <si>
    <t>Chung, PL; Boodoo, M; Doboli, S</t>
  </si>
  <si>
    <t>Chung, Paul; Boodoo, Michael; Doboli, Simona</t>
  </si>
  <si>
    <t>Case scenario generators for trauma surgery simulation utilizing autoregressive language models</t>
  </si>
  <si>
    <t>Language models; Medical simulation generation; Medical education; Trauma surgery</t>
  </si>
  <si>
    <t>Trauma is the leading cause of death in adults under the age of 45 and the fourth leading cause of death in the United States. Effective delivery of trauma care centers on being well versed in the Advanced Trauma Life Support (ATLS) protocol, which requires high levels of clinical experience. Often this comes from having been exposed to the many permutations of common types of injuries as well as exposed to rarer scenarios, but with potential harm to patients. Case scenarios, which are sequential representations of clinical events, can help trainees receive clinical exposure without harming patients. However authoring case scenarios requires domain expertise, wide experience, and the ability to intelligently respond to inputs, and as such is currently an arduous task. Autoregressive generative models trained on large amounts of clinical data, such as the National Trauma Data Bank (NTDB), pose a possible solution to overcome the cost of authorship while providing broad and accessible clinical experience to trainees. We have developed a Trauma AI model composed of an autoregressive generative model based on the transformer architecture for generating potential case scenario combined with an out-of-domain detection for filtering out less plausible scenarios. The GPT2 model is trained on 1.1 million case scenarios derived from the NTDB data. We demonstrate that Trauma AI is capable of generating realistic case scenarios that encode the ATLS protocol as a latent feature of the sequence of provider interventions, including scenarios that do not have any parallels in the original dataset. We also present an unsupervised means of filtering out unrealistic sequences by identifying out-of-domain sequences, and demonstrate that this improves the realism of the generated case scenarios.</t>
  </si>
  <si>
    <t>[Chung, Paul] Zucker Sch Med Hofstra Northwell, Dept Surg, Hempstead, NY 11549 USA; [Boodoo, Michael; Doboli, Simona] Hofstra Univ, Comp Sci Dept, Hempstead, NY 11549 USA</t>
  </si>
  <si>
    <t>Northwell Health; Hofstra University</t>
  </si>
  <si>
    <t>Chung, PL (corresponding author), Zucker Sch Med Hofstra Northwell, Dept Surg, Hempstead, NY 11549 USA.</t>
  </si>
  <si>
    <t>pchung2@northwell.edu</t>
  </si>
  <si>
    <t>Doboli, Simona/0000-0003-0158-4725</t>
  </si>
  <si>
    <t>National Board of Medical Examiners, USA Stemmler [1920-2805]</t>
  </si>
  <si>
    <t>National Board of Medical Examiners, USA Stemmler</t>
  </si>
  <si>
    <t>This research has been funded by the National Board of Medical Examiners, USA Stemmler Grant 1920-2805.</t>
  </si>
  <si>
    <t>10.1016/j.artmed.2023.102635</t>
  </si>
  <si>
    <t>T8MA4</t>
  </si>
  <si>
    <t>WOS:001080457200001</t>
  </si>
  <si>
    <t>Ci, H; Wu, MD; Zhu, WT; Ma, XX; Dong, H; Zhong, FW; Wang, YZ</t>
  </si>
  <si>
    <t>Ci, Hai; Wu, Mingdong; Zhu, Wentao; Ma, Xiaoxuan; Dong, Hao; Zhong, Fangwei; Wang, Yizhou</t>
  </si>
  <si>
    <t>GFPose: Learning 3D Human Pose Prior with Gradient Fields</t>
  </si>
  <si>
    <t>Learning 3D human pose prior is essential to human-centered AI. Here, we present GFPose, a versatile framework to model plausible 3D human poses for various applications. At the core of GFPose is a time-dependent score network, which estimates the gradient on each body joint and progressively denoises the perturbed 3D human pose to match a given task specification. During the denoising process, GFPose implicitly incorporates pose priors in gradients and unifies various discriminative and generative tasks in an elegant framework. Despite the simplicity, GFPose demonstrates great potential in several downstream tasks. Our experiments empirically show that 1) as a multi-hypothesis pose estimator, GFPose outperforms existing SOTAs by 20% on Human3.6M dataset. 2) as a single-hypothesis pose estimator, GFPose achieves comparable results to deterministic SOTAs, even with a vanilla backbone. 3) GFPose is able to produce diverse and realistic samples in pose denoising, completion and generation tasks.</t>
  </si>
  <si>
    <t>[Ci, Hai; Zhu, Wentao; Zhong, Fangwei] Natl Key Lab GAI, Beijing, Peoples R China; [Ci, Hai; Zhong, Fangwei] Beijing Inst GAI BIGAI, Beijing, Peoples R China; [Wu, Mingdong; Zhu, Wentao; Ma, Xiaoxuan; Dong, Hao; Wang, Yizhou] CFCS, Sch CS, Beijing, Peoples R China; [Zhong, Fangwei] Sch IST, Beijing, Peoples R China; [Wang, Yizhou] Peking Univ, Inst AI, Beijing, Peoples R China; [Wang, Yizhou] Natl Eng Res Ctr Visual Technol, Beijing, Peoples R China</t>
  </si>
  <si>
    <t>Peking University</t>
  </si>
  <si>
    <t>Zhong, FW (corresponding author), Natl Key Lab GAI, Beijing, Peoples R China.;Zhong, FW (corresponding author), Beijing Inst GAI BIGAI, Beijing, Peoples R China.;Zhong, FW (corresponding author), Sch IST, Beijing, Peoples R China.</t>
  </si>
  <si>
    <t>cihai@bigai.ai; wmingd@pku.edu.cn; wtzhu@pku.edu.cn; maxiaoxuan@pku.edu.cn; hao.dong@pku.edu.cn; zfw@pku.edu.cn; yizhou.wang@pku.edu.cn</t>
  </si>
  <si>
    <t>Zhong, Fangwei/ACZ-5479-2022</t>
  </si>
  <si>
    <t>Zhong, Fangwei/0000-0002-0428-4552</t>
  </si>
  <si>
    <t>[MOST-2022ZD0114900]; [NSFC-62061136001]; [BX2021008]</t>
  </si>
  <si>
    <t>This work was supported by MOST-2022ZD0114900, NSFC-62061136001 and BX2021008. We would like to thank Siyuan Huang for his valuable suggestions in the early stage of this work.</t>
  </si>
  <si>
    <t>10.1109/CVPR52729.2023.00465</t>
  </si>
  <si>
    <t>WOS:001058542605013</t>
  </si>
  <si>
    <t>Piller, E</t>
  </si>
  <si>
    <t>Piller, Erick</t>
  </si>
  <si>
    <t>The Ethics of (Non)disclosure: Large Language Models in Professional, Nonacademic Writing Contexts</t>
  </si>
  <si>
    <t>artificial intelligence; co-writing; ethics; large language models</t>
  </si>
  <si>
    <t>AGE</t>
  </si>
  <si>
    <t>This article explores the ethics of co -writing with large language models such as GPT-4 in professional, nonacademic writing contexts without disclosing the practice to stakeholders. It considers five ethical concepts through an analysis of a hypothetical scenario. Three of the concepts-transparency, data practices, and expanded circulation-originate in the work of Heidi McKee and James Porter. The other two, just price and risk imposition, have particular relevance for professional writers. The article ultimately proposes that these five concepts can serve as points of reference as we attempt to formulate and articulate ethical judgments about co -writing with generative AI in specific, contextually grounded instances.</t>
  </si>
  <si>
    <t>[Piller, Erick] Nicholls State Univ, 906 E 1st St, Thibodaux, LA 70301 USA</t>
  </si>
  <si>
    <t>University of Louisiana System; Nicholls State University</t>
  </si>
  <si>
    <t>Piller, E (corresponding author), Nicholls State Univ, 906 E 1st St, Thibodaux, LA 70301 USA.</t>
  </si>
  <si>
    <t>10.21659/rupkatha.v15n4.02</t>
  </si>
  <si>
    <t>WOS:001158277600006</t>
  </si>
  <si>
    <t>Baykal, AC; Anees, AB; Ceylan, D; Erdem, E; Erdem, A; Yuret, D</t>
  </si>
  <si>
    <t>Baykal, Ahmet Canberk; Anees, Abdul Basit; Ceylan, Duygu; Erdem, Erkut; Erdem, Aykut; Yuret, Deniz</t>
  </si>
  <si>
    <t>CLIP-guided StyleGAN Inversion for Text-driven Real Image Editing</t>
  </si>
  <si>
    <t>Generative adversarial networks; image-to-image translation; image editing</t>
  </si>
  <si>
    <t>Researchers have recently begun exploring the use of StyleGAN-based models for real image editing. One particularly interesting application is using natural language descriptions to guide the editing process. Existing approaches for editing images using language either resort to instance-level latent code optimization or map predefined text prompts to some editing directions in the latent space. However, these approaches have inherent limitations. The former is not very efficient, while the latter often struggles to effectively handle multi-attribute changes. To address these weaknesses, we present CLIPInverter, a new text-driven image editing approach that is able to efficiently and reliably perform multi-attribute changes. The core of our method is the use of novel, lightweight text-conditioned adapter layers integrated into pretrained GAN-inversion networks. We demonstrate that by conditioning the initial inversion step on the Contrastive Language-Image Pre-training (CLIP) embedding of the target description, we are able to obtain more successful edit directions. Additionally, we use a CLIP-guided refinement step to make corrections in the resulting residual latent codes, which further improves the alignment with the text prompt. Our method outperforms competing approaches in terms of manipulation accuracy and photo-realism on various domains including human faces, cats, and birds, as shown by our qualitative and quantitative results.</t>
  </si>
  <si>
    <t>[Baykal, Ahmet Canberk; Anees, Abdul Basit; Erdem, Aykut; Yuret, Deniz] Koc Univ, Istanbul, Turkiye; [Ceylan, Duygu] Adobe Res, London, England; [Erdem, Erkut] Hacettepe Univ, Ankara, Turkiye</t>
  </si>
  <si>
    <t>Koc University; Hacettepe University</t>
  </si>
  <si>
    <t>Baykal, AC (corresponding author), Koc Univ, Istanbul, Turkiye.</t>
  </si>
  <si>
    <t>abaykal20@ku.edu.tr; aanees20@ku.edu.tr; duygu.ceylan@gmail.com; erkut@cs.hacettepe.edu.tr; aerdem@ku.edu.tr; dyuret@ku.edu.tr</t>
  </si>
  <si>
    <t>AI Fellowships; KUIS AI Center; BAGEP 2021 Award of the Science Academy</t>
  </si>
  <si>
    <t>This work has been partially supported by AI Fellowships to A. C. Baykal and A. Basit Anees provided by the KUIS AI Center, by BAGEP 2021 Award of the Science Academy to A. Erdem, and by an Adobe research gift.</t>
  </si>
  <si>
    <t>10.1145/3610287</t>
  </si>
  <si>
    <t>U7VA7</t>
  </si>
  <si>
    <t>WOS:001086833300011</t>
  </si>
  <si>
    <t>Iwano, S; Kamiya, S; Ito, R; Kudo, A; Kitamura, Y; Nakamura, K; Naganawa, S</t>
  </si>
  <si>
    <t>Iwano, Shingo; Kamiya, Shinichiro; Ito, Rintaro; Kudo, Akira; Kitamura, Yoshiro; Nakamura, Keigo; Naganawa, Shinji</t>
  </si>
  <si>
    <t>Measurement of solid size in early-stage lung adenocarcinoma by virtual 3D thin-section CT applied artificial intelligence</t>
  </si>
  <si>
    <t>8TH EDITION; PATHOLOGICAL FINDINGS; COMPUTED-TOMOGRAPHY; TNM CLASSIFICATION; CANCER; RECONSTRUCTION; TUMOR</t>
  </si>
  <si>
    <t>An artificial intelligence (AI) system that reconstructs virtual 3D thin-section CT (TSCT) images from conventional CT images by applying deep learning was developed. The aim of this study was to investigate whether virtual and real TSCT could measure the solid size of early-stage lung adenocarcinoma. The pair of original thin-CT and simulated thick-CT from the training data with TSCT images (thickness, 0.5-1.0 mm) of 2700 pulmonary nodules were used to train the thin-CT generator in the generative adversarial network (GAN) framework and develop a virtual TSCT AI system. For validation, CT images of 93 stage 0-I lung adenocarcinomas were collected, and virtual TSCTs were reconstructed from conventional 5-mm thick-CT images using the AI system. Two radiologists measured and compared the solid size of tumors on conventional CT and virtual and real TSCT. The agreement between the two observers showed an almost perfect agreement on the virtual TSCT for solid size measurements (intraclass correlation coefficient=0.967, P&lt;0.001, respectively). The virtual TSCT had a significantly stronger correlation than that of conventional CT (P=0.003 and P=0.001, respectively). The degree of agreement between the clinical T stage determined by virtual TSCT and the clinical T stage determined by real TSCT was excellent in both observers (k=0.882 and k=0.881, respectively). The AI system developed in this study was able to measure the solid size of early-stage lung adenocarcinoma on virtual TSCT as well as on real TSCT.</t>
  </si>
  <si>
    <t>[Iwano, Shingo; Kamiya, Shinichiro; Ito, Rintaro; Naganawa, Shinji] Nagoya Univ, Dept Radiol, Sch Med, Showa Ku, 65 Tsurumai Cho, Nagoya, Aichi 4668550, Japan; [Kudo, Akira; Kitamura, Yoshiro; Nakamura, Keigo] Fujifilm Corp, Imaging Technol Ctr, Minato Ku, 2-26-30 Nishiazabu, Tokyo 1068620, Japan</t>
  </si>
  <si>
    <t>Nagoya University; Fujifilm Corporation</t>
  </si>
  <si>
    <t>Iwano, S (corresponding author), Nagoya Univ, Dept Radiol, Sch Med, Showa Ku, 65 Tsurumai Cho, Nagoya, Aichi 4668550, Japan.</t>
  </si>
  <si>
    <t>iwano45@med.nagoya-u.ac.jp</t>
  </si>
  <si>
    <t>Iwano, Shingo/I-7355-2014</t>
  </si>
  <si>
    <t>Iwano, Shingo/0000-0002-3256-0390</t>
  </si>
  <si>
    <t>Fujifilm Corporation [2609De-05c]</t>
  </si>
  <si>
    <t>Fujifilm Corporation</t>
  </si>
  <si>
    <t>This study was funded by a research collaboration with Fujifilm Corporation (No. 2609De-05c).</t>
  </si>
  <si>
    <t>10.1038/s41598-023-48755-5</t>
  </si>
  <si>
    <t>EN8C2</t>
  </si>
  <si>
    <t>WOS:001139686600062</t>
  </si>
  <si>
    <t>Kim, H; Lee, K; Kim, C; Lim, J; Kim, WY</t>
  </si>
  <si>
    <t>Kim, Hyeongwoo; Lee, Kyunghoon; Kim, Chansu; Lim, Jaechang; Kim, Woo Youn</t>
  </si>
  <si>
    <t>DFRscore: Deep Learning-Based Scoring of Synthetic Complexity with Drug-Focused Retrosynthetic Analysis for High-Throughput Virtual Screening</t>
  </si>
  <si>
    <t>MOLECULAR DESIGN; COMPUTER; DATABASE; ACCESSIBILITY; DISCOVERY</t>
  </si>
  <si>
    <t>Recently emerging generative AI models enable us to produce a vast number of compounds for potential applications. While they can provide novel molecular structures, the synthetic feasibility of the generated molecules is often questioned. To address this issue, a few recent studies have attempted to use deep learning models to estimate the synthetic accessibility of many molecules rapidly. However, retrosynthetic analysis tools used to train the models rely on reaction templates automatically extracted from a large reaction database that are not domain-specific and may exhibit low chemical correctness. To overcome this limitation, we introduce DFRscore (Drug-Focused Retrosynthetic score), a deep learning-based approach for a more practical assessment of synthetic accessibility in drug discovery. The DFRscore model is trained exclusively on drug-focused reactions, providing a predicted number of minimally required synthetic steps for each compound. This approach enables practitioners to filter out compounds that do not meet their desired level of synthetic accessibility at an early stage of high-throughput virtual screening for accelerated drug discovery. The proposed strategy can be easily adapted to other domains by adjusting the synthesis planning setup of the reaction templates and starting materials.</t>
  </si>
  <si>
    <t>[Kim, Hyeongwoo; Lee, Kyunghoon; Kim, Chansu; Kim, Woo Youn] Korea Adv Inst Sci &amp; Technol, Dept Chem, Daejeon 34141, South Korea; [Lim, Jaechang; Kim, Woo Youn] HITS Inc, Seoul 06234, South Korea; [Kim, Woo Youn] Korea Adv Inst Sci &amp; Technol, AI Inst, Daejeon 34141, South Korea</t>
  </si>
  <si>
    <t>Kim, WY (corresponding author), Korea Adv Inst Sci &amp; Technol, Dept Chem, Daejeon 34141, South Korea.;Kim, WY (corresponding author), HITS Inc, Seoul 06234, South Korea.;Kim, WY (corresponding author), Korea Adv Inst Sci &amp; Technol, AI Inst, Daejeon 34141, South Korea.</t>
  </si>
  <si>
    <t>wooyoun@kaist.ac.kr</t>
  </si>
  <si>
    <t>; Kim, Woo Youn/C-1846-2011</t>
  </si>
  <si>
    <t>Kim, Hyeongwoo/0009-0002-0376-8616; Kim, Woo Youn/0000-0001-7152-2111</t>
  </si>
  <si>
    <t>National Research Foundationof Korea (NRF) - Korean government (MSIT) [2023R1A2C2004376, NRF-2018R1A5A1025208]</t>
  </si>
  <si>
    <t>National Research Foundationof Korea (NRF) - Korean government (MSIT)(National Research Foundation of KoreaMinistry of Science &amp; ICT (MSIT), Republic of Korea)</t>
  </si>
  <si>
    <t>This workwas supported by a National Research Foundationof Korea (NRF) grant funded by the Korean government (MSIT) (NRF-2023R1A2C2004376,NRF-2018R1A5A1025208).</t>
  </si>
  <si>
    <t>2023 AUG 31</t>
  </si>
  <si>
    <t>10.1021/acs.jcim.3c01134</t>
  </si>
  <si>
    <t>R0SN8</t>
  </si>
  <si>
    <t>WOS:001061528600001</t>
  </si>
  <si>
    <t>Li, MY; Lin, J; Meng, CL; Ermon, S; Han, S; Zhu, JY</t>
  </si>
  <si>
    <t>Li, Muyang; Lin, Ji; Meng, Chenlin; Ermon, Stefano; Han, Song; Zhu, Jun-Yan</t>
  </si>
  <si>
    <t>Efficient Spatially Sparse Inference for Conditional GANs and Diffusion Models</t>
  </si>
  <si>
    <t>Diffusion models; GAN; sparse; image editing; efficiency</t>
  </si>
  <si>
    <t>During image editing, existing deep generative models tend to re-synthesize the entire output from scratch, including the unedited regions. This leads to a significant waste of computation, especially for minor editing operations. In this work, we present Spatially Sparse Inference (SSI), a general-purpose technique that selectively performs computation for edited regions and accelerates various generative models, including both conditional GANs and diffusion models. Our key observation is that users prone to gradually edit the input image. This motivates us to cache and reuse the feature maps of the original image. Given an edited image, we sparsely apply the convolutional filters to the edited regions while reusing the cached features for the unedited areas. Based on our algorithm, we further propose Sparse Incremental Generative Engine (SIGE) to convert the computation reduction to latency reduction on off-the-shelf hardware. With about 1%-area edits, SIGE acceleratesDDPMby 3.0xon NVIDIARTX3090 and 4.6x on Apple M1 Pro GPU, Stable Diffusion by 7.2x on 3090, and GauGAN by 5.6x on 3090 and 5.2x on M1 Pro GPU. Compared to our conference paper, we enhance SIGE to accommodate attention layers and apply it to Stable Diffusion. Additionally, we offer support for Apple M1 Pro GPU and include more results to substantiate the efficacy of our method.</t>
  </si>
  <si>
    <t>[Li, Muyang; Lin, Ji; Han, Song] MIT, Cambridge, MA 02139 USA; [Meng, Chenlin; Ermon, Stefano] Stanford Univ, Stanford, CA 94305 USA; [Zhu, Jun-Yan] Carnegie Mellon Univ, Pittsburgh, PA 15213 USA</t>
  </si>
  <si>
    <t>Massachusetts Institute of Technology (MIT); Stanford University; Carnegie Mellon University</t>
  </si>
  <si>
    <t>Li, MY (corresponding author), MIT, Cambridge, MA 02139 USA.</t>
  </si>
  <si>
    <t>muyangli@mit.edu; jilin@mit.edu; chenlin@stanford.edu; ermon@cs.stanford.edu; songhan@mit.edu; junyanz@cs.cmu.edu</t>
  </si>
  <si>
    <t>Li, Muyang/0000-0002-8007-7387; Lin, Ji/0000-0001-6053-4344; Han, Song/0000-0002-4186-7618</t>
  </si>
  <si>
    <t>NSF; MIT-IBMWatson AI Lab; Kwai Inc.; Sony Corporation</t>
  </si>
  <si>
    <t>NSF(National Science Foundation (NSF)); MIT-IBMWatson AI Lab(International Business Machines (IBM)); Kwai Inc.; Sony Corporation</t>
  </si>
  <si>
    <t>This work was supported by NSF, MIT-IBMWatson AI Lab, Kwai Inc., and Sony Corporation.</t>
  </si>
  <si>
    <t>10.1109/TPAMI.2023.3316020</t>
  </si>
  <si>
    <t>WOS:001104973300026</t>
  </si>
  <si>
    <t>de Araujo, PF; Naili, M; Kaddoum, G; Fapi, ET; Zhu, ZW</t>
  </si>
  <si>
    <t>de Araujo-Filho, Paulo Freitas; Naili, Mohamed; Kaddoum, Georges; Fapi, Emmanuel Thepie; Zhu, Zhongwen</t>
  </si>
  <si>
    <t>Unsupervised GAN-Based Intrusion Detection System Using Temporal Convolutional Networks and Self-Attention</t>
  </si>
  <si>
    <t>Generative adversarial networks; Cyberattack; Computer architecture; Internet of Things; Security; Internet; Anomaly detection; Intrusion detection system (IDS); Internet of Things (IoT); machine learning; generative adversarial network (GAN); temporal convolutional network (TCN); self-attention</t>
  </si>
  <si>
    <t>LEARNING APPROACH; ATTACK DETECTION; KAFKA-ML</t>
  </si>
  <si>
    <t>Fifth-generation (5G) networks provide connectivity to a massive number of devices and boost a plethora of applications in several different domains. However, the large adoption of connected devices increases attack surfaces and introduces several security threats that can severely damage physical objects and risk people's lives. Despite existing intrusion detection systems (IDSs), there are still several challenges to be addressed in the detection of cyber-attacks. For instance, while unsupervised IDSs are required to detect zero-day attacks, they usually present high false positive rates. Moreover, most existing IDSs rely on long short-term memory (LSTM) networks to consider time-dependencies among data. However, LSTM networks have recently been shown to present several drawbacks and limitations, which put into question their performance on sequence modeling tasks. Thus, in this paper, we investigate generative adversarial networks (GANs), a promising unsupervised approach to detecting attacks by implicitly modeling systems, and alternatives to LSTM networks to consider temporal dependencies among data. We propose a novel unsupervised GAN-based IDS that uses temporal convolutional networks (TCNs) and self-attention to detect cyber-attacks. The proposed IDS leverages edge computing and is proposed for edge servers, which bring computation resources closer to end nodes. Experiment results show that our proposed IDS can be configured to satisfy different detection rate and detection time requirements. Moreover, they show that our IDS is more accurate and at least 3.8 times faster than two state-of-the-art GAN-based IDSs that are used as baselines.</t>
  </si>
  <si>
    <t>[de Araujo-Filho, Paulo Freitas] Univ Fed Pernambuco, Ctr Informat, BR-50670901 Recife, Brazil; [de Araujo-Filho, Paulo Freitas; Kaddoum, Georges] Univ Quebec, Ecole Technol Super, Elect Engn Dept, Montreal, PQ H3C 1K3, Canada; [Naili, Mohamed; Fapi, Emmanuel Thepie; Zhu, Zhongwen] Ericsson GAIA Montreal, AI HUB Canada, Montreal, PQ H4S 0B6, Canada; [Kaddoum, Georges] Lebanese Amer Univ, Cyber Secur Syst, Beirut, Lebanon; [Kaddoum, Georges] Lebanese Amer Univ, Appl AI Res Ctr, Beirut, Lebanon</t>
  </si>
  <si>
    <t>Universidade Federal de Pernambuco; University of Quebec; Ecole de Technologie Superieure - Canada; University of Quebec Montreal; Lebanese American University; Lebanese American University</t>
  </si>
  <si>
    <t>de Araujo, PF (corresponding author), Univ Fed Pernambuco, Ctr Informat, BR-50670901 Recife, Brazil.;de Araujo, PF (corresponding author), Univ Quebec, Ecole Technol Super, Elect Engn Dept, Montreal, PQ H3C 1K3, Canada.</t>
  </si>
  <si>
    <t>freitas-de-araujo-filho.1@ens.etsmtl.ca; mohamed.naili@ericsson.com; georges.kaddoum@etsmtl.ca; emmanuel.thepie.fapi@ericsson.com; zhongwen.zhu@ericsson.com</t>
  </si>
  <si>
    <t>Freitas de Araujo Filho, Paulo/0000-0002-1178-2648</t>
  </si>
  <si>
    <t>Mitacs through the Mitacs Accelerate Program</t>
  </si>
  <si>
    <t>10.1109/TNSM.2023.3260039</t>
  </si>
  <si>
    <t>CW0K2</t>
  </si>
  <si>
    <t>WOS:001128152200043</t>
  </si>
  <si>
    <t>Kozachek, D</t>
  </si>
  <si>
    <t>Kozachek, Diana</t>
  </si>
  <si>
    <t>Investigating the Perception of the Future in GPT-3,-3.5 and GPT-4</t>
  </si>
  <si>
    <t>Generative Pretrained Transformers; Natural Language Processing; Futurology; Scenario Planning</t>
  </si>
  <si>
    <t>This study explores the potential of GPT-3, GPT-3.5, and GPT-4, in generating human-like future scenarios to investigate each model's ability to perceive time. The methodology combines a coding-based experiment and an expert survey. The investigation involves fine- and prompt-tuning GPT-3, prompt-tuning GPT-3.5, and few-shot prompting GPT-4 with human-made future scenarios. The models and output are quantitatively and qualitatively analyzed. The survey invited practitioners from fields of foresight and futurology, AI, and NLP to assess whether differences in output can be identified. This study's findings suggest that GPT-3 and GPT-4 generated scenarios are difficult to distinguish from human-made ones, while GPT-3.5 performed more poorly. Yet none of the models can differentiate time horizons and their respective effects on the future from each other. And while no one knows the shape of things to come, this lack of understanding of a core concept of life invites future investigations.</t>
  </si>
  <si>
    <t>[Kozachek, Diana] Free Univ Berlin, Inst Futur, Berlin, Germany</t>
  </si>
  <si>
    <t>Free University of Berlin</t>
  </si>
  <si>
    <t>Kozachek, D (corresponding author), Free Univ Berlin, Inst Futur, Berlin, Germany.</t>
  </si>
  <si>
    <t>kozachekdiana@gmail.com</t>
  </si>
  <si>
    <t>10.1145/3591196.3596827</t>
  </si>
  <si>
    <t>WOS:001119074200037</t>
  </si>
  <si>
    <t>Wu, WQ; Mao, AH; Yan, WW; Liu, Q</t>
  </si>
  <si>
    <t>Wu, Wanqing; Mao, Aihua; Yan, Wenwei; Liu, Qing</t>
  </si>
  <si>
    <t>UFS-Net: Unsupervised Network For Fashion Style Editing And Generation</t>
  </si>
  <si>
    <t>Fashion design; attribute editing; image synthesis; Generative adversarial networks</t>
  </si>
  <si>
    <t>AI-aided fashion design has attracted growing interest because it eliminates tedious manual operations. However, existing methods are costly because they require abundant labeled data or paired images for training. In addition, they have low flexibility in attribute editing. To overcome these limitations, we propose UFS-Net, a new unsupervised network for fashion style editing and generation. Specifically, we initially design a coarse-to-fine embedding process to embed the user-defined sketch and the real clothing into the latent space of StyleGAN. Subsequently, we propose a feature fusion scheme to generate clothing with attributes provided by the sketch. In this way, our network requires neither labels nor sketches during the training but can perform flexible attribute editing and conditional generation. Extensive experiments reveal that our method significantly outperforms state-of-the-art approaches. In addition, we introduce a new dataset, Fashion-Top, to address the limitations in the existing fashion datasets.</t>
  </si>
  <si>
    <t>[Wu, Wanqing; Mao, Aihua; Yan, Wenwei; Liu, Qing] South China Univ Technol, Sch Comp Sci Engn, Guangzhou, Peoples R China</t>
  </si>
  <si>
    <t>South China University of Technology</t>
  </si>
  <si>
    <t>Mao, AH (corresponding author), South China Univ Technol, Sch Comp Sci Engn, Guangzhou, Peoples R China.</t>
  </si>
  <si>
    <t>csaimeelina@scut.edu.cn; ahmao@scut.edu.cn; cs_yww@scut.edu.cn; 202021045838@scut.edu.cn</t>
  </si>
  <si>
    <t>NSF of Guangdong Province [2022A1515011573]</t>
  </si>
  <si>
    <t>NSF of Guangdong Province(National Natural Science Foundation of Guangdong Province)</t>
  </si>
  <si>
    <t>This work was supported by the NSF of Guangdong Province under 2022A1515011573.</t>
  </si>
  <si>
    <t>10.1109/ICME55011.2023.00360</t>
  </si>
  <si>
    <t>WOS:001062707300342</t>
  </si>
  <si>
    <t>Rajcic, N; McCormack, J</t>
  </si>
  <si>
    <t>Rajcic, Nina; McCormack, Jon</t>
  </si>
  <si>
    <t>Message Ritual: A Posthuman Account of Living with Lamp</t>
  </si>
  <si>
    <t>Augmented memory; posthumanism; narrative; poetry; generative networks; diffractive analysis</t>
  </si>
  <si>
    <t>MEMORY</t>
  </si>
  <si>
    <t>As we become increasingly entangled with digital technologies, the boundary between human and machine is progressively blurring. Adopting a performative, posthumanist perspective resolves this ambiguity by proposing that such boundaries are not predetermined, rather they are enacted within a certain material configuration. Using this approach, dubbed 'Entanglement HCI', this paper presents Message Ritual - a novel, integrated AI system that encourages the re-framing of memory through machine generated poetics. Embodied within a domestic table lamp, the system listens in on conversations occurring within the home, drawing out key topics and phrases of the day and reconstituting them through machine generated poetry, delivered to household members via SMS upon waking each morning. Participants across four households were asked to live with the lamp over a two week period. We present a diffractive analysis exploring how the lamp becomes with participants and discuss the implications of this method for future HCI research.</t>
  </si>
  <si>
    <t>[Rajcic, Nina; McCormack, Jon] Monash Univ, SensiLab, Caulfield, Vic, Australia</t>
  </si>
  <si>
    <t>Rajcic, N (corresponding author), Monash Univ, SensiLab, Caulfield, Vic, Australia.</t>
  </si>
  <si>
    <t>Nina.Rajcic@monash.edu; Jon.McCormack@monash.edu</t>
  </si>
  <si>
    <t>Australian Research Council [FT170100033, DP220101223]; Australian Research Council [FT170100033] Funding Source: Australian Research Council</t>
  </si>
  <si>
    <t>This research was supported by Australian Research Council Grants FT170100033 and DP220101223.</t>
  </si>
  <si>
    <t>10.1145/3544548.3581363</t>
  </si>
  <si>
    <t>WOS:001048393804011</t>
  </si>
  <si>
    <t>Li, D; Zhang, YF; Yang, Z; Jin, YH; Xu, YY</t>
  </si>
  <si>
    <t>Li, Ding; Zhang, Yufei; Yang, Zheng; Jin, Yaohui; Xu, Yanyan</t>
  </si>
  <si>
    <t>Sensing anomaly of photovoltaic systems with sequential conditional variational autoencoder</t>
  </si>
  <si>
    <t>APPLIED ENERGY</t>
  </si>
  <si>
    <t>Anomaly detection; Anomaly diagnosis; Photovoltaic (PV) system; Time series; Deep generative model; Conditional variational auto-encoder</t>
  </si>
  <si>
    <t>The market for urban distributed photovoltaics (DPV) is expected to take off in the next decade. However, these systems are often subject to complex urban contexts and sub-optimal conditions, requiring scalable and comprehensive solutions to detect their underperformances. In recent years, deep generative models (DGMs) have exhibited outstanding performance in the anomaly detection domain, dealing with generic high-dimensional time series data. Nevertheless, the existing applications of DGMs in the photovoltaic (PV) sector are still unable to account for environmental information, limiting their performance under various environmental conditions. This study proposes the Sequential Conditional Variational Autoencoder (SCVAE), which can cope with the sequential impacts of the environment on PV power generation. Using real-world data collected from 30 rooftop PV sites located across China, a data processing pipeline is developed to construct the training datasets which contain mostly normal samples for unsupervised SCVAE model training. This work also constructs a synthetic dataset with a wide variety of artificial anomalies in reference to the domain insights and engineering practice of DPV systems. After checking and refining by experts, the synthetic dataset can finally be used to validate the anomaly detection models. The results demonstrate that the SCVAE model outperforms existing state-of-the-art unsupervised anomaly detection models and can be effectively generalized to unseen PV sites. Moreover, the latent variables of SCVAE could be used to identify the type of DPV failure, thereby enabling more targeted diagnostics of anomaly mechanisms.</t>
  </si>
  <si>
    <t>[Li, Ding; Jin, Yaohui; Xu, Yanyan] Shanghai Jiao Tong Univ, AI Inst, MoE Key Lab Artificial Intelligence, Shanghai 200240, Peoples R China; [Li, Ding; Jin, Yaohui; Xu, Yanyan] Shanghai Jiao Tong Univ, Data Driven Management Decis Making Lab, Shanghai 200240, Peoples R China; [Zhang, Yufei; Yang, Zheng] ENGIE, 4 Rue Josephine Baker, F-93240 Stains, France</t>
  </si>
  <si>
    <t>Shanghai Jiao Tong University; Shanghai Jiao Tong University</t>
  </si>
  <si>
    <t>Xu, YY (corresponding author), Shanghai Jiao Tong Univ, AI Inst, MoE Key Lab Artificial Intelligence, Shanghai 200240, Peoples R China.;Xu, YY (corresponding author), Shanghai Jiao Tong Univ, Data Driven Management Decis Making Lab, Shanghai 200240, Peoples R China.</t>
  </si>
  <si>
    <t>yanyanxu@sjtu.edu.cn</t>
  </si>
  <si>
    <t>Jin, Yaohui/0000-0001-6158-6277</t>
  </si>
  <si>
    <t>National Natural Science Foundation of China [62102258]; Shanghai Municipal Science and Technology Major Project, China [2021SHZDZX0102]; Shanghai Pujiang Program, China [21PJ1407300]; Fundamental Research Funds for the Central Universities, China</t>
  </si>
  <si>
    <t>National Natural Science Foundation of China(National Natural Science Foundation of China (NSFC)); Shanghai Municipal Science and Technology Major Project, China; Shanghai Pujiang Program, China(Shanghai Pujiang Program); Fundamental Research Funds for the Central Universities, China(Fundamental Research Funds for the Central Universities)</t>
  </si>
  <si>
    <t>This work was jointly supported by the National Natural Science Foundation of China (62102258), the Shanghai Municipal Science and Technology Major Project, China (2021SHZDZX0102), Shanghai Pujiang Program, China (21PJ1407300), and the Fundamental Research Funds for the Central Universities, China.</t>
  </si>
  <si>
    <t>0306-2619</t>
  </si>
  <si>
    <t>1872-9118</t>
  </si>
  <si>
    <t>APPL ENERG</t>
  </si>
  <si>
    <t>Appl. Energy</t>
  </si>
  <si>
    <t>JAN 1</t>
  </si>
  <si>
    <t>10.1016/j.apenergy.2023.122124</t>
  </si>
  <si>
    <t>Energy &amp; Fuels; Engineering, Chemical</t>
  </si>
  <si>
    <t>Energy &amp; Fuels; Engineering</t>
  </si>
  <si>
    <t>W6DX0</t>
  </si>
  <si>
    <t>WOS:001092522000001</t>
  </si>
  <si>
    <t>Lin, CT; Kew, JL; Chan, CS; Lai, SH; Zach, C</t>
  </si>
  <si>
    <t>Lin, Che-Tsung; Kew, Jie-Long; Chan, Chee Seng; Lai, Shang -Hong; Zach, Christopher</t>
  </si>
  <si>
    <t>Cycle-object consistency for image-to-image domain adaptation</t>
  </si>
  <si>
    <t>Generative adversarial networks; Instance -aware image -translation; Domain adaptation; Cross -domain object detection</t>
  </si>
  <si>
    <t>Recent advances in generative adversarial networks (GANs) have been proven effective in performing do-main adaptation for object detectors through data augmentation. While GANs are exceptionally success-ful, those methods that can preserve objects well in the image-to-image translation task usually require an auxiliary task, such as semantic segmentation to prevent the image content from being too distorted. However, pixel-level annotations are difficult to obtain in practice. Alternatively, instance-aware image -translation model treats object instances and background separately. Yet, it requires object detectors at test time, assuming that off-the-shelf detectors work well in both domains. In this work, we present AugGAN-Det, which introduces Cycle-object Consistency (CoCo) loss to generate instance-aware trans-lated images across complex domains. The object detector of the target domain is directly leveraged in generator training and guides the preserved objects in the translated images to carry target-domain ap-pearances. Compared to previous models, which e.g., require pixel-level semantic segmentation to force the latent distribution to be object-preserving, this work only needs bounding box annotations which are significantly easier to acquire. Next, as to the instance-aware GAN models, our model, AugGAN-Det, inter-nalizes global and object style-transfer without explicitly aligning the instance features. Most importantly, a detector is not required at test time. Experimental results demonstrate that our model outperforms re-cent object-preserving and instance-level models and achieves state-of-the-art detection accuracy and visual perceptual quality.(c) 2023 Elsevier Ltd. All rights reserved.</t>
  </si>
  <si>
    <t>[Lin, Che-Tsung; Zach, Christopher] Chalmers Univ Technol, Dept Elect Engn, Gothenburg, Sweden; [Kew, Jie-Long; Chan, Chee Seng] Univ Malaya, Fac Comp Sci &amp; Info Tech, CISiP, Kuala Lumpur, Malaysia; [Lai, Shang -Hong] Microsoft AI R&amp;D Ctr, Taipei, Taiwan; [Lai, Shang -Hong] Natl Tsing Hua Univ, Dept Comp Sci, Hsinchu, Taiwan</t>
  </si>
  <si>
    <t>Chalmers University of Technology; Universiti Malaya; National Tsing Hua University</t>
  </si>
  <si>
    <t>Chan, CS (corresponding author), Univ Malaya, Fac Comp Sci &amp; Info Tech, CISiP, Kuala Lumpur, Malaysia.</t>
  </si>
  <si>
    <t>cs.chan@um.edu.my; shlai@microsoft.com</t>
  </si>
  <si>
    <t>Chan, Chee Seng/B-9754-2011</t>
  </si>
  <si>
    <t>Chan, Chee Seng/0000-0001-7677-2865; Zach, Christopher/0000-0003-2840-6187; Jie Long, Kew/0000-0003-0340-4839</t>
  </si>
  <si>
    <t>10.1016/j.patcog.2023.109416</t>
  </si>
  <si>
    <t>9M7WI</t>
  </si>
  <si>
    <t>WOS:000942434700001</t>
  </si>
  <si>
    <t>Sievert, M; Conrad, O; Mueller, SK; Rupp, R; Balk, M; Richter, D; Mantsopoulos, K; Iro, H; Koch, M</t>
  </si>
  <si>
    <t>Sievert, Matti; Conrad, Olaf; Mueller, Sarina Katrin; Rupp, Robin; Balk, Matthias; Richter, Daniel; Mantsopoulos, Konstantinos; Iro, Heinrich; Koch, Michael</t>
  </si>
  <si>
    <t>Risk stratification of thyroid nodules: Assessing the suitability of ChatGPT for text-based analysis</t>
  </si>
  <si>
    <t>AMERICAN JOURNAL OF OTOLARYNGOLOGY</t>
  </si>
  <si>
    <t>Thyroid nodules; Risk stratification; ChatGPT; AI; Ultrasound</t>
  </si>
  <si>
    <t>Purpose: Accurate risk stratification of thyroid nodules is essential for optimal patient management. This study aimed to assess the suitability of ChatGPT for risk stratification of thyroid nodules using a text-based evaluation. Methods: A dataset was compiled comprising 50 anonymized clinical reports and associated risk assessments for thyroid nodules. The Chat Generative Pre-trained Transformer (ChatGPT) was used to classify sonographic patterns in accordance with the Thyroid Imaging Reporting and Data System (TI-RADS). The model's performance was assessed using various criteria, including sensitivity, specificity, and accuracy. A comparative analysis was conducted, evaluating the model against investigator-based risk stratification as well as histology. Results: With an overall agreement rate of 42 % in comparison with examiner-based evaluation (TI-RADS 1-5), the results show that ChatGPT has moderate potential for predicting the risk of malignancy in thyroid nodules using text-based reports. The chatbot model achieved a sensitivity of 86.7 %, a specificity of 10.7 %, and an overall accuracy of 68 % when distinguishing between low-risk (TI-RADS 2 and 3) and high-risk (TI-RADS 4 and 5) categories. Interrater reliability was calculated with a Cohen's kappa of 0.686. Conclusion: This study highlights the potential of ChatGPT in assisting clinicians with risk stratification of thyroid nodules. The results suggest that ChatGPT can facilitate personalized treatment decisions, although the agreement rate is still low. Further research and validation studies are necessary to establish the clinical applicability and generalizability of ChatGPT in routine practice. The integration of ChatGPT into clinical workflows has the potential to enhance thyroid nodule risk assessment and improve patient care.</t>
  </si>
  <si>
    <t>[Sievert, Matti; Conrad, Olaf; Mueller, Sarina Katrin; Rupp, Robin; Balk, Matthias; Richter, Daniel; Mantsopoulos, Konstantinos; Iro, Heinrich; Koch, Michael] Friedrich Alexander Univ Erlangen Nuremberg, Erlangen Univ Hosp, Dept Otorhinolaryngol Head &amp; Neck Surg, Erlangen, Germany</t>
  </si>
  <si>
    <t>University of Erlangen Nuremberg</t>
  </si>
  <si>
    <t>Conrad, O (corresponding author), Erlangen Univ Hosp, Erlangen, Germany.</t>
  </si>
  <si>
    <t>olafmconrad@gmail.com</t>
  </si>
  <si>
    <t>0196-0709</t>
  </si>
  <si>
    <t>1532-818X</t>
  </si>
  <si>
    <t>AM J OTOLARYNG</t>
  </si>
  <si>
    <t>Am. J. Otolaryngol.</t>
  </si>
  <si>
    <t>MAR-APR</t>
  </si>
  <si>
    <t>10.1016/j.amjoto.2023.104144</t>
  </si>
  <si>
    <t>Otorhinolaryngology</t>
  </si>
  <si>
    <t>EP5J5</t>
  </si>
  <si>
    <t>WOS:001140138800001</t>
  </si>
  <si>
    <t>Steinfeld, K; Tebbecke, T; Grigoriadis, G; Zhou, D</t>
  </si>
  <si>
    <t>Steinfeld, Kyle; Tebbecke, Titus; Grigoriadis, Georgieos; Zhou, David</t>
  </si>
  <si>
    <t>Artificiale Rilievo GAN-Generated Architectural Sculptural Relief</t>
  </si>
  <si>
    <t>This paper describes Artificiale Rilievo, the first work of architectural sculptural relief produced by a generative adversarial network (GAN). Technically, the authors present novel methods developed for the generation of three-dimensional sculptural designs using a pseudo-3d description of form based on vector displacement maps (VDMs). Our approach improves on existing methods by expanding the range of possible forms, and suggests broad application in ornamental architectural design. Conceptually, the artistic work described here brings tiling geometries found in contemporary architectural ornament into dialog with forms drawn from the Western architectural canon, and reflects on the dataset as a retrograde influence in the otherwise avant-garde field of creative AI. In contrast with other AI-driven tools that center efficiency at the expense of expressiveness and authorial jurisdiction, the methods described here stand as an alternative approach to the application of machine learning in architectural design. Negotiating the uncanny boundary of individually-recognizable forms within a differentiated field, the piece materializes an animated walk through the latent space of a GAN in the solidity of cast bronze.</t>
  </si>
  <si>
    <t>[Steinfeld, Kyle; Tebbecke, Titus; Grigoriadis, Georgieos; Zhou, David] Univ Calif Berkeley, Coll Environm Design, 345 Bauer Wurster Hall,MC 1800, Berkeley, CA 94720 USA</t>
  </si>
  <si>
    <t>Steinfeld, K (corresponding author), Univ Calif Berkeley, Coll Environm Design, 345 Bauer Wurster Hall,MC 1800, Berkeley, CA 94720 USA.</t>
  </si>
  <si>
    <t>10.1007/978-3-031-13249-0_12</t>
  </si>
  <si>
    <t>WOS:000870223800012</t>
  </si>
  <si>
    <t>Sarp, S; Kuzlu, M; Zhao, YX; Gueler, O</t>
  </si>
  <si>
    <t>Sarp, Salih; Kuzlu, Murat; Zhao, Yanxiao; Gueler, Ozgur</t>
  </si>
  <si>
    <t>Digital Twin in Healthcare: A Study for Chronic Wound Management</t>
  </si>
  <si>
    <t>Chronic wound management; digital twin in healthcare; personalized medicine; artificial intelligence; generative adversarial network (GAN)</t>
  </si>
  <si>
    <t>ARTIFICIAL-INTELLIGENCE; HEALING RATES; SYSTEM; COLOR; AREA</t>
  </si>
  <si>
    <t>Although the concept of digital twin technology has been in existence for nearly half a century, its application in healthcare is a relatively recent development. In healthcare, the utilization of digital twin and data-driven models has proven to enhance clinical decision support, particularly in the treatment and assessment of chronic wounds, leading to improved clinical outcomes. This article proposes the implementation of a digital twin in the domain of healthcare, specifically in the management of chronic wounds, by leveraging artificial intelligence techniques. The digital twin is composed of data collection, data processing, and AI models dedicated to wound healing. A novel AI pipeline is utilized to track the healing of chronic wounds. The digital twin, serving as a virtual representation of the actual wound, simulates and replicates the healing process. Furthermore, the proposed wound-healing prediction model effectively guides the treatment of chronic wounds. Additionally, by comparing the actual wound with its digital twin, the system enables early identification of non-healing wounds, facilitating timely adjustments and modifications to the treatment plan. By incorporating a digital twin in healthcare, the proposed system enables personalized and tailored treatments, potentially playing a crucial role in proactive problem identification.</t>
  </si>
  <si>
    <t>[Sarp, Salih; Zhao, Yanxiao] Virginia Commonwealth Univ, Richmond, VA 23284 USA; [Kuzlu, Murat] Old Dominion Univ, Norfolk, VA 23529 USA; [Gueler, Ozgur] eKare Inc, Fairfax, VA 22031 USA</t>
  </si>
  <si>
    <t>Virginia Commonwealth University; Old Dominion University</t>
  </si>
  <si>
    <t>Sarp, S (corresponding author), Virginia Commonwealth Univ, Richmond, VA 23284 USA.</t>
  </si>
  <si>
    <t>sarps@vcu.edu; mkuzlu@odu.edu; yzhao7@vcu.edu; oguler@ekare.ai</t>
  </si>
  <si>
    <t>Kuzlu, Murat/H-7156-2016; Sarp, Salih/ADP-9995-2022</t>
  </si>
  <si>
    <t>Sarp, Salih/0000-0001-6674-2590; Guler, Ozgur/0000-0001-5465-0103; Kuzlu, Murat/0000-0002-8719-2353</t>
  </si>
  <si>
    <t>Commonwealth Cyber Initiative, an investment in the advancement of cyber R&amp;D, innovation, and workforce development in Virginia</t>
  </si>
  <si>
    <t>This work was supported by the Commonwealth Cyber Initiative, an investment in the advancement of cyber R&amp;D, innovation, and workforce development in Virginia.</t>
  </si>
  <si>
    <t>10.1109/JBHI.2023.3299028</t>
  </si>
  <si>
    <t>WOS:001129955100039</t>
  </si>
  <si>
    <t>Hegedus, C; Varga, P</t>
  </si>
  <si>
    <t>Hegedus, Csaba; Varga, Pal</t>
  </si>
  <si>
    <t>Tailoring MLOps Techniques for Industry 5.0 Needs</t>
  </si>
  <si>
    <t>It is a very popular era for machine learning (ML) applications, and Industry5.0 aims to have AI as one of its key technologies. Still, only a few ML initiatives make it to a production-grade implementation, mostly due to lacking proper Continuous Integration and Delivery framework and MLOps practices. This is especially true for industrial use cases, where the trust and reliability of ML applications are mission-critical. Most of these applications fail during the final stage of the development lifecycle, i.e. acceptance testing and validation of the ML application, while being integrated into Cyber-Physical System of Systems (CPSoS). This paper explores the key requirements for deploying ML applications in industrial scenarios, emphasizing the critical role of Digital Twins, edge AI, and responsible-explainable AI techniques in ensuring efficient and responsible operations. Building upon previous models, this paper suggests two process models: (i) the Olympics model for MLOps-coupled CPS engineering and (ii) the MLOps engineering toolchain for industrial applications.</t>
  </si>
  <si>
    <t>[Hegedus, Csaba; Varga, Pal] Budapest Univ Technol &amp; Econ, Dept Telecommun &amp; Media Informat, 2 Magyar Tudosok Krt, H-1117 Budapest, Hungary</t>
  </si>
  <si>
    <t>Hegedus, C (corresponding author), Budapest Univ Technol &amp; Econ, Dept Telecommun &amp; Media Informat, 2 Magyar Tudosok Krt, H-1117 Budapest, Hungary.</t>
  </si>
  <si>
    <t>hegeduscs@tmit.bme.hu; pvarga@tmit.bme.hu</t>
  </si>
  <si>
    <t>EU KDT-JU organization [101112089]</t>
  </si>
  <si>
    <t>EU KDT-JU organization</t>
  </si>
  <si>
    <t>WOS:001117985100015</t>
  </si>
  <si>
    <t>Zou, M; Huang, L</t>
  </si>
  <si>
    <t>Zou, Min; Huang, Liang</t>
  </si>
  <si>
    <t>The impact of ChatGPT on L2 writing and expected responses: Voice from doctoral students</t>
  </si>
  <si>
    <t>ChatGPT; L2 writing; Human-AI collaboration; Chatbot-assisted writing; Doctoral students</t>
  </si>
  <si>
    <t>Despite the growing popularity of ChatGPT and chatbot-assisted writing, research on the use of ChatGPT in second language (L2) writing classrooms remains insufficient. Using reflection papers and focus group interviews, the qualitative study examined doctoral students' views on the impact of using ChatGPT on L2 writing and their expected responses. Thematic analysis revealed that ChatGPT could support writers at the pre-writing, during-writing and post-writing stages and serve as a self-learning tool for writing and thinking development with its human and non-human features. Nonetheless, its generative nature also gave rise to concerns for learning loss, authorial voice, unintelligent texts, academic integrity as well as social and safety risks. Based on the benefits and drawbacks, the doctoral students expected the education sector to make concerted efforts for the effective, ethical and responsible use of ChatGPT in L2 writing. Suggestions are accordingly provided for future considerations in teaching and research to leverage ChatGPT for L2 writing.</t>
  </si>
  <si>
    <t>[Zou, Min] Beijing Inst Technol, Sch Foreign Languages, Rm 714,Wencui Bldg L,Liangxiang East St, Beijing, Peoples R China; [Huang, Liang] Southeast Univ, Dept Publ Adm, Rm 115,Wenke Bldg,2 Southeast Univ Rd, Nanjing, Jiangsu, Peoples R China</t>
  </si>
  <si>
    <t>Beijing Institute of Technology; Southeast University - China</t>
  </si>
  <si>
    <t>Huang, L (corresponding author), Southeast Univ, Dept Publ Adm, Rm 115,Wenke Bldg,2 Southeast Univ Rd, Nanjing, Jiangsu, Peoples R China.</t>
  </si>
  <si>
    <t>zoumin0816@hotmail.com; eliot_huang@163.com</t>
  </si>
  <si>
    <t>Huang, Liang/AAI-4262-2020</t>
  </si>
  <si>
    <t>Huang, Liang/0000-0002-5781-1619; Zou, Min/0000-0003-3066-4812</t>
  </si>
  <si>
    <t>Beijing Association of Higher Education</t>
  </si>
  <si>
    <t>10.1007/s10639-023-12397-x</t>
  </si>
  <si>
    <t>AX6K4</t>
  </si>
  <si>
    <t>WOS:001121784800002</t>
  </si>
  <si>
    <t>Wang, LF; Liu, JP; Zeng, Y; Cheng, GZ; Hu, HF; Hu, JH; Huang, XS</t>
  </si>
  <si>
    <t>Wang, Lufeng; Liu, Jiepeng; Zeng, Yan; Cheng, Guozhong; Hu, Huifeng; Hu, Jiahao; Huang, Xuesi</t>
  </si>
  <si>
    <t>Automated building layout generation using deep learning and graph algorithms</t>
  </si>
  <si>
    <t>Layout plan; Deep learning; Graph algorithms; Building layout; AI-generated content</t>
  </si>
  <si>
    <t>U-NET; DESIGN</t>
  </si>
  <si>
    <t>Designing architectural layouts is a complex task that has garnered significant attention in the research community. While automated site layout design and flat layout design have been extensively studied, automated building layout design has been relatively overlooked. This paper describes an approach for generating automated building layouts using deep learning and graph algorithms. A unique building layout dataset is created to support the proposed approach. Euclidean distance, Dice coefficient, and a force-directed graph algorithm are employed for layout selection and fine-tuning. The Input-controlled Spatial Attention U-Net model accurately segments the building region, and the resulting layout is refined through image operations, leading to comprehensive BIM models for designers. Through two generative case studies and a comparative experiment with neural networks, this paper demonstrates the effectiveness of the approach that can assist designers during the initial stages of design and enable a rapid generation of complete layouts for individual buildings.</t>
  </si>
  <si>
    <t>[Wang, Lufeng; Liu, Jiepeng; Zeng, Yan; Cheng, Guozhong; Hu, Huifeng; Hu, Jiahao; Huang, Xuesi] Chongqing Univ, Key Lab New Technol Construct Cities Mt Area, Minist Educ, Chongqing 400045, Peoples R China; [Wang, Lufeng; Liu, Jiepeng; Zeng, Yan; Cheng, Guozhong; Hu, Huifeng; Hu, Jiahao; Huang, Xuesi] Chongqing Univ, Sch Civil Engn, Chongqing 400045, Peoples R China</t>
  </si>
  <si>
    <t>Chongqing University; Chongqing University</t>
  </si>
  <si>
    <t>Cheng, GZ (corresponding author), Chongqing Univ, Sch Civil Engn, Chongqing 400045, Peoples R China.</t>
  </si>
  <si>
    <t>wanglufeng@cqu.edu.cn; chengguozhong@cqu.edu.cn</t>
  </si>
  <si>
    <t>hu, huifeng/I-4694-2012; WANG, Bin/JGM-2639-2023</t>
  </si>
  <si>
    <t>Technology Innovation and Application Development of Chongqing Science and Technology Commission [CSTB2022TIAD-KPX0136]; National Natural Science Founda-tion of China [52130801]</t>
  </si>
  <si>
    <t>Technology Innovation and Application Development of Chongqing Science and Technology Commission; National Natural Science Founda-tion of China(National Natural Science Foundation of China (NSFC))</t>
  </si>
  <si>
    <t>The authors would like to express their gratitude for the financial support provided by the Technology Innovation and Application Development of Chongqing Science and Technology Commission (CSTB2022TIAD-KPX0136) and the National Natural Science Founda-tion of China (No. 52130801) . The opinions expressed in this paper are solely those of the authors.</t>
  </si>
  <si>
    <t>10.1016/j.autcon.2023.105036</t>
  </si>
  <si>
    <t>P4YC5</t>
  </si>
  <si>
    <t>WOS:001050724900001</t>
  </si>
  <si>
    <t>Handa, P; Chhabra, D; Goel, N; Krishnan, S</t>
  </si>
  <si>
    <t>Handa, Palak; Chhabra, Deepti; Goel, Nidhi; Krishnan, Sri</t>
  </si>
  <si>
    <t>Exploring the role of ChatGPT in medical image analysis</t>
  </si>
  <si>
    <t>ChatGPT; Medical image analysis; Chatbot; Artificial intelligence</t>
  </si>
  <si>
    <t>The rapid advancement of artificial intelligence (AI) in the field of medical image analysis has demonstrated various applications such as computer-aided disease diagnosis and prognosis, image registration, tissue segmentation, image fusion, annotations, etc. However, its real-time use in routine clinical settings is still far-fetched due to numerous factors including lack of clinical trials in AI, development of diverse datasets, generalization of AI models in real-time, their interpretability, and associated biases. The introduction of Chat Generative Pretrained Transformer (ChatGPT) has further created both an opportunity and havoc in the minds of researchers for its use and applications in this field. This editorial aims to highlight the role of ChatGPT in the field of medical image analysis. An exploratory analysis was conducted on ChatGPT by asking more than a hundred questions related to this field like what is medical image analysis, how can you help me with medical image analysis, generate a code for - to perform medical image analysis, perform literature survey on - for medical datasets, analyze the anomaly in this frame, write an editorial on -, give road map for - in medical image analysis etc in February and May 2023. The inferences of the responses generated by ChatGPT, their variation over a two-month gap, our viewpoint, its shortcomings, and concluding remarks have been discussed in this editorial.</t>
  </si>
  <si>
    <t>[Handa, Palak] Delhi Technol Univ, Dept Elect &amp; Commun Engn, Delhi, India; [Chhabra, Deepti; Goel, Nidhi] Indira Gandhi Delhi Tech Univ Women, Dept Elect &amp; Commun Engn, Delhi, India; [Krishnan, Sri] Toronto Metropolitan Univ, Dept Elect Comp &amp; Biomed Engn, Toronto, ON, Canada</t>
  </si>
  <si>
    <t>Delhi Technological University; Indira Gandhi Delhi Technical University for Women (IGDTUW); Toronto Metropolitan University</t>
  </si>
  <si>
    <t>Goel, N (corresponding author), Indira Gandhi Delhi Tech Univ Women, Dept Elect &amp; Commun Engn, Delhi, India.</t>
  </si>
  <si>
    <t>nidhi.iitr1@gmail.com</t>
  </si>
  <si>
    <t>10.1016/j.bspc.2023.105292</t>
  </si>
  <si>
    <t>P6NC1</t>
  </si>
  <si>
    <t>WOS:001051813500001</t>
  </si>
  <si>
    <t>Julien, H; Thomas, J; Zimpfer, V; Éric, B</t>
  </si>
  <si>
    <t>Julien, Hauret; Thomas, Joubaud; Zimpfer, Veronique; Eric, Bavu</t>
  </si>
  <si>
    <t>Configurable EBEN: Extreme Bandwidth Extension Network to Enhance Body-Conducted Speech Capture</t>
  </si>
  <si>
    <t>IEEE-ACM TRANSACTIONS ON AUDIO SPEECH AND LANGUAGE PROCESSING</t>
  </si>
  <si>
    <t>Microphones; Bandwidth; Speech enhancement; Task analysis; Deep learning; Vibrations; Recording; PQMF-banks; bandwidth extension; frugal AI; body-conduction microphones</t>
  </si>
  <si>
    <t>BONE-CONDUCTION; QUALITY ENHANCEMENT</t>
  </si>
  <si>
    <t>This article presents a configurable version of Extreme Bandwidth Extension Network (EBEN), a Generative Adversarial Network (GAN) designed to improve audio captured with body-conduction microphones. We show that although these microphones significantly reduce environmental noise, this insensitivity to ambient noise happens at the expense of the bandwidth of the speech signal acquired by the wearer of the devices. The obtained captured signals therefore require the use of signal enhancement techniques to recover the full-bandwidth speech. EBEN leverages a configurable multiband decomposition of the raw captured signal. This decomposition allows the data time domain dimensions to be reduced and the full band signal to be better controlled. The multiband representation of the captured signal is processed through a U-Net-like model, which combines feature and adversarial losses to generate an enhanced speech signal. We also benefit from this original representation in the proposed configurable discriminators architecture. The configurable EBEN approach can achieve state-of-the-art enhancement results on synthetic data with a lightweight generator that allows real-time processing.</t>
  </si>
  <si>
    <t>[Julien, Hauret; Eric, Bavu] HESAM Univ, Lab Mecan Struct &amp; Syst Couples Conservatoire Natl, F-75005 Paris, France; [Thomas, Joubaud; Zimpfer, Veronique] French German Res Inst St Louis, Dept Acoust &amp; Soldier Protect, F-63101 St Louis, France</t>
  </si>
  <si>
    <t>heSam Universite</t>
  </si>
  <si>
    <t>Julien, H (corresponding author), HESAM Univ, Lab Mecan Struct &amp; Syst Couples Conservatoire Natl, F-75005 Paris, France.</t>
  </si>
  <si>
    <t>julien.hauret@lecnam.net; thomas.joubaud@isl.eu; veronique.zimpfer@isl.eu; eric.bavu@lecnam.net</t>
  </si>
  <si>
    <t>Bavu, Eric/0000-0001-6395-634X; Hauret, Julien/0000-0002-1512-2487</t>
  </si>
  <si>
    <t>French National Research Agency under ANR [ANR-20-THIA-0002]</t>
  </si>
  <si>
    <t>French National Research Agency under ANR(Agence Nationale de la Recherche (ANR))</t>
  </si>
  <si>
    <t>This work was supported by French National Research Agency under ANR Grant ANR-20-THIA-0002. This workwas also granted access to the HPC/AI resources of [CINES / IDRIS / TGCC]under the allocation 2022-AD011013469 made by GENCI.</t>
  </si>
  <si>
    <t>2329-9290</t>
  </si>
  <si>
    <t>2329-9304</t>
  </si>
  <si>
    <t>IEEE-ACM T AUDIO SPE</t>
  </si>
  <si>
    <t>IEEE-ACM Trans. Audio Speech Lang.</t>
  </si>
  <si>
    <t>10.1109/TASLP.2023.3313433</t>
  </si>
  <si>
    <t>W1LF9</t>
  </si>
  <si>
    <t>WOS:001089305500010</t>
  </si>
  <si>
    <t>Luppi, AI; Cabral, J; Cofre, R; Mediano, PAM; Rosas, FE; Qureshi, AY; Kuceyeski, A; Tagliazucchi, E; Raimondo, F; Deco, G; Shine, JM; Kringelbach, ML; Orio, P; Ching, SN; Perl, YS; Diringer, MN; Stevens, RD; Sitt, JD</t>
  </si>
  <si>
    <t>Luppi, Andrea I.; Cabral, Joana; Cofre, Rodrigo; Mediano, Pedro A. M.; Rosas, Fernando E.; Qureshi, Abid Y.; Kuceyeski, Amy; Tagliazucchi, Enzo; Raimondo, Federico; Deco, Gustavo; Shine, James M.; Kringelbach, Morten L.; Orio, Patricio; Ching, ShiNung; Perl, Yonatan Sanz; Diringer, Michael N.; Stevens, Robert D.; Sitt, Jacobo Diego</t>
  </si>
  <si>
    <t>Computational modelling in disorders of consciousness: Closing the gap towards personalised models for restoring consciousness</t>
  </si>
  <si>
    <t>NEUROIMAGE</t>
  </si>
  <si>
    <t>Disorders of consciousness; Computational models; Generative models; Statistical models; Biophysical models</t>
  </si>
  <si>
    <t>UNRESPONSIVE PATIENTS; NEURAL INERTIA; BRAIN DYNAMICS; CONNECTIVITY; STATE; METASTABILITY; EMERGENCE; DIAGNOSIS; INDEX</t>
  </si>
  <si>
    <t>Disorders of consciousness are complex conditions characterised by persistent loss of responsiveness due to brain injury. They present diagnostic challenges and limited options for treatment, and highlight the urgent need for a more thorough understanding of how human consciousness arises from coordinated neural activity. The increas-ing availability of multimodal neuroimaging data has given rise to a wide range of clinically-and scientifically-motivated modelling efforts, seeking to improve data-driven stratification of patients, to identify causal mecha-nisms for patient pathophysiology and loss of consciousness more broadly, and to develop simulations as a means of testing in silico potential treatment avenues to restore consciousness. As a dedicated Working Group of clini- cians and neuroscientists of the international Curing Coma Campaign, here we provide our framework and vision to understand the diverse statistical and generative computational modelling approaches that are being employed in this fast-growing field. We identify the gaps that exist between the current state-of-the-art in statistical and biophysical computational modelling in human neuroscience, and the aspirational goal of a mature field of mod- elling disorders of consciousness; which might drive improved treatments and outcomes in the clinic. Finally, we make several recommendations for how the field as a whole can work together to address these challenges.</t>
  </si>
  <si>
    <t>[Luppi, Andrea I.] Univ Cambridge, Div Anaesthesia, Cambridge, England; [Luppi, Andrea I.] Univ Cambridge, Dept Clin Neurosci, Cambridge, England; [Luppi, Andrea I.] McGill Univ, Montreal Neurol Inst, Montreal, PQ, Canada; [Cabral, Joana] Univ Minho, Life &amp; Hlth Sci Res Inst, Braga, Portugal; [Cofre, Rodrigo] Univ Valparaiso, Fac Ingn, CIMFAV Ingemat, Valparaiso, Chile; [Cofre, Rodrigo] Paris Saclay Univ, Inst Neurosci NeuroPSI, Ctr Natl Rech Sci CNRS, Gif Sur Yvette, France; [Mediano, Pedro A. M.] Imperial Coll London, Dept Comp, London, England; [Mediano, Pedro A. M.] Univ Cambridge, Dept Psychol, Cambridge, England; [Rosas, Fernando E.] Univ Sussex, Dept Informat, Brighton, England; [Rosas, Fernando E.] Imperial Coll London, Ctr Psychedel Res, Dept Brain Sci, London, England; [Rosas, Fernando E.] Imperial Coll London, Ctr Complex Sci, London, England; [Kringelbach, Morten L.] Univ Oxford, Linacre Coll, Ctr Eudaimonia &amp; Human Flourishing, Oxford, England; [Qureshi, Abid Y.] Univ Kansas, Med Ctr, Kansas City, MO USA; [Kuceyeski, Amy] Weill Cornell Med, Dept Radiol, New York, NY USA; [Tagliazucchi, Enzo] Dept Fis UBA, Buenos Aires, Argentina; [Tagliazucchi, Enzo] Inst Fis Buenos Aires CONICET, Buenos Aires, Argentina; [Tagliazucchi, Enzo] Univ Adolfo Ibanez, Latin Amer Brain Hlth Inst BrainLat, Santiago, Chile; [Raimondo, Federico] Res Ctr Julich, Inst Neurosci &amp; Med INM Brain &amp; Behav 7, Julich, Germany; [Raimondo, Federico] Heinrich Heine Univ Dusseldorf, Inst Syst Neurosci, Dusseldorf, Germany; [Deco, Gustavo; Perl, Yonatan Sanz] Univ Pompeu Fabra, Ctr Brain &amp; Cognit, Dept Informat &amp; Commun Technol, Barcelona, Spain; [Deco, Gustavo] Max Planck Inst Human Cognit &amp; Brain Sci, Dept Neuropsychol, Leipzig, Germany; [Deco, Gustavo] Monash Univ, Turner Inst Brain &amp; Mental Hlth, Melbourne, Vic, Australia; [Deco, Gustavo] Inst Catalana Recerca &amp; Estudis Avancats ICREA, Barcelona, Spain; [Shine, James M.] Univ Sydney, Brain &amp; Mind Ctr, Sydney, Australia; [Kringelbach, Morten L.] Univ Oxford, Dept Psychiat, Oxford, England; [Kringelbach, Morten L.] Aarhus Univ, Ctr Mus Brain, Dept Clin Med, Aarhus, Denmark; [Orio, Patricio] Univ Valparaiso, Ctr Interdisciplinario Neurociencia Valparaiso, Valparaiso, Chile; [Orio, Patricio] Univ Valparaiso, Inst Neurociencia, Valparaiso, Chile; [Ching, ShiNung] Washington Univ St Louis, Elect &amp; Syst Engn, St Louis, MO USA; [Perl, Yonatan Sanz; Sitt, Jacobo Diego] ICM, Paris Brain Inst, Inst Cerveau Moelle Epiniere, Paris, France; [Perl, Yonatan Sanz] Natl Sci &amp; Tech Res Council CONICET, RA-2290 Godoy Cruz, Caba, Argentina; [Diringer, Michael N.] Washington Univ St Louis, Dept Neurol &amp; Neurosurg, St Louis, MO USA; [Stevens, Robert D.] Johns Hopkins Univ, Dept Anesthesiol &amp; Crit Care Med, Baltimore, MD USA; [Stevens, Robert D.] Johns Hopkins Univ, Dept Neurol, Baltimore, MD USA; [Stevens, Robert D.] Johns Hopkins Univ, Dept Biomed Engn, Baltimore, MD USA; [Sitt, Jacobo Diego] Sorbonne Univ, Hop Pitie Salpetriere, AP HP, CNRS,Inserm, Paris, France</t>
  </si>
  <si>
    <t>University of Cambridge; University of Cambridge; McGill University; Universidade do Minho; Universidad de Valparaiso; Universite Paris Saclay; Centre National de la Recherche Scientifique (CNRS); Imperial College London; University of Cambridge; University of Sussex; Imperial College London; Imperial College London; University of Oxford; University of Kansas; Cornell University; Weill Cornell Medicine; Universidad Adolfo Ibanez; Helmholtz Association; Research Center Julich; Heinrich Heine University Dusseldorf; Pompeu Fabra University; University of Barcelona; Max Planck Society; Monash University; ICREA; University of Sydney; University of Oxford; Aarhus University; Universidad de Valparaiso; Universidad de Valparaiso; Washington University (WUSTL); Sorbonne Universite; Centro Nacional Patagonico (CENPAT); Washington University (WUSTL); Johns Hopkins University; Johns Hopkins University; Johns Hopkins University; Centre National de la Recherche Scientifique (CNRS); Sorbonne Universite; Assistance Publique Hopitaux Paris (APHP); Hopital Universitaire Pitie-Salpetriere - APHP; Institut National de la Sante et de la Recherche Medicale (Inserm)</t>
  </si>
  <si>
    <t>Luppi, AI (corresponding author), Univ Cambridge, Div Anaesthesia, Cambridge, England.;Luppi, AI (corresponding author), Univ Cambridge, Dept Clin Neurosci, Cambridge, England.;Sitt, JD (corresponding author), ICM, Paris Brain Inst, Inst Cerveau Moelle Epiniere, Paris, France.</t>
  </si>
  <si>
    <t>al857@cam.ac.uk; jacobo.sitt@icm-institute.org</t>
  </si>
  <si>
    <t>Cabral, Joana/T-5118-2018; DECO, GUSTAVO/A-6341-2008; Orio, Patricio/F-6207-2010; Kringelbach, Morten/AAW-5847-2021; Luppi, Andrea/JXN-3286-2024</t>
  </si>
  <si>
    <t>Cabral, Joana/0000-0002-6715-0826; Orio, Patricio/0000-0003-0332-8098; Kringelbach, Morten/0000-0002-3908-6898; Shine, James/0000-0003-1762-5499</t>
  </si>
  <si>
    <t>Gates Cambridge Trust [OPP 1144]; US National Institutes of Health; La Caixa Foundation; STIC-AmSud [R01NS130693]; Australian National Health and Medical Research Council; Fondecyt [A20M02]; ANID, Chile; European Union; Centre for Eudaimonia and Human Flourishing - Pettit and Carlsberg Foundations; Center for Music in the Brain - Danish National Research Foundation; US National Institutes of Health; ECOS-Sud; [SILIDOC-21-STIC-11]; [R01NS102646]; [RF1MH123232]; [LCF/BQ/PR22/11920014]; [1193857]; [1211750]; [1220995]; [AC3E FB0008]; [896354]; [DNRF117]</t>
  </si>
  <si>
    <t>Gates Cambridge Trust; US National Institutes of Health(United States Department of Health &amp; Human ServicesNational Institutes of Health (NIH) - USA); La Caixa Foundation(La Caixa Foundation); STIC-AmSud; Australian National Health and Medical Research Council(National Health and Medical Research Council (NHMRC) of Australia); Fondecyt(Comision Nacional de Investigacion Cientifica y Tecnologica (CONICYT)CONICYT FONDECYT); ANID, Chile; European Union(European Union (EU)); Centre for Eudaimonia and Human Flourishing - Pettit and Carlsberg Foundations; Center for Music in the Brain - Danish National Research Foundation; US National Institutes of Health(United States Department of Health &amp; Human ServicesNational Institutes of Health (NIH) - USA); ECOS-Sud; ; ; ; ; ; ; ; ; ;</t>
  </si>
  <si>
    <t>This Working Group was brought together under the auspices of the international Curing Coma Campaign. AIL was supported by the Gates Cambridge Trust (OPP 1144) . RC acknowledge the support the Human Brain Project, H2020- 945539. AK was supported by US National Institutes of Health grants R01NS102646 and RF1MH123232. JC was supported by La Caixa Foundation (LCF/BQ/PR22/11920014) . JMS was supported by the Australian National Health and Medical Research Council (1193857) . PO is supported by grants Fondecyt 1211750 and Centro Basal AC3E FB0008 (ANID, Chile) . YSP is supported by European Union's Horizon 2020 research and innovation program under the Marie Sklodowska-Curie grant 896354. MLK is supported by the Centre for Eudaimonia and Human Flourishing (funded by the Pettit and Carlsberg Foundations) and Center for Music in the Brain (funded by the Danish National Research Foundation, DNRF117) . SC acknowledges support from the US National Institutes of Health (R01NS130693) . ET acknowledges support from FONDECyT (1220995) . JDS and GD acknowledge support form FLAG-ERA project ModelDX-Consciousness Part of this work was funded by a grant from ECOS-Sud [project A20M02] [JDS, ET] and STIC-AmSud [project SILIDOC-21-STIC-11] [JDS, ET, PO] .</t>
  </si>
  <si>
    <t>1053-8119</t>
  </si>
  <si>
    <t>1095-9572</t>
  </si>
  <si>
    <t>Neuroimage</t>
  </si>
  <si>
    <t>10.1016/j.neuroimage.2023.120162</t>
  </si>
  <si>
    <t>Neurosciences; Neuroimaging; Radiology, Nuclear Medicine &amp; Medical Imaging</t>
  </si>
  <si>
    <t>Neurosciences &amp; Neurology; Radiology, Nuclear Medicine &amp; Medical Imaging</t>
  </si>
  <si>
    <t>K3VZ9</t>
  </si>
  <si>
    <t>WOS:001015762700001</t>
  </si>
  <si>
    <t>Liu, YH; Chen, YJ; Bao, LC; Sebe, N; Lepri, B; De Nadai, M</t>
  </si>
  <si>
    <t>Liu, Yahui; Chen, Yajing; Bao, Linchao; Sebe, Nicu; Lepri, Bruno; De Nadai, Marco</t>
  </si>
  <si>
    <t>ISF-GAN: An Implicit Style Function for High-Resolution Image-to-Image Translation</t>
  </si>
  <si>
    <t>Face editing; generative adversarial networks (GANs); unsupervised image-to-image translation</t>
  </si>
  <si>
    <t>GENERATIVE ADVERSARIAL NETWORKS</t>
  </si>
  <si>
    <t>Recently, there has been an increasing interest in image editing methods that employ pre-trained unconditional image generators (e.g., StyleGAN). However, applying these methods to translate images to multiple visual domains remains challenging. Existing works do not often preserve the domain-invariant part of the image (e.g., the identity in human face translations), or they do not usually handle multiple domains or allow for multi-modal translations. This work proposes an implicit style function (ISF) to straightforwardly achieve multi-modal and multi-domain image-to-image translation from pre-trained unconditional generators. The ISF manipulates the semantics of a latent code to ensure that the image generated from the manipulated code lies in the desired visual domain. Our human faces and animal image manipulations show significantly improved results over the baselines. Our model enables cost-effective multi-modal unsupervised image-to-image translations at high resolution using pre-trained unconditional GANs. The code and data are available at: https://github.com/yhlleo/stylegan-mmuit.</t>
  </si>
  <si>
    <t>[Liu, Yahui; Sebe, Nicu] Univ Trento, Dept Informat Engn &amp; Comp Sci, I-38123 Trento, Italy; [Chen, Yajing; Bao, Linchao] Tencent AI Lab, Shenzhen 518063, Peoples R China; [Lepri, Bruno; De Nadai, Marco] Fdn Bruno Kessler, I-38123 Povo, Italy</t>
  </si>
  <si>
    <t>University of Trento; Tencent; Fondazione Bruno Kessler</t>
  </si>
  <si>
    <t>De Nadai, M (corresponding author), Fdn Bruno Kessler, I-38123 Povo, Italy.</t>
  </si>
  <si>
    <t>yahui.liu@unitn.it; jadeyjchen@tencent.com; linchaobao@tencent.com; niculae.sebe@unitn.it; lepri@fbk.eu; work@marcodena.it</t>
  </si>
  <si>
    <t>Sebe, Niculae/KEC-2000-2024</t>
  </si>
  <si>
    <t>Sebe, Niculae/0000-0002-6597-7248; Bao, Linchao/0000-0001-9543-3754</t>
  </si>
  <si>
    <t>EU H2020 AI4Media Project [951911]</t>
  </si>
  <si>
    <t>EU H2020 AI4Media Project</t>
  </si>
  <si>
    <t>This work was supported by the EU H2020 AI4Media Project under Grant 951911.</t>
  </si>
  <si>
    <t>10.1109/TMM.2022.3159115</t>
  </si>
  <si>
    <t>O7RP6</t>
  </si>
  <si>
    <t>WOS:001045742200030</t>
  </si>
  <si>
    <t>Lyu, ZY; Wang, JY; An, YW; Zhang, Y; Lin, DH; Dai, B</t>
  </si>
  <si>
    <t>Lyu, Zhaoyang; Wang, Jinyi; An, Yuwei; Zhang, Ya; Lin, Dahua; Dai, Bo</t>
  </si>
  <si>
    <t>Controllable Mesh Generation Through Sparse Latent Point Diffusion Models</t>
  </si>
  <si>
    <t>Mesh generation is of great value in various applications involving computer graphics and virtual content, yet designing generative models for meshes is challenging due to their irregular data structure and inconsistent topology of meshes in the same category. In this work, we design a novel sparse latent point diffusion model for mesh generation. Our key insight is to regard point clouds as an intermediate representation of meshes, and model the distribution of point clouds instead. While meshes can be generated from point clouds via techniques like Shape as Points (SAP), the challenges of directly generating meshes can be effectively avoided. To boost the efficiency and controllability of our mesh generation method, we propose to further encode point clouds to a set of sparse latent points with pointwise semantic meaningful features, where two DDPMs are trained in the space of sparse latent points to respectively model the distribution of the latent point positions and features at these latent points. We find that sampling in this latent space is faster than directly sampling dense point clouds. Moreover, the sparse latent points also enable us to explicitly control both the overall structures and local details of the generated meshes. Extensive experiments are conducted on the ShapeNet dataset, where our proposed sparse latent point diffusion model achieves superior performance in terms of generation quality and controllability when compared to existing methods. Project page, code and appendix: https://slide-3d.github.io.</t>
  </si>
  <si>
    <t>[Lyu, Zhaoyang; Wang, Jinyi; An, Yuwei; Zhang, Ya; Lin, Dahua; Dai, Bo] Shanghai AI Lab, Shanghai, Peoples R China; [Wang, Jinyi; Zhang, Ya] Shanghai Jiao Tong Univ, Shanghai, Peoples R China; [Lin, Dahua] Chinese Univ Hong Kong, Hong Kong, Peoples R China; [An, Yuwei] Tsinghua Univ, Beijing, Peoples R China</t>
  </si>
  <si>
    <t>Shanghai Artificial Intelligence Laboratory; Shanghai Jiao Tong University; Chinese University of Hong Kong; Tsinghua University</t>
  </si>
  <si>
    <t>Lyu, ZY (corresponding author), Shanghai AI Lab, Shanghai, Peoples R China.</t>
  </si>
  <si>
    <t>lyuzhaoyang@link.cuhk.edu.hk; jinyi.wang@sjtu.edu.cn; anyuwei@pjlab.org.cn; ya_zhang@sjtu.edu.cn; dhlin@ie.cuhk.edu.hk; daibo@pjlab.org.cn</t>
  </si>
  <si>
    <t>Lin, Dahua/W-6576-2019</t>
  </si>
  <si>
    <t>Lin, Dahua/0000-0002-8865-7896</t>
  </si>
  <si>
    <t>Shanghai AI Laboratory; CUHK Interdisciplinary AI Research Institute; Centre for Perceptual and Interactive Intelligence (CPIl) Ltd under the Innovation and Technology Commission (ITC)'s InnoHK</t>
  </si>
  <si>
    <t>This project is funded in part by Shanghai AI Laboratory, CUHK Interdisciplinary AI Research Institute, and the Centre for Perceptual and Interactive Intelligence (CPIl) Ltd under the Innovation and Technology Commission (ITC)'s InnoHK.</t>
  </si>
  <si>
    <t>10.1109/CVPR52729.2023.00034</t>
  </si>
  <si>
    <t>WOS:001058542600026</t>
  </si>
  <si>
    <t>Chen, C; Li, YH; Wu, ZH; Xu, MF; Wang, R; Zheng, ZB</t>
  </si>
  <si>
    <t>Chen, Chuan; Li, Yihao; Wu, Zihou; Xu, Mingfeng; Wang, Rui; Zheng, Zibin</t>
  </si>
  <si>
    <t>Towards Reliable Utilization of AIGC: Blockchain-Empowered Ownership Verification Mechanism</t>
  </si>
  <si>
    <t>Blockchains; Training; Data models; Reliability; Federated learning; Training data; Copyright protection; Blockchain; copyright; federated learning; ownership; AIGC</t>
  </si>
  <si>
    <t>With the development of the blockchain technology, a decentralized and de-trusted network paradigm has been constructed, enabling multiple digital assets like NFT, to be permanently recorded and authenticated by blockchain. Also, the uniqueness and verifiability of these assets allows them to flow and generate value between any network entities. With the emergence of AI Generative Content (AIGC), the ownership of models and generative contents, which are also digital assets, has not been well protected. Both because the black-box nature of neural networks makes it difficult to mark models' ownership and because the lack of a reliable third-party verification platform. Meanwhile, the existing model-attack threat and raising ethical problems driven the research on model watermark embedding for traceability and verification, and thus the reliable basic algorithm and the verification platform are needed. In this survey, while emphasizing the importance and reason of the ownership protection in AIGC and summarizing the recent research using model watermarking, we will also introduce the achievements of blockchain in copyright in order to summarize the research history and point out future direction of model copyright validation from both the underlying technology and the supporting platform.</t>
  </si>
  <si>
    <t>[Chen, Chuan; Li, Yihao; Wu, Zihou; Xu, Mingfeng; Wang, Rui] Sun Yat Sen Univ, Sch Comp Sci &amp; Engn, Guangzhou 510275, Peoples R China; [Zheng, Zibin] Sun Yat sen Univ, Sch Software Engn, Zhuhai 519000, Peoples R China</t>
  </si>
  <si>
    <t>Sun Yat Sen University; Sun Yat Sen University</t>
  </si>
  <si>
    <t>Zheng, ZB (corresponding author), Sun Yat sen Univ, Sch Software Engn, Zhuhai 519000, Peoples R China.</t>
  </si>
  <si>
    <t>chenchuan@mail.sysu.edu.cn; liyh328@mail2.sysu.edu.cn; wuzh78@mail2.sysu.edu.cn; 18998389110@163.com; wangr269@mail2.sysu.edu.cn; zhzibin@mail.sysu.edu.cn</t>
  </si>
  <si>
    <t>Zheng, Zibin/HCH-2408-2022</t>
  </si>
  <si>
    <t>Zheng, Zibin/0000-0002-7878-4330; Wang, Rui/0009-0005-6614-9160</t>
  </si>
  <si>
    <t>10.1109/OJCS.2023.3315835</t>
  </si>
  <si>
    <t>CB4Y0</t>
  </si>
  <si>
    <t>WOS:001122789900001</t>
  </si>
  <si>
    <t>Earp, BD; Mann, SP; Allen, J; Salloch, S; Suren, V; Jongsma, K; Braun, M; Wilkinson, D; Sinnott-Armstrong, W; Rid, A; Wendler, D; Savulescu, J</t>
  </si>
  <si>
    <t>Earp, Brian D.; Mann, Sebastian Porsdam; Allen, Jemima; Salloch, Sabine; Suren, Vynn; Jongsma, Karin; Braun, Matthias; Wilkinson, Dominic; Sinnott-Armstrong, Walter; Rid, Annette; Wendler, David; Savulescu, Julian</t>
  </si>
  <si>
    <t>A Personalized Patient Preference Predictor for Substituted Judgments in Healthcare: Technically Feasible and Ethically Desirable</t>
  </si>
  <si>
    <t>AMERICAN JOURNAL OF BIOETHICS</t>
  </si>
  <si>
    <t>Advance directives; algorithm; generative AI; large language models; Patient Preference Predictor; substituted judgment</t>
  </si>
  <si>
    <t>ADVANCE DIRECTIVES; DECISION-MAKING; INCAPACITATED PATIENTS; FAMILY-MEMBERS; WELL</t>
  </si>
  <si>
    <t>When making substituted judgments for incapacitated patients, surrogates often struggle to guess what the patient would want if they had capacity. Surrogates may also agonize over having the (sole) responsibility of making such a determination. To address such concerns, a Patient Preference Predictor (PPP) has been proposed that would use an algorithm to infer the treatment preferences of individual patients from population-level data about the known preferences of people with similar demographic characteristics. However, critics have suggested that even if such a PPP were more accurate, on average, than human surrogates in identifying patient preferences, the proposed algorithm would nevertheless fail to respect the patient's (former) autonomy since it draws on the 'wrong' kind of data: namely, data that are not specific to the individual patient and which therefore may not reflect their actual values, or their reasons for having the preferences they do. Taking such criticisms on board, we here propose a new approach: the Personalized Patient Preference Predictor (P4). The P4 is based on recent advances in machine learning, which allow technologies including large language models to be more cheaply and efficiently 'fine-tuned' on person-specific data. The P4, unlike the PPP, would be able to infer an individual patient's preferences from material (e.g., prior treatment decisions) that is in fact specific to them. Thus, we argue, in addition to being potentially more accurate at the individual level than the previously proposed PPP, the predictions of a P4 would also more directly reflect each patient's own reasons and values. In this article, we review recent discoveries in artificial intelligence research that suggest a P4 is technically feasible, and argue that, if it is developed and appropriately deployed, it should assuage some of the main autonomy-based concerns of critics of the original PPP. We then consider various objections to our proposal and offer some tentative replies.</t>
  </si>
  <si>
    <t>[Earp, Brian D.; Mann, Sebastian Porsdam; Wilkinson, Dominic; Savulescu, Julian] Univ Oxford, Oxford, England; [Earp, Brian D.; Wilkinson, Dominic; Savulescu, Julian] Natl Univ Singapore, Singapore City, Singapore; [Earp, Brian D.] Yale Univ, New Haven, CT USA; [Earp, Brian D.] Hastings Ctr, New Haven, CT USA; [Allen, Jemima] Monash Univ, Monash, Australia; [Salloch, Sabine; Suren, Vynn] Hannover Med Sch, Hannover, Germany; [Jongsma, Karin] Univ Med Ctr Utrecht, Julius Ctr, Utrecht, Netherlands; [Braun, Matthias] Univ Bonn, Bonn, Germany; [Wilkinson, Dominic] John Radcliffe Hosp, Oxford, England; [Wilkinson, Dominic] Murdoch Childrens Res Inst, Murdoch, WA, Australia; [Sinnott-Armstrong, Walter] Duke Univ, Durham, NC USA; [Rid, Annette; Wendler, David] NIH Clin Ctr, Bethesda, MD USA; [Earp, Brian D.] Univ Oxford, Fac Philosophy, Uehiro Ctr Pract Ethics, Oxford, England</t>
  </si>
  <si>
    <t>University of Oxford; National University of Singapore; Yale University; Monash University; Hannover Medical School; Utrecht University; Utrecht University Medical Center; University of Bonn; University of Oxford; Murdoch Children's Research Institute; Duke University; National Institutes of Health (NIH) - USA; NIH Clinical Center (CC); University of Oxford</t>
  </si>
  <si>
    <t>Earp, BD (corresponding author), Univ Oxford, Fac Philosophy, Uehiro Ctr Pract Ethics, Oxford, England.</t>
  </si>
  <si>
    <t>brian.earp@philosophy.ox.ac.uk</t>
  </si>
  <si>
    <t>Wilkinson, Dominic/0000-0003-3958-8633; Braun, Matthias/0000-0002-6687-6027</t>
  </si>
  <si>
    <t>OpenAI</t>
  </si>
  <si>
    <t>1526-5161</t>
  </si>
  <si>
    <t>1536-0075</t>
  </si>
  <si>
    <t>AM J BIOETHICS</t>
  </si>
  <si>
    <t>Am. J. Bioeth.</t>
  </si>
  <si>
    <t>10.1080/15265161.2023.2296402</t>
  </si>
  <si>
    <t>Ethics; Medical Ethics; Social Issues; Social Sciences, Biomedical</t>
  </si>
  <si>
    <t>Social Sciences - Other Topics; Medical Ethics; Social Issues; Biomedical Social Sciences</t>
  </si>
  <si>
    <t>FD9W2</t>
  </si>
  <si>
    <t>WOS:001143951700001</t>
  </si>
  <si>
    <t>Zeng, Z; Watson, W; Cho, N; Rahimi, S; Reynolds, S; Balch, T; Veloso, M</t>
  </si>
  <si>
    <t>Zeng, Zhen; Watson, William; Cho, Nicole; Rahimi, Saba; Reynolds, Shayleen; Balch, Tucker; Veloso, Manuela</t>
  </si>
  <si>
    <t>FlowMind: Automatic Workflow Generation with LLMs</t>
  </si>
  <si>
    <t>cognitive workflow; user query; information retrieval</t>
  </si>
  <si>
    <t>The rapidly evolving field of Robotic Process Automation (RPA) has made significant strides in automating repetitive processes, yet its effectiveness diminishes in scenarios requiring spontaneous or unpredictable tasks demanded by users. This paper introduces a novel approach, FlowMind, leveraging the capabilities of Large Language Models (LLMs) such as Generative Pretrained Transformer (GPT), to address this limitation and create an automatic workflow generation system. In FlowMind, we propose a generic prompt recipe for a lecture that helps ground LLM reasoning with reliable Application Programming Interfaces (APIs). With this, FlowMind not only mitigates the common issue of hallucinations in LLMs, but also eliminates direct interaction between LLMs and proprietary data or code, thus ensuring the integrity and confidentiality of information - a cornerstone in financial services. FlowMind further simplifies user interaction by presenting high-level descriptions of auto-generated workflows, enabling users to inspect and provide feedback effectively. We also introduce NCEN-QA, a new dataset in finance for benchmarking question-answering tasks from N-CEN reports on funds. We used NCEN-QA to evaluate the performance of workflows generated by FlowMind against baseline and ablation variants of FlowMind. We demonstrate the success of FlowMind, the importance of each component in the proposed lecture recipe, and the effectiveness of user interaction and feedback in FlowMind.</t>
  </si>
  <si>
    <t>[Zeng, Zhen; Watson, William; Cho, Nicole; Rahimi, Saba; Reynolds, Shayleen; Balch, Tucker; Veloso, Manuela] J P Morgan AI Res, New York, NY 10017 USA</t>
  </si>
  <si>
    <t>Zeng, Z (corresponding author), J P Morgan AI Res, New York, NY 10017 USA.</t>
  </si>
  <si>
    <t>zhen.zeng@jpmchase.com; william.watson@jpmchase.com; nicole.cho@jpmorgan.com; saba.rahimi@jpmorgan.com; shayleen.reynolds@jpmchase.com; tucker.balch@jpmchase.com; manuela.veloso@jpmchase.com</t>
  </si>
  <si>
    <t>Watson, William/0000-0001-5516-262X</t>
  </si>
  <si>
    <t>10.1145/3604237.3626908</t>
  </si>
  <si>
    <t>WOS:001124982700009</t>
  </si>
  <si>
    <t>Baily, MN</t>
  </si>
  <si>
    <t>Baily, Martin Neil</t>
  </si>
  <si>
    <t>Lessons from a Career in Produc- tivity Research: Some Answers, A Glimpse of the Future, and Much Left to Learn</t>
  </si>
  <si>
    <t>INTERNATIONAL PRODUCTIVITY MONITOR</t>
  </si>
  <si>
    <t>UNITED-STATES; EFFICIENCY; GROWTH</t>
  </si>
  <si>
    <t>This study presents lessons learned from a career in productivity research. It examines the extent to which the key empirical questions about productivity have been answered. Aggregate and industry growth data are reviewed and show how a few industries con-tribute a lot to overall growth; notable is the large contribution of high-tech manufacturing to U.S. TFP growth (also the case for Japan). There is an extended summary of the lessons learned from cross-country comparisons of the levels of productivity in different industries using business economics information. Strong competitive intensity is positive for produc-tivity, while regulations and trade restrictions are negative. The article concludes with an optimistic note on the productivity impact of generative AI.</t>
  </si>
  <si>
    <t>[Baily, Martin Neil] Brookings Inst, Washington, DC 20036 USA</t>
  </si>
  <si>
    <t>Brookings Institution</t>
  </si>
  <si>
    <t>Baily, MN (corresponding author), Brookings Inst, Washington, DC 20036 USA.</t>
  </si>
  <si>
    <t>mbaily@brookings.edu</t>
  </si>
  <si>
    <t>CENTRE STUDY LIVING STANDARDS</t>
  </si>
  <si>
    <t>OTTAWA</t>
  </si>
  <si>
    <t>111 SPARKS ST, STE 500, OTTAWA, ON K1P 5B5, CANADA</t>
  </si>
  <si>
    <t>1492-9759</t>
  </si>
  <si>
    <t>1492-9767</t>
  </si>
  <si>
    <t>INT PRODUCT MONIT</t>
  </si>
  <si>
    <t>Int. Product. Monit.</t>
  </si>
  <si>
    <t>L2LO5</t>
  </si>
  <si>
    <t>WOS:001021627000001</t>
  </si>
  <si>
    <t>Zalameda, JG; Witherow, MA; Glandon, AM; Aguilera, J; Iftekharuddin, KM</t>
  </si>
  <si>
    <t>Zalameda, Joseph G.; Witherow, Megan A.; Glandon, Alexander M.; Aguilera, Jose; Iftekharuddin, Khan M.</t>
  </si>
  <si>
    <t>Attack Assessment and Augmented Identity Recognition for Human Skeleton Data</t>
  </si>
  <si>
    <t>Small Data Set; Model Robustness; Security; Human Identity Recognition; Skeleton Data; Motion Capture Data; Generative Adversarial Networks; Synthetic Data Generation</t>
  </si>
  <si>
    <t>Machine learning models trained on small data sets for security applications are especially vulnerable to adversarial attacks. Person identification from LiDAR based skeleton data requires time consuming and expensive data acquisition for each subject identity. Recently, Assessment and Augmented Identity Recognition for Skeletons (AAIRS) has been used to train Hierarchical Co-occurrence Networks for Person Identification (HCN-ID) with small LiDAR based skeleton data sets. However, AAIRS does not evaluate robustness of HCN-ID to adversarial attacks or inoculate the model to defend against such attacks. Popular perturbation-based approaches to generating adversarial attacks are constrained to targeted perturbations added to real training samples, which is not ideal for inoculating models with small training sets. Thus, we propose Attack-AAIRS, a novel addition to the AAIRS framework. Attack-AAIRS leverages a small real data set and a generative adversarial network (GAN) generated synthetic data set to assess and improve model robustness against unseen adversarial attacks. Rather than being constrained to perturbations of limited real training samples, the GAN learns the distribution of adversarial attack samples that exploit weaknesses in HCN-ID. Attack samples drawn from this distribution augment training for inoculation of the HCN-ID to improve robustness. Ten-fold cross validation of Attack-AAIRS yields noticeable increase in robustness to unseen attacks-including Fast Gradient Sign Method, Projected Gradient Descent, Additive Gaussian Noise, Momentum Iterative Fast Gradient Sign Method, and Basic Iterative Method. The HCN-ID Synthetic Data Quality Score for Attack-AAIRS indicates that generated attack samples are of similar quality to the original benign synthetic samples generated by AAIRS. Furthermore, inoculated models show consistent final test accuracy with the original model trained on real data, demonstrating that our method improves robustness to adversarial attacks without reducing testing performance on real data.</t>
  </si>
  <si>
    <t>[Zalameda, Joseph G.; Witherow, Megan A.; Glandon, Alexander M.] Old Dominion Univ, Dept ECE, Norfolk, VA 23529 USA</t>
  </si>
  <si>
    <t>Old Dominion University</t>
  </si>
  <si>
    <t>Zalameda, JG (corresponding author), Old Dominion Univ, Dept ECE, Norfolk, VA 23529 USA.</t>
  </si>
  <si>
    <t>jzala001@odu.edu; mwith010@odu.edu; aglan001@odu.edu; jaguilera23@amherst.edu; kiftekha@odu.edu</t>
  </si>
  <si>
    <t>Iftekharuddin, Khan/AAT-5217-2020</t>
  </si>
  <si>
    <t>Iftekharuddin, Khan/0000-0001-8316-4163</t>
  </si>
  <si>
    <t>US Army NVESD; CERDEC [100659]; DoD Center of Excellence in AI and Machine Learning (CoE-AIML) [W911NF-20-2-0277]; U.S. Army Research Laboratory; National Science Foundation [1828593, 1950704, 1753793]</t>
  </si>
  <si>
    <t>US Army NVESD; CERDEC; DoD Center of Excellence in AI and Machine Learning (CoE-AIML); U.S. Army Research Laboratory(United States Department of DefenseUS Army Research Laboratory (ARL)); National Science Foundation(National Science Foundation (NSF))</t>
  </si>
  <si>
    <t>The authors would like to acknowledge partial support of this work by US Army NVESD, CERDEC through Grant No. 100659, DoD Center of Excellence in AI and Machine Learning (CoE-AIML) under Contract Number W911NF-20-2-0277 with the U.S. Army Research Laboratory, and by the National Science Foundation under Grant No. 1828593, Grant No. 1950704, and Grant No. 1753793.</t>
  </si>
  <si>
    <t>10.1109/IJCNN54540.2023.10191835</t>
  </si>
  <si>
    <t>WOS:001046198706030</t>
  </si>
  <si>
    <t>Richardson, C; Oster, N; Henriksen, D; Mishra, P</t>
  </si>
  <si>
    <t>Richardson, Carmen; Oster, Nicole; Henriksen, Danah; Mishra, Punya</t>
  </si>
  <si>
    <t>Artificial Intelligence, Responsible Innovation, and the Future of Humanity with Andrew Maynard</t>
  </si>
  <si>
    <t>Creativity; Technology; Education; Artificial intelligence; ChatGPT; Generative AI; Responsible innovation; Futures thinking; Future</t>
  </si>
  <si>
    <t>[Richardson, Carmen; Oster, Nicole; Henriksen, Danah; Mishra, Punya] Arizona State Univ, Mary Lou Fulton Teachers Coll, Tempe, AZ 85287 USA</t>
  </si>
  <si>
    <t>Richardson, C (corresponding author), Arizona State Univ, Mary Lou Fulton Teachers Coll, Tempe, AZ 85287 USA.</t>
  </si>
  <si>
    <t>carmen.richardson@asu.edu; njakubcz@asu.edu; danah.henriksen@asu.edu; punya.mishra@asu.edu</t>
  </si>
  <si>
    <t>10.1007/s11528-023-00921-2</t>
  </si>
  <si>
    <t>WOS:001129611500001</t>
  </si>
  <si>
    <t>Lessons from a Career in Produc-tivity Research: Some Answers, A Glimpse of the Future, and Much Left to Learn</t>
  </si>
  <si>
    <t>This study presents lessons learned from a career in productivity research. It examines the extent to which the key empirical questions about productivity have been answered. Aggregate and industry growth data are reviewed and show how a few industries contribute a lot to overall growth; notable is the large contribution of high-tech manufacturing to U.S. TFP growth (also the case for Japan). There is an extended summary of the lessons learned from cross-country comparisons of the levels of productivity in different industries using business economics information. Strong competitive intensity is positive for productivity, while regulations and trade restrictions are negative. The article concludes with an optimistic note on the productivity impact of generative AI.</t>
  </si>
  <si>
    <t>M0XR3</t>
  </si>
  <si>
    <t>WOS:001027465400006</t>
  </si>
  <si>
    <t>Kim, UH; Kim, HJ; Seo, J; Chai, JW; Oh, J; Choi, YH; Kim, DH</t>
  </si>
  <si>
    <t>Kim, Ue-Hwan; Kim, Hyo Jin; Seo, Jiwoon; Chai, Jee Won; Oh, Jiseon; Choi, Yoon-Hee; Kim, Dong Hyun</t>
  </si>
  <si>
    <t>Cerebrospinal fluid flow artifact reduction with deep learning to optimize the evaluation of spinal canal stenosis on spine MRI</t>
  </si>
  <si>
    <t>SKELETAL RADIOLOGY</t>
  </si>
  <si>
    <t>Cerebrospinal fluid; Artifacts; Deep learning; Cycle generative adversarial network; Magnetic resonance imaging</t>
  </si>
  <si>
    <t>CERVICAL-SPINE; IMAGE QUALITY; GRADIENT; APPEARANCE</t>
  </si>
  <si>
    <t>PurposeThe aim of study was to employ the Cycle Generative Adversarial Network (CycleGAN) deep learning model to diminish the cerebrospinal fluid (CSF) flow artifacts in cervical spine MRI. We also evaluate the agreement in quantifying spinal canal stenosis.MethodsFor training model, we collected 9633 axial MR image pairs from 399 subjects. Then, additional 104 image pairs from 19 subjects were gathered for the test set. The deep learning model was developed using CycleGAN to reduce CSF flow artifacts, where T2 TSE images served as input, and T2 FFE images, known for fewer CSF flow artifacts. Post training, CycleGAN-generated images were subjected to both quantitative and qualitative evaluations for CSF artifacts. For assessing the agreement of spinal canal stenosis, four raters utilized an additional 104 pairs of original and CycleGAN-generated images, with inter-rater agreement evaluated using a weighted kappa value.ResultsCSF flow artifacts were reduced in the CycleGAN-generated images compared to the T2 TSE and FFE images in both quantitative and qualitative analysis. All raters concordantly displayed satisfactory estimation results when assessing spinal canal stenosis using the CycleGAN-generated images with T2 TSE images (kappa = 0.61-0.75) compared to the original FFE with T2 TSE images (kappa = 0.48-0.71).ConclusionsCycleGAN demonstrated the capability to produce images with diminished CSF flow artifacts. When paired with T2 TSE images, the CycleGAN-generated images allowed for more consistent assessment of spinal canal stenosis and exhibited agreement levels that were comparable to the combination of T2 TSE and FFE images.</t>
  </si>
  <si>
    <t>[Kim, Ue-Hwan] Gwangju Inst Sci &amp; Technol GIST, AI Grad Sch, Gwangju, South Korea; [Kim, Hyo Jin; Seo, Jiwoon; Chai, Jee Won; Kim, Dong Hyun] Seoul Natl Univ, Seoul Metropolitan Govt, Boramae Med Ctr, Dept Radiol,Coll Med, 20 Boramae Ro 5 Gil, Seoul 07061, South Korea; [Oh, Jiseon] Seoul Natl Univ, Seoul Natl Univ Hosp, Coll Med, Dept Radiol, Seoul, South Korea; [Choi, Yoon-Hee] Soonchunhyang Univ, Soonchunhyang Univ Seoul Hosp, Dept Phys Med &amp; Rehabil, Coll Med, Seoul, South Korea</t>
  </si>
  <si>
    <t>Gwangju Institute of Science &amp; Technology (GIST); Seoul National University (SNU); Seoul National University Hospital; Seoul National University (SNU); Seoul National University Hospital; Soonchunhyang University</t>
  </si>
  <si>
    <t>Kim, DH (corresponding author), Seoul Natl Univ, Seoul Metropolitan Govt, Boramae Med Ctr, Dept Radiol,Coll Med, 20 Boramae Ro 5 Gil, Seoul 07061, South Korea.;Choi, YH (corresponding author), Soonchunhyang Univ, Soonchunhyang Univ Seoul Hosp, Dept Phys Med &amp; Rehabil, Coll Med, Seoul, South Korea.</t>
  </si>
  <si>
    <t>yoonhee.choi83@gmail.com; mi4ri4@gmail.com</t>
  </si>
  <si>
    <t>Kim, Dong Hyun/0000-0002-3871-7002</t>
  </si>
  <si>
    <t>0364-2348</t>
  </si>
  <si>
    <t>1432-2161</t>
  </si>
  <si>
    <t>SKELETAL RADIOL</t>
  </si>
  <si>
    <t>Skeletal Radiol.</t>
  </si>
  <si>
    <t>10.1007/s00256-023-04501-6</t>
  </si>
  <si>
    <t>Orthopedics; Radiology, Nuclear Medicine &amp; Medical Imaging</t>
  </si>
  <si>
    <t>Y5JG9</t>
  </si>
  <si>
    <t>WOS:001105612800001</t>
  </si>
  <si>
    <t>Ammous, D; Chabbouh, A; Edhib, A; Chaari, A; Kammoun, F; Masmoudi, N</t>
  </si>
  <si>
    <t>Ammous, Donia; Chabbouh, Achraf; Edhib, Awatef; Chaari, Ahmed; Kammoun, Fahmi; Masmoudi, Nouri</t>
  </si>
  <si>
    <t>Designing an Efficient System for Emotion Recognition Using CNN</t>
  </si>
  <si>
    <t>JOURNAL OF ELECTRICAL AND COMPUTER ENGINEERING</t>
  </si>
  <si>
    <t>Implementing an efficient system for emotion recognition has recently posed a challenge that has not been fully developed yet. Facial emotion recognition (FER) is an important subject matter in the fields of artificial intelligence (AI) since it exhibits a greater commercial potential. This technique is used to analyse various sentiments and reveal a person's behavior. It could be related to the mental or physiological state of mind. This paper mainly focuses on a human emotion recognition system through a detected human face. Its accuracy was improved via different data augmentation tools, early stopping, and generative adversarial networks (GANs). Compared to previous methods, experimental results show that the proposed method provides a 0.55% to 35.7% gain performance.</t>
  </si>
  <si>
    <t>[Ammous, Donia; Kammoun, Fahmi; Masmoudi, Nouri] Univ Sfax, Natl Sch Engineers Sfax, Lab Elect &amp; Technol Informat, Circuit &amp; Syst Team C&amp;S,LR99ES37, Sfax 3038, Tunisia; [Ammous, Donia; Edhib, Awatef] Sogimel, Consulting Co Comp Engn &amp; Video Surveillance, Sfax Technopole, Sakiet Ezzit 3021, Tunisia; [Chabbouh, Achraf] Higher Inst Technol Studies Sidi Bouzid, Sidi Bouzid, Tunisia; [Chabbouh, Achraf; Chaari, Ahmed] Anavid France, 10 Rd Penthievre, Paris, France</t>
  </si>
  <si>
    <t>Universite de Sfax; Ecole Nationale dIngenieurs de Sfax (ENIS); Faculty of Sciences Sfax</t>
  </si>
  <si>
    <t>Ammous, D (corresponding author), Univ Sfax, Natl Sch Engineers Sfax, Lab Elect &amp; Technol Informat, Circuit &amp; Syst Team C&amp;S,LR99ES37, Sfax 3038, Tunisia.;Ammous, D (corresponding author), Sogimel, Consulting Co Comp Engn &amp; Video Surveillance, Sfax Technopole, Sakiet Ezzit 3021, Tunisia.</t>
  </si>
  <si>
    <t>ammous.donia@gmail.com; chabbouhachraf.ac@gmail.com; awatefedhib@gmail.com; ahmed.chaari@gmail.com; fahmi_kammoun@yahoo.fr; masmoudi123@gmail.com</t>
  </si>
  <si>
    <t>This work was performed under the MOBIDOC PromESsE fund from the Tunisian Ministry of Higher Education and Scientific Research. This research publication was supported by ANAVID France Company. The authors would like to express their sincere gratitude to A; Tunisian Ministry of Higher Education and Scientific Research; ANAVID France Company; LETI Research Laboratory</t>
  </si>
  <si>
    <t>This work was performed under the MOBIDOC PromESsE fund from the Tunisian Ministry of Higher Education and Scientific Research. This research publication was supported by ANAVID France Company. The authors would like to express their sincere gratitude to ANAVID Company and LETI Research Laboratory.</t>
  </si>
  <si>
    <t>HINDAWI LTD</t>
  </si>
  <si>
    <t>ADAM HOUSE, 3RD FLR, 1 FITZROY SQ, LONDON, W1T 5HF, ENGLAND</t>
  </si>
  <si>
    <t>2090-0147</t>
  </si>
  <si>
    <t>2090-0155</t>
  </si>
  <si>
    <t>J ELECTR COMPUT ENG</t>
  </si>
  <si>
    <t>J. Electr. Comput. Eng.</t>
  </si>
  <si>
    <t>10.1155/2023/9351345</t>
  </si>
  <si>
    <t>S1WT3</t>
  </si>
  <si>
    <t>WOS:001069151000001</t>
  </si>
  <si>
    <t>Zhao, YZ; Po, LM; Wang, XH; Yan, Q; Shen, W; Zhang, YJ; Liu, W; Wong, CK; Pang, CS; Ou, WF; Yu, WY; Liu, BH</t>
  </si>
  <si>
    <t>Zhao, Yuzhi; Po, Lai-Man; Wang, Xuehui; Yan, Qiong; Shen, Wei; Zhang, Yujia; Liu, Wei; Wong, Chun-Kit; Pang, Chiu-Sing; Ou, Weifeng; Yu, Wing-Yin; Liu, Buhua</t>
  </si>
  <si>
    <t>ChildPredictor: A Child Face Prediction Framework With Disentangled Learning</t>
  </si>
  <si>
    <t>Face recognition; Faces; Genetics; Generative adversarial networks; Training; Glass; Skin; Child face prediction; disentangled learning; generative adversarial network; image-to-image translation</t>
  </si>
  <si>
    <t>The appearances of children are inherited from their parents, whichmakes it feasible to predict them. Predicting realistic children's faces may help settle many social problems, such as ageinvariant face recognition, kinship verification, and missing child identification. It can be regarded as an image-to-image translation task. Existing approaches usually assume domain information in the image-to-image translation can be interpreted by style, i.e., the separation of image content and style. However, such separation is improper for the child face prediction, because the facial contours between children and parents are not the same. To address this issue, we propose a new disentangled learning strategy for children's face prediction. We assume that children's faces are determined by genetic factors (compact family features, e.g., face contour), external factors (facial attributes irrelevant to prediction, such as moustaches and glasses), and variety factors (individual properties for each child). On this basis, we formulate predictions as a mapping from parents' genetic factors to children's genetic factors, and disentangle them from external and variety factors. In order to obtain accurate genetic factors and perform the mapping, we propose a ChildPredictor framework. It transfers human faces to genetic factors by encoders and back by generators. Then, it learns the relationship between the genetic factors of parents and children through a mapping function. To ensure the generated faces are realistic, we collect a large Family Face Database to train ChildPredictor and evaluate it on the FF-Database validation set. Experimental results demonstrate that ChildPredictor is superior to other well-known image-to-image translation methods in predicting realistic and diverse child faces. Implementation codes can be found at https:// github.com/ zhaoyuzhi/ChildPredictor.</t>
  </si>
  <si>
    <t>[Zhao, Yuzhi; Po, Lai-Man; Zhang, Yujia; Wong, Chun-Kit; Pang, Chiu-Sing; Ou, Weifeng; Yu, Wing-Yin] City Univ Hong Kong, Dept Elect Engn, Hong Kong, Peoples R China; [Wang, Xuehui; Shen, Wei] Shanghai Jiao Tong Univ, Artificial Intelligence Inst, Shanghai 201100, Peoples R China; [Yan, Qiong] SenseTime Res &amp; Tetras AI, Hong Kong, Peoples R China; [Liu, Wei] ByteDance Ltd, Beijing 100080, Peoples R China; [Liu, Buhua] Hong Kong Baptist Univ, Dept Comp Sci, Hong Kong, Peoples R China</t>
  </si>
  <si>
    <t>City University of Hong Kong; Shanghai Jiao Tong University; Hong Kong Baptist University</t>
  </si>
  <si>
    <t>yzzhao2-c@my.cityu.edu.hk; eelmpo@cityu.edu.hk; wangxuehui@sjtu.edu.cn; sophie.yanqiong@gmail.com; wei.shen@sjtu.edu.cn; yzhang2383-c@my.cityu.edu.hk; liujikun63@gmail.com; ckwong535-c@my.cityu.edu.hk; chiuspang2-c@my.cityu.edu.hk; weifengou2-c@my.cityu.edu.hk; wingyinyu8-c@my.cityu.edu.hk; csbhliu@comp.hkbu.edu.hk</t>
  </si>
  <si>
    <t>Wang, zijun/JNS-5435-2023; /ADN-5973-2022</t>
  </si>
  <si>
    <t>/0000-0002-8908-3863; Zhao, Yuzhi/0000-0001-8561-2206; YU, Wing Yin/0000-0002-9559-1055</t>
  </si>
  <si>
    <t>10.1109/TMM.2022.3164785</t>
  </si>
  <si>
    <t>FE2H4</t>
  </si>
  <si>
    <t>WOS:001144015500016</t>
  </si>
  <si>
    <t>Rugina, I; Dangovski, R; Simek, O; Veillette, M; Khorrami, P; Soljacic, M; Cheung, B</t>
  </si>
  <si>
    <t>Rugina, Ileana; Dangovski, Rumen; Simek, Olga; Veillette, Mark; Khorrami, Pooya; Soljacic, Marin; Cheung, Brian</t>
  </si>
  <si>
    <t>Meta-Learning and Self-Supervised Pretraining for Storm Event Imagery Translation</t>
  </si>
  <si>
    <t>few-shot learning; self-supervised learning; meta-learning; generative adversarial networks</t>
  </si>
  <si>
    <t>Recent advances in deep learning have provided impressive results across a wide range of computational problems such as computer vision, natural language, or reinforcement learning. However, many of these improvements are constrained to problems with large-scale curated datasets which require a lot of human labor to gather. Additionally, these models tend to generalize poorly under both slight distributional shifts and low-data regimes. In recent years, emerging fields such as meta-learning and self-supervised learning have been closing the gap between proof-of-concept results and real-life applications of machine learning by extending deep learning to the semi-supervised and few-shot domains. We follow this line of work and explore spatiotemporal structure in a recently introduced image-to-image translation problem for storm event imagery in order to: i) formulate a novel multi-task few-shot image generation benchmark in the field of AI for Earth and Space Science and ii) explore data augmentations in contrastive pretraining for image translation downstream tasks. We present several baselines for the few-shot problem and discuss trade-offs between different approaches. Our implementation and instructions to reproduce the experiments, available at https://github.com/irugina/meta-image-translation, are thoroughly tested on MIT SuperCloud, and scalable to other state-of-the-art HPC systems.</t>
  </si>
  <si>
    <t>[Rugina, Ileana; Dangovski, Rumen] MIT EECS, Cambridge, MA 02139 USA; [Simek, Olga; Veillette, Mark; Khorrami, Pooya] MIT Lincoln Lab, Lexington, MA USA; [Khorrami, Pooya] MIT Phys, Cambridge, MA USA; [Cheung, Brian] MIT CSAIL &amp; BCS, Cambridge, MA USA</t>
  </si>
  <si>
    <t>Lincoln Laboratory; Massachusetts Institute of Technology (MIT)</t>
  </si>
  <si>
    <t>Rugina, I (corresponding author), MIT EECS, Cambridge, MA 02139 USA.</t>
  </si>
  <si>
    <t>irugina@mit.edu; rumenrd@mit.edu; osimek@ll.mit.edu; mark.veillette@ll.mit.edu; pooya.khorrami@ll.mit.edu; soljacic@mit.edu; cheungb@mit.edu</t>
  </si>
  <si>
    <t>United States Air Force Research Laboratory; United States Air Force Artificial Intelligence Accelerator [FA8750-19-2-1000]; Air Force Office of Scientific Research [FA9550-21-1-0317]; U.S. Army Research Office through the Institute for Soldier Nanotechnologies at MIT [W911NF-18-2-0048]; National Science Foundation [PHY-2019786]</t>
  </si>
  <si>
    <t>United States Air Force Research Laboratory(United States Department of DefenseUS Air Force Research Laboratory); United States Air Force Artificial Intelligence Accelerator; Air Force Office of Scientific Research(United States Department of DefenseAir Force Office of Scientific Research (AFOSR)); U.S. Army Research Office through the Institute for Soldier Nanotechnologies at MIT; National Science Foundation(National Science Foundation (NSF))</t>
  </si>
  <si>
    <t>Research was sponsored by the United States Air Force Research Laboratory and the United States Air Force Artificial Intelligence Accelerator and was accomplished under Cooperative Agreement Number FA8750-19-2-1000. The views and conclusions contained in this document are those of the authors and should not be interpreted as representing the official policies, either expressed or implied, of the United States Air Force or the U.S. Government. The U.S. Government is authorized to reproduce and distribute reprints for Government purposes notwithstanding any copyright notation herein.; This material is also based in part upon work supported by the Air Force Office of Scientific Research under the award number FA9550-21-1-0317 and the U.S. Army Research Office through the Institute for Soldier Nanotechnologies at MIT, under Collaborative Agreement Number W911NF-18-2-0048. This work is also supported in part by the the National Science Foundation under Cooperative Agreement PHY-2019786 (The NSF AI Institute for Artificial Intelligence and Fundamental Interactions, http://iaifi.org/).</t>
  </si>
  <si>
    <t>10.1109/HPEC58863.2023.10363448</t>
  </si>
  <si>
    <t>WOS:001156959800004</t>
  </si>
  <si>
    <t>Heinz, MV; Bhattacharya, S; Trudeau, B; Quist, R; Song, SH; Lee, CM; Jacobson, NC</t>
  </si>
  <si>
    <t>Heinz, Michael V.; Bhattacharya, Sukanya; Trudeau, Brianna; Quist, Rachel; Song, Seo Ho; Lee, Camilla M.; Jacobson, Nicholas C.</t>
  </si>
  <si>
    <t>Testing domain knowledge and risk of bias of a large-scale general artificial intelligence model in mental health</t>
  </si>
  <si>
    <t>Digital health; digital mental health; bias in mental health; artificial intelligence; digital mental health assessment</t>
  </si>
  <si>
    <t>UNITED-STATES</t>
  </si>
  <si>
    <t>BackgroundWith a rapidly expanding gap between the need for and availability of mental health care, artificial intelligence (AI) presents a promising, scalable solution to mental health assessment and treatment. Given the novelty and inscrutable nature of such systems, exploratory measures aimed at understanding domain knowledge and potential biases of such systems are necessary for ongoing translational development and future deployment in high-stakes healthcare settings. MethodsWe investigated the domain knowledge and demographic bias of a generative, AI model using contrived clinical vignettes with systematically varied demographic features. We used balanced accuracy (BAC) to quantify the model's performance. We used generalized linear mixed-effects models to quantify the relationship between demographic factors and model interpretation. FindingsWe found variable model performance across diagnoses; attention deficit hyperactivity disorder, posttraumatic stress disorder, alcohol use disorder, narcissistic personality disorder, binge eating disorder, and generalized anxiety disorder showed high BAC (0.70 &lt;= BAC &lt;= 0.82); bipolar disorder, bulimia nervosa, barbiturate use disorder, conduct disorder, somatic symptom disorder, benzodiazepine use disorder, LSD use disorder, histrionic personality disorder, and functional neurological symptom disorder showed low BAC (BAC &lt;= 0.59). InterpretationOur findings demonstrate initial promise in the domain knowledge of a large AI model, with performance variability perhaps due to the more salient hallmark symptoms, narrower differential diagnosis, and higher prevalence of some disorders. We found limited evidence of model demographic bias, although we do observe some gender and racial differences in model outcomes mirroring real-world differential prevalence estimates.</t>
  </si>
  <si>
    <t>[Heinz, Michael V.; Bhattacharya, Sukanya; Trudeau, Brianna; Quist, Rachel; Song, Seo Ho; Lee, Camilla M.; Jacobson, Nicholas C.] Dartmouth Coll, Ctr Technol &amp; Behav Hlth, Geisel Sch Med, Lebanon, NH USA; [Heinz, Michael V.; Jacobson, Nicholas C.] Dartmouth Coll, Geisel Sch Med, Dept Psychiat, Hanover, NH USA; [Jacobson, Nicholas C.] Dartmouth Coll, Quantitat Biomed Sci Program, Hanover, NH USA; [Jacobson, Nicholas C.] Dartmouth Coll, Geisel Sch Med, Dept Biomed Data Sci, Lebanon, NH USA; [Heinz, Michael V.] Dartmouth Coll, Ctr Technol &amp; Behav Hlth, 46 Centerra Pkwy, Lebanon, NH 03766 USA</t>
  </si>
  <si>
    <t>Dartmouth College; Dartmouth College; Dartmouth College; Dartmouth College; Dartmouth College</t>
  </si>
  <si>
    <t>Heinz, MV (corresponding author), Dartmouth Coll, Ctr Technol &amp; Behav Hlth, 46 Centerra Pkwy, Lebanon, NH 03766 USA.</t>
  </si>
  <si>
    <t>michael.v.heinz@dartmouth.edu</t>
  </si>
  <si>
    <t>Jacobson, Nicholas C./J-4543-2019; Quist, Rachel/JRW-2283-2023</t>
  </si>
  <si>
    <t>Jacobson, Nicholas C./0000-0002-8832-4741; Song, Seo Ho/0000-0003-2970-2746; Quist, Rachel/0000-0003-4088-347X</t>
  </si>
  <si>
    <t>National Institute of Mental Health (NIMH); National Institute Of General Medical Sciences (NIGMS) [1 R01 MH123482-01]</t>
  </si>
  <si>
    <t>National Institute of Mental Health (NIMH)(United States Department of Health &amp; Human ServicesNational Institutes of Health (NIH) - USANIH National Institute of Mental Health (NIMH)); National Institute Of General Medical Sciences (NIGMS)(United States Department of Health &amp; Human ServicesNational Institutes of Health (NIH) - USANIH National Institute of General Medical Sciences (NIGMS))</t>
  </si>
  <si>
    <t>The authors disclosed receipt of the following financial support for the research, authorship, and/or publication of this article: This work was partially funded by the National Institute of Mental Health (NIMH) and the National Institute Of General Medical Sciences (NIGMS) under 1 R01 MH123482-01.</t>
  </si>
  <si>
    <t>10.1177/20552076231170499</t>
  </si>
  <si>
    <t>D8ZS2</t>
  </si>
  <si>
    <t>WOS:000971561200001</t>
  </si>
  <si>
    <t>Liu, YH; Wang, SN; Yu, GM</t>
  </si>
  <si>
    <t>Liu, Yuhan; Wang, Shuining; Yu, Guoming</t>
  </si>
  <si>
    <t>The nudging effect of AIGC labeling on users' perceptions of automated news: evidence from EEG</t>
  </si>
  <si>
    <t>FRONTIERS IN PSYCHOLOGY</t>
  </si>
  <si>
    <t>automated news; users' perception; AIGC labeling; nudge theory; EEG</t>
  </si>
  <si>
    <t>AUTHORSHIP; JUDGMENT; MEDIA</t>
  </si>
  <si>
    <t>IntroductionIn the context of generative AI intervention in news production, this study primarily focuses on the impact of AI-generated content (AIGC) labeling cues on users' perceptions of automated news based on nudge theory.MethodsA 2 (authorship disclosure nudge cues: with vs. without AIGC label) x 2 (automated news type: descriptive vs. evaluative news) within-subject experiment was carried out. Thirty-two participants were recruited to read automated news, evaluate the perceived content trustworthiness, and record with an EEG device.ResultsThe results demonstrated that disclosure of AIGC labeling significantly reduced the trustworthiness perception of both fact-based descriptive and opinion-based evaluative news. In EEG, the delta PSD, theta PSD, alpha PSD, and beta PSD with disclosure of AIGC labeling were significantly higher than those without AIGC labeling. Meanwhile, in descriptive news conditions, TAR with AIGC labeling was higher than without AIGC labeling.DiscussionThese results suggested that AIGC labeling significantly improves the degree of attention concentration in reading and deepens the degree of cognitive processing. Users are nudged by AIGC labeling to shift their limited attention and cognitive resources to re-evaluate the information quality to obtain more prudent judgment results. This helps to supplement the theoretical perspective on transparent disclosure nudging in the Internet content governance research field, and it can offer practical guidance to use content labeling to regulate the media industry landscape in the face of AI's pervasive presence.</t>
  </si>
  <si>
    <t>[Liu, Yuhan; Wang, Shuining; Yu, Guoming] Beijing Normal Univ, Sch Journalism &amp; Commun, Beijing, Peoples R China; [Liu, Yuhan; Wang, Shuining; Yu, Guoming] Beijing Normal Univ, Sch Journalism &amp; Commun, Lab Cognit Neurosci &amp; Commun, Beijing, Peoples R China; [Yu, Guoming] State Key Lab Media Convergence Prod Technol &amp; Sys, Beijing, Peoples R China</t>
  </si>
  <si>
    <t>Beijing Normal University; Beijing Normal University</t>
  </si>
  <si>
    <t>Yu, GM (corresponding author), Beijing Normal Univ, Sch Journalism &amp; Commun, Beijing, Peoples R China.;Yu, GM (corresponding author), Beijing Normal Univ, Sch Journalism &amp; Commun, Lab Cognit Neurosci &amp; Commun, Beijing, Peoples R China.;Yu, GM (corresponding author), State Key Lab Media Convergence Prod Technol &amp; Sys, Beijing, Peoples R China.</t>
  </si>
  <si>
    <t>yuguoming@126.com</t>
  </si>
  <si>
    <t>State Key Laboratory of Media Convergence Production Technology [SKLMCPTS202103014, SKLMCPTS202103015]; China Youth &amp; Children Research Association [2023A03]</t>
  </si>
  <si>
    <t>State Key Laboratory of Media Convergence Production Technology; China Youth &amp; Children Research Association</t>
  </si>
  <si>
    <t>The author(s) declare financial support was received for the research, authorship, and/or publication of this article. This manuscript was funded by the State Key Laboratory of Media Convergence Production Technology and Systems (SKLMCPTS202103014; SKLMCPTS202103015); China Youth &amp; Children Research Association (2023A03).</t>
  </si>
  <si>
    <t>1664-1078</t>
  </si>
  <si>
    <t>FRONT PSYCHOL</t>
  </si>
  <si>
    <t>Front. Psychol.</t>
  </si>
  <si>
    <t>10.3389/fpsyg.2023.1277829</t>
  </si>
  <si>
    <t>EB0W8</t>
  </si>
  <si>
    <t>WOS:001136339200001</t>
  </si>
  <si>
    <t>Cumiskey, KM; Humphreys, L</t>
  </si>
  <si>
    <t>Cumiskey, Kathleen M.; Humphreys, Lee</t>
  </si>
  <si>
    <t>Social, seamless, just, and open: Advancing mobile communication research</t>
  </si>
  <si>
    <t>AI; diversity; inclusivity; mobile phones; open access; open research; seamless; smartphones; social; social justice</t>
  </si>
  <si>
    <t>PHONE; TECHNOLOGY; INFORMATION; MIDWIVES; ACCESS; AGE</t>
  </si>
  <si>
    <t>Through integrating the research featured in this issue, this article describes generative areas for future research and the means to advance the impact of our field. Reflective practices related to field building and knowledge access for which Rich Ling helped to lay the groundwork are highlighted. Ling's work in mobile media and telecommunications has influenced the theoretical, methodological, and empirical opportunities for mobile communication research. Four themes for future mobile communication research have emerged: social, seamless, just, and open. These themes align with the work featured in this issue and with Ling's promotion of practices that enhance our field to develop relevancy, integrity, and ecological validity. This article places special focus on global and social justice as leading to a better understanding of mobile communication in the world.</t>
  </si>
  <si>
    <t>[Cumiskey, Kathleen M.] CUNY, Coll Staten Isl, Dept Psychol, New York, NY USA; [Humphreys, Lee] Cornell Univ, Dept Commun, Ithaca, NY USA; [Humphreys, Lee] Cornell Univ, Qualitat &amp; Interpret Res Inst, Ithaca, NY USA; [Cumiskey, Kathleen M.] CUNY, Coll Staten Isl, 2800 Victory Blvd,Bldg 4S-108, Staten Isl, NY 10314 USA</t>
  </si>
  <si>
    <t>City University of New York (CUNY) System; College of Staten Island (CUNY); Cornell University; Cornell University; City University of New York (CUNY) System; College of Staten Island (CUNY)</t>
  </si>
  <si>
    <t>Cumiskey, KM (corresponding author), CUNY, Coll Staten Isl, 2800 Victory Blvd,Bldg 4S-108, Staten Isl, NY 10314 USA.</t>
  </si>
  <si>
    <t>Katie.cumiskey@csi.cuny.edu</t>
  </si>
  <si>
    <t>10.1177/14614448231158642</t>
  </si>
  <si>
    <t>E2SW2</t>
  </si>
  <si>
    <t>WOS:000973458000001</t>
  </si>
  <si>
    <t>McNeely, T; Khokhlov, P; Dalmasso, N; Wood, KM; Lee, AB</t>
  </si>
  <si>
    <t>McNeely, Trey; Khokhlov, Pavel; Dalmasso, Niccolo; Wood, Kimberly M.; Lee, Ann B.</t>
  </si>
  <si>
    <t>Structural Forecasting for Short-Term Tropical Cyclone Intensity Guidance</t>
  </si>
  <si>
    <t>WEATHER AND FORECASTING</t>
  </si>
  <si>
    <t>Hurricanes; typhoons; Satellite observations; Probability forecasts; models; distribution; Deep learning; Artificial intelligence; Short-range prediction</t>
  </si>
  <si>
    <t>SCHEME</t>
  </si>
  <si>
    <t>Because geostationary satellite (Geo) imagery provides a high temporal resolution window into tropical cyclone (TC) behavior, we investigate the viability of its application to short-term probabilistic forecasts of TC convective structure to subsequently predict TC intensity. Here, we present a prototype model that is trained solely on two inputs: Geo infrared imag-ery leading up to the synoptic time of interest and intensity estimates up to 6 h prior to that time. To estimate future TC struc-ture, we compute cloud-top temperature radial profiles from infrared imagery and then simulate the evolution of an ensemble of those profiles over the subsequent 12 h by applying a deep autoregressive generative model (PixelSNAIL). To forecast TC in-tensities at hours 6 and 12, we input operational intensity estimates up to the current time (0 h) and simulated future radial pro-files up to 112 h into a nowcasting convolutional neural network. We limit our inputs to demonstrate the viability of our approach and to enable quantification of value added by the observed and simulated future radial profiles beyond operational intensity estimates alone. Our prototype model achieves a marginally higher error than the National Hurricane Center's official forecasts despite excluding environmental factors, such as vertical wind shear and sea surface temperature. We also demonstrate that it is possible to reasonably predict short-term evolution of TC convective structure via radial profiles from Geo infrared im-agery, resulting in interpretable structural forecasts that may be valuable for TC operational guidance.</t>
  </si>
  <si>
    <t>[McNeely, Trey; Dalmasso, Niccolo; Lee, Ann B.] Carnegie Mellon Univ, Dept Stat &amp; Data Sci, Pittsburgh, PA 15213 USA; [Khokhlov, Pavel] Carnegie Mellon Univ, Machine Learning Dept, Pittsburgh, PA USA; [Wood, Kimberly M.] Mississippi State Univ, Dept Geosci, Mississippi State, MS USA; [McNeely, Trey] Microsoft AI Dev Accelerat Program, Cambridge, MA USA</t>
  </si>
  <si>
    <t>Carnegie Mellon University; Carnegie Mellon University; Mississippi State University</t>
  </si>
  <si>
    <t>Lee, AB (corresponding author), Carnegie Mellon Univ, Dept Stat &amp; Data Sci, Pittsburgh, PA 15213 USA.</t>
  </si>
  <si>
    <t>annlee@stat.cmu.edu</t>
  </si>
  <si>
    <t>Lee, ann/JFS-5133-2023; Dalmasso, Niccolo/KBC-5133-2024</t>
  </si>
  <si>
    <t>Dalmasso, Niccolo/0000-0002-8121-2720; Wood, Kimberly/0000-0002-1436-5137</t>
  </si>
  <si>
    <t>NSF [DMS-2053804, PHY-2020295]; C3.ai Digital Transformation Institute</t>
  </si>
  <si>
    <t>NSF(National Science Foundation (NSF)); C3.ai Digital Transformation Institute</t>
  </si>
  <si>
    <t>Part of this research was done as an independent study in the spring of 2021 while Pavel Khokhlov was a Master in Machine Learning student at Carnegie Mellon University. We are grateful to Microsoft for providing Azure computing resources for this work. The authors thank Katerina Fragkiadaki for a discussion on deep generative networks, and Galen Vincent for many helpful comments on the research. This work is supported in part by NSF DMS-2053804, NSF PHY-2020295, and the C3.ai Digital Transformation Institute.</t>
  </si>
  <si>
    <t>AMER METEOROLOGICAL SOC</t>
  </si>
  <si>
    <t>45 BEACON ST, BOSTON, MA 02108-3693, UNITED STATES</t>
  </si>
  <si>
    <t>0882-8156</t>
  </si>
  <si>
    <t>1520-0434</t>
  </si>
  <si>
    <t>WEATHER FORECAST</t>
  </si>
  <si>
    <t>Weather Forecast.</t>
  </si>
  <si>
    <t>10.1175/WAF-D-22-0111.1</t>
  </si>
  <si>
    <t>L4CC1</t>
  </si>
  <si>
    <t>WOS:001022743800002</t>
  </si>
  <si>
    <t>Wu, YH; Cheng, CY; Chen, YY; Li, FY</t>
  </si>
  <si>
    <t>Wu, Yi-Huan; Cheng, Chih-Yang; Chen, Yen-Yang; Li, Feng-Yin</t>
  </si>
  <si>
    <t>Drug design of human dihydrofolate reductase (hDHFR) inhibitors with deep learning</t>
  </si>
  <si>
    <t>JOURNAL OF THE CHINESE CHEMICAL SOCIETY</t>
  </si>
  <si>
    <t>cGAN; deep learning; dihydrofolate reductase; QSAR</t>
  </si>
  <si>
    <t>Human dihydrofolate reductase (hDHFR) inhibitors have been a popular research object designed as anti-cancer, anti-malarial, and antibacterial drugs for decades. Besides quantitative structure-activity relationship (QSAR), artificial intelligence (AI) has recently been introduced in numerous professional biological researches, such as molecular drug design and biological activity prediction. In this study, we construct a deep-learning workflow for designing novel hDHFR inhibitors. This workflow mainly includes two networks, as described in the following: The first one is the artificial neural network trained by the molecules selected from the ChEMBL database with experimental hDHFR inhibitions as the label to evaluate the bioactivity of the designed molecular structures constructed from the second network. The second network utilizes conditional generative and adversarial networks (cGAN) to generate candidate molecules with the desired properties. Finally, the obtained candidate molecules with high hDHFR inhibition are subjected to a molecular docking process to verify their binding patterns and affinity strengths inside the active site of hDHFR. In the end, we have successfully identified several novel drug-like compounds with hDHFR inhibition comparable to those currently used in clinics. We present a new tool to effectively design new drug-like compounds through an AI approach.</t>
  </si>
  <si>
    <t>[Wu, Yi-Huan] ROC Mil Acad, Dept Chem, Kaohsiung, Taiwan; [Cheng, Chih-Yang; Chen, Yen-Yang; Li, Feng-Yin] Natl Chung Hsing Univ, Dept Chem, Taichung 402, Taichung, Taiwan</t>
  </si>
  <si>
    <t>National Chung Hsing University</t>
  </si>
  <si>
    <t>Li, FY (corresponding author), Natl Chung Hsing Univ, Dept Chem, Taichung 402, Taichung, Taiwan.</t>
  </si>
  <si>
    <t>feng64@nchu.edu.tw</t>
  </si>
  <si>
    <t>0009-4536</t>
  </si>
  <si>
    <t>2192-6549</t>
  </si>
  <si>
    <t>J CHIN CHEM SOC-TAIP</t>
  </si>
  <si>
    <t>J. Chin. Chem. Soc.</t>
  </si>
  <si>
    <t>10.1002/jccs.202350068</t>
  </si>
  <si>
    <t>H1SC4</t>
  </si>
  <si>
    <t>WOS:000982436500001</t>
  </si>
  <si>
    <t>French, F; Levi, D; Maczo, C; Simonaityte, A; Triantafyllidis, S; Varda, G</t>
  </si>
  <si>
    <t>French, Fiona; Levi, David; Maczo, Csaba; Simonaityte, Aiste; Triantafyllidis, Stefanos; Varda, Gergo</t>
  </si>
  <si>
    <t>Creative Use of OpenAI in Education: Case Studies from Game Development</t>
  </si>
  <si>
    <t>MULTIMODAL TECHNOLOGIES AND INTERACTION</t>
  </si>
  <si>
    <t>artificial intelligence; OpenAI; ChatGPT; Dall-E; LLM; procedural generation; interaction design; game design; game programming; education</t>
  </si>
  <si>
    <t>Educators and students have shown significant interest in the potential for generative artificial intelligence (AI) technologies to support student learning outcomes, for example, by offering personalized experiences, 24 h conversational assistance, text editing and help with problem-solving. We review contemporary perspectives on the value of AI as a tool in an educational context and describe our recent research with undergraduate students, discussing why and how we integrated OpenAI tools ChatGPT and Dall-E into the curriculum during the 2022-2023 academic year. A small cohort of games programming students in the School of Computing and Digital Media at London Metropolitan University was given a research and development assignment that explicitly required them to engage with OpenAI. They were tasked with evaluating OpenAI tools in the context of game development, demonstrating a working solution and reporting on their findings. We present five case studies that showcase some of the outputs from the students and we discuss their work. This mode of assessment was both productive and popular, mapping to students' interests and helping to refine their skills in programming, problem-solving, critical reflection and exploratory design.</t>
  </si>
  <si>
    <t>[French, Fiona; Levi, David; Maczo, Csaba; Simonaityte, Aiste; Triantafyllidis, Stefanos; Varda, Gergo] London Metropolitan Univ, Sch Comp &amp; Digital Media, London N7 8DB, England</t>
  </si>
  <si>
    <t>London Metropolitan University</t>
  </si>
  <si>
    <t>French, F (corresponding author), London Metropolitan Univ, Sch Comp &amp; Digital Media, London N7 8DB, England.</t>
  </si>
  <si>
    <t>f.french@londonmet.ac.uk</t>
  </si>
  <si>
    <t>French, Fiona/0000-0003-4226-6889</t>
  </si>
  <si>
    <t>We would like to thank our reviewers for their insightful and constructive comments and advice, which have contributed to the preparation of this manuscript.</t>
  </si>
  <si>
    <t>2414-4088</t>
  </si>
  <si>
    <t>MULTIMODAL TECHNOLOG</t>
  </si>
  <si>
    <t>Multimodal Technol. Interaction</t>
  </si>
  <si>
    <t>10.3390/mti7080081</t>
  </si>
  <si>
    <t>Computer Science, Artificial Intelligence; Computer Science, Cybernetics; Computer Science, Information Systems</t>
  </si>
  <si>
    <t>Q3OM9</t>
  </si>
  <si>
    <t>WOS:001056644500001</t>
  </si>
  <si>
    <t>Mankodiya, H; Palkhiwala, P; Gupta, R; Jadav, NK; Tanwar, S; Alfarraj, O; Tolba, A; Raboaca, MS; Marina, V</t>
  </si>
  <si>
    <t>Mankodiya, Harsh; Palkhiwala, Priyal; Gupta, Rajesh; Jadav, Nilesh Kumar; Tanwar, Sudeep; Alfarraj, Osama; Tolba, Amr; Raboaca, Maria Simona; Marina, Verdes</t>
  </si>
  <si>
    <t>Deep Learning-Based Robust Morphed Face Authentication Framework for Online Systems</t>
  </si>
  <si>
    <t>Artificial intelligence; discriminator; generator; Pix2pix GANs; Kullback-Leibler (KL)-divergence; online voting system; Siamese network</t>
  </si>
  <si>
    <t>The amalgamation of artificial intelligence (AI) with various areas has been in the picture for the past few years. AI has enhanced the functioning of several services, such as accomplishing better budgets, automating multiple tasks, and data-driven decision-making. Conducting hassle-free polling has been one of them. However, at the onset of the coronavirus in 2020, almost all worldly affairs occurred online, and many sectors switched to digital mode. This allows attackers to find security loopholes in digital systems and exploit them for their lucrative business. This paper proposes a three-layered deep learning (DL)-based authentication framework to develop a secure online polling system. It provides a novel way to overcome security breaches during the face identity (ID) recognition and verification process for online polling systems. This verification is done by training a pixel-2-pixel Pix2pix generative adversarial network (GAN) for face image reconstruction to remove facial objects present (if any). Furthermore, image-to-image matching is done by implementing the Siamese network and comparing the result of various metrics executed on feature embeddings to obtain the outcome, thus checking the electorate credentials.</t>
  </si>
  <si>
    <t>[Mankodiya, Harsh; Palkhiwala, Priyal; Gupta, Rajesh; Jadav, Nilesh Kumar; Tanwar, Sudeep] Nirma Univ, Inst Technol, Dept Comp Sci &amp; Engn, Ahmadabad 382481, India; [Alfarraj, Osama; Tolba, Amr] King Saud Univ, Community Coll, Comp Sci Dept, Riyadh 11437, Saudi Arabia; [Raboaca, Maria Simona] Univ Politehn Bucuresti, Doctoral Sch, Bucharest 060042, Romania; [Raboaca, Maria Simona] Natl Res &amp; Dev Inst Cryogen &amp; Isotop Technol, Dept Hydrogen &amp; Fuel Cell, Ramnicu Valcea 240050, Romania; [Marina, Verdes] Tech Univ Gheorghe Asachi, Fac Civil Engn &amp; Bldg Serv, Dept Bldg Serv, Iasi 700050, Romania</t>
  </si>
  <si>
    <t>Nirma University; King Saud University; National University of Science &amp; Technology POLITEHNICA Bucharest; National Institute of Research &amp; Development for Cryogenic &amp; Isotopic Technologies; GH Asachi Technical University</t>
  </si>
  <si>
    <t>Gupta, R (corresponding author), Nirma Univ, Inst Technol, Dept Comp Sci &amp; Engn, Ahmadabad 382481, India.;Raboaca, MS (corresponding author), Univ Politehn Bucuresti, Doctoral Sch, Bucharest 060042, Romania.;Raboaca, MS (corresponding author), Natl Res &amp; Dev Inst Cryogen &amp; Isotop Technol, Dept Hydrogen &amp; Fuel Cell, Ramnicu Valcea 240050, Romania.</t>
  </si>
  <si>
    <t>rajesh.gupta@nirmauni.ac.in; simona.raboaca@icsi.ro</t>
  </si>
  <si>
    <t>King Saud University, Riyadh, Saudi Arabia [RSP2023R 102]</t>
  </si>
  <si>
    <t>King Saud University, Riyadh, Saudi Arabia(King Saud University)</t>
  </si>
  <si>
    <t>Funding Statement: This work was funded by the Researchers Supporting Project Number (RSP2023R 102) King Saud University, Riyadh, Saudi Arabia.</t>
  </si>
  <si>
    <t>10.32604/cmc.2023.038556</t>
  </si>
  <si>
    <t>Y5TH5</t>
  </si>
  <si>
    <t>WOS:001105875700005</t>
  </si>
  <si>
    <t>Chen, J; Cadiente, A; Kasselman, LJ; Pilkington, B</t>
  </si>
  <si>
    <t>Chen, Jamie; Cadiente, Angelo; Kasselman, Lora J.; Pilkington, Bryan</t>
  </si>
  <si>
    <t>Assessing the performance of ChatGPT in bioethics: a large language model's moral compass in medicine</t>
  </si>
  <si>
    <t>JOURNAL OF MEDICAL ETHICS</t>
  </si>
  <si>
    <t>Ethics- Medical; Decision Making; Education</t>
  </si>
  <si>
    <t>Chat Generative Pre-Trained Transformer (ChatGPT) has been a growing point of interest in medical education yet has not been assessed in the field of bioethics. This study evaluated the accuracy of ChatGPT-3.5 (April 2023 version) in answering text-based, multiple choice bioethics questions at the level of US third-year and fourth-year medical students. A total of 114 bioethical questions were identified from the widely utilised question banks UWorld and AMBOSS. Accuracy, bioethical categories, difficulty levels, specialty data, error analysis and character count were analysed. We found that ChatGPT had an accuracy of 59.6%, with greater accuracy in topics surrounding death and patient-physician relationships and performed poorly on questions pertaining to informed consent. Of all the specialties, it performed best in paediatrics. Yet, certain specialties and bioethical categories were under-represented. Among the errors made, it tended towards content errors and application errors. There were no significant associations between character count and accuracy. Nevertheless, this investigation contributes to the ongoing dialogue on artificial intelligence's (AI) role in healthcare and medical education, advocating for further research to fully understand AI systems' capabilities and constraints in the nuanced field of medical bioethics.</t>
  </si>
  <si>
    <t>[Chen, Jamie; Cadiente, Angelo; Pilkington, Bryan] Hackensack Meridian Sch Med, Nutley, NJ 07110 USA; [Kasselman, Lora J.] Hackensack Meridian Hlth, Res Inst, Edison, NJ USA</t>
  </si>
  <si>
    <t>Chen, J (corresponding author), Hackensack Meridian Sch Med, Nutley, NJ 07110 USA.</t>
  </si>
  <si>
    <t>jamie.chen@hmhn.org</t>
  </si>
  <si>
    <t>Cadiente, Angelo/0009-0007-9933-2804; Chen, Jamie/0000-0003-0572-2291</t>
  </si>
  <si>
    <t>0306-6800</t>
  </si>
  <si>
    <t>1473-4257</t>
  </si>
  <si>
    <t>J MED ETHICS</t>
  </si>
  <si>
    <t>J. Med. Ethics</t>
  </si>
  <si>
    <t>10.1136/jme-2023-109366</t>
  </si>
  <si>
    <t>JP9S6</t>
  </si>
  <si>
    <t>WOS:001104658200001</t>
  </si>
  <si>
    <t>Park, J; Choi, J; Kim, SL; Bennis, M</t>
  </si>
  <si>
    <t>Park, Jihong; Choi, Jinho; Kim, Seong-Lyun; Bennis, Mehdi</t>
  </si>
  <si>
    <t>Enabling the Wireless Metaverse via Semantic Multiverse Communication</t>
  </si>
  <si>
    <t>Metaverse; extended reality (XR); semantic communication; signaling game; federated learning; split learning; multi-agent reinforcement learning; symbolic artificial intelligence</t>
  </si>
  <si>
    <t>Metaverse over wireless networks is an emerging use case of the sixth generation (6G) wireless systems, posing unprecedented challenges in terms of its multi-modal data transmissions with stringent latency and reliability requirements. Towards enabling this wireless metaverse, in this article we propose a novel semantic communication (SC) framework by decomposing the metaverse into human/machine agent-specific semantic multiverses (SMs). An SM stored at each agent comprises a semantic encoder and a generator, leveraging recent advances in generative artificial intelligence (AI). To improve communication efficiency, the encoder learns the semantic representations (SRs) of multi-modal data, while the generator learns how to manipulate them for locally rendering scenes and interactions in the metaverse. Since these learned SMs are biased towards local environments, their success hinges on synchronizing heterogeneous SMs in the background while communicating SRs in the foreground, turning the wireless metaverse problem into the problem of semantic multiverse communication (SMC). Based on this SMC architecture, we propose several promising algorithmic and analytic tools for modeling and designing SMC, ranging from distributed learning and multi-agent reinforcement learning (MARL) to signaling games and symbolic AI.</t>
  </si>
  <si>
    <t>[Park, Jihong; Choi, Jinho] Deakin Univ, Sch Informat Technol, Geelong, Vic 3220, Australia; [Kim, Seong-Lyun] Yonsei Univ, Sch Elect &amp; Elect Engn, Seoul 03722, South Korea; [Bennis, Mehdi] Univ Oulu, Ctr Wireless Commun, Oulu 90014, Finland</t>
  </si>
  <si>
    <t>Deakin University; Yonsei University; University of Oulu</t>
  </si>
  <si>
    <t>Park, J (corresponding author), Deakin Univ, Sch Informat Technol, Geelong, Vic 3220, Australia.</t>
  </si>
  <si>
    <t>jihong.park@deakin.edu.au; jinho.choi@deakin.edu.au; slkim@yonsei.ac.kr; mehdi.bennis@oulu.fi</t>
  </si>
  <si>
    <t>Park, Jihong/ABC-7334-2020</t>
  </si>
  <si>
    <t>Park, Jihong/0000-0001-7623-6552</t>
  </si>
  <si>
    <t>Australian Government through the Australian Research Council [DP200100391]; National Research Foundation of Korea (NRF) - Korea government (MSIT) [2022R1A5A1027646]; European Union [101096379]</t>
  </si>
  <si>
    <t>Australian Government through the Australian Research Council(Australian Research Council); National Research Foundation of Korea (NRF) - Korea government (MSIT)(National Research Foundation of KoreaMinistry of Science, ICT &amp; Future Planning, Republic of KoreaMinistry of Science &amp; ICT (MSIT), Republic of Korea); European Union(European Union (EU))</t>
  </si>
  <si>
    <t>This research was supported in part by the Australian Government through the Australian Research Council's Discovery Projects funding scheme (DP200100391), in part by the National Research Foundation of Korea (NRF) grant funded by the Korea government (MSIT) (No. 2022R1A5A1027646), in part by the European Union under Grant Agreement 101096379 through the project CENTRIC.</t>
  </si>
  <si>
    <t>10.1109/SECON58729.2023.10287438</t>
  </si>
  <si>
    <t>WOS:001094863700016</t>
  </si>
  <si>
    <t>Gu, XL; Yao, QM; Gong, XJ; Kuang, ZZ</t>
  </si>
  <si>
    <t>Gu, Xiaoling; Yao, Qiming; Gong, Xiaojun; Kuang, Zhenzhong</t>
  </si>
  <si>
    <t>iDesigner: making intelligent fashion designs</t>
  </si>
  <si>
    <t>Fashion design; Fashion image synthesis; Generative adversarial network; Sketch synthesis</t>
  </si>
  <si>
    <t>This paper presents iDesigner, a novel AI-assisted design system tailored to support intelligent fashion designs. Our proposed system aims to assist fashion designers by automatically synthesizing high-quality product images conditioned on category attributes and texture examples. Since fashion sketches are the fundamental basis of fashion designs, we implement iDesigner with two design assistants, namely Fashion-Sketcher and Style-Transfer. Specifically, Fashion-Sketcher generates a variety of realistic fashion sketches conditioned on the category attribute by mimicking human painters that first draw the outlines and then finish the detailed contents of the objects. Style-Transfer synthesizes the fashion product images by applying texture examples onto the synthetic sketch images with a feature transformation scheme. We validate our approach using a new dataset and demonstrate that our proposed iDesigner can not only successfully generate diverse sketch images conditioned on category attributes, but also generate high-quality fashion product images conditioned on sketch images and texture examples.</t>
  </si>
  <si>
    <t>[Gu, Xiaoling; Yao, Qiming; Gong, Xiaojun; Kuang, Zhenzhong] Hangzhou Dianzi Univ, Coll Comp Sci &amp; Technol, Key Lab Complex Syst Modeling &amp; Simulat, Baiyang St, Hangzhou 310018, Peoples R China</t>
  </si>
  <si>
    <t>Hangzhou Dianzi University</t>
  </si>
  <si>
    <t>Gu, XL (corresponding author), Hangzhou Dianzi Univ, Coll Comp Sci &amp; Technol, Key Lab Complex Syst Modeling &amp; Simulat, Baiyang St, Hangzhou 310018, Peoples R China.</t>
  </si>
  <si>
    <t>guxl@hdu.edu.cn; yaoqiming@hdu.edu.cn; gongxj@hdu.edu.cn; zzkuang@hdu.edu.cn</t>
  </si>
  <si>
    <t>liu, feng/HPC-8076-2023</t>
  </si>
  <si>
    <t>This work was supported by the Zhejiang Provincial Natural Science Foundation of China (No.LY21F020019) and the National Science Foundation of China under Grants 61802100 and 61972119. We also thank the postgraduate student, Shengwenzhuo Xu, for her assist; Zhejiang Provincial Natural Science Foundation of China [61802100, 61972119]; National Science Foundation of China</t>
  </si>
  <si>
    <t>This work was supported by the Zhejiang Provincial Natural Science Foundation of China (No.LY21F020019) and the National Science Foundation of China under Grants 61802100 and 61972119. We also thank the postgraduate student, Shengwenzhuo Xu, for her assist; Zhejiang Provincial Natural Science Foundation of China(Natural Science Foundation of Zhejiang Province); National Science Foundation of China(National Natural Science Foundation of China (NSFC))</t>
  </si>
  <si>
    <t>This work was supported by the Zhejiang Provincial Natural Science Foundation of China (No.LY21F020019) and the National Science Foundation of China under Grants 61802100 and 61972119. We also thank the postgraduate student, Shengwenzhuo Xu, for her assistance in carrying out the experiments.</t>
  </si>
  <si>
    <t>2023 SEP 23</t>
  </si>
  <si>
    <t>10.1007/s11042-023-16780-1</t>
  </si>
  <si>
    <t>T5BU0</t>
  </si>
  <si>
    <t>WOS:001078145100008</t>
  </si>
  <si>
    <t>Agarwal, M; Goswami, A; Sharma, P</t>
  </si>
  <si>
    <t>Agarwal, Mayank; Goswami, Ayan; Sharma, Priyanka</t>
  </si>
  <si>
    <t>Evaluating ChatGPT-3.5 and Claude-2 in Answering and Explaining Conceptual Medical Physiology Multiple-Choice Questions</t>
  </si>
  <si>
    <t>physiology; medical education; multiple choice questions; large language models; claude; chatgpt; artificial intelligence</t>
  </si>
  <si>
    <t>Background Generative artificial intelligence (AI) systems such as ChatGPT-3.5 and Claude-2 may assist in explaining complex medical science topics. A few studies have shown that AI can solve complicated physiology problems that require critical thinking and analysis. However, further studies are required to validate the effectiveness of AI in answering conceptual multiple-choice questions (MCQs) in human physiology.Objective This study aimed to evaluate and compare the proficiency of ChatGPT-3.5 and Claude-2 in answering and explaining a curated set of MCQs in medical physiology.Methods In this cross-sectional study, a set of 55 MCQs from 10 competencies of medical physiology was purposefully constructed that required comprehension, problem-solving, and analytical skills to solve them. The MCQs and a structured prompt for response generation were presented to ChatGPT-3.5 and Claude-2. The explanations provided by both AI systems were documented in an Excel spreadsheet. All three authors subjected these explanations to a rating process using a scale of 0 to 3. A rating of 0 was assigned to an incorrect, 1 to a partially correct, 2 to a correct explanation with some aspects missing, and 3 to a perfectly correct explanation. Both AI models were evaluated for their ability to choose the correct answer (option) and provide clear and comprehensive explanations of the MCQs. The Mann-Whitney U test was used to compare AI responses. The Fleiss multi-rater kappa (kappa) was used to determine the score agreement among the three raters. The statistical significance level was decided at P &lt;= 0.05.Results Claude-2 answered 40 MCQs correctly, which was significantly higher than the 26 correct responses from ChatGPT-3.5. The rating distribution for the explanations generated by Claude-2 was significantly higher than that of ChatGPT-3.5. The kappa values were 0.804 and 0.818 for Claude-2 and ChatGPT-3.5, respectively.Conclusion In terms of answering and elucidating conceptual MCQs in medical physiology, Claude-2 surpassed ChatGPT-3.5. However, accessing Claude-2 from India requires the use of a virtual private network, which may raise security concerns.</t>
  </si>
  <si>
    <t>[Agarwal, Mayank] All India Inst Med Sci, Physiol, Raebareli, India; [Goswami, Ayan] Santiniketan Med Coll, Physiol, Bolpur, India; [Sharma, Priyanka] Sharda Univ, Sch Med Sci &amp; Res, Physiol, Greater Noida, India</t>
  </si>
  <si>
    <t>Sharda University</t>
  </si>
  <si>
    <t>Sharma, P (corresponding author), Sharda Univ, Sch Med Sci &amp; Res, Physiol, Greater Noida, India.</t>
  </si>
  <si>
    <t>priyankaphysiology@gmail.com</t>
  </si>
  <si>
    <t>Agarwal, Mayank/L-2940-2019</t>
  </si>
  <si>
    <t>Agarwal, Mayank/0000-0002-1107-1889</t>
  </si>
  <si>
    <t>SEP 29</t>
  </si>
  <si>
    <t>e46222</t>
  </si>
  <si>
    <t>10.7759/cureus.46222</t>
  </si>
  <si>
    <t>W2YJ9</t>
  </si>
  <si>
    <t>WOS:001090333700001</t>
  </si>
  <si>
    <t>Rajabi, P; Taghipour, P; Cukierman, D; Doleck, T</t>
  </si>
  <si>
    <t>Rajabi, Parsa; Taghipour, Parnian; Cukierman, Diana; Doleck, Tenzin</t>
  </si>
  <si>
    <t>Exploring ChatGPT's impact on post-secondary education: A qualitative study</t>
  </si>
  <si>
    <t>PROCEEDINGS OF THE 25TH WESTERN CANADIAN CONFERENCE ON COMPUTING EDUCATION</t>
  </si>
  <si>
    <t>25th Western Canadian Conference on Computing Education (WCCCE)</t>
  </si>
  <si>
    <t>MAY 04-05, 2023</t>
  </si>
  <si>
    <t>Univ British Columbia, Vancouver, CANADA</t>
  </si>
  <si>
    <t>Comp Sci Canada Informatique Canada,UBC V, Comp Sci Dept,ACM Special Interest Grp Comp Sci Educ</t>
  </si>
  <si>
    <t>Univ British Columbia</t>
  </si>
  <si>
    <t>ChatGPT; conversational AI; Artificial Intelligence in education; post-secondary; higher education; assessment; education</t>
  </si>
  <si>
    <t>As Chat Generative Pre-trained Transformer (ChatGPT) gains traction, its impact on post-secondary education is increasingly being debated. This qualitative study explores the perception of students and faculty members at a research university in Canada regarding ChatGPT's use in a post-secondary setting, focusing on how it could be incorporated and what ways instructors can respond to this technology. We present the summary of a discussion that took place in a two-hour focus group session with 40 participants from the computer science and engineering departments, and highlight issues surrounding plagiarism, assessment methods, and the appropriate use of ChatGPT. Findings suggest that students are likely to use ChatGPT, but there is a need for specific guidelines, more classroom assessments, and mandatory reporting of ChatGPT use. The study contributes to the emergent research on ChatGPT in higher education and emphasizes the importance of proactively addressing challenges and opportunities associated with ChatGPT adoption and use.</t>
  </si>
  <si>
    <t>[Rajabi, Parsa; Taghipour, Parnian; Cukierman, Diana; Doleck, Tenzin] Simon Fraser Univ, Burnaby, BC, Canada</t>
  </si>
  <si>
    <t>Simon Fraser University</t>
  </si>
  <si>
    <t>Rajabi, P (corresponding author), Simon Fraser Univ, Burnaby, BC, Canada.</t>
  </si>
  <si>
    <t>parsa_r@sfu.ca; parnian_taghipour@sfu.ca; diana@sfu.ca; tdoleck@sfu.ca</t>
  </si>
  <si>
    <t>979-8-4007-0789-6</t>
  </si>
  <si>
    <t>10.1145/3593342.3593360</t>
  </si>
  <si>
    <t>BW2OG</t>
  </si>
  <si>
    <t>WOS:001122680800009</t>
  </si>
  <si>
    <t>Mira, FA; Favier, V; Nunes, HDS; de Castro, JV; Carsuzaa, F; Meccariello, G; Vicini, C; De Vito, A; Lechien, JR; Estomba, CC; Maniaci, A; Iannella, G; Rojas, EP; Cornejo, JB; Cammaroto, G</t>
  </si>
  <si>
    <t>Mira, Felipe Ahumada; Favier, Valentin; Nunes, Heloisa dos Santos Sobreira; de Castro, Joana Vaz; Carsuzaa, Florent; Meccariello, Giuseppe; Vicini, Claudio; De Vito, Andrea; Lechien, Jerome R.; Estomba, Carlos Chiesa; Maniaci, Antonino; Iannella, Giannicola; Rojas, Eduardo Pena; Cornejo, Jenifer Barros; Cammaroto, Giovanni</t>
  </si>
  <si>
    <t>Chat GPT for the management of obstructive sleep apnea: do we have a polar star?</t>
  </si>
  <si>
    <t>EUROPEAN ARCHIVES OF OTO-RHINO-LARYNGOLOGY</t>
  </si>
  <si>
    <t>OSA; Sleep apnea; Chat-Gpt; Chatbot</t>
  </si>
  <si>
    <t>PurposeThis study explores the potential of the Chat-Generative Pre-Trained Transformer (Chat-GPT), a Large Language Model (LLM), in assisting healthcare professionals in the diagnosis of obstructive sleep apnea (OSA). It aims to assess the agreement between Chat-GPT's responses and those of expert otolaryngologists, shedding light on the role of AI-generated content in medical decision-making.MethodsA prospective, cross-sectional study was conducted, involving 350 otolaryngologists from 25 countries who responded to a specialized OSA survey. Chat-GPT was tasked with providing answers to the same survey questions. Responses were assessed by both super-experts and statistically analyzed for agreement.ResultsThe study revealed that Chat-GPT and expert responses shared a common answer in over 75% of cases for individual questions. However, the overall consensus was achieved in only four questions. Super-expert assessments showed a moderate agreement level, with Chat-GPT scoring slightly lower than experts. Statistically, Chat-GPT's responses differed significantly from experts' opinions (p = 0.0009). Sub-analysis revealed areas of improvement for Chat-GPT, particularly in questions where super-experts rated its responses lower than expert consensus.ConclusionsChat-GPT demonstrates potential as a valuable resource for OSA diagnosis, especially where access to specialists is limited. The study emphasizes the importance of AI-human collaboration, with Chat-GPT serving as a complementary tool rather than a replacement for medical professionals. This research contributes to the discourse in otolaryngology and encourages further exploration of AI-driven healthcare applications. While Chat-GPT exhibits a commendable level of consensus with expert responses, ongoing refinements in AI-based healthcare tools hold significant promise for the future of medicine, addressing the underdiagnosis and undertreatment of OSA and improving patient outcomes.</t>
  </si>
  <si>
    <t>[Mira, Felipe Ahumada] Hosp Linares, ENT Dept, Linares, Chile; [Favier, Valentin] Univ Hosp Montpellier, ENT Dept, Montpellier, France; [Nunes, Heloisa dos Santos Sobreira] Nucleus Otolaryngol Head &amp; Neck Surg &amp; Sleep Med S, ENT &amp; Sleep Med Dept, Sao Paulo, Brazil; [de Castro, Joana Vaz] Armed Forces Hosp, ENT Dept, Lisbon, Portugal; [Carsuzaa, Florent] Univ Hosp Poitiers, ENT Dept, Poitiers, France; [Meccariello, Giuseppe; Vicini, Claudio; De Vito, Andrea; Cammaroto, Giovanni] GB Morgagni L Pierantoni Hosp, Head &amp; Neck Dept, ENT &amp; Oral Surg Unity, Via Forlanini, I-47121 Forli, Italy; [Lechien, Jerome R.] Univ Mons, EpiCURA Hosp, UMONS Res Inst Hlth Sci &amp; Technol, Dept Otolaryngol &amp; Head &amp; Neck Surg,Div Laryngol &amp;, Mons, Belgium; [Estomba, Carlos Chiesa] Donostia Univ Hosp, Biodonostia Res Inst, Dept Otorhinolaryngol, San Sebastian 20014, Spain; [Maniaci, Antonino] Univ Catania, Dept Med &amp; Surg Sci &amp; Adv Technol GF Ingrassia, ENT Sect, Piazza Univ 2, I-95100 Catania, Italy; [Iannella, Giannicola] Univ Sapienza, Dept Organi Senso, Viale Univ 33, I-00185 Rome, Italy; [Rojas, Eduardo Pena] Clin Lircay, Talca, Chile; [Cornejo, Jenifer Barros] Hosp Clin UC Christus, Santiago, Chile; [Mira, Felipe Ahumada; Favier, Valentin; Nunes, Heloisa dos Santos Sobreira; de Castro, Joana Vaz; Carsuzaa, Florent; Lechien, Jerome R.; Estomba, Carlos Chiesa; Maniaci, Antonino; Iannella, Giannicola; Cammaroto, Giovanni] Young Otolaryngologists Int Federat Otorhinolaryng, Paris, France</t>
  </si>
  <si>
    <t>Universite de Montpellier; CHU de Montpellier; CHU Poitiers; Universite de Poitiers; University of Mons; University Hospital Donostia; University of Catania; Sapienza University Rome</t>
  </si>
  <si>
    <t>Cammaroto, G (corresponding author), GB Morgagni L Pierantoni Hosp, Head &amp; Neck Dept, ENT &amp; Oral Surg Unity, Via Forlanini, I-47121 Forli, Italy.;Cammaroto, G (corresponding author), Young Otolaryngologists Int Federat Otorhinolaryng, Paris, France.</t>
  </si>
  <si>
    <t>felipe.ahumada.m@gmail.com; valentin_favier@hotmail.com; helo2005@hotmail.com; joanavazdecastro@gmail.com; florent.carsuzza@gmail.com; lechienj@gmail.com; chiesaestomba86@gmail.com; tnmaniaci29@gmail.com; giannicola.iannella@uniroma1.it; giovanni.cammaroto@hotmail.com</t>
  </si>
  <si>
    <t>Meccariello, Giuseppe/K-5685-2016; Maniaci, Antonino/AAB-6004-2021; Cammaroto, Giovanni/D-4401-2017</t>
  </si>
  <si>
    <t>Maniaci, Antonino/0000-0002-1251-0185; Favier, Valentin/0000-0002-7999-951X</t>
  </si>
  <si>
    <t>The authors would like to express their gratutide to the following super-experts for having participated to the study Bhik Kotecha, Clemens Heiser, Nico De Vrie, Rodolfo Lugo Saldana, Joachim Maurer, Ofer Jacobowitz, Kenny Pang, Michel Cahali, Ewa Olszewsk</t>
  </si>
  <si>
    <t>The authors would like to express their gratutide to the following super-experts for having participated to the study Bhik Kotecha, Clemens Heiser, Nico De Vrie, Rodolfo Lugo Saldana, Joachim Maurer, Ofer Jacobowitz, Kenny Pang, Michel Cahali, Ewa Olszewska.</t>
  </si>
  <si>
    <t>0937-4477</t>
  </si>
  <si>
    <t>1434-4726</t>
  </si>
  <si>
    <t>EUR ARCH OTO-RHINO-L</t>
  </si>
  <si>
    <t>Eur. Arch. Oto-Rhino-Laryn.</t>
  </si>
  <si>
    <t>2023 NOV 19</t>
  </si>
  <si>
    <t>10.1007/s00405-023-08270-9</t>
  </si>
  <si>
    <t>Y2LO7</t>
  </si>
  <si>
    <t>WOS:001103635400001</t>
  </si>
  <si>
    <t>Wu, F; Hsiao, SW; Lu, P</t>
  </si>
  <si>
    <t>Wu, Fan; Hsiao, Shih-Wen; Lu, Peng</t>
  </si>
  <si>
    <t>An AIGC-empowered methodology to product color matching design</t>
  </si>
  <si>
    <t>DISPLAYS</t>
  </si>
  <si>
    <t>AIGC; Product design; Color matching; ChatGPT; Midjourney</t>
  </si>
  <si>
    <t>CONSUMER-ORIENTED TECHNOLOGY; AESTHETIC MEASURE; SYSTEM; HARMONY; FORM; CHATGPT; IMAGE</t>
  </si>
  <si>
    <t>With the emergence of various generative AI applications, artificial intelligence-generated content (AIGC) demonstrates positive potential for design activities. However, few scholars have proposed a practical AIGC-based design methodology. This paper introduces an AIGC-empowered methodology for product colormatching design. ChatGPT generates target imageries describing the design features, and Midjourney con-structs a shape sample database based on these imageries, identifying representative shapes through consumer perceptual questionnaires. Meanwhile, three Midjourney-based color image generation methods are proposed to generate color images that match the target imageries, and an application is developed to extract the dominant colors from these images. Finally, based on the color harmony theory, the optimal color combinations are derived from the extracted dominant colors and applied to the representative shape to generate color-matching alter-natives. AHP-based expert evaluation (Evaluation_1) and consumer perceptual evaluation (Evaluation_2) are employed to ascertain the optimal design solution. This paper uses the household vacuum cleaner as an example to demonstrate the proposed color-matching methodology. Consistent evaluation results are obtained, supported by a significant Pearson correlation coefficient. Research findings suggest that AIGC has the potential to revolutionize traditional product color-matching design. Additionally, the methodology highlights the collaborative potential between generative AIs and conventional computer-aided design tools.</t>
  </si>
  <si>
    <t>[Wu, Fan; Hsiao, Shih-Wen] Natl Cheng Kung Univ, Dept Ind Design, Tainan 70101, Taiwan; [Wu, Fan] Dalian Polytech Univ, Dept Prod Design, Dalian 116034, Peoples R China; [Lu, Peng] Dalian Univ Technol, Dept Ind Design, Dalian 116024, Peoples R China</t>
  </si>
  <si>
    <t>National Cheng Kung University; Dalian Polytechnic University; Dalian University of Technology</t>
  </si>
  <si>
    <t>Hsiao, SW (corresponding author), Natl Cheng Kung Univ, Dept Ind Design, Tainan 70101, Taiwan.</t>
  </si>
  <si>
    <t>wuxiaofan999@gmail.com; swhsiao@mail.ncku.edu.tw; lupeng900917@gmail.com</t>
  </si>
  <si>
    <t>Wu, Fan/0000-0003-0156-568X</t>
  </si>
  <si>
    <t>Liaoning Provincial Federation of Social Sciences of China [2024lslqnkt-030]</t>
  </si>
  <si>
    <t>Liaoning Provincial Federation of Social Sciences of China</t>
  </si>
  <si>
    <t>The authors are grateful to the Liaoning Provincial Federation of Social Sciences of China for Supporting this research under grant 2024lslqnkt-030.</t>
  </si>
  <si>
    <t>0141-9382</t>
  </si>
  <si>
    <t>1872-7387</t>
  </si>
  <si>
    <t>Displays</t>
  </si>
  <si>
    <t>10.1016/j.displa.2023.102623</t>
  </si>
  <si>
    <t>Computer Science, Hardware &amp; Architecture; Engineering, Electrical &amp; Electronic; Instruments &amp; Instrumentation; Optics</t>
  </si>
  <si>
    <t>Computer Science; Engineering; Instruments &amp; Instrumentation; Optics</t>
  </si>
  <si>
    <t>II7D8</t>
  </si>
  <si>
    <t>WOS:001165753800001</t>
  </si>
  <si>
    <t>Savage, T; Wang, JH; Shieh, L</t>
  </si>
  <si>
    <t>Savage, Thomas; Wang, John; Shieh, Lisa</t>
  </si>
  <si>
    <t>A Large Language Model Screening Tool to Target Patients for Best Practice Alerts: Development and Validation</t>
  </si>
  <si>
    <t>large language models; language models; language model; EHR; health record; health records; quality improvement; Artificial Intelligence; Natural Language Processing</t>
  </si>
  <si>
    <t>Background: Best Practice Alerts (BPAs) are alert messages to physicians in the electronic health record that are used to encourage appropriate use of health care resources. While these alerts are helpful in both improving care and reducing costs, BPAs are often broadly applied nonselectively across entire patient populations. The development of large language models (LLMs) provides an opportunity to selectively identify patients for BPAs.Objective: In this paper, we present an example case where an LLM screening tool is used to select patients appropriate for a BPA encouraging the prescription of deep vein thrombosis (DVT) anticoagulation prophylaxis. The artificial intelligence (AI) screening tool was developed to identify patients experiencing acute bleeding and exclude them from receiving a DVT prophylaxis BPA.Methods: Our AI screening tool used a BioMed-RoBERTa (Robustly Optimized Bidirectional Encoder Representations from Transformers Pretraining Approach; AllenAI) model to perform classification of physician notes, identifying patients without active bleeding and thus appropriate for a thromboembolism prophylaxis BPA. The BioMed-RoBERTa model was fine-tuned using 500 history and physical notes of patients from the MIMIC-III (Medical Information Mart for Intensive Care) database who were not prescribed anticoagulation. A development set of 300 MIMIC patient notes was used to determine the model's hyperparameters, and a separate test set of 300 patient notes was used to evaluate the screening tool.Results: Our MIMIC-III test set population of 300 patients included 72 patients with bleeding (ie, were not appropriate for a DVT prophylaxis BPA) and 228 without bleeding who were appropriate for a DVT prophylaxis BPA. The AI screening tool achieved impressive accuracy with a precision-recall area under the curve of 0.82 (95% CI 0.75-0.89) and a receiver operator curve area under the curve of 0.89 (95% CI 0.84-0.94). The screening tool reduced the number of patients who would trigger an alert by 20% (240 instead of 300 alerts) and increased alert applicability by 14.8% (218 [90.8%] positive alerts from 240 total alerts instead of 228 [76%] positive alerts from 300 total alerts), compared to nonselectively sending alerts for all patients. Conclusions: These results show a proof of concept on how language models can be used as a screening tool for BPAs. We provide an example AI screening tool that uses a HIPAA (Health Insurance Portability and Accountability Act)-compliant BioMed-RoBERTa model deployed with minimal computing power. Larger models (eg, Generative Pre-trained Transformers-3, Generative Pre-trained Transformers-4, and Pathways Language Model) will exhibit superior performance but require data use agreements to be HIPAA compliant. We anticipate LLMs to revolutionize quality improvement in hospital medicine.</t>
  </si>
  <si>
    <t>[Savage, Thomas; Shieh, Lisa] Stanford Univ, Div Hosp Med, Dept Med, Sch Med, Palo Alto, CA USA; [Wang, John] Stanford Univ, Dept Med, Divison Gastroenterol &amp; Hepatol, Palo Alto, CA USA; [Savage, Thomas] Stanford Univ, Dept Med, Div Hosp Med, 300 Pasteur Dr, Palo Alto, CA 94304 USA</t>
  </si>
  <si>
    <t>Stanford University; Stanford University; Stanford University</t>
  </si>
  <si>
    <t>Savage, T (corresponding author), Stanford Univ, Dept Med, Div Hosp Med, 300 Pasteur Dr, Palo Alto, CA 94304 USA.</t>
  </si>
  <si>
    <t>tsavage@stanford.edu</t>
  </si>
  <si>
    <t>e49886</t>
  </si>
  <si>
    <t>10.2196/49886</t>
  </si>
  <si>
    <t>Z8TQ0</t>
  </si>
  <si>
    <t>WOS:001114748300001</t>
  </si>
  <si>
    <t>Cheng, WY; Chu, YS; Xia, CY; Zhang, BL; Chen, JM; Jia, MY; Wang, WX</t>
  </si>
  <si>
    <t>Cheng, Wanyue; Chu, Yusu; Xia, Chenyuan; Zhang, Boliang; Chen, Junming; Jia, Mengyan; Wang, Wenxiao</t>
  </si>
  <si>
    <t>UrbanGenoGAN: pioneering urban spatial planning using the synergistic integration of GAN, GA, and GIS</t>
  </si>
  <si>
    <t>FRONTIERS IN ENVIRONMENTAL SCIENCE</t>
  </si>
  <si>
    <t>data optimization; machine learning; sustainable urban development; UrbanGenoGAN; urban spatial planning</t>
  </si>
  <si>
    <t>CELLULAR-AUTOMATA; LAND-USE</t>
  </si>
  <si>
    <t>Introduction: Urban spatial planning is critical for the development of sustainable and livable cities. However, traditional planning methods often face challenges in handling complex planning scenarios and large-scale data.Methods: This paper introduces UrbanGenoGAN, a novel algorithm that integrates generative adversarial networks (GANs), genetic optimization algorithms (GOAs), and geographic information system (GIS) to address these challenges. Leveraging the generative power of GANs, the optimization capabilities of genetic algorithms, and the spatial analysis capabilities of GIS, UrbanGenoGAN is designed to generate optimized urban plans that cater to various urban planning challenges. Our methodology details the algorithm's design and integration of its components, data collection and preprocessing, and the training and implementation processes.Results: Through rigorous evaluation metrics, comparative analysis with existing methodologies, and case studies, the proposed algorithm demonstrates significant improvement in urban planning outcomes. The research also explores the technical and practical considerations for implementing UrbanGenoGAN, including scalability, computational efficiency, data privacy, and ethical considerations.Discussion: The findings suggest that the integration of advanced machine learning and optimization techniques with spatial analysis offers a promising approach to enhancing decision-making in urban spatial planning. This work contributes to the growing field of AI applications in urban planning and paves the way for more efficient and sustainable urban development.</t>
  </si>
  <si>
    <t>[Cheng, Wanyue; Xia, Chenyuan; Chen, Junming; Wang, Wenxiao] Macau Univ Sci &amp; Technol, Fac Humanities &amp; Arts, Macau, Peoples R China; [Chu, Yusu] Univ Sheffield, Dept Urban Studies &amp; Planning, Sheffield, England; [Zhang, Boliang] Macao Polytech Univ, Fac Appl Sci, Macau, Peoples R China; [Jia, Mengyan] Zhejiang A&amp;F Univ, Jiyang Coll, Zhuji, Peoples R China</t>
  </si>
  <si>
    <t>Macau University of Science &amp; Technology; University of Sheffield; Zhejiang A&amp;F University</t>
  </si>
  <si>
    <t>Wang, WX (corresponding author), Macau Univ Sci &amp; Technol, Fac Humanities &amp; Arts, Macau, Peoples R China.;Jia, MY (corresponding author), Zhejiang A&amp;F Univ, Jiyang Coll, Zhuji, Peoples R China.</t>
  </si>
  <si>
    <t>jiamengyan@zafu.edu.cn; wxwang@must.edu.mo</t>
  </si>
  <si>
    <t>Wang, WenXiao/0000-0001-7328-0267</t>
  </si>
  <si>
    <t>Faculty Research Grants (FRG) of Macau University of Science and Technology [FRG-22-098-FA-002A]</t>
  </si>
  <si>
    <t>Faculty Research Grants (FRG) of Macau University of Science and Technology</t>
  </si>
  <si>
    <t>The author(s) declare financial support was received for the research, authorship, and/or publication of this article. This work was supported by The Faculty Research Grants (FRG) of Macau University of Science and Technology (grant no. FRG-22-098-FA-002A).</t>
  </si>
  <si>
    <t>2296-665X</t>
  </si>
  <si>
    <t>FRONT ENV SCI-SWITZ</t>
  </si>
  <si>
    <t>Front. Environ. Sci.</t>
  </si>
  <si>
    <t>DEC 11</t>
  </si>
  <si>
    <t>10.3389/fenvs.2023.1287858</t>
  </si>
  <si>
    <t>DA2J6</t>
  </si>
  <si>
    <t>WOS:001129244900001</t>
  </si>
  <si>
    <t>De Paoli, S</t>
  </si>
  <si>
    <t>De Paoli, Stefano</t>
  </si>
  <si>
    <t>Performing an Inductive Thematic Analysis of Semi-Structured Interviews With a Large Language Model: An Exploration and Provocation on the Limits of the Approach</t>
  </si>
  <si>
    <t>SOCIAL SCIENCE COMPUTER REVIEW</t>
  </si>
  <si>
    <t>large language models; thematic analysis; qualitative research; human- AI collaboration</t>
  </si>
  <si>
    <t>Large Language Models (LLMs) have emerged as powerful generative Artificial Intelligence solutions. This paper presents results and reflections of an experiment done with the LLM GPT 3.5-Turbo to perform an inductive Thematic Analysis (TA). Previous research has worked on conducting deductive analysis. Thematic Analysis is a qualitative method for analysis commonly used in social sciences and it is based on interpretations by the human analyst(s) and the identification of explicit and latent meanings in qualitative data. The paper presents the motivations for attempting this analysis; it reflects on how the six phases to a TA proposed by Braun and Clarke can partially be reproduced with the LLM and it reflects on what are the model's outputs. The paper uses two datasets of open access semi-structured interviews, previously analysed by other researchers. The first dataset contains interviews with videogame players, and the second is a dataset of interviews with lecturers teaching data science in a University. This paper used the analyses previously conducted on these datasets to compare with the results produced by the LLM. The results show that the model can infer most of the main themes from previous research. This shows that using LLMs to perform an inductive TA is viable and offers a good degree of validity. The discussion offers some recommendations for working with LLMs in qualitative analysis.</t>
  </si>
  <si>
    <t>[De Paoli, Stefano] Abertay Univ, Digital Soc, Dundee, Scotland; [De Paoli, Stefano] Abertay Univ, Sociol Div, Bell St, Dundee DD1 1HG, Scotland</t>
  </si>
  <si>
    <t>University of Abertay Dundee; University of Abertay Dundee</t>
  </si>
  <si>
    <t>De Paoli, S (corresponding author), Abertay Univ, Sociol Div, Bell St, Dundee DD1 1HG, Scotland.</t>
  </si>
  <si>
    <t>s.depaoli@abertay.ac.uk</t>
  </si>
  <si>
    <t>De Paoli, Stefano/0000-0003-1120-4773</t>
  </si>
  <si>
    <t>0894-4393</t>
  </si>
  <si>
    <t>1552-8286</t>
  </si>
  <si>
    <t>SOC SCI COMPUT REV</t>
  </si>
  <si>
    <t>Soc. Sci. Comput. Rev.</t>
  </si>
  <si>
    <t>10.1177/08944393231220483</t>
  </si>
  <si>
    <t>Computer Science, Interdisciplinary Applications; Information Science &amp; Library Science; Social Sciences, Interdisciplinary</t>
  </si>
  <si>
    <t>Computer Science; Information Science &amp; Library Science; Social Sciences - Other Topics</t>
  </si>
  <si>
    <t>AC9Y5</t>
  </si>
  <si>
    <t>WOS:001116391300001</t>
  </si>
  <si>
    <t>Maroteau, G; An, JS; Murgier, J; Hulet, C; Ollivier, M; Ferreira, A</t>
  </si>
  <si>
    <t>Maroteau, Gaelle; An, Jae-Sung; Murgier, Jerome; Hulet, Christophe; Ollivier, Matthieu; Ferreira, Alexandre</t>
  </si>
  <si>
    <t>Evaluation of the impact of large language learning models on articles submitted to Orthopaedics &amp; Traumatology: Surgery &amp; Research (OTSR): A significant increase in the use of artificial intelligence in 2023</t>
  </si>
  <si>
    <t>Artificial intelligence; ChatGPT; Large language learning models; Chatbot; Scientific article</t>
  </si>
  <si>
    <t>Introduction: There has been an unprecedented rise is the use of artificial intelligence (AI) amongst med-ical fields. Recently, a dialogue agent called ChatGPT (Generative Pre-trained Transformer) has grown in popularity through its use of large language models (LLM) to clearly and precisely generate text on demand. However, the impact of AI on the creation of scientific articles is remains unknown. A retrospec-tive study was carried out with the aim of answering the following questions: identify the presence of text generated by LLM before and after the increased usage of ChatGPT in articles submitted in OTSR; deter-mine if the type of article, the year of submission, and the country of origin, influenced the proportion of text generated, at least in part by AI.Material and methods: A total of 390 English articles were submitted to OTSR in January, February and March 2022 (n = 204) and over the same months of 2023 (n = 186) were analyzed. All articles were ana-lyzed using the ZeroGPT tool, which provides an assumed rate of AI use expressed as a percentage. A comparison of the average rate of AI use was carried out between the articles submitted in 2022 and 2023. This comparison was repeated keeping only the articles with the highest percentage of suspected AI use (greater than 10 and 20%). A secondary analysis was carried out to identify risk factors for AI use.Results: The average percentage of suspected LLM use in the entire cohort was 11% +/- 6, with 160 articles (41.0%) having a suspected AI rate greater than 10% and 61 (15.6%) with an assumed AI rate greater than 20%. A comparison between articles submitted in 2022 and 2023 revealed a significant increase in the use of these tools after the launch of ChatGPT 3.5 (9.4% in 2022 and 12.6% in 2023 [p = 0.004]). The number of articles with suspected AI rates of greater than 10 and 20% were significantly higher in 2023: &gt;10%: 71 articles (34.8%) versus 89 articles (47.8%) (p = 0.008) and &gt;20%: 21 articles (10.3%) versus 40 articles (21.5%) (p = 0.002). A risk factor analysis for LLLM use, demonstrated that authors of Asian geographic origin, and the submission year 2023 were associated with a higher rate of suspected AI use. An AI rate &gt;20% was associated to Asian geographical origin with an odds ratio of 1.79 (95% CI: 1.03-3.11) (p = 0.029), while the year of submission being 2023 had an odds ratio of 1.7 (95% CI: 1.1-2.5) (p = 0.02).Conclusion: This study highlights a significant increase in the use of LLM in the writing of articles sub-mitted to the OTSR journal after the launch of ChatGPT 3.5. The increasing use of these models raises questions about originality and plagiarism in scientific research. AI offers creative opportunities but also raises ethical and methodological challenges. Level of evidence: III; case control study.(c) 2023 Elsevier Masson SAS. All rights reserved.</t>
  </si>
  <si>
    <t>[Maroteau, Gaelle; Hulet, Christophe; Ferreira, Alexandre] Caen Univ Hosp, Dept Orthopaed &amp; Traumatol, Unite Inserm Comete 1075, Ave Cote De Nacre, F-14000 Caen, France; [An, Jae-Sung] Tokyo Med &amp; Dent Univ, 1 Chome 5-45 Yushima, Bunkyo, Tokyo 1138510, Japan; [Murgier, Jerome] Clin Aguilera, Serv Chirurg Orthoped, 21 Rue Estagnas, F-64200 Biarritz, France; [Ollivier, Matthieu] St Marguer Hosp, Inst Movement &amp; Locomot, Dept Orthopaed &amp; Traumatol, BP 29,270 Blvd St Marguer, F-13274 Marseille, France; [Ollivier, Matthieu] St Marguerite Hosp, AP HM, Dept Orthopaed &amp; Traumatol, Aix Marseille Unit,Inst Locomot, Marseille, Brazil</t>
  </si>
  <si>
    <t>Universite de Caen Normandie; CHU de Caen NORMANDIE; Tokyo Medical &amp; Dental University (TMDU); Aix-Marseille Universite; Assistance Publique-Hopitaux de Marseille</t>
  </si>
  <si>
    <t>Ferreira, A (corresponding author), Caen Univ Hosp, Dept Orthopaed &amp; Traumatol, Unite Inserm Comete 1075, Ave Cote De Nacre, F-14000 Caen, France.</t>
  </si>
  <si>
    <t>alexandreferreira0891@gmail.com</t>
  </si>
  <si>
    <t>HULET, Christophe/0000-0002-1011-6141; Alexandre, FERREIRA/0000-0002-4624-3898; Maroteau, Gaelle/0000-0002-0923-7042; An, Jae-Sung/0009-0006-4975-2600</t>
  </si>
  <si>
    <t>10.1016/j.otsr.2023.103720</t>
  </si>
  <si>
    <t>CV3W6</t>
  </si>
  <si>
    <t>WOS:001127982300001</t>
  </si>
  <si>
    <t>Bao, H; Deng, J; Xing, SH; Zhong, YS; Shi, WQ; Marteau, B; Das, B; Shehata, B; Deshpande, S; Wang, MD</t>
  </si>
  <si>
    <t>Bao, Han; Deng, Jie; Xing, Shihao; Zhong, Yishan; Shi, Wenqi; Marteau, Benoit; Das, Bibhuti; Shehata, Bahig; Deshpande, Shriprasad; Wang, May D.</t>
  </si>
  <si>
    <t>Rare Heart Transplant Rejection Classification Using Diffusion-Based Synthetic Image Augmentation</t>
  </si>
  <si>
    <t>2023 IEEE EMBS INTERNATIONAL CONFERENCE ON BIOMEDICAL AND HEALTH INFORMATICS, BHI</t>
  </si>
  <si>
    <t>IEEE EMBS International Conference on Biomedical and Health Informatics</t>
  </si>
  <si>
    <t>IEEE-EMBS International Conference on Biomedical and Health Informatics (BHI)</t>
  </si>
  <si>
    <t>OCT 15-18, 2023</t>
  </si>
  <si>
    <t>IEEE,IEEE Engn Med &amp; Biol Soc,IEEE Future Direct,Natil Inst Hlth,Google,NSF,UPMC Hillman Canc Ctr</t>
  </si>
  <si>
    <t>histopathology; whole slide image; diffusion; augmentation; generative model</t>
  </si>
  <si>
    <t>Heart Transplant Rejection (HTR) is a rare condition that requires early detection to prevent lasting damage to the transplanted heart. Unfortunately, the current HTR grading through biopsy image classification lacks consistency among pathologists. In addition, it is a time-consuming task. In this work, we have developed an automated diagnosis pipeline to streamline the heart transplant histopathology image quantification and classification, in order to provide objectivity for clinical decision support for pathologists. Traditionally, developing an automated image classification requires a substantial amount of labeled data. However, HTR is a rare condition and the dataset is usually unbalanced. For example, the dataset from DNA Based Transplant Rejection (DTRT) comprises 1,509 rejection tile images and 190 times more non-rejection tile images. To address the small data sample challenge in training the classifiers, we developed a novel strategy that used diffusion model to generate synthetic images of rejection. We conducted comprehensive HTR grade classification comparing results using dataset with synthetic rejection tiles versus the dataset without any synthetic rejection tiles. The introduction of synthetic augmentation resulted in an improvement from 0.781 to 0.981 for sensitivity, and an improvement from 0.984 to over 0.998 in AUROC. This study illustrated that synthetic data augmentation is a feasible strategy in developing AI solutions for rare diseases. In the future, we will expand in this direction to benefit more rare disease clinical decision support development.</t>
  </si>
  <si>
    <t>[Bao, Han; Deng, Jie; Xing, Shihao; Zhong, Yishan; Shi, Wenqi; Marteau, Benoit; Wang, May D.] Georgia Inst Technol, Atlanta, GA 30332 USA; [Das, Bibhuti] Univ Mississippi, Med Ctr, Jackson, MS 39216 USA; [Shehata, Bahig] Wayne State Univ, Sch Med, Detroit, MI 48201 USA; [Deshpande, Shriprasad] Childrens Natl Hlth Syst, Washington, DC 20010 USA</t>
  </si>
  <si>
    <t>University System of Georgia; Georgia Institute of Technology; University of Mississippi; University of Mississippi Medical Center; Wayne State University; Children's National Health System</t>
  </si>
  <si>
    <t>Wang, MD (corresponding author), Georgia Inst Technol, Atlanta, GA 30332 USA.</t>
  </si>
  <si>
    <t>maywang@gatech.edu</t>
  </si>
  <si>
    <t>Enduring Hearts; Petit Faculty Fellow Award; Wallace H Coulter Fellow Award; Amazon Research Award</t>
  </si>
  <si>
    <t>This work was supported by grants from Enduring Hearts, Petit Faculty Fellow Award, Wallace H Coulter Fellow Award, and Amazon Research Award to Professor Wang.</t>
  </si>
  <si>
    <t>2641-3590</t>
  </si>
  <si>
    <t>979-8-3503-1050-4</t>
  </si>
  <si>
    <t>Biomedical Health In</t>
  </si>
  <si>
    <t>10.1109/BHI58575.2023.10313377</t>
  </si>
  <si>
    <t>Computer Science, Artificial Intelligence; Computer Science, Interdisciplinary Applications; Engineering, Biomedical; Medical Informatics</t>
  </si>
  <si>
    <t>BW1KL</t>
  </si>
  <si>
    <t>WOS:001107519300011</t>
  </si>
  <si>
    <t>Nelson, MD; Goenner, BL; Gale, BK</t>
  </si>
  <si>
    <t>Nelson, Matt D.; Goenner, Brady L.; Gale, Bruce K.</t>
  </si>
  <si>
    <t>Utilizing ChatGPT to assist CAD design for microfluidic devices</t>
  </si>
  <si>
    <t>LAB ON A CHIP</t>
  </si>
  <si>
    <t>ChatGPT is a generative AI model that has garnered tremendous public interest due to its ability to solve diverse problems through high-level reasoning and analysis. Among its features is an ability to create and debug code. While this capability has been explored with conventional programming languages such as Python, it has yet to be applied to computer-aided design (CAD). In this work, we utilized GPT-4 to create functional microfluidic components using OpenSCAD, an open-source CAD software package. Through an iterative dialogue, GPT-4 created functional designs for a helix/spiral, a valve, a t-junction, and a serpentine channel. This concept could facilitate CAD in the future for both technical and non-technical users and can be reasonably extended to other fields.</t>
  </si>
  <si>
    <t>[Nelson, Matt D.; Gale, Bruce K.] Univ Utah, Dept Biomed Engn, Salt Lake City, UT 84112 USA; [Goenner, Brady L.; Gale, Bruce K.] Univ Utah, Dept Mech Engn, Salt Lake City, UT USA</t>
  </si>
  <si>
    <t>Utah System of Higher Education; University of Utah; Utah System of Higher Education; University of Utah</t>
  </si>
  <si>
    <t>Nelson, MD (corresponding author), Univ Utah, Dept Biomed Engn, Salt Lake City, UT 84112 USA.</t>
  </si>
  <si>
    <t>u1141265@umail.utah.edu</t>
  </si>
  <si>
    <t>Nelson, Matt/0000-0001-7433-8731; Gale, Bruce/0000-0001-5843-3464</t>
  </si>
  <si>
    <t>1473-0197</t>
  </si>
  <si>
    <t>1473-0189</t>
  </si>
  <si>
    <t>LAB CHIP</t>
  </si>
  <si>
    <t>Lab Chip</t>
  </si>
  <si>
    <t>AUG 22</t>
  </si>
  <si>
    <t>10.1039/d3lc00518f</t>
  </si>
  <si>
    <t>Biochemical Research Methods; Chemistry, Multidisciplinary; Chemistry, Analytical; Nanoscience &amp; Nanotechnology; Instruments &amp; Instrumentation</t>
  </si>
  <si>
    <t>Biochemistry &amp; Molecular Biology; Chemistry; Science &amp; Technology - Other Topics; Instruments &amp; Instrumentation</t>
  </si>
  <si>
    <t>P4MT2</t>
  </si>
  <si>
    <t>WOS:001047739400001</t>
  </si>
  <si>
    <t>de Tinguy, D; Mazzaglia, P; Verbelen, T; Dhoedt, B</t>
  </si>
  <si>
    <t>de Tinguy, Daria; Mazzaglia, Pietro; Verbelen, Tim; Dhoedt, Bart</t>
  </si>
  <si>
    <t>Home Run: Finding Your Way Home by Imagining Trajectories</t>
  </si>
  <si>
    <t>Robot navigation; Active inference; Free energy principle; Deep learning</t>
  </si>
  <si>
    <t>COGNITIVE MAPS; NAVIGATION; RATSLAM; MODEL</t>
  </si>
  <si>
    <t>When studying unconstrained behaviour and allowing mice to leave their cage to navigate a complex labyrinth, the mice exhibit foraging behaviour in the labyrinth searching for rewards, returning to their home cage now and then, e.g. to drink. Surprisingly, when executing such a home run, the mice do not follow the exact reverse path, in fact, the entry path and home path have very little overlap. Recent work proposed a hierarchical active inference model for navigation, where the low level model makes inferences about hidden states and poses that explain sensory inputs, whereas the high level model makes inferences about moving between locations, effectively building a map of the environment. However, using this map for planning, only allows the agent to find trajectories that it previously explored, far from the observed mice's behaviour. In this paper, we explore ways of incorporating before-unvisited paths in the planning algorithm, by using the low level generative model to imagine potential, yet undiscovered paths. We demonstrate a proof of concept in a grid-world environment, showing how an agent can accurately predict a new, shorter path in the map leading to its starting point, using a generative model learnt from pixel-based observations.</t>
  </si>
  <si>
    <t>[de Tinguy, Daria; Mazzaglia, Pietro; Verbelen, Tim; Dhoedt, Bart] Ghent Univ imec, Dept Informat Technol, IDLab, Technol Pk Zwijnaarde 126, B-9052 Ghent, Belgium</t>
  </si>
  <si>
    <t>Ghent University; IMEC</t>
  </si>
  <si>
    <t>de Tinguy, D (corresponding author), Ghent Univ imec, Dept Informat Technol, IDLab, Technol Pk Zwijnaarde 126, B-9052 Ghent, Belgium.</t>
  </si>
  <si>
    <t>daria.detinguy@ugent.be; pietro.mazzaglia@ugent.be; tim.verbelen@ugent.be; bart.dhoedt@ugent.be</t>
  </si>
  <si>
    <t>Flemish Government under the Onder-zoeksprogramma Artificiele Intelligentie (AI) Vlaanderen programme</t>
  </si>
  <si>
    <t>This research received funding from the Flemish Government under the Onder-zoeksprogramma Artificiele Intelligentie (AI) Vlaanderen programme.</t>
  </si>
  <si>
    <t>10.1007/978-3-031-28719-0_15</t>
  </si>
  <si>
    <t>WOS:001000556300015</t>
  </si>
  <si>
    <t>Van Bossuyt, DL; Hale, B; Arlitt, R; Papakonstantinou, N</t>
  </si>
  <si>
    <t>Van Bossuyt, Douglas L.; Hale, Britta; Arlitt, Ryan; Papakonstantinou, Nikolaos</t>
  </si>
  <si>
    <t>Zero-Trust for the System Design Lifecycle</t>
  </si>
  <si>
    <t>artificial intelligence; cyber physical security for factories; cyber physical system design and operation; information management; machine learning for engineering applications; model-based systems engineering; Zero-Trust; systems engineering; system design</t>
  </si>
  <si>
    <t>ENGINEERING DESIGN</t>
  </si>
  <si>
    <t>In an age of worsening global threat landscape and accelerating uncertainty, the design and manufacture of systems must increase resilience and robustness across both the system itself and the entire systems design process. We generally trust our colleagues after initial clearance/background checks; and systems to function as intended and within operating parameters after safety engineering review, verification, validation, and/or system qualification testing. This approach has led to increased insider threat impacts; thus, we suggest moving to the trust, but verify approach embodied by the Zero-Trust paradigm. Zero-Trust is increasingly adopted for network security but has not seen wide adoption in systems design and operation. Achieving the goal of Zero-Trust throughout the systems lifecycle will help to ensure that no single bad actor-whether human or machine learning/artificial intelligence (ML/AI)-can induce failure anywhere in a system's lifecycle. Additionally, while ML/AI and their associated risks are already entrenched within the operations phase of many systems' lifecycles, ML/AI is gaining traction during the design phase. For example, generative design algorithms are increasingly popular, but there is less understanding of potential risks. Adopting the Zero-Trust philosophy helps ensure robust and resilient design, manufacture, operations, maintenance, upgrade, and disposal of systems. We outline the rewards and challenges of implementing Zero-Trust and propose the framework for Zero-Trust for the system design lifecycle. This article highlights several areas of ongoing research with focus on high priority areas where the community should focus efforts.</t>
  </si>
  <si>
    <t>[Van Bossuyt, Douglas L.] Naval Postgrad Sch, Dept Syst Engn, Monterey, CA 93943 USA; [Hale, Britta] Naval Postgrad Sch, Dept Comp Sci, Monterey, CA 93943 USA; [Arlitt, Ryan] Tech Univ Denmark, Dept Mech Engn, DK-2800 Kongens Lyngby, Denmark; [Papakonstantinou, Nikolaos] VTT Tech Res Ctr, FI-02044 Espoo, Finland</t>
  </si>
  <si>
    <t>United States Department of Defense; United States Navy; Naval Postgraduate School; United States Department of Defense; United States Navy; Naval Postgraduate School; Technical University of Denmark; VTT Technical Research Center Finland</t>
  </si>
  <si>
    <t>Van Bossuyt, DL (corresponding author), Naval Postgrad Sch, Dept Syst Engn, Monterey, CA 93943 USA.</t>
  </si>
  <si>
    <t>douglas.vanbossuyt@nps.edu; britta.hale@nps.edu; rmarl@dtu.dk; Nikolaos.Papakonstantinou@vtt.fi</t>
  </si>
  <si>
    <t>Any opinions or findings of this work are the responsibility of the authors, and do not necessarily reflect the views of the sponsors or collaborators. Approved for Public Release; distribution is unlimited.</t>
  </si>
  <si>
    <t>10.1115/1.4062597</t>
  </si>
  <si>
    <t>X1SW1</t>
  </si>
  <si>
    <t>WOS:001096327200017</t>
  </si>
  <si>
    <t>Ulusoy, I; Yilmaz, M; Kivrak, A</t>
  </si>
  <si>
    <t>Ulusoy, Ibrahim; Yilmaz, Mehmet; Kivrak, Aybars</t>
  </si>
  <si>
    <t>How Efficient Is ChatGPT in Accessing Accurate and Quality Health-Related Information?</t>
  </si>
  <si>
    <t>health information; website; jama; discern; chatgpt</t>
  </si>
  <si>
    <t>INTERNET INFORMATION; READABILITY; DISCERN</t>
  </si>
  <si>
    <t>Background and objective The field of artificial intelligence (AI) is advancing at a rapid pace, impacting all aspects of human life. Chat Generative Pre-trained Transformer (ChatGPT), which represents one of AI's most recent and remarkable achievements, has garnered significant attention and popularity in the academic community. ChatGPT, a language model-based chatbot developed by OpenAI, responds quickly and provides answers to the questions put to it. This chatbot has the ability to gather content from a variety of sources on the internet. However, its success in providing correct information has not yet been comprehensively analyzed. In light of this, this study aimed to engage in a comparative content analysis of health-related information provided by ChatGPT and a few selected websites. Methods We performed a qualitative analysis of data obtained from various information sources by using the DISCERN score and the Journal of the American Medical Association (JAMA) benchmark criteria. In addition, readability levels of the content were measured by using the Flesch-Kincaid grade level, Gunning Fog Index, and Simple Measure of Gobbledygook (SMOG) index.Results Based on our findings, there was no statistically significant difference between the websites and ChatGPT in DISCERN scores. However, the JAMA score was statistically significantly higher for websites. With regard to the Flesch-Kincaid grade level, Gunning Fog Index, and SMOG index values, the data obtained from the websites had higher readability.Conclusion Although AI is starting to play a significant role in our everyday lives, it has yet to surpass traditional methods of accessing information in terms of readability and reliability.</t>
  </si>
  <si>
    <t>[Ulusoy, Ibrahim] Selahaddin Eyyubi State Hosp, Dept Orthopaed &amp; Traumatol, Diyarbakir, Turkiye; [Yilmaz, Mehmet] Gaziantep 25 Aralik State Hosp, Dept Orthopaed &amp; Traumatol, Gaziantep, Turkiye; [Kivrak, Aybars] Avrupa Hosp, Dept Orthopaed &amp; Traumatol, Adana, Turkiye</t>
  </si>
  <si>
    <t>December 25 State Hospital; Avrupa Hospital</t>
  </si>
  <si>
    <t>Kivrak, A (corresponding author), Avrupa Hosp, Dept Orthopaed &amp; Traumatol, Adana, Turkiye.</t>
  </si>
  <si>
    <t>aybarskivrak@gmail.com</t>
  </si>
  <si>
    <t>YILMAZ, MEHMET/IZP-6735-2023</t>
  </si>
  <si>
    <t>YILMAZ, MEHMET/0000-0002-1366-9163; KIVRAK, AYBARS/0000-0003-0657-2213</t>
  </si>
  <si>
    <t>OCT 7</t>
  </si>
  <si>
    <t>e46662</t>
  </si>
  <si>
    <t>10.7759/cureus.46662</t>
  </si>
  <si>
    <t>Z1JJ3</t>
  </si>
  <si>
    <t>WOS:001109712500014</t>
  </si>
  <si>
    <t>Madni, HA; Umer, RM; Foresti, GL</t>
  </si>
  <si>
    <t>Madni, Hussain Ahmad; Umer, Rao Muhammad; Foresti, Gian Luca</t>
  </si>
  <si>
    <t>Blockchain-Based Swarm Learning for the Mitigation of Gradient Leakage in Federated Learning</t>
  </si>
  <si>
    <t>Data models; Particle swarm optimization; Peer-to-peer computing; Blockchains; Servers; Federated learning; Smart contracts; Blockchain; data privacy; federated learning; gradient leakage; model privacy; Swarm Learning</t>
  </si>
  <si>
    <t>Federated Learning (FL) is a machine learning technique in which collaborative and distributed learning is performed, while the private data reside locally on the client. Rather than the data, only gradients are shared among all collaborative nodes with the help of a central server. To ensure the data privacy, the gradients are prone to the deformation, or the representation is perturbed before sharing, ultimately reducing the performance of the model. Recent studies show that the original data can still be recovered using latent space (i.e., gradient leakage problem) by Generative Adversarial Network and different optimization algorithms such as Bayesian and Covariance Matrix Adaptation Evolution Strategy. To address the issues of data privacy and gradient leakage, in this paper, we train deep neural networks by exploiting the blockchain-based Swarm Learning (SL) framework. In the SL scheme, instead of sharing perturbed or noisy gradients to the central server, we share the original gradients among authenticated (i.e., blockchain-based smart contract) training nodes. To demonstrate the effectiveness of the SL approach, we evaluate the proposed approach using the standard CIFAR10 and MNIST benchmark datasets and compare it with the other existing methods.</t>
  </si>
  <si>
    <t>[Madni, Hussain Ahmad; Foresti, Gian Luca] Univ Udine, Dept Comp Sci &amp; Artificial Intelligence, I-33100 Udine, Italy; [Umer, Rao Muhammad] Helmholtz Munich, Inst AI Hlth AIH, D-85764 Neuherberg, Germany; [Umer, Rao Muhammad] Univ Engn &amp; Technol, Dept Comp Sci, Lahore 39161, Pakistan</t>
  </si>
  <si>
    <t>University of Udine; University of Engineering &amp; Technology Lahore</t>
  </si>
  <si>
    <t>Madni, HA (corresponding author), Univ Udine, Dept Comp Sci &amp; Artificial Intelligence, I-33100 Udine, Italy.</t>
  </si>
  <si>
    <t>hamadnig@gmail.com</t>
  </si>
  <si>
    <t>Madni, Hussain Ahmad/KBC-5071-2024</t>
  </si>
  <si>
    <t>Madni, Hussain Ahmad/0000-0003-1227-524X</t>
  </si>
  <si>
    <t>PSD-AI Project at the University of Udine, Italy</t>
  </si>
  <si>
    <t>This work was supported in part by the PSD-AI Project at the University of Udine, Italy</t>
  </si>
  <si>
    <t>10.1109/ACCESS.2023.3246126</t>
  </si>
  <si>
    <t>9Q9JJ</t>
  </si>
  <si>
    <t>WOS:000945271400001</t>
  </si>
  <si>
    <t>Payne, K; Chami, P; Odle, I; Yawson, DO; Paul, J; Maharaj-Jagdip, A; Cashman, A</t>
  </si>
  <si>
    <t>Payne, Karl; Chami, Peter; Odle, Ivanna; Yawson, David Oscar; Paul, Jaime; Maharaj-Jagdip, Anuradha; Cashman, Adrian</t>
  </si>
  <si>
    <t>Machine Learning for Surrogate Groundwater Modelling of a Small Carbonate Island</t>
  </si>
  <si>
    <t>HYDROLOGY</t>
  </si>
  <si>
    <t>deep neural networks; elastic networks; Barbados; climate-water nexus; groundwater modelling; FEFLOW; generative adversarial networks</t>
  </si>
  <si>
    <t>ESTIMATING RECHARGE; NEURAL-NETWORKS</t>
  </si>
  <si>
    <t>Barbados is heavily reliant on groundwater resources for its potable water supply, with over 80% of the island's water sourced from aquifers. The ability to meet demand will become even more challenging due to the continuing climate crisis. The consequences of climate change within the Caribbean region include sea level rise, as well as hydrometeorological effects such as increased rainfall intensity, and declines in average annual rainfall. Scientifically sound approaches are becoming increasingly important to understand projected changes in supply and demand while concurrently minimizing deleterious impacts on the island's aquifers. Therefore, the objective of this paper is to develop a physics-based groundwater model and surrogate models using machine learning (ML), which provide decision support to assist with groundwater resources management in Barbados. Results from the study show that a single continuum conceptualization is adequate for representing the island's hydrogeology as demonstrated by a root mean squared error and mean absolute error of 2.7 m and 2.08 m between the model and observed steady-state hydraulic head. In addition, we show that data-driven surrogates using deep neural networks, elastic networks, and generative adversarial networks are capable of approximating the physics-based model with a high degree of accuracy as shown by R-squared values of 0.96, 0.95, and 0.95, respectively. The framework and tools developed are a critical step towards a digital twin that provides stakeholders with a quantitative tool for optimal management of groundwater under a changing climate in Barbados. These outputs will provide sound evidence-based solutions to aid long-term economic and social development on the island.</t>
  </si>
  <si>
    <t>[Payne, Karl; Odle, Ivanna; Yawson, David Oscar] Univ West Indies, Ctr Resource Management &amp; Environm Studies, Cave Hill Campus, Bridgetown BB11000, Barbados; [Chami, Peter] Univ West Indies, Fac Sci &amp; Technol, Cave Hill Campus, Bridgetown BB11000, Barbados; [Paul, Jaime] Barbados Water Author, Bridgetown BB11000, Barbados; [Cashman, Adrian] Akwatix Water Resources Management, Ashford BB20000, Barbados</t>
  </si>
  <si>
    <t>University West Indies Mona Jamaica; University West Indies Cave Hill Campus; University West Indies Mona Jamaica; University West Indies Cave Hill Campus</t>
  </si>
  <si>
    <t>Payne, K (corresponding author), Univ West Indies, Ctr Resource Management &amp; Environm Studies, Cave Hill Campus, Bridgetown BB11000, Barbados.</t>
  </si>
  <si>
    <t>karl.payne@cavehill.uwi.edu</t>
  </si>
  <si>
    <t>Yawson, David/0000-0002-5771-4042; Chami, Peter/0000-0002-6473-9424</t>
  </si>
  <si>
    <t>Global Water Partnership-Caribbean (GWP-C)</t>
  </si>
  <si>
    <t>The content is solely the responsibility of the authors and does not necessarily represent the official views of the funding agencies. The authors would like to thank the Global Water Partnership-Caribbean (GWP-C) for funding to support the acquisition of a FEFLOW license and the Microsoft AI for Earth Program for providing computing credits to use the Azure cloud computing service.</t>
  </si>
  <si>
    <t>2306-5338</t>
  </si>
  <si>
    <t>HYDROLOGY-BASEL</t>
  </si>
  <si>
    <t>Hydrology</t>
  </si>
  <si>
    <t>10.3390/hydrology10010002</t>
  </si>
  <si>
    <t>Water Resources</t>
  </si>
  <si>
    <t>8D2GT</t>
  </si>
  <si>
    <t>WOS:000918116800001</t>
  </si>
  <si>
    <t>Gehring, J</t>
  </si>
  <si>
    <t>Gehring, Justine</t>
  </si>
  <si>
    <t>Deterministic Automatic Refactoring at Scale</t>
  </si>
  <si>
    <t>2023 IEEE INTERNATIONAL CONFERENCE ON SOFTWARE MAINTENANCE AND EVOLUTION, ICSME</t>
  </si>
  <si>
    <t>Proceedings-IEEE International Conference on Software Maintenance</t>
  </si>
  <si>
    <t>39th IEEE International Conference on Software Maintenance and Evolution (ICSME)</t>
  </si>
  <si>
    <t>Univ Andes, Bogota, COLOMBIA</t>
  </si>
  <si>
    <t>IEEE,IEEE Comp Soc Tech Community Software Engn,IEEE Tech Council Software Engn,Fundac GCF Aprende Libre</t>
  </si>
  <si>
    <t>Univ Andes</t>
  </si>
  <si>
    <t>Automatic code refactoring; AST; LST; JUnit; Vulnerabilities; Code Migration; Static Code Analysis; Generative AI</t>
  </si>
  <si>
    <t>In the context of continually growing large code repositories where code refactoring is an ongoing requirement, we highlight the effectiveness of OpenRewrite as a tool for conducting large-scale code refactoring. OpenRewrite leverages Lossless Semantic Trees (LST) to represent code and applies recipes to search and implement changes. These recipes are openly available and can be executed locally or accessed through the Moderne platform for public repositories. We provide a concise overview of the underlying technology, instructions for utilizing the tool, and we compare its performance against a manual approach and two prominent large language models (LLM): ChatGPT and StarChat-beta. Our comparison is based on the execution time of the tool and the accuracy of the implemented changes. Additionally, we present three distinct use cases that demonstrate the versatile applications of the tool. A demonstration of OpenRewrite's recipe which detects vulnerabilities and automatically fixes them is available at the following link: https://www.youtube.com/watch?v=L1-_cQUX-JA.</t>
  </si>
  <si>
    <t>[Gehring, Justine] Moderne, Noida, India</t>
  </si>
  <si>
    <t>Gehring, J (corresponding author), Moderne, Noida, India.</t>
  </si>
  <si>
    <t>justine@moderne.io</t>
  </si>
  <si>
    <t>1063-6773</t>
  </si>
  <si>
    <t>979-8-3503-2783-0</t>
  </si>
  <si>
    <t>PROC IEEE INT CONF S</t>
  </si>
  <si>
    <t>10.1109/ICSME58846.2023.00069</t>
  </si>
  <si>
    <t>BW2UF</t>
  </si>
  <si>
    <t>WOS:001125977500057</t>
  </si>
  <si>
    <t>Auriau, V; Malherbe, E; Perrot, M</t>
  </si>
  <si>
    <t>Foresti, GL; Fusiello, A; Hancock, E</t>
  </si>
  <si>
    <t>Auriau, Vincent; Malherbe, Emmanuel; Perrot, Matthieu</t>
  </si>
  <si>
    <t>Weak Segmentation-Guided GAN for Realistic Color Edition</t>
  </si>
  <si>
    <t>IMAGE ANALYSIS AND PROCESSING, ICIAP 2023, PT I</t>
  </si>
  <si>
    <t>22nd International Conference on Image Analysis and Processing (ICIAP)</t>
  </si>
  <si>
    <t>Udine, ITALY</t>
  </si>
  <si>
    <t>ST Microelectron,Univ Udine, Dept Informat, Math &amp; Phys,Univ Udine, Polytechn Dept Engn &amp; Architecture</t>
  </si>
  <si>
    <t>color edition; GAN; generative; segmentation</t>
  </si>
  <si>
    <t>Editing the color of images in a realistic way finds many applications such as changing the perception of an image, data augmentation or film post processing. The design of an automatic tool is a complex and long addressed challenge. In particular, two properties are difficult to meet altogether: generating realistic results without artifacts and the possibility to precisely choose the future color. Conventional methods using segmentation and histogram matching maximize the controllability but also introduce a lack of realism or are complex to automate. On the contrary, GANs that specialize in realism are difficult to control. To overcome these challenges, we propose a novel GAN architecture leveraging any differentiable segmentation model. We demonstrate the genericness of our framework that presents state of the art results on different use cases. It generates images that look realistic while offering a precise color control.</t>
  </si>
  <si>
    <t>[Auriau, Vincent; Malherbe, Emmanuel; Perrot, Matthieu] LOreal AI Res, Clichy, France; [Malherbe, Emmanuel] Artefact Res Ctr, Paris, France</t>
  </si>
  <si>
    <t>Auriau, V (corresponding author), LOreal AI Res, Clichy, France.</t>
  </si>
  <si>
    <t>vincent.auriau@loreal.com; emmanuel.malherbe@artefact.com; matthieu.perrot@loreal.com</t>
  </si>
  <si>
    <t>978-3-031-43147-0; 978-3-031-43148-7</t>
  </si>
  <si>
    <t>10.1007/978-3-031-43148-7_41</t>
  </si>
  <si>
    <t>BW4WH</t>
  </si>
  <si>
    <t>WOS:001156196000041</t>
  </si>
  <si>
    <t>Yang, YJ; Fu, HZ; Aviles-Rivero, AI; Schönlieb, CB; Zhu, L</t>
  </si>
  <si>
    <t>Yang, Yijun; Fu, Huazhu; Aviles-Rivero, Angelica I.; Schonlieb, Carola-Bibiane; Zhu, Lei</t>
  </si>
  <si>
    <t>DiffMIC: Dual-Guidance Diffusion Network for Medical Image Classification</t>
  </si>
  <si>
    <t>MEDICAL IMAGE COMPUTING AND COMPUTER ASSISTED INTERVENTION, MICCAI 2023, PT VI</t>
  </si>
  <si>
    <t>diffusion probabilistic model; medical image classification; placental maturity; skin lesion; diabetic retinopathy</t>
  </si>
  <si>
    <t>Diffusion Probabilistic Models have recently shown remarkable performance in generative image modeling, attracting significant attention in the computer vision community. However, while a substantial amount of diffusion-based research has focused on generative tasks, few studies have applied diffusion models to general medical image classification. In this paper, we propose the first diffusion-based model (named DiffMIC) to address general medical image classification by eliminating unexpected noise and perturbations in medical images and robustly capturing semantic representation. To achieve this goal, we devise a dual conditional guidance strategy that conditions each diffusion step with multiple granularities to improve step-wise regional attention. Furthermore, we propose learning the mutual information in each granularity by enforcing Maximum-Mean Discrepancy regularization during the diffusion forward process. We evaluate the effectiveness of our DiffMIC on three medical classification tasks with different image modalities, including placental maturity grading on ultrasound images, skin lesion classification using dermatoscopic images, and diabetic retinopathy grading using fundus images. Our experimental results demonstrate that DiffMIC outperforms state-of-the-art methods by a significant margin, indicating the universality and effectiveness of the proposed model. Our code is publicly available at https://github.com/scott-yjyang/DiffMIC.</t>
  </si>
  <si>
    <t>[Yang, Yijun; Zhu, Lei] Hong Kong Univ Sci &amp; Technol Guangzhou, Guangzhou, Guangdong, Peoples R China; [Yang, Yijun; Zhu, Lei] Hong Kong Univ Sci &amp; Technol, Hong Kong, Peoples R China; [Fu, Huazhu] Agcy Sci Technol &amp; Res, Inst High Performance Comp, Singapore, Singapore; [Aviles-Rivero, Angelica I.; Schonlieb, Carola-Bibiane] Univ Cambridge, Cambridge, England</t>
  </si>
  <si>
    <t>Hong Kong University of Science &amp; Technology (Guangzhou); Hong Kong University of Science &amp; Technology; Agency for Science Technology &amp; Research (A*STAR); A*STAR - Institute of High Performance Computing (IHPC); University of Cambridge</t>
  </si>
  <si>
    <t>Zhu, L (corresponding author), Hong Kong Univ Sci &amp; Technol Guangzhou, Guangzhou, Guangdong, Peoples R China.;Zhu, L (corresponding author), Hong Kong Univ Sci &amp; Technol, Hong Kong, Peoples R China.</t>
  </si>
  <si>
    <t>Guangzhou Municipal Science and Technology Project [2023A03J0671]; National Research Foundation, Singapore under its AI Singapore Programme (AISG) [AISG2-TC-2021-003]; A*STAR AME Programmatic Funding Scheme [A20H4b0141]; A*STAR Central Research Fund</t>
  </si>
  <si>
    <t>Guangzhou Municipal Science and Technology Project; National Research Foundation, Singapore under its AI Singapore Programme (AISG); A*STAR AME Programmatic Funding Scheme(Agency for Science Technology &amp; Research (A*STAR)); A*STAR Central Research Fund(Agency for Science Technology &amp; Research (A*STAR))</t>
  </si>
  <si>
    <t>This research is supported by Guangzhou Municipal Science and Technology Project (Grant No. 2023A03J0671), the National Research Foundation, Singapore under its AI Singapore Programme (AISG Award No: AISG2-TC-2021-003), A*STAR AME Programmatic Funding Scheme Under Project A20H4b0141, and A*STAR Central Research Fund.</t>
  </si>
  <si>
    <t>978-3-031-43986-5; 978-3-031-43987-2</t>
  </si>
  <si>
    <t>10.1007/978-3-031-43987-2_10</t>
  </si>
  <si>
    <t>BW1RK</t>
  </si>
  <si>
    <t>WOS:001109635100010</t>
  </si>
  <si>
    <t>Zhang, N; Xu, JH; Zhang, XF; Wang, YF</t>
  </si>
  <si>
    <t>Zhang, Na; Xu, Jinghan; Zhang, Xifeng; Wang, Yifang</t>
  </si>
  <si>
    <t>Social robots supporting children's learning and development: Bibliometric and visual analysis</t>
  </si>
  <si>
    <t>Social robot; Child-robot interaction; Child development; Child learning; Bibliometric analysis</t>
  </si>
  <si>
    <t>AUTISM SPECTRUM DISORDERS; ASSISTIVE ROBOT; INTERVENTION; ANXIETY; PEER</t>
  </si>
  <si>
    <t>The presence of social robots in children's daily environments has steadily increased. With the advancement of artificial intelligence (AI), social robots have influenced children's learning and development. This study innovatively utilized the Web of Science database and conducted a bibliometric analysis of 517 publications on social robots supporting children's learning and development before September 2022. Unlike most existing reviews, this study employed a synergistic combination of two complementary visualization tools, VOSviewer and CiteSpace, to map the intellectual structure and analyze the knowledge evolution path in this emerging interdisciplinary field. Specifically, VOSviewer generated visualizations depicting collaboration networks, research hotspots, and trends based on co-occurrences. CiteSpace enabled quantitative measurements of node centrality and burstness to reveal pivotal entities and emerging topics. Combining visual mapping and quantitative analysis by VOSviewer and CiteSpace allowed comprehensive landscape mapping for an in-depth investigation into the development of this field. This study proposes future research directions, including children's perceptions of social robots, social robots enhancing children's learning, social robots supporting children's social and emotional development, and social robots for children with special needs. The findings also inform the design and application of child-friendly social robots equipped with generative AI techniques.</t>
  </si>
  <si>
    <t>[Zhang, Na; Xu, Jinghan; Zhang, Xifeng; Wang, Yifang] Capital Normal Univ, Coll Presch Educ, Beijing, Peoples R China</t>
  </si>
  <si>
    <t>Capital Normal University</t>
  </si>
  <si>
    <t>Wang, YF (corresponding author), Capital Normal Univ, Coll Presch Educ, Beijing, Peoples R China.</t>
  </si>
  <si>
    <t>wangyifang6275@126.com</t>
  </si>
  <si>
    <t>li, fangyu/KCY-0521-2024; liu, qi/KFA-4047-2024; Shen, Yan/KEJ-4617-2024; Li, Yuanyuan/KEH-6935-2024; wang, yifang/KEI-3766-2024; wang, shuo/KCL-3379-2024; Zhang, Yulin/KEI-1610-2024; Wang, Fei/KEH-6292-2024; WANG, YANAN/KCL-4840-2024; Liu, Donghua/KEJ-1974-2024; Zhang, Jiahua/KFS-4615-2024; liu, yang/KFA-8402-2024; Wang, Yibin/KEZ-9645-2024; zhang, xiaoyu/KEJ-0657-2024</t>
  </si>
  <si>
    <t>li, fangyu/0009-0009-8303-9157; Li, Yuanyuan/0000-0002-4955-1159; Liu, Donghua/0000-0002-5830-9540;</t>
  </si>
  <si>
    <t>the National Education Sciences Planning Project of China [BHA230141]; National Education Sciences Planning Project of China: Artificial Intelligence Empowering Children's Learning in Digital Transformation: Effect Tracking and Practice Mechanisms</t>
  </si>
  <si>
    <t>the National Education Sciences Planning Project of China; National Education Sciences Planning Project of China: Artificial Intelligence Empowering Children's Learning in Digital Transformation: Effect Tracking and Practice Mechanisms</t>
  </si>
  <si>
    <t>This work is supported by the National Education Sciences Planning Project of China: Artificial Intelligence Empowering Children's Learning in Digital Transformation: Effect Tracking and Practice Mechanisms, under Grant No. BHA230141.</t>
  </si>
  <si>
    <t>10.1007/s10639-023-12362-8</t>
  </si>
  <si>
    <t>Z9ZF4</t>
  </si>
  <si>
    <t>WOS:001115580400002</t>
  </si>
  <si>
    <t>Zhang, Z; Yu, Y; Takasu, A</t>
  </si>
  <si>
    <t>Zhang, Zhe; Yu, Yi; Takasu, Atsuhiro</t>
  </si>
  <si>
    <t>Controllable lyrics-to-melody generation</t>
  </si>
  <si>
    <t>Melody generation from lyrics; Controllable music generation; LSTM; GAN</t>
  </si>
  <si>
    <t>Lyrics-to-melody generation is an interesting and challenging topic in AI music research field. Due to the difficulty of learning the correlations between lyrics and melody, previous methods suffer from low generation quality and lack of controllability. Controllability of generative models enables human interaction with models to generate desired contents, which is especially important in music generation tasks towards human-centered AI that can facilitate musicians in creative activities. To address these issues, we propose a controllable lyrics-to-melody generation network, ConL2M, which is able to generate realistic melodies from lyrics in user-desired musical style. Our work contains three main novelties: (1) to model the dependencies of music attributes cross multiple sequences, inter-branch memory fusion (Memofu) is proposed to enable information flow between multi-branch stacked LSTM architecture; (2) reference style embedding (RSE) is proposed to improve the quality of generation as well as control the musical style of generated melodies; (3) sequence-level statistical loss (SeqLoss) is proposed to help the model learn sequence-level features of melodies given lyrics. Verified by evaluation metrics for music quality and controllability, initial study of controllable lyrics-to-melody generation shows better generation quality and the feasibility of interacting with users to generate the melodies in desired musical styles when given lyrics.</t>
  </si>
  <si>
    <t>[Zhang, Zhe; Yu, Yi; Takasu, Atsuhiro] Natl Inst Informat, Digital Content &amp; Media Sci Res Div, Chiyoda Ku, Tokyo 1018430, Japan; [Zhang, Zhe; Yu, Yi; Takasu, Atsuhiro] SOKENDAI, Chiyoda Ku, Tokyo 1018430, Japan</t>
  </si>
  <si>
    <t>Research Organization of Information &amp; Systems (ROIS); National Institute of Informatics (NII) - Japan</t>
  </si>
  <si>
    <t>Yu, Y (corresponding author), Natl Inst Informat, Digital Content &amp; Media Sci Res Div, Chiyoda Ku, Tokyo 1018430, Japan.;Yu, Y (corresponding author), SOKENDAI, Chiyoda Ku, Tokyo 1018430, Japan.</t>
  </si>
  <si>
    <t>zhe@nii.ac.jp; yiyu@nii.ac.jp; takasu@nii.ac.jp</t>
  </si>
  <si>
    <t>10.1007/s00521-023-08728-1</t>
  </si>
  <si>
    <t>GN7Y7</t>
  </si>
  <si>
    <t>WOS:001024246100001</t>
  </si>
  <si>
    <t>Beaty, RE; Cortes, RA; Merseal, HM; Hardiman, MM; Green, AE</t>
  </si>
  <si>
    <t>Beaty, Roger E.; Cortes, Robert A.; Merseal, Hannah M.; Hardiman, Mariale M.; Green, Adam E.</t>
  </si>
  <si>
    <t>Brain Networks Supporting Scientific Creative Thinking</t>
  </si>
  <si>
    <t>PSYCHOLOGY OF AESTHETICS CREATIVITY AND THE ARTS</t>
  </si>
  <si>
    <t>creativity; default mode network; functional connectivity; scientific creativity; semantic control network</t>
  </si>
  <si>
    <t>FUNCTIONAL CONNECTIVITY; INDIVIDUAL-DIFFERENCES; DIVERGENT; COGNITION; CORTEX; ROBUST; SEGMENTATION; OPTIMIZATION; REGISTRATION; GENERATION</t>
  </si>
  <si>
    <t>Creative thinking is important for success in the fields of science, technology, engineering, and mathematics (STEM). Yet creativity in STEM is perhaps the most under-researched question in the creativity literature, with little known about the neurocognitive mechanisms supporting scientific creative thinking abilities, such as hypothesis generation. In the present functional magnetic resonance imaging study, undergraduate STEM majors (n = 47) completed a scientific hypothesis generation task (thinking of novel/plausible explanations for hypothetical scenarios) and a control task (thinking of synonyms to replace a word in a hypothetical scenario). Multivariate pattern analysis identified a whole-brain network supporting hypothesis generation, including hubs of the default (posterior cingulate cortex [PCC]), salience (right anterior insula [AI]), and semantic control (left inferior frontal gyrus [IFG]) networks. Using these network hubs as seed regions, we found increased between-network functional connectivity during hypothesis generation, including stronger coupling between semantic control (IFG) and posterior default regions (PCC and bilateral angular gyrus) and stronger coupling between salience (AI) and default regions, alongside weaker within-network functional connectivity. Our results indicate that scientific creative thinking involves increased cooperation among the default, salience, and control networks-similar to creative thinking in other domains-potentially reflecting a coordination of spontaneous/generative and controlled/evaluative processes to construct original explanations for scientific phenomena.</t>
  </si>
  <si>
    <t>[Beaty, Roger E.; Merseal, Hannah M.] Penn State Univ, Dept Psychol, University Pk, PA USA; [Cortes, Robert A.; Green, Adam E.] Georgetown Univ, Dept Psychol, Washington, DC USA; [Hardiman, Mariale M.] Johns Hopkins Univ, Sch Educ, Baltimore, MD USA; [Beaty, Roger E.] Penn State Univ, Dept Psychol, 140 Moore Bldg, University Pk, PA 16802 USA</t>
  </si>
  <si>
    <t>Pennsylvania Commonwealth System of Higher Education (PCSHE); Pennsylvania State University; Pennsylvania State University - University Park; Georgetown University; Johns Hopkins University; Pennsylvania Commonwealth System of Higher Education (PCSHE); Pennsylvania State University; Pennsylvania State University - University Park</t>
  </si>
  <si>
    <t>Beaty, RE (corresponding author), Penn State Univ, Dept Psychol, 140 Moore Bldg, University Pk, PA 16802 USA.</t>
  </si>
  <si>
    <t>rebeaty@psu.edu</t>
  </si>
  <si>
    <t>National Science Foundation [DRL-1920653]</t>
  </si>
  <si>
    <t>he authors thank the staff and scientists at the SLEIC for their support. Adam E. Green, Mariale M. Hardiman, and Roger E. Beaty are supported by a grant from the National Science Foundation [DRL-1920653].</t>
  </si>
  <si>
    <t>EDUCATIONAL PUBLISHING FOUNDATION-AMERICAN PSYCHOLOGICAL ASSOC</t>
  </si>
  <si>
    <t>750 FIRST ST, NE, WASHINGTON, DC 20002-4242 USA</t>
  </si>
  <si>
    <t>1931-3896</t>
  </si>
  <si>
    <t>1931-390X</t>
  </si>
  <si>
    <t>PSYCHOL AESTHET CREA</t>
  </si>
  <si>
    <t>Psychol. Aesthet. Creat. Arts.</t>
  </si>
  <si>
    <t>2023 JUL 20</t>
  </si>
  <si>
    <t>10.1037/aca0000603</t>
  </si>
  <si>
    <t>Humanities, Multidisciplinary; Psychology, Experimental</t>
  </si>
  <si>
    <t>Arts &amp; Humanities - Other Topics; Psychology</t>
  </si>
  <si>
    <t>M8MW2</t>
  </si>
  <si>
    <t>WOS:001032711600001</t>
  </si>
  <si>
    <t>Ahimaz, P; Bergner, AL; Florido, ME; Harkavy, N; Bhattacharyya, S</t>
  </si>
  <si>
    <t>Ahimaz, Priyanka; Bergner, Amanda L.; Florido, Michelle E.; Harkavy, Nina; Bhattacharyya, Sriya</t>
  </si>
  <si>
    <t>Genetic counselors' utilization of ChatGPT in professional practice: A cross-sectional study</t>
  </si>
  <si>
    <t>AMERICAN JOURNAL OF MEDICAL GENETICS PART A</t>
  </si>
  <si>
    <t>artificial intelligence; clinical genetics; genetic counselors</t>
  </si>
  <si>
    <t>Purpose: The precision medicine era has seen increased utilization of artificial intelligence (AI) in the field of genetics. We sought to explore the ways that genetic counselors (GCs) currently use the publicly accessible AI tool Chat Generative Pre-trained Transformer (ChatGPT) in their work.Methods: GCs in North America were surveyed about how ChatGPT is used in different aspects of their work. Descriptive statistics were reported through frequencies and means.ResultsOf 118 GCs who completed the survey, 33.8% (40) reported using ChatGPT in their work; 47.5% (19) use it in clinical practice, 35% (14) use it in education, and 32.5% (13) use it in research. Most GCs (62.7%; 74) felt that it saves time on administrative tasks but the majority (82.2%; 97) felt that a paramount challenge was the risk of obtaining incorrect information. The majority of GCs not using ChatGPT (58.9%; 46) felt it was not necessary for their work.Conclusion: A considerable number of GCs in the field are using ChatGPT in different ways, but it is primarily helpful with tasks that involve writing. It has potential to streamline workflow issues encountered in clinical genetics, but practitioners need to be informed and uniformly trained about its limitations.</t>
  </si>
  <si>
    <t>[Ahimaz, Priyanka; Bergner, Amanda L.; Florido, Michelle E.; Harkavy, Nina; Bhattacharyya, Sriya] Columbia Univ, Vagelos Coll Phys &amp; Surg, Genet Counseling Grad Program, New York, NY 10027 USA; [Ahimaz, Priyanka] Columbia Univ, Vagelos Coll Phys &amp; Surg, Dept Pediat, New York, NY USA; [Bergner, Amanda L.; Florido, Michelle E.] Columbia Univ, Vagelos Coll Phys &amp; Surg, Dept Genet &amp; Dev, New York, NY USA; [Bergner, Amanda L.] Columbia Univ, Vagelos Coll Phys &amp; Surg, Dept Neurol, New York, NY USA; [Harkavy, Nina] Columbia Univ, Vagelos Coll Phys &amp; Surg, Dept Obstet &amp; Gynecol, New York, NY USA; [Bhattacharyya, Sriya] Columbia Univ, Vagelos Coll Phys &amp; Surg, Dept Psychiat, New York, NY USA</t>
  </si>
  <si>
    <t>Columbia University; Columbia University; Columbia University; Columbia University; Columbia University; Columbia University</t>
  </si>
  <si>
    <t>Ahimaz, P (corresponding author), Columbia Univ, Vagelos Coll Phys &amp; Surg, Genet Counseling Grad Program, New York, NY 10027 USA.</t>
  </si>
  <si>
    <t>pa2422@cumc.columbia.edu</t>
  </si>
  <si>
    <t>Ahimaz, Priyanka/0000-0001-5112-1599; Bergner, Amanda/0000-0002-2712-3073</t>
  </si>
  <si>
    <t>1552-4825</t>
  </si>
  <si>
    <t>1552-4833</t>
  </si>
  <si>
    <t>AM J MED GENET A</t>
  </si>
  <si>
    <t>Am. J. Med. Genet. A</t>
  </si>
  <si>
    <t>10.1002/ajmg.a.63493</t>
  </si>
  <si>
    <t>Genetics &amp; Heredity</t>
  </si>
  <si>
    <t>AI2T1</t>
  </si>
  <si>
    <t>WOS:001117778400001</t>
  </si>
  <si>
    <t>Li, C; Chrysostomou, D; Zhang, XC; Yang, HJ</t>
  </si>
  <si>
    <t>Li, Chen; Chrysostomou, Dimitrios; Zhang, Xiaochun; Yang, Hongji</t>
  </si>
  <si>
    <t>IRWoZ: Constructing an Industrial Robot Wizard-of-OZ Dialoguing Dataset</t>
  </si>
  <si>
    <t>Data collection; data annotation; dialogue systems; virtual assistants; human-robot interaction</t>
  </si>
  <si>
    <t>SYSTEM</t>
  </si>
  <si>
    <t>Enabling a flexible and natural human-robot interaction (HRI) for industrial robots is a critical yet challenging task that can be facilitated by the use of conversational artificial intelligence (AI). Prior research has concentrated on strengthening interactions through the deployment of social robots, while disregarding the capabilities required to boost the flexibility and user experience associated with human-robot collaboration (HRC) on manufacturing tasks. One of the main challenges is the lack of publicly available industrial-oriented dialogue datasets for the training of conversational AI. In this work, we present an Industrial Robot Wizard-of-Oz Dialoguing Dataset (IRWoZ) focused on enabling HRC in manufacturing tasks. The dataset covers four domains: assembly, transportation, position, and relocation. It is created using the Wizard-of-Oz technique to be less noisy. We manually constructed, annotated and validated dialogue segments (e.g., intentions, slots, annotations), as well as the responses. Building upon the proposed dataset, we benchmark it on the state-of-the-art (SoTA) language models, generative pre-trained (GPT-2) models, on dialogue state tracking and response generation tasks. We expect that the IRWoZ dataset will facilitate exciting ongoing dialogue research and we provide it freely accessible at https://github.com/lcroy/ToD4IR/tree/main/dataset.</t>
  </si>
  <si>
    <t>[Li, Chen; Chrysostomou, Dimitrios] Aalborg Univ, Dept Mat &amp; Prod, DK-9220 Aalborg, Denmark; [Zhang, Xiaochun] Anhui Univ Finance &amp; Econ, Sch Management Sci &amp; Comp, Bengbu 233030, Anhui, Peoples R China; [Yang, Hongji] Univ Leicester, Sch Comp &amp; Math Sci, Leicester LE1 7RH, England</t>
  </si>
  <si>
    <t>Aalborg University; Anhui University of Finance &amp; Economics; University of Leicester</t>
  </si>
  <si>
    <t>Li, C (corresponding author), Aalborg Univ, Dept Mat &amp; Prod, DK-9220 Aalborg, Denmark.</t>
  </si>
  <si>
    <t>cl@mp.aau.dk</t>
  </si>
  <si>
    <t>Chrysostomou, Dimitrios/H-7077-2013</t>
  </si>
  <si>
    <t>Chrysostomou, Dimitrios/0000-0002-6114-8944; Li, Chen/0000-0001-6249-8957; Yang, Hongji/0000-0001-6561-3631</t>
  </si>
  <si>
    <t>Project of the Natural Science Foundation of the Education Department of Anhui Province [KJ2020A0012]; Program of School Scientific Research of the Anhui University of Finance and Economics [ACKYC22092]; European Union (EU's) [S0218-chARmER]; Innovation Fund Denmark [9118-00001B]; H2020-WIDESPREAD Project (Networking for Research and Development of Human Interactive and Sensitive Robotics Taking Advantage of Additive Manufacturing-R2P2) [857061]</t>
  </si>
  <si>
    <t>Project of the Natural Science Foundation of the Education Department of Anhui Province; Program of School Scientific Research of the Anhui University of Finance and Economics; European Union (EU's)(European Union (EU)); Innovation Fund Denmark; H2020-WIDESPREAD Project (Networking for Research and Development of Human Interactive and Sensitive Robotics Taking Advantage of Additive Manufacturing-R2P2)</t>
  </si>
  <si>
    <t>This work was supported in part by the Project of the Natural Science Foundation of the Education Department of Anhui Province under Grant KJ2020A0012, in part by the Program of School Scientific Research of the Anhui University of Finance and Economics under Grant ACKYC22092, in part by the European Union (EU's) SMART EUREKA Program under Grant S0218-chARmER, in part by the Innovation Fund Denmark under Grant 9118-00001B, and in part by the H2020-WIDESPREAD Project (Networking for Research and Development of Human Interactive and Sensitive Robotics Taking Advantage of Additive Manufacturing-R2P2) under Grant 857061.</t>
  </si>
  <si>
    <t>10.1109/ACCESS.2023.3259325</t>
  </si>
  <si>
    <t>D2SM1</t>
  </si>
  <si>
    <t>WOS:000967271800001</t>
  </si>
  <si>
    <t>Masoumi-Verki, S; Haghighat, F; Bouguila, N; Eicker, U</t>
  </si>
  <si>
    <t>Masoumi-Verki, Shahin; Haghighat, Fariborz; Bouguila, Nizar; Eicker, Ursula</t>
  </si>
  <si>
    <t>The use of GANs and transfer learning in model-order reduction of turbulent wake of an isolated high-rise building</t>
  </si>
  <si>
    <t>BUILDING AND ENVIRONMENT</t>
  </si>
  <si>
    <t>Urban airflow; Residual neural network (ResNet); Deep learning; Surrogate modeling; Model order reduction; Neural networks</t>
  </si>
  <si>
    <t>POLLUTANT DISPERSION; FLUID-DYNAMICS; REAL-TIME; FLOW; SIMULATION; VISCOSITY; FIELD; CFD; TEMPERATURE; SYSTEMS</t>
  </si>
  <si>
    <t>The high cost of computational fluid dynamics (CFD) simulations has limited their use for real-time and longterm simulations. To address this limitation, reduced-order modeling has been developed, and recent advancements in artificial intelligence (AI) algorithms have led to the creation of non-intrusive reduced-order models (NIROMs). The present study proposes a framework for using various AI techniques to develop NIROMs for the turbulent wake of an isolated high-rise building. The framework is demonstrated using datasets from two different flow conditions, isothermal and unstable thermal stratification. A residual adversarial autoencoder (AAE) network with convolutional layers and Wasserstein generative adversarial network (WGAN) is first used to reduce the dimensionality of the unstable dataset. Afterward, a parallel bidirectional long short-term memory (BiLSTM) network computes its evolution through time. The proposed framework provides commendable predictions of the airflow field. The weights of the trained model are utilized to create a NIROM based on transfer learning (TL) for a smaller dataset that represents the isothermal condition. The results showed that when the training dataset is limited and the model cannot be trained on sufficient vortex shedding cycles, the proper use of TL can lead to better outcomes compared to the traditional training method (i.e., training from scratch).</t>
  </si>
  <si>
    <t>[Masoumi-Verki, Shahin; Haghighat, Fariborz; Eicker, Ursula] Concordia Univ, Dept Bldg Civil &amp; Environm Engn, Montreal, PQ, Canada; [Masoumi-Verki, Shahin; Bouguila, Nizar] Concordia Univ, Concordia Inst Informat Syst Engn CIISE, Montreal, PQ, Canada</t>
  </si>
  <si>
    <t>Concordia University - Canada; Concordia University - Canada</t>
  </si>
  <si>
    <t>Haghighat, F (corresponding author), Concordia Univ, Dept Bldg Civil &amp; Environm Engn, Montreal, PQ, Canada.</t>
  </si>
  <si>
    <t>Fariborz.Haghighat@concordia.ca</t>
  </si>
  <si>
    <t>0360-1323</t>
  </si>
  <si>
    <t>1873-684X</t>
  </si>
  <si>
    <t>BUILD ENVIRON</t>
  </si>
  <si>
    <t>Build. Environ.</t>
  </si>
  <si>
    <t>10.1016/j.buildenv.2023.110948</t>
  </si>
  <si>
    <t>Construction &amp; Building Technology; Engineering, Environmental; Engineering, Civil</t>
  </si>
  <si>
    <t>W6TK8</t>
  </si>
  <si>
    <t>WOS:001092931700001</t>
  </si>
  <si>
    <t>Ramírez, D; Suárez, F; Peña, JM; Larré, O; Cifuentes, A</t>
  </si>
  <si>
    <t>Ramirez, Domingo; Suarez, Fernando; Pena, Jose-Manuel; Larre, Omar; Cifuentes, Arturo</t>
  </si>
  <si>
    <t>A Machine Learning Plus-Features Based Approach for Optimal Asset Allocation</t>
  </si>
  <si>
    <t>asset allocation; portfolio optimization; synthetic data; machine learning; features; contextual information; GAN; CTGAN; neural networks</t>
  </si>
  <si>
    <t>PORTFOLIO; RISK</t>
  </si>
  <si>
    <t>Within the asset management industry, the portfolio selection problem stands as one of the most important challenges. The approaches that experts have taken to address this problem have ranged from intuition-based decisions to sophisticated optimization frameworks. In this paper, we introduce a novel portfolio optimization methodology for investors with a medium- to long-term horizon focusing on public markets via index funds. Our method marries a Markowitz-inspired framework with a Conditional-Value-at-Risk (CVaR) constraint, and employs synthetic data generated through a Modified Conditional Generative Adversarial Network (CTGAN) approach that incorporates contextual information, specifically, the U.S. Treasury yield curve. The synthetic data generation algorithm captures the essential structure of the training dataset, while the CVaR-based optimization leads to portfolios with very good out-of-sample performance. This study emphasizes the merits of integrating contextual information and demonstrates the generative networks superiority over traditional approaches based solely on historical data. This innovative approach lays the groundwork for further advancements in asset allocation strategies fueled by synthetic data generating processes.</t>
  </si>
  <si>
    <t>[Ramirez, Domingo; Suarez, Fernando; Pena, Jose-Manuel; Larre, Omar] Fintual Adm Gen Fondos SA, Santiago, Chile; [Cifuentes, Arturo] CLAPES UC, Santiago, Chile</t>
  </si>
  <si>
    <t>Ramírez, D (corresponding author), Fintual Adm Gen Fondos SA, Santiago, Chile.</t>
  </si>
  <si>
    <t>research@fintual.com; fernando@fintual.com; manu@fintual.com; omar@fintual.com; ac@arturocifuentes.com</t>
  </si>
  <si>
    <t>Larre, Omar/0009-0003-2181-226X</t>
  </si>
  <si>
    <t>10.1145/3604237.3626865</t>
  </si>
  <si>
    <t>WOS:001124982700064</t>
  </si>
  <si>
    <t>Coronado, BC; Sandoval, AM</t>
  </si>
  <si>
    <t>Coronado, Blanca Carbajo; Sandoval, Antonio Moreno</t>
  </si>
  <si>
    <t>Financial concepts extraction and lexical simplification in Spanish</t>
  </si>
  <si>
    <t>RAEL-REVISTA ELECTRONICA DE LINGUISTICA APLICADA</t>
  </si>
  <si>
    <t>specialised lexicon; financial language; automatic simplification; linguistic resource; Spanish</t>
  </si>
  <si>
    <t>This paper delves into concept extraction and lexical simplification in the financial domain in Spanish. In our approach, concept extraction involves identifying relevant terms and phrases using AI language models, while lexical simplification aims to make complex financial concepts more accessible. For this study, terms were annotated in the FinT-esp financial corpus and the mT5 neural model was used for accurate term extraction. The model yielded remarkable results: 96% of the detected terms had not been manually annotated before, showcasing its noteworthy generative capability. For lexical simplification, the paper proposes three main strategies: paraphrasing, synonym substitution, and translation, all integrated into an interactive interface that addresses the issue of sentence length. This research significantly contributes to financial concept detection and offers an effective method for simplifying financial language in Spanish.</t>
  </si>
  <si>
    <t>[Coronado, Blanca Carbajo; Sandoval, Antonio Moreno] Univ Autonoma Madrid, Madrid, Spain</t>
  </si>
  <si>
    <t>Autonomous University of Madrid</t>
  </si>
  <si>
    <t>Coronado, BC (corresponding author), Univ Autonoma Madrid, Madrid, Spain.</t>
  </si>
  <si>
    <t>Spanish Ministry of Science and Innovation [PID2020-116001RB-C31]; State Research Agency; Spanish Ministry of Science, Innovation and Universities [FPU20/04007]</t>
  </si>
  <si>
    <t>Spanish Ministry of Science and Innovation(Spanish Government); State Research Agency; Spanish Ministry of Science, Innovation and Universities(Spanish Government)</t>
  </si>
  <si>
    <t>This publication is part of the project Computational linguistic methods for the readability and simplification of financial narratives. CLARA-FINT (PID2020-116001RB-C31), funded by the Spanish Ministry of Science and Innovation and the State Research Agency.The first author acknowledges the financial support provided by the FPU grant (FPU20/04007) which has been awarded by the Spanish Ministry of Science, Innovation and Universities.</t>
  </si>
  <si>
    <t>ASOC ESPANOLA LINGUISTICA APLICADA-AESLA</t>
  </si>
  <si>
    <t>UNIV POLITECNICA VALENICA, DEPT LINGUISTICA APLICADA, EDIFICIO 4P, 3A PLANTA, VALENCIA, 46022, SPAIN</t>
  </si>
  <si>
    <t>1885-9089</t>
  </si>
  <si>
    <t>RAEL-REV ELECTR LING</t>
  </si>
  <si>
    <t>RAEL-Rev. Electron. Linguist. Apl.</t>
  </si>
  <si>
    <t>JAN-DEC</t>
  </si>
  <si>
    <t>10.58859/rael.v23i1.590</t>
  </si>
  <si>
    <t>HB7F1</t>
  </si>
  <si>
    <t>WOS:001157087100013</t>
  </si>
  <si>
    <t>Ai, YB; Liu, XX; Zhai, HY; Li, J; Liu, SL; An, HL; Zhang, WD</t>
  </si>
  <si>
    <t>Ai, Yibo; Liu, Xiaoxi; Zhai, Haoyang; Li, Jie; Liu, Shuangli; An, Huilong; Zhang, Weidong</t>
  </si>
  <si>
    <t>Multi-Scale Feature Fusion with Attention Mechanism Based on CGAN Network for Infrared Image Colorization</t>
  </si>
  <si>
    <t>attention mechanism module; Generative Adversarial Network (GAN); image colorization; infrared images; multi-scale feature fusion</t>
  </si>
  <si>
    <t>This paper proposes a colorization algorithm for infrared images based on a Conditional Generative Adversarial Network (CGAN) with multi-scale feature fusion and attention mechanisms, aiming to address issues such as color leakage and unclear semantics in existing infrared image coloring methods. Firstly, we improved the generator of the CGAN network by incorporating a multi-scale feature extraction module into the U-Net architecture to fuse features from different scales, thereby enhancing the network's ability to extract features and improving its semantic understanding, which improves the problems of color leakage and blurriness during colorization. Secondly, we enhanced the discriminator of the CGAN network by introducing an attention mechanism module, which includes channel attention and spatial attention modules, to better distinguish between real and generated images, thereby improving the semantic clarity of the resulting infrared images. Finally, we jointly improved the generator and discriminator of the CGAN network by incorporating both the multi-scale feature fusion module and attention mechanism module. We tested our method on a dataset containing both infrared and near-infrared images, which retains more detailed features while also preserving the advantages of existing infrared images. The experimental results show that our proposed method achieved a peak signal-to-noise ratio (PSNR) of 16.5342 dB and a structural similarity index (SSIM) of 0.6385 on an RGB-NIR (Red, Green, Blue-Near Infrared) testing dataset, representing a 5% and 13% improvement over the original CGAN network, respectively. These results demonstrate the effectiveness of our proposed algorithm in addressing the issues of color leakage and unclear semantics in the original network. The proposed method in this paper is not only applicable to infrared image colorization but can also be widely applied to the colorization of remote sensing and CT images.</t>
  </si>
  <si>
    <t>[Ai, Yibo; Liu, Xiaoxi; Zhai, Haoyang; Zhang, Weidong] Univ Sci &amp; Technol Beijing, Natl Ctr Mat Serv Safety, Beijing 100083, Peoples R China; [Ai, Yibo] Southern Marine Sci &amp; Engn Guangdong Lab Zhuhai, Zhuhai 519082, Peoples R China; [Li, Jie; An, Huilong] HBIS Mat Inst, 385 South Sports St, Shijiazhuang 050023, Peoples R China; [Liu, Shuangli] Hesteel Grp Tangsteel Co, 9 Binhe Rd, Tangshan 063000, Peoples R China</t>
  </si>
  <si>
    <t>University of Science &amp; Technology Beijing; Southern Marine Science &amp; Engineering Guangdong Laboratory; Southern Marine Science &amp; Engineering Guangdong Laboratory (Zhuhai)</t>
  </si>
  <si>
    <t>Zhang, WD (corresponding author), Univ Sci &amp; Technol Beijing, Natl Ctr Mat Serv Safety, Beijing 100083, Peoples R China.</t>
  </si>
  <si>
    <t>ybai@ustb.edu.cn; zwd@ustb.edu.cn</t>
  </si>
  <si>
    <t>Liu, Xiaoxi/GSM-9212-2022; Zhang, Weidong/AAP-6237-2020</t>
  </si>
  <si>
    <t>Zhang, Weidong/0000-0001-6829-1033</t>
  </si>
  <si>
    <t>key science and technology project of HBIS Materials Institute [HG2022328]; Innovation Group Project of Southern Marine Science and Engineering Guangdong Laboratory (Zhuhai) [311021013]</t>
  </si>
  <si>
    <t>key science and technology project of HBIS Materials Institute; Innovation Group Project of Southern Marine Science and Engineering Guangdong Laboratory (Zhuhai)</t>
  </si>
  <si>
    <t>This study was supported by the key science and technology project of HBIS Materials Institute (No. HG2022328), and the Innovation Group Project of Southern Marine Science and Engineering Guangdong Laboratory (Zhuhai) (No. 311021013).</t>
  </si>
  <si>
    <t>10.3390/app13084686</t>
  </si>
  <si>
    <t>E7RY4</t>
  </si>
  <si>
    <t>WOS:000977484100001</t>
  </si>
  <si>
    <t>Sarraf, S; Kar, AK; Janssen, M</t>
  </si>
  <si>
    <t>Sarraf, Shagun; Kar, Arpan Kumar; Janssen, Marijn</t>
  </si>
  <si>
    <t>How do system and user characteristics, along with anthropomorphism, impact cognitive absorption of chatbots - Introducing SUCCAST through a mixed methods study</t>
  </si>
  <si>
    <t>DECISION SUPPORT SYSTEMS</t>
  </si>
  <si>
    <t>Cognitive absorption; Chatbots; Generative artificial intelligence; Anthropomorphism; Qualitative comparative analysis; Artificial intelligence</t>
  </si>
  <si>
    <t>COMPUTER SELF-EFFICACY; CONTINUANCE INTENTION; INFORMATION QUALITY; SATISFACTION; TECHNOLOGY; SUCCESS; DISCLOSURE; EXPERIENCE; FRAMEWORK; BELIEFS</t>
  </si>
  <si>
    <t>Chatbots are radically redefining the customer service landscape. With the advent of AI-enabled chatbots, like ChatGPT, organizations are adopting chatbots to provide better customer services; however, the user experience has been given less attention. Building on IS success model and cognitive absorption theory, we posit that system and user characteristics enhance cognitive absorption amongst users, such that the relationship varies between anthropomorphic (e.g., human-like) and non-anthropomorphic chatbots. We undertook a cross-sectional comparative study, which was analyzed using PLS-SEM and fsQCA. Where PLS-SEM provided limited inferential insights about the differences between anthropomorphic and non-anthropomorphic chatbots, the FsQCA analysis resulted in three configurations of attributes for non-anthropomorphic and two configurations for anthropomorphic chatbots, which lead to higher cognitive absorption. The findings extend the existing literature, suggesting that anthropomorphic and non-anthropomorphic chatbots impact cognitive absorption through separate system and user characteristics configurations.</t>
  </si>
  <si>
    <t>[Kar, Arpan Kumar] Indian Inst Technol Delhi, Bharti Sch Telecommun Technol &amp; Management, New Delhi 110016, India; [Janssen, Marijn] Indian Inst Technol Delhi, Dept Management Studies, New Delhi 110016, India; [Janssen, Marijn] Delft Univ Technol, Delft, Netherlands</t>
  </si>
  <si>
    <t>Indian Institute of Technology System (IIT System); Indian Institute of Technology (IIT) - Delhi; Indian Institute of Technology System (IIT System); Indian Institute of Technology (IIT) - Delhi; Delft University of Technology</t>
  </si>
  <si>
    <t>Janssen, M (corresponding author), Delft Univ Technol, Delft, Netherlands.</t>
  </si>
  <si>
    <t>arpankar@dms.iitd.ac.in; M.F.W.H.A.Janssen@tudelft.nl</t>
  </si>
  <si>
    <t>Janssen, Marijn/T-8288-2017</t>
  </si>
  <si>
    <t>0167-9236</t>
  </si>
  <si>
    <t>1873-5797</t>
  </si>
  <si>
    <t>DECIS SUPPORT SYST</t>
  </si>
  <si>
    <t>Decis. Support Syst.</t>
  </si>
  <si>
    <t>10.1016/j.dss.2023.114132</t>
  </si>
  <si>
    <t>Computer Science, Artificial Intelligence; Computer Science, Information Systems; Operations Research &amp; Management Science</t>
  </si>
  <si>
    <t>Computer Science; Operations Research &amp; Management Science</t>
  </si>
  <si>
    <t>EV8E6</t>
  </si>
  <si>
    <t>WOS:001141791100001</t>
  </si>
  <si>
    <t>Ren, F; Ding, X; Zheng, M; Korzinkin, M; Cai, X; Zhu, W; Mantsyzov, A; Aliper, A; Aladinskiy, V; Cao, ZY; Kong, SS; Long, X; Liu, BHM; Liu, YT; Naumov, V; Shneyderman, A; Ozerov, IV; Wang, J; Pun, FW; Polykovskiy, DA; Sun, C; Levitt, M; Aspuru-Guzik, A; Zhavoronkov, A</t>
  </si>
  <si>
    <t>Ren, Feng; Ding, Xiao; Zheng, Min; Korzinkin, Mikhail; Cai, Xin; Zhu, Wei; Mantsyzov, Alexey; Aliper, Alex; Aladinskiy, Vladimir; Cao, Zhongying; Kong, Shanshan; Long, Xi; Man Liu, Bonnie Hei; Liu, Yingtao; Naumov, Vladimir; Shneyderman, Anastasia; Ozerov, Ivan V.; Wang, Ju; Pun, Frank W.; Polykovskiy, Daniil A.; Sun, Chong; Levitt, Michael; Aspuru-Guzik, Alan; Zhavoronkov, Alex</t>
  </si>
  <si>
    <t>AlphaFold accelerates artificial intelligence powered drug discovery: efficient discovery of a novel CDK20 small molecule inhibitor</t>
  </si>
  <si>
    <t>CHEMICAL SCIENCE</t>
  </si>
  <si>
    <t>CYCLE-RELATED KINASE; CCRK</t>
  </si>
  <si>
    <t>The application of artificial intelligence (AI) has been considered a revolutionary change in drug discovery and development. In 2020, the AlphaFold computer program predicted protein structures for the whole human genome, which has been considered a remarkable breakthrough in both AI applications and structural biology. Despite the varying confidence levels, these predicted structures could still significantly contribute to structure-based drug design of novel targets, especially the ones with no or limited structural information. In this work, we successfully applied AlphaFold to our end-to-end AI-powered drug discovery engines, including a biocomputational platform PandaOmics and a generative chemistry platform Chemistry42. A novel hit molecule against a novel target without an experimental structure was identified, starting from target selection towards hit identification, in a cost- and time-efficient manner. PandaOmics provided the protein of interest for the treatment of hepatocellular carcinoma (HCC) and Chemistry42 generated the molecules based on the structure predicted by AlphaFold, and the selected molecules were synthesized and tested in biological assays. Through this approach, we identified a small molecule hit compound for cyclin-dependent kinase 20 (CDK20) with a binding constant Kd value of 9.2 +/- 0.5 mu M (n = 3) within 30 days from target selection and after only synthesizing 7 compounds. Based on the available data, a second round of AI-powered compound generation was conducted and through this, a more potent hit molecule, ISM042-2-048, was discovered with an average Kd value of 566.7 +/- 256.2 nM (n = 3). Compound ISM042-2-048 also showed good CDK20 inhibitory activity with an IC50 value of 33.4 +/- 22.6 nM (n = 3). In addition, ISM042-2-048 demonstrated selective anti-proliferation activity in an HCC cell line with CDK20 overexpression, Huh7, with an IC50 of 208.7 +/- 3.3 nM, compared to a counter screen cell line HEK293 (IC50 = 1706.7 +/- 670.0 nM). This work is the first demonstration of applying AlphaFold to the hit identification process in drug discovery.</t>
  </si>
  <si>
    <t>[Ren, Feng; Ding, Xiao; Zheng, Min; Cai, Xin; Zhu, Wei; Cao, Zhongying; Kong, Shanshan; Liu, Yingtao; Wang, Ju; Zhavoronkov, Alex] Insil Med Shanghai Ltd, Suite 901,Tower C,Changtai Pl,2889 Jinke Rd, Shanghai 201203, Peoples R China; [Korzinkin, Mikhail; Mantsyzov, Alexey; Aliper, Alex; Aladinskiy, Vladimir; Long, Xi; Man Liu, Bonnie Hei; Naumov, Vladimir; Shneyderman, Anastasia; Ozerov, Ivan V.; Pun, Frank W.; Polykovskiy, Daniil A.; Zhavoronkov, Alex] Insil Med Kong Kong Ltd, Unit 310,3-F,Bldg 8W, Phase 2,Hong Kong Sci Pk, Hong Kong, Peoples R China; [Sun, Chong; Aspuru-Guzik, Alan] Univ Toronto, Vector Inst Artificial Intelligence, Canadian Inst Adv Res, Dept Chem,Dept Comp Sci, Toronto, ON, Canada; [Levitt, Michael] Stanford Univ, Dept Struct Biol, Palo Alto, CA USA</t>
  </si>
  <si>
    <t>Vector Institute for Artificial Intelligence; Canadian Institute for Advanced Research (CIFAR); University of Toronto; Stanford University</t>
  </si>
  <si>
    <t>Zhavoronkov, A (corresponding author), Insil Med Shanghai Ltd, Suite 901,Tower C,Changtai Pl,2889 Jinke Rd, Shanghai 201203, Peoples R China.;Zhavoronkov, A (corresponding author), Insil Med Kong Kong Ltd, Unit 310,3-F,Bldg 8W, Phase 2,Hong Kong Sci Pk, Hong Kong, Peoples R China.;Aspuru-Guzik, A (corresponding author), Univ Toronto, Vector Inst Artificial Intelligence, Canadian Inst Adv Res, Dept Chem,Dept Comp Sci, Toronto, ON, Canada.</t>
  </si>
  <si>
    <t>Zhavoronkov, Alex/HCI-9762-2022; Bernstein, Alan/X-9136-2019; Shneyderman, Anastasia/JAC-3840-2023; Polykovskiy, Daniil/Q-4192-2018; ding, xiao/KAM-4458-2024</t>
  </si>
  <si>
    <t>Zhavoronkov, Alex/0000-0001-7067-8966; Shneyderman, Anastasia/0000-0002-1155-2551; Pun, Frank Wing/0000-0001-8801-6645; Long, Xi/0009-0000-5901-3218; Liu, Bonnie Hei Man/0009-0008-1416-5136</t>
  </si>
  <si>
    <t>Canada 150 Research Chairs Program</t>
  </si>
  <si>
    <t>Alan Aspuru-Guzik would like to thank the Canada 150 Research Chairs Program for their generous support, as well as Anders G. Froseth.</t>
  </si>
  <si>
    <t>2041-6520</t>
  </si>
  <si>
    <t>2041-6539</t>
  </si>
  <si>
    <t>CHEM SCI</t>
  </si>
  <si>
    <t>Chem. Sci.</t>
  </si>
  <si>
    <t>FEB 8</t>
  </si>
  <si>
    <t>10.1039/d2sc05709c</t>
  </si>
  <si>
    <t>8N9YL</t>
  </si>
  <si>
    <t>WOS:000915554000001</t>
  </si>
  <si>
    <t>Lozano, A; Fontao, CB</t>
  </si>
  <si>
    <t>Lozano, Alba; Fontao, Carolina Blanco</t>
  </si>
  <si>
    <t>Is the Education System Prepared for the Irruption of Artificial Intelligence? A Study on the Perceptions of Students of Primary Education Degree from a Dual Perspective: Current Pupils and Future Teachers</t>
  </si>
  <si>
    <t>artificial intelligence; AI; teacher training; educational improvement; ChatGPT; education system; digital literacy</t>
  </si>
  <si>
    <t>The recent irruption of ChatGPT, a powerful chatbot that uses a Chat Generative Pretrained Transformer language model, could revolutionize education worldwide since it can greatly affect the competence development that students need to achieve for their professional future. The aim of this work is to assess the level of knowledge of ChatGPT and the perception of its possibilities of use in education by students studying the Primary Education Degree at the University of Leon (Spain) from a double perspective: as students and future teachers, respectively. For this purpose, a descriptive, cross-sectional, non-experimental, and quantitative research design was carried out, with the design and elaboration of a questionnaire. The questionnaire data were statistically processed by calculating relative frequencies. The main results highlight that students have a positive perception of ChatGPT use, with potential applications in education, and do not perceive it as a threat to the deterioration of the educational system as long as the sources of the data generated by the tool are verified. In addition, as students and future teachers, they need more knowledge about the operation of ChatGPT to ensure its correct use and maintain the quality of the education system. Thus, to overcome ChatGPT irruption in education, digital literacy is crucial at all educational levels.</t>
  </si>
  <si>
    <t>[Lozano, Alba] Univ Leon, Dept Min Topog &amp; Struct, Leon 24007, Spain; [Lozano, Alba] Univ Barcelona, Res, Gran Via Corts Catalanes 585, Barcelona 08007, Spain; [Fontao, Carolina Blanco] Univ Leon, Dept Gen &amp; Specif Didact &amp; Theory Educ, Leon 24007, Spain</t>
  </si>
  <si>
    <t>Universidad de Leon; University of Barcelona; Universidad de Leon</t>
  </si>
  <si>
    <t>Fontao, CB (corresponding author), Univ Leon, Dept Gen &amp; Specif Didact &amp; Theory Educ, Leon 24007, Spain.</t>
  </si>
  <si>
    <t>alozl@unileon.es; cblaf@unileon.es</t>
  </si>
  <si>
    <t>Lozano, Alba/GXV-9004-2022; Blanco Fontao, Carolina/K-8204-2014</t>
  </si>
  <si>
    <t>Lozano, Alba/0000-0003-4050-6906; Blanco Fontao, Carolina/0000-0002-1145-5399</t>
  </si>
  <si>
    <t>Universidad de Leon; Ministry of Universities; European Union Next GenerationEU/PRTR.i; Recovery, Transformation and Resilience Plan</t>
  </si>
  <si>
    <t>The APC was funded by Universidad de Leon. A. Lozano contract is funded by the Ministry of Universities and the European Union Next GenerationEU/PRTR.i and by the Recovery, Transformation and Resilience Plan.</t>
  </si>
  <si>
    <t>10.3390/educsci13070733</t>
  </si>
  <si>
    <t>N6JD1</t>
  </si>
  <si>
    <t>WOS:001038042000001</t>
  </si>
  <si>
    <t>Chen, QQ; Zhang, TY; Nie, MW; Wang, Z; Xu, SH; Shi, W; Cao, Z</t>
  </si>
  <si>
    <t>Chen, Qianqian; Zhang, Tianyi; Nie, Maowen; Wang, Zheng; Xu, Shihao; Shi, Wei; Cao, Zhao</t>
  </si>
  <si>
    <t>Fashion-GPT: Integrating LLMs with Fashion Retrieval System</t>
  </si>
  <si>
    <t>ChatGPT-based system with retrieval function; multimodal pre-training network; multi-round multi-modal search</t>
  </si>
  <si>
    <t>Customers on a fashion e-commerce platform although expressing their clothing preferences through combined imagery and textual information, they are limited to retrieve with single-round fixed inputs. At the same time, large language models (LLMs) have been gaining attention across various fields. ChatGPT is a remarkable example of an LLM, known for its user-friendly language interface, impressive conversational proficiency, and reasoning abilities. To this end, we propose Fashion-GPT, a system paradigm that integrates ChatGPT with a pool of AI models in the fashion domain to achieve a multi-round multi-modal search. Specifically, it enables the system to utilize the LLMs for understanding user queries, select retrieval models based on their function descriptions, execute each subtask with the selected fashion models, and leverage LLMs to summarize the response corresponding to the execution results. In order to boost the performance dominated by AI experts, we also introduce a novel pre-trained framework called 3M (short for Multi-view Multi-modal Matching). In particular, unlike prior studies that rely solely on one-to-one matching on image-text pair, 3M incorporates multiple texts describing the same image to achieve one-to-many alignment. Maximizing mutual information between features extracted from these views boosts capturing information about high-level factors that influence multiple views, such as the occurrence of specific objects. In addition, with the advantage of the characteristics of fashion data, multi-view images from the same product, like front-view and side-view, are naturally suitable for intra-modal self-alignment. Therefore, 3M also introduces an intra-modal contrastive objective to provide additional benefits in representation learning from the image perspective. To the best of our knowledge, our framework is the first to consider one-to-many mapping for multi-modality representation learning. Experimental evaluations demonstrate that our fashion experts are competitive and achieve state-of-the-art performance, bringing a +3.47% R@10 boost on Fashion-200K and +1.98% R@10 boost on the Fashion-IQ dress dataset compared to the previous SOTA results.</t>
  </si>
  <si>
    <t>[Chen, Qianqian; Zhang, Tianyi; Nie, Maowen; Wang, Zheng; Xu, Shihao; Shi, Wei] Huawei Singapore Res Ctr, Singapore, Singapore; [Cao, Zhao] Huawei Technol Co Ltd, Shenzhen, Peoples R China</t>
  </si>
  <si>
    <t>Huawei Technologies; Huawei Technologies</t>
  </si>
  <si>
    <t>Chen, QQ (corresponding author), Huawei Singapore Res Ctr, Singapore, Singapore.</t>
  </si>
  <si>
    <t>chenqianqian20@huawei.com; zhang.tianyi@huawei.com; nie.maowen@huawei.com; wangzheng155@huawei.com; shihao.xu@huawei.com; w.shi@huawei.com; caozhao1@huawei.com</t>
  </si>
  <si>
    <t>Shi, Wei/0009-0006-2717-4192; wang, zheng/0000-0002-7064-6267</t>
  </si>
  <si>
    <t>10.1145/3607827.3616844</t>
  </si>
  <si>
    <t>WOS:001150367900011</t>
  </si>
  <si>
    <t>Shahsavar, Y; Choudhury, A</t>
  </si>
  <si>
    <t>Shahsavar, Yeganeh; Choudhury, Avishek</t>
  </si>
  <si>
    <t>User Intentions to Use ChatGPT for Self-Diagnosis and Health-Related Purposes: Cross-sectional Survey Study</t>
  </si>
  <si>
    <t>JMIR HUMAN FACTORS</t>
  </si>
  <si>
    <t>human factors; behavioral intention; chatbots; health care; integrated diagnostics; use; ChatGPT; artificial intelligence; users; self-diagnosis; decision-making; integration; willingness; policy</t>
  </si>
  <si>
    <t>CONVERSATIONAL AGENTS; MENTAL-HEALTH; ELECTRONIC COMMERCE; ACCEPTANCE; TRUST; TECHNOLOGY; ATTITUDE; QUALITY; MODEL; RISK</t>
  </si>
  <si>
    <t>Background: With the rapid advancement of artificial intelligence (AI) technologies, AI-powered chatbots, such as Chat Generative Pretrained Transformer (ChatGPT), have emerged as potential tools for various applications, including health care. However, ChatGPT is not specifically designed for health care purposes, and its use for self-diagnosis raises concerns regarding its adoption's potential risks and benefits. Users are increasingly inclined to use ChatGPT for self-diagnosis, necessitating a deeper understanding of the factors driving this trend.Objective: This study aims to investigate the factors influencing users' perception of decision-making processes and intentions to use ChatGPT for self-diagnosis and to explore the implications of these findings for the safe and effective integration of AI chatbots in health care.Methods: A cross-sectional survey design was used, and data were collected from 607 participants. The relationships between performance expectancy, risk-reward appraisal, decision-making, and intention to use ChatGPT for self-diagnosis were analyzed using partial least squares structural equation modeling (PLS-SEM). Results: Most respondents were willing to use ChatGPT for self-diagnosis (n=476, 78.4%). The model demonstrated satisfactory explanatory power, accounting for 52.4% of the variance in decision-making and 38.1% in the intent to use ChatGPT for self-diagnosis. The results supported all 3 hypotheses: The higher performance expectancy of ChatGPT (&amp; beta;=.547, 95% CI 0.474-0.620) and positive risk-reward appraisals (&amp; beta;=.245, 95% CI 0.161-0.325) were positively associated with the improved perception of decision-making outcomes among users, and enhanced perception of decision-making processes involving ChatGPT positively impacted users' intentions to use the technology for self-diagnosis (&amp; beta;=.565, 95% CI 0.498-0.628).Conclusions: Our research investigated factors influencing users' intentions to use ChatGPT for self-diagnosis and health-related purposes. Even though the technology is not specifically designed for health care, people are inclined to use ChatGPT in health care contexts. Instead of solely focusing on discouraging its use for health care purposes, we advocate for improving the technology and adapting it for suitable health care applications. Our study highlights the importance of collaboration among AI developers, health care providers, and policy makers in ensuring AI chatbots' safe and responsible use in health care. By understanding users' expectations and decision-making processes, we can develop AI chatbots, such as ChatGPT, that are tailored to human needs, providing reliable and verified health information sources. This approach not only enhances health care accessibility but also improves health literacy and awareness. As the field of AI chatbots in health care continues to evolve, future research should explore the long-term effects of using AI chatbots for self-diagnosis and investigate their potential integration with other digital health interventions to optimize patient care and outcomes. In doing so, we can ensure that AI chatbots, including ChatGPT, are designed and implemented to safeguard users' well-being and support positive health outcomes in health care settings.</t>
  </si>
  <si>
    <t>[Shahsavar, Yeganeh; Choudhury, Avishek] West Virginia Univ, Benjamin M Statler Coll Engn &amp; Mineral Resources, Ind &amp; Management Syst Engn, Morgantown, WV USA; [Choudhury, Avishek] West Virginia Univ, Benjamin M Statler Coll Engn &amp; Mineral Resources, Ind &amp; Management Syst Engn, 1306 Evansdale Dr, 321 Engn Sci Bldg, Morgantown, WV 26506 USA</t>
  </si>
  <si>
    <t>West Virginia University; West Virginia University</t>
  </si>
  <si>
    <t>Choudhury, A (corresponding author), West Virginia Univ, Benjamin M Statler Coll Engn &amp; Mineral Resources, Ind &amp; Management Syst Engn, 1306 Evansdale Dr, 321 Engn Sci Bldg, Morgantown, WV 26506 USA.</t>
  </si>
  <si>
    <t>avishek.choudhury@mail.wvu.edu</t>
  </si>
  <si>
    <t>Choudhury, Avishek/P-2415-2018</t>
  </si>
  <si>
    <t>Choudhury, Avishek/0000-0002-5342-0709</t>
  </si>
  <si>
    <t>2292-9495</t>
  </si>
  <si>
    <t>JMIR HUM FACTORS</t>
  </si>
  <si>
    <t>JMIR Hum. Factors</t>
  </si>
  <si>
    <t>e47564</t>
  </si>
  <si>
    <t>10.2196/47564</t>
  </si>
  <si>
    <t>K5YV0</t>
  </si>
  <si>
    <t>WOS:001017203700007</t>
  </si>
  <si>
    <t>Conze, PH; Andrade-Miranda, G; Singh, VK; Jaouen, V; Visvikis, D</t>
  </si>
  <si>
    <t>Conze, Pierre-Henri; Andrade-Miranda, Gustavo; Singh, Vivek Kumar; Jaouen, Vincent; Visvikis, Dimitris</t>
  </si>
  <si>
    <t>Current and Emerging Trends in Medical Image Segmentation With Deep Learning</t>
  </si>
  <si>
    <t>Index Terms-Artificial intelligence (AI); deep neural networks; medical imaging; semantic segmentation; vision transformers (ViTs)</t>
  </si>
  <si>
    <t>BRAIN-TUMOR SEGMENTATION; CONVOLUTIONAL NEURAL-NETWORK; AUTOMATIC SEGMENTATION; UNCERTAINTY ESTIMATION; MR-IMAGES; U-NET; FRAMEWORK; MUSCLE; ORGANS; MODEL</t>
  </si>
  <si>
    <t>In recent years, the segmentation of anatomical or pathological structures using deep learning has experienced a widespread interest in medical image analysis. Remarkably successful performance has been reported in many imaging modalities and for a variety of clinical contexts to support clinicians in computer-assisted diagnosis, therapy, or surgical planning purposes. However, despite the increasing amount of medical image segmentation challenges, there remains little consensus on which methodology performs best. Therefore, we examine in this article the numerous developments and breakthroughs brought since the rise of U-Net-inspired architectures. Especially, we focus on the technical challenges and emerging trends that the community is now focusing on, including conditional generative adversarial and cascaded networks, medical Transformers, contrastive learning, knowledge distillation, active learning, prior knowledge embedding, cross-modality learning, multistructure analysis, federated learning, or semi-supervised and self-supervised paradigms. We also suggest possible avenues to be further investigated in future research efforts.</t>
  </si>
  <si>
    <t>[Conze, Pierre-Henri; Jaouen, Vincent] IMT Atlantique, LaTIM UMR 1101, Inserm, F-29238 Brest, France; [Andrade-Miranda, Gustavo; Visvikis, Dimitris] Inserm, LaTIM UMR 1101, F-29200 Brest, France; [Singh, Vivek Kumar] Queens Univ Belfast, Belfast BT7 1NN, North Ireland</t>
  </si>
  <si>
    <t>IMT - Institut Mines-Telecom; IMT Atlantique; Universite de Bretagne Occidentale; Institut National de la Sante et de la Recherche Medicale (Inserm); Universite de Bretagne Occidentale; Institut National de la Sante et de la Recherche Medicale (Inserm); Queens University Belfast</t>
  </si>
  <si>
    <t>Conze, PH (corresponding author), IMT Atlantique, LaTIM UMR 1101, Inserm, F-29238 Brest, France.</t>
  </si>
  <si>
    <t>pierre-henri.conze@imt-atlantique.fr</t>
  </si>
  <si>
    <t>Andrade Miranda, Gustavo Xavier/HNI-7290-2023</t>
  </si>
  <si>
    <t>Andrade Miranda, Gustavo Xavier/0000-0002-6499-5655; Singh, Vivek Kumar/0000-0002-8259-7087</t>
  </si>
  <si>
    <t>National Research Agency through the Future Investment Program [ANR-17-RHUS-0005]; France Life Imaging [ANR-11-INBS-0006]; Agence Nationale de la Recherche (ANR) [ANR-17-RHUS-0005] Funding Source: Agence Nationale de la Recherche (ANR)</t>
  </si>
  <si>
    <t>National Research Agency through the Future Investment Program; France Life Imaging; Agence Nationale de la Recherche (ANR)(Agence Nationale de la Recherche (ANR))</t>
  </si>
  <si>
    <t>This work was supported in part by the National Research Agency through the Future Investment Program under Grant ANR-17-RHUS-0005 (FollowKnee Project), and in part by France Life Imaging under Grant ANR-11-INBS-0006.&amp; nbsp;</t>
  </si>
  <si>
    <t>10.1109/TRPMS.2023.3265863</t>
  </si>
  <si>
    <t>L3DG9</t>
  </si>
  <si>
    <t>WOS:001022092700001</t>
  </si>
  <si>
    <t>Fayyad, UM</t>
  </si>
  <si>
    <t>Fayyad, Usama</t>
  </si>
  <si>
    <t>From Stochastic Parrots to Intelligent Assistants-The Secrets of Data and Human Interventions</t>
  </si>
  <si>
    <t>IEEE INTELLIGENT SYSTEMS</t>
  </si>
  <si>
    <t>Training data; Reinforcement learning; Chatbots; Labeling; Compounds; Intelligent systems; Birds; Stochastic processes; Artificial intelligence; Robots</t>
  </si>
  <si>
    <t>Generative AI is all the rage nowadays-primarily driven by ChatGPT capturing the public imagination and attracting hundreds of millions of users in record time, reaching 100 million users in two months. However, there is much ambiguity from the providers about the technology, the methodology, and the way OpenAI makes it work. This compounds the mystique and speculation. I focus on what we know, with a particular emphasis on the aspects that the makers of ChatGPT avoid discussing with the public-namely, the underlying dependence on much manual intervention in training data curation, data labeling, operational interventions by humans, and reinforcement learning. Unfortunately, despite the criticality of these issues to the scientific community, they are hardly discussed. In this article, I attempt to address some of the issues in the hope of stimulating further studies of these less glorified but critical topics.</t>
  </si>
  <si>
    <t>[Fayyad, Usama] Northeastern Univ, Inst Experiential, Boston, MA 02115 USA; [Fayyad, Usama] Open Insights, Boston, MA 02115 USA</t>
  </si>
  <si>
    <t>Fayyad, UM (corresponding author), Northeastern Univ, Inst Experiential, Boston, MA 02115 USA.;Fayyad, UM (corresponding author), Open Insights, Boston, MA 02115 USA.</t>
  </si>
  <si>
    <t>fayyad@acm.org</t>
  </si>
  <si>
    <t>1541-1672</t>
  </si>
  <si>
    <t>1941-1294</t>
  </si>
  <si>
    <t>IEEE INTELL SYST</t>
  </si>
  <si>
    <t>IEEE Intell. Syst.</t>
  </si>
  <si>
    <t>MAY-JUN</t>
  </si>
  <si>
    <t>10.1109/MIS.2023.3268723</t>
  </si>
  <si>
    <t>J9HU2</t>
  </si>
  <si>
    <t>WOS:001012670600008</t>
  </si>
  <si>
    <t>Parker, JL; Richard, VM; Becker, K</t>
  </si>
  <si>
    <t>Parker, Jessica L.; Richard, Veronica M.; Becker, Kimberly</t>
  </si>
  <si>
    <t>Guidelines for the Integration of Large Language Models in Developing and Refiining Interview Protocols</t>
  </si>
  <si>
    <t>QUALITATIVE REPORT</t>
  </si>
  <si>
    <t>large language models; interview rotocol; ChatGPT; qualitative research; interview protocol refinement framework</t>
  </si>
  <si>
    <t>Rapid advancements in generative artificial intelligence (AI), specifically large language models (LLMs), offer unprecedented opportunities and challenges for qualitative researchers. This paper presents comprehensive guidelines for the ethical and effective use of LLMs in the development and refinement of interview protocols. Through a multidisciplinary lens, this paper explores potential pitfalls, ethical considerations, and best practices to ensure the responsible integration of LLMs in the research process. The guidelines proposed serve not only as a methodological roadmap for researchers but also as a catalyst for dialogue on the ethical dimensions of LLMs in qualitative research. Furthermore, the authors describe and share a web-based application developed to guide users through the stages of the protocol. Ultimately, the paper calls for a collective, informed approach to harness the capabilities of LLMs while upholding the integrity and ethical standards of scholarly research.</t>
  </si>
  <si>
    <t>[Parker, Jessica L.] Massachusetts Coll Pharm &amp; Hlth Sci, Sch Healthcare Business, Boston, MA 02115 USA; [Richard, Veronica M.] Dissertat Design, Raleigh, NC USA; [Becker, Kimberly] Acad Insight Lab, Raleigh, NC USA</t>
  </si>
  <si>
    <t>Parker, JL (corresponding author), Massachusetts Coll Pharm &amp; Hlth Sci, Sch Healthcare Business, Boston, MA 02115 USA.</t>
  </si>
  <si>
    <t>jessica.parker@mcphs.edu; veronica@dissertationbydesign.com; kimberly@academicinsightlab.org</t>
  </si>
  <si>
    <t>NOVA SOUTHEASTERN UNIV</t>
  </si>
  <si>
    <t>FORT LAUDERDALE-DAVIE</t>
  </si>
  <si>
    <t>3301 COLLEGE AVE, FORT LAUDERDALE-DAVIE, FL 33314 USA</t>
  </si>
  <si>
    <t>1052-0147</t>
  </si>
  <si>
    <t>2160-3715</t>
  </si>
  <si>
    <t>QUAL REP</t>
  </si>
  <si>
    <t>Qual. Rep.</t>
  </si>
  <si>
    <t>10.46743/2160-3715/2023.6801</t>
  </si>
  <si>
    <t>FQ2Y3</t>
  </si>
  <si>
    <t>WOS:001147261500006</t>
  </si>
  <si>
    <t>Azqadan, E; Jahed, H; Arami, A</t>
  </si>
  <si>
    <t>Azqadan, Erfan; Jahed, Hamid; Arami, Arash</t>
  </si>
  <si>
    <t>Predictive microstructure image generation using denoising diffusion probabilistic models</t>
  </si>
  <si>
    <t>ACTA MATERIALIA</t>
  </si>
  <si>
    <t>Denoising diffusion probabilistic model; Magnesium alloys; Cast -forging; Image generation; Mg 17 Al 12 intermetallic; Dynamic recrystallization</t>
  </si>
  <si>
    <t>The rapid progress in artificial intelligence (AI) based image generation led to groundbreaking achievements, like OpenAI's DALL-E 2, showcasing state-of-the-art generative models in deep learning and computer vision. Recently, the Denoising Diffusion Probabilistic Model (DDPM) has emerged as a strong contender, excelling in generating high-resolution images with complex features similar to those found in real-world images. In this study, we investigate DDPM's potential as both generator and predictor of scanning electron microscope (SEM) images, encompassing both known and unseen microstructural conditions. To rigorously evaluate DDPM, we curated a comprehensive dataset comprising 27 distinct cast-forged AZ80 magnesium alloy components with varied process parameters and microstructure features. Some conditions were held back during training to test DDPM's predictive abilities for unseen scenarios. Our study demonstrates the model's remarkable capacity to capture the inherent physical relationships between process parameters and microstructure features. We scrutinize the synthesized images alongside real-world SEM counterparts, undertaking a comprehensive analysis of various morphological properties. Remarkably, the results show the model's performance, with an average error of 6.36 % +/- 0.42 for measured microstructural properties in seen conditions and an equally impressive 6.67 % +/- 0.85 for unseen conditions. This study envisions a transformative shift in materials science, as advanced AI predictive models offer new potential to streamline the laborious process of microstructure image generation.</t>
  </si>
  <si>
    <t>[Azqadan, Erfan; Jahed, Hamid; Arami, Arash] Univ Waterloo, Dept Mech &amp; Mechatron Engn, 200 Univ Ave W, Waterloo, ON N2L 3G1, Canada</t>
  </si>
  <si>
    <t>Azqadan, E (corresponding author), Univ Waterloo, Dept Mech &amp; Mechatron Engn, 200 Univ Ave W, Waterloo, ON N2L 3G1, Canada.</t>
  </si>
  <si>
    <t>eazqadan@uwaterloo.ca</t>
  </si>
  <si>
    <t>Jahed, Hamid/JPW-9437-2023</t>
  </si>
  <si>
    <t>Jahed, Hamid/0000-0002-0270-9254; arami, arash/0000-0001-7609-6553; Azqadan, Erfan/0000-0003-1360-4666</t>
  </si>
  <si>
    <t>Natural Sciences and Engineering Research Council of Canada (NSERC) [STPGP 521551]; Digital Research Alliance of Canada</t>
  </si>
  <si>
    <t>Natural Sciences and Engineering Research Council of Canada (NSERC)(Natural Sciences and Engineering Research Council of Canada (NSERC)); Digital Research Alliance of Canada</t>
  </si>
  <si>
    <t>The authors would like to acknowledge the financial contribution from the Natural Sciences and Engineering Research Council of Canada (NSERC) , through their Strategic Partnership Grant STPGP 521551. The authors would also like to thank CanmetMATERIALS, Hamilton, Ontario for performing the casting and forging of the samples at their facilities. This research was enabled in part by support provided by the Digital Research Alliance of Canada (alliancecan.ca) .</t>
  </si>
  <si>
    <t>1359-6454</t>
  </si>
  <si>
    <t>1873-2453</t>
  </si>
  <si>
    <t>ACTA MATER</t>
  </si>
  <si>
    <t>Acta Mater.</t>
  </si>
  <si>
    <t>10.1016/j.actamat.2023.119406</t>
  </si>
  <si>
    <t>Materials Science, Multidisciplinary; Metallurgy &amp; Metallurgical Engineering</t>
  </si>
  <si>
    <t>Materials Science; Metallurgy &amp; Metallurgical Engineering</t>
  </si>
  <si>
    <t>W4NC0</t>
  </si>
  <si>
    <t>WOS:001091397200001</t>
  </si>
  <si>
    <t>Liu, J; Zhao, SC; Duan, BW; He, XD; Yang, CM; Pu, XM; Zhang, XB; Xiao, YH; Nie, FD; Qian, W; Li, G; Zhang, CY</t>
  </si>
  <si>
    <t>Liu, Jian; Zhao, Shicao; Duan, Bowen; He, Xudong; Yang, Chunming; Pu, Xuemei; Zhang, Xinben; Xiao, Yonghao; Nie, Fude; Qian, Wen; Li, Geng; Zhang, Chaoyang</t>
  </si>
  <si>
    <t>High-throughput design of energetic molecules</t>
  </si>
  <si>
    <t>JOURNAL OF MATERIALS CHEMISTRY A</t>
  </si>
  <si>
    <t>ELECTRONIC-STRUCTURE; PREDICTION; DENSITY; CHEMISTRY; FUNCTIONALIZATION; INFRASTRUCTURE; SUBLIMATION; SENSITIVITY; DERIVATIVES; EXPLOSIVES</t>
  </si>
  <si>
    <t>High-throughput design offers a promising way to expedite the de novo design of novel energetic molecules, but achieving this goal necessitates accurate methods for property prediction and efficient schemes for molecular screening. Two approaches for generating energetic molecules are proposed, based on a generative model and a fragment docking scheme, respectively. A high-throughput computation (HTC) workflow based on quantum chemistry is developed for energetic molecule design. Machine learning models are established for predicting crystal density, enthalpy of formation, R-NO2 bond dissociation energy, detonation velocity, detonation pressure, detonation heat, detonation volume and detonation temperature, yielding coefficients of determination (R2) of 0.928, 0.948, 0.984, 0.989, 0.986, 0.986, 0.990 and 0.995, respectively. Thereby, an easy-to-use platform named Energetic Materials Studio (EM-Studio) integrates all the methods and models. Therein, five modules, EM-Generator, EM-QC, EM-DB, EM-ML and EM-Visualizer, work for molecule generation, HTC-aided molecule design, data management, machine learning prediction, and human-computer interaction, respectively. The effectiveness and capabilities of EM-Studio in HTC- and AI-aided molecular design are demonstrated through two cases of fused-ring energetic molecules. High-throughput design of energetic molecules implemented by molecular docking, AI-aided molecular design, an automated computation workflow, a structure-property database, deep learning QSPRs and an easy-to-use platform.</t>
  </si>
  <si>
    <t>[Liu, Jian; He, Xudong; Nie, Fude; Qian, Wen; Zhang, Chaoyang] China Acad Engn Phys CAEP, Inst Chem Mat, POB 919-311, Mianyang 621999, Sichuan, Peoples R China; [Zhao, Shicao; Duan, Bowen; Xiao, Yonghao] China Acad Engn Phys CAEP, Inst Comp Applicat, POB 919-1201, Mianyang 621900, Sichuan, Peoples R China; [Yang, Chunming] Southwest Univ Sci &amp; Technol, Sch Comp Sci &amp; Technol, Mianyang 621010, Sichuan, Peoples R China; [Pu, Xuemei] Sichuan Univ, Coll Chem, Chengdu 610064, Peoples R China; [Li, Geng] Natl Supercomp Ctr Tianjin, Tianjin 300450, Peoples R China; [Zhang, Xinben] Chinese Acad Sci, Shanghai Inst Mat Med, Shanghai 201207, Peoples R China; [Zhang, Chaoyang] Beijing Computat Sci Res Ctr, Beijing 100048, Peoples R China</t>
  </si>
  <si>
    <t>Chinese Academy of Engineering Physics; Chinese Academy of Engineering Physics; Southwest University of Science &amp; Technology - China; Sichuan University; Chinese Academy of Sciences; Shanghai Institute of Materia Medica, CAS; Chinese Academy of Engineering Physics; Beijing Computational Science Research Center (CSRC)</t>
  </si>
  <si>
    <t>Liu, J; Zhang, CY (corresponding author), China Acad Engn Phys CAEP, Inst Chem Mat, POB 919-311, Mianyang 621999, Sichuan, Peoples R China.;Zhang, CY (corresponding author), Beijing Computat Sci Res Ctr, Beijing 100048, Peoples R China.</t>
  </si>
  <si>
    <t>ujian-12@caep.cn; chaoyangzhang@caep.cn</t>
  </si>
  <si>
    <t>Zhang, Chaoyang/AAN-2433-2021; Xiao, Yonghao/AAM-8618-2020; Zhang, Chaoyang/HGD-7721-2022</t>
  </si>
  <si>
    <t>Qian, Wen/0000-0002-4260-4625</t>
  </si>
  <si>
    <t>The authors gratefully acknowledge the support of the Science Challenge Project (TZ-2018004). [TZ-2018004]; Science Challenge Project</t>
  </si>
  <si>
    <t>The authors gratefully acknowledge the support of the Science Challenge Project (TZ-2018004).; Science Challenge Project</t>
  </si>
  <si>
    <t>The authors gratefully acknowledge the support of the Science Challenge Project (TZ-2018004).</t>
  </si>
  <si>
    <t>2050-7488</t>
  </si>
  <si>
    <t>2050-7496</t>
  </si>
  <si>
    <t>J MATER CHEM A</t>
  </si>
  <si>
    <t>J. Mater. Chem. A</t>
  </si>
  <si>
    <t>10.1039/d3ta05002e</t>
  </si>
  <si>
    <t>Y0UQ9</t>
  </si>
  <si>
    <t>WOS:001099270500001</t>
  </si>
  <si>
    <t>Rao, A; Kim, J; Kamineni, M; Pang, M; Lie, W; Dreyer, KJ; Succi, MD</t>
  </si>
  <si>
    <t>Rao, Arya; Kim, John; Kamineni, Meghana; Pang, Michael; Lie, Winston; Dreyer, Keith J.; Succi, Marc D.</t>
  </si>
  <si>
    <t>Evaluating GPT as an Adjunct for Radiologic Decision Making: GPT-4 Versus GPT-3.5 in a Breast Imaging Pilot</t>
  </si>
  <si>
    <t>AI; breast imaging; ChatGPT; clinical decision making; clinical decision support</t>
  </si>
  <si>
    <t>CANCER; OVERUTILIZATION; CHATGPT</t>
  </si>
  <si>
    <t>Objective: Despite rising popularity and performance, studies evaluating the use of large language models for clinical decision support are lacking. Here, we evaluate ChatGPT (Generative Pre-trained Transformer)-3.5 and GPT-4's (OpenAI, San Francisco, California) capacity for clinical decision support in radiology via the identification of appropriate imaging services for two important clinical presentations: breast cancer screening and breast pain.Methods: We compared ChatGPT's responses to the ACR Appropriateness Criteria for breast pain and breast cancer screening. Our prompt formats included an open-ended (OE) and a select all that apply (SATA) format. Scoring criteria evaluated whether proposed imaging modalities were in accordance with ACR guidelines. Three replicate entries were conducted for each prompt, and the average of these was used to determine final scores.Results: Both ChatGPT-3.5 and ChatGPT-4 achieved an average OE score of 1.830 (out of 2) for breast cancer screening prompts. ChatGPT-3.5 achieved a SATA average percentage correct of 88.9%, compared with ChatGPT-4's average percentage correct of 98.4% for breast cancer screening prompts. For breast pain, ChatGPT-3.5 achieved an average OE score of 1.125 (out of 2) and a SATA average percentage correct of 58.3%, as compared with an average OE score of 1.666 (out of 2) and a SATA average percentage correct of 77.7%.Discussion: Our results demonstrate the eventual feasibility of using large language models like ChatGPT for radiologic decision making, with the potential to improve clinical workflow and responsible use of radiology services. More use cases and greater accuracy are necessary to evaluate and implement such tools.</t>
  </si>
  <si>
    <t>[Rao, Arya; Kim, John; Kamineni, Meghana; Pang, Michael; Lie, Winston; Dreyer, Keith J.; Succi, Marc D.] Harvard Med Sch, Boston, MA USA; [Rao, Arya; Kim, John; Kamineni, Meghana; Pang, Michael; Lie, Winston; Dreyer, Keith J.] Massachusetts Gen Hosp, Medically Engn Solut Healthcare Incubator Innovat, Boston, MA USA; [Dreyer, Keith J.; Succi, Marc D.] Massachusetts Gen Hosp, Dept Radiol, Boston, MA USA; [Dreyer, Keith J.] Mass Gen Brigham, Boston, MA USA; [Succi, Marc D.] Mass Gen Brigham Enterprise Radiol, Medically Engn Solut Healthcare Innovat Operat Res, Boston, MA USA; [Succi, Marc D.] Massachusetts Gen Hosp, MESH Incubator, Boston, MA USA; [Succi, Marc D.] Massachusetts Gen Hosp, Dept Radiol, 55 Fruit St, Boston, MA 02114 USA</t>
  </si>
  <si>
    <t>Harvard University; Harvard Medical School; Harvard University; Massachusetts General Hospital; Harvard University; Massachusetts General Hospital; Harvard University; Massachusetts General Hospital; Harvard University; Massachusetts General Hospital</t>
  </si>
  <si>
    <t>Succi, MD (corresponding author), Massachusetts Gen Hosp, Dept Radiol, 55 Fruit St, Boston, MA 02114 USA.</t>
  </si>
  <si>
    <t>msucci@mgh.harvard.edu</t>
  </si>
  <si>
    <t>Pang, Michael/0000-0001-5619-9344; Kim, John/0000-0003-4252-5916; Rao, Arya/0000-0003-3007-4812; Kamineni, Meghana/0000-0002-6698-5151</t>
  </si>
  <si>
    <t>National Institute of General Medical Sciences [T32GM144273]</t>
  </si>
  <si>
    <t>National Institute of General Medical Sciences(United States Department of Health &amp; Human ServicesNational Institutes of Health (NIH) - USANIH National Institute of General Medical Sciences (NIGMS))</t>
  </si>
  <si>
    <t>ACKNOWLEDGMENT The project described was supported in part by award Number T32GM144273 from the National Institute of General Medical Sciences. The content is solely the re-sponsibility of the authors and does not necessarily represent the of fi cial views of the National Institute of General Medical Sciences or the National Institutes of Health.</t>
  </si>
  <si>
    <t>10.1016/j.jacr.2023.05.003</t>
  </si>
  <si>
    <t>X9DB6</t>
  </si>
  <si>
    <t>WOS:001101364500001</t>
  </si>
  <si>
    <t>Suárez, A; García, VDF; Algar, J; Sanchez, MG; de Pedro, ML; Freire, Y</t>
  </si>
  <si>
    <t>Suarez, Ana; Diaz-Flores Garcia, Victor; Algar, Juan; Sanchez, Margarita Gomez; de Pedro, Maria Llorente; Freire, Yolanda</t>
  </si>
  <si>
    <t>Unveiling the ChatGPT phenomenon: Evaluating the consistency and accuracy of endodontic question answers</t>
  </si>
  <si>
    <t>INTERNATIONAL ENDODONTIC JOURNAL</t>
  </si>
  <si>
    <t>artificial intelligence; chatbot; ChatGPT; dentistry; endodontics; large language models</t>
  </si>
  <si>
    <t>AimChatbot Generative Pre-trained Transformer (ChatGPT) is a generative artificial intelligence (AI) software based on large language models (LLMs), designed to simulate human conversations and generate novel content based on the training data it has been exposed to. The aim of this study was to evaluate the consistency and accuracy of ChatGPT-generated answers to clinical questions in endodontics, compared to answers provided by human experts.MethodologyNinety-one dichotomous (yes/no) questions were designed and categorized into three levels of difficulty. Twenty questions were randomly selected from each difficulty level. Sixty answers were generated by ChatGPT for each question. Two endodontic experts independently answered the 60 questions. Statistical analysis was performed using the SPSS program to calculate the consistency and accuracy of the answers generated by ChatGPT compared to the experts. Confidence intervals (95%) and standard deviations were used to estimate variability.ResultsThe answers generated by ChatGPT showed high consistency (85.44%). No significant differences in consistency were found based on question difficulty. In terms of answer accuracy, ChatGPT achieved an average accuracy of 57.33%. However, significant differences in accuracy were observed based on question difficulty, with lower accuracy for easier questions.ConclusionsCurrently, ChatGPT is not capable of replacing dentists in clinical decision-making. As ChatGPT's performance improves through deep learning, it is expected to become more useful and effective in the field of endodontics. However, careful attention and ongoing evaluation are needed to ensure its accuracy, reliability and safety in endodontics.</t>
  </si>
  <si>
    <t>[Suarez, Ana; Diaz-Flores Garcia, Victor; Sanchez, Margarita Gomez; de Pedro, Maria Llorente; Freire, Yolanda] Univ Europea Madrid, Sch Biomed Sci, Dept Preclin Dent, Calle Tajo S-N, Madrid 28670, Spain; [Algar, Juan] Univ Europea Madrid, Sch Biomed Sci, Dept Clin Dent, Madrid, Spain</t>
  </si>
  <si>
    <t>European University of Madrid; European University of Madrid</t>
  </si>
  <si>
    <t>García, VDF (corresponding author), Univ Europea Madrid, Sch Biomed Sci, Dept Preclin Dent, Calle Tajo S-N, Madrid 28670, Spain.</t>
  </si>
  <si>
    <t>Suarez, Ana/ABB-2464-2021; Diaz-Flores García, Victor/Z-5187-2019</t>
  </si>
  <si>
    <t>Suarez, Ana/0000-0003-2448-6669; Diaz-Flores García, Victor/0000-0001-6141-0546; Freire, Yolanda/0000-0002-0727-777X</t>
  </si>
  <si>
    <t>0143-2885</t>
  </si>
  <si>
    <t>1365-2591</t>
  </si>
  <si>
    <t>INT ENDOD J</t>
  </si>
  <si>
    <t>Int. Endod. J.</t>
  </si>
  <si>
    <t>10.1111/iej.13985</t>
  </si>
  <si>
    <t>AU0J2</t>
  </si>
  <si>
    <t>WOS:001080658500001</t>
  </si>
  <si>
    <t>Maurya, RK</t>
  </si>
  <si>
    <t>Maurya, Rakesh K.</t>
  </si>
  <si>
    <t>A qualitative content analysis of ChatGPT's client simulation role-play for practising counselling skills</t>
  </si>
  <si>
    <t>COUNSELLING &amp; PSYCHOTHERAPY RESEARCH</t>
  </si>
  <si>
    <t>artificial intelligence; counselling; counsellor education; chatbot; ChatGPT; role-play</t>
  </si>
  <si>
    <t>Role-play is often used as a pedagogical technique by counsellor educators to help counsellors-in-training (CITs) learn and practise counselling skills. This study used qualitative content analysis to assess the effectiveness of Chat Generative Pre-Trained Transformer (ChatGPT), an artificial intelligence (AI) chatbot, in simulating client role-play to facilitate practising counselling skills. The author used 10 case vignettes to conduct a simulated role-play where ChatGPT was asked to simulate the client and author as counsellor. The results indicated that ChatGPT demonstrated authenticity, consistency, appropriate emotional expression, cultural sensitivity, empathy and self-awareness while portraying the client. However, at times, ChatGPT's responses to the counsellor's questions appeared overly idealised, lacking the authenticity typically observed in real clients. Furthermore, ChatGPT, as a simulated client, lacked non-verbal cues, limiting the overall experience of counselling skill practice. Recommendations for CITs and future research are discussed.</t>
  </si>
  <si>
    <t>[Maurya, Rakesh K.] Univ North Florida, Dept Leadership Sch Counseling &amp; Sport Management, Jacksonville, FL USA; [Maurya, Rakesh K.] Coll Educ &amp; Human Serv, 1 UNF Dr, Jacksonville, FL 32224 USA</t>
  </si>
  <si>
    <t>State University System of Florida; University of North Florida; State University System of Florida; University of North Florida</t>
  </si>
  <si>
    <t>Maurya, RK (corresponding author), Coll Educ &amp; Human Serv, 1 UNF Dr, Jacksonville, FL 32224 USA.</t>
  </si>
  <si>
    <t>r.maurya@unf.edu</t>
  </si>
  <si>
    <t>Maurya, Rakesh/0000-0003-0508-7128</t>
  </si>
  <si>
    <t>In the preparation of this manuscript, the author used ChatGPT as a writing assistant utilising it for checking grammar, paraphrasing, improving clarity and coherence of sentences and paragraphs.</t>
  </si>
  <si>
    <t>1473-3145</t>
  </si>
  <si>
    <t>1746-1405</t>
  </si>
  <si>
    <t>COUNS PSYCHOTHER RES</t>
  </si>
  <si>
    <t>Couns. Psychother. Res.</t>
  </si>
  <si>
    <t>10.1002/capr.12699</t>
  </si>
  <si>
    <t>Psychology, Clinical</t>
  </si>
  <si>
    <t>S6XM2</t>
  </si>
  <si>
    <t>WOS:001072576800001</t>
  </si>
  <si>
    <t>Pan, HH; Chen, YY; Xu, TY; He, YQ; He, ZY</t>
  </si>
  <si>
    <t>Pan, Honghu; Chen, Yongyong; Xu, Tingyang; He, Yunqi; He, Zhenyu</t>
  </si>
  <si>
    <t>Toward Complete-View and High-Level Pose-Based Gait Recognition</t>
  </si>
  <si>
    <t>IEEE TRANSACTIONS ON INFORMATION FORENSICS AND SECURITY</t>
  </si>
  <si>
    <t>Gait recognition; Convolutional neural networks; Generative adversarial networks; Training; Three-dimensional displays; Generators; Feature extraction; adversarial training; hypergraph convolution</t>
  </si>
  <si>
    <t>Model-based gait recognition methods usually adopt the pedestrian walking postures to identify human beings. However, existing methods did not explicitly resolve the large intra-class variance of human pose due to changes in camera view. In this paper, we propose a lower-upper generative adversarial network (LUGAN) to generate multi-view pose sequences for each single-view sample to reduce the cross-view variance. Based on the prior of camera imaging, we prove that the spatial coordinates between cross-view poses satisfy a linear transformation of a full-rank matrix. Hence, LUGAN employs the adversarial training to learn full-rank transformation matrices from the source pose and target views to obtain the target pose sequences. The generator of LUGAN is composed of graph convolutional (GCN) layers, fully connected (FC) layers and two-branch convolutional (CNN) layers: GCN layers and FC layers encode the source pose sequence and target view, then CNN layers take as input the encoded features to learn a lower triangular matrix and an upper one, finally the transformation matrix is formulated by multiplying the lower and upper triangular matrices. For the purpose of adversarial training, we develop a conditional discriminator that distinguishes whether the pose sequence is true or generated. Furthermore, to facilitate the high-level correlation learning, we propose a plug-and-play module, named multi-scale hypergraph convolution (HGC), to replace the spatial graph convolutional layer in baseline, which can simultaneously model the joint-level, part-level and body-level correlations. Extensive experiments on three large gait recognition datasets (i.e., CASIA-B, OUMVLP-Pose and NLPR) demonstrate that our method outperforms the baseline model by a large margin.</t>
  </si>
  <si>
    <t>[Pan, Honghu; Chen, Yongyong; He, Zhenyu] Harbin Inst Technol, Sch Comp Sci &amp; Technol, Shenzhen 518055, Peoples R China; [Xu, Tingyang] Tencent AI Lab, Shenzhen 150000, Peoples R China; [He, Yunqi] Northeast Forestry Univ, Coll Informat &amp; Comp Engn, Harbin 518000, Peoples R China</t>
  </si>
  <si>
    <t>Harbin Institute of Technology; Tencent; Northeast Forestry University - China</t>
  </si>
  <si>
    <t>He, ZY (corresponding author), Harbin Inst Technol, Sch Comp Sci &amp; Technol, Shenzhen 518055, Peoples R China.</t>
  </si>
  <si>
    <t>19B951002@stu.hit.edu.cn; YongyongChen.cn@gmail.com; Tingyangxu@tencent.com; heyunqi.cs@gmail.com; zhenyuhe@hit.edu.cn</t>
  </si>
  <si>
    <t>Xu, Tingyang/AHA-6587-2022; Chen, yongyong/U-8997-2019</t>
  </si>
  <si>
    <t>Chen, yongyong/0000-0003-1970-1993</t>
  </si>
  <si>
    <t>National Natural Science Foundation of China [62172126, 62106063]; Shenzhen Research Council [JCYJ20210324120202006]; Guangdong Natural Science Foundation [2022A1515010819]; Shenzhen College Stability Support Plan [GXWD20201230155427003-20200824113231001]; Shenzhen Science and Technology Program [RCBS20210609103708013]</t>
  </si>
  <si>
    <t>National Natural Science Foundation of China(National Natural Science Foundation of China (NSFC)); Shenzhen Research Council; Guangdong Natural Science Foundation(National Natural Science Foundation of Guangdong Province); Shenzhen College Stability Support Plan; Shenzhen Science and Technology Program</t>
  </si>
  <si>
    <t>This work was supported in part by the National Natural Science Foundation of China under Grant 62172126 and Grant 62106063, in part by the Shenzhen Research Council under Grant JCYJ20210324120202006, in part by the Guangdong Natural Science Foundation under Grant 2022A1515010819, in part by the Shenzhen College Stability Support Plan under Grant GXWD20201230155427003-20200824113231001, and in part by the Shenzhen Science and Technology Program under Grant RCBS20210609103708013.</t>
  </si>
  <si>
    <t>1556-6013</t>
  </si>
  <si>
    <t>1556-6021</t>
  </si>
  <si>
    <t>IEEE T INF FOREN SEC</t>
  </si>
  <si>
    <t>IEEE Trans. Inf. Forensic Secur.</t>
  </si>
  <si>
    <t>10.1109/TIFS.2023.3254449</t>
  </si>
  <si>
    <t>D3DC1</t>
  </si>
  <si>
    <t>WOS:000967552800004</t>
  </si>
  <si>
    <t>Minh, C; Vermeulen, K; Lefebvre, C; Owezarski, P; Ritchie, W</t>
  </si>
  <si>
    <t>Minh, Celine; Vermeulen, Kevin; Lefebvre, Cedric; Owezarski, Philippe; Ritchie, William</t>
  </si>
  <si>
    <t>An explainable-by-design ensemble learning system to detect unknown network attacks</t>
  </si>
  <si>
    <t>Network security; unsupervised anomaly detection; explainable AI; ensemble learning; CNN</t>
  </si>
  <si>
    <t>Machine learning (ML) is a promising technology for network intrusion detection systems. There is a wide range of ML algorithms that are potential candidates for network intrusion detection systems, as they exhibit very good detection accuracy in average. However, significant detection differences appear when facing different kinds of attacks, some being prone to better detect some particular attack types. They then often appear to complement each other. The challenge then lies in determining the accurate result when several ML models provide different results, and this without any explanation about their decision. To address this challenge, our system aims to reconstruct attack patterns from the outputs of these ML models and presenting them in an interpretable manner. For that, we propose an approach combining ensemble learning and stacking with a meta-learner that works on graphical representation of traffic flows, that then provides the required explainability level for the decisions made. The evaluation of our system, using the CSE-CIC-IDS2018 dataset, demonstrates a significant improvement achieved through the combination of multiple ML algorithms. Furthermore, we emphasize the importance of explainability in network intrusion detection systems and the need for accurate and interpretable models. Our system goes beyond traditional detection methods by reporting anomalous feature pairs and providing visual representations of attack patterns, empowering analysts to better understand and respond to network threats.</t>
  </si>
  <si>
    <t>[Minh, Celine; Lefebvre, Cedric; Ritchie, William] Custocy, Toulouse, France; [Minh, Celine; Vermeulen, Kevin; Owezarski, Philippe] Univ Toulouse, LAAS CNRS, CNRS, INSA, Toulouse, France</t>
  </si>
  <si>
    <t>Universite Federale Toulouse Midi-Pyrenees (ComUE); Universite de Toulouse; Institut National des Sciences Appliquees de Toulouse; Centre National de la Recherche Scientifique (CNRS)</t>
  </si>
  <si>
    <t>Minh, C (corresponding author), Custocy, Toulouse, France.;Minh, C (corresponding author), Univ Toulouse, LAAS CNRS, CNRS, INSA, Toulouse, France.</t>
  </si>
  <si>
    <t>celine.minh@laas.fr; kevin.vermeulen@laas.fr; cminh@custocy.com; owe@laas.fr; writchie@custocy.com</t>
  </si>
  <si>
    <t>Custocy through the CIFRE (Industrial Agreement for Training through Research) program</t>
  </si>
  <si>
    <t>We gratefully acknowledge the financial support provided by Custocy through the CIFRE (Industrial Agreement for Training through Research) program. We also thank our colleagues at Custocy for their support in using the Netsens tool. Furthermore, we extend our appreciation to the team responsible for the LAAS-CNRS pfcalcul platform for granting us access and providing technical support.</t>
  </si>
  <si>
    <t>WOS:001117985100017</t>
  </si>
  <si>
    <t>Tafferner, Z; Illes, B; Krammer, O; Géczy, A</t>
  </si>
  <si>
    <t>Tafferner, Zoltan; Illes, Balazs; Krammer, Oliver; Geczy, Attila</t>
  </si>
  <si>
    <t>Can ChatGPT Help in Electronics Research and Development? A Case Study with Applied Sensors</t>
  </si>
  <si>
    <t>generative large language model; ChatGPT; sensors; electronics; engineering; development; IoT</t>
  </si>
  <si>
    <t>In this paper, we investigated the applicability of ChatGPT AI in electronics research and development via a case study of applied sensors in embedded electronic systems, a topic that is rarely mentioned in the recent literature, thus providing new insight for professionals and academics. The initial electronics-development tasks of a smart home project were prompted to the ChatGPT system to find out its capabilities and limitations. We wanted to obtain detailed information on the central processing controller units and the actual sensors usable for the specific project, their specifications and recommendations on the hardware and software design flow additionally. Furthermore, an extensive literature survey was requested to see if the bot could offer scientific papers covering the given topic. It was found that the ChatGPT responded with proper recommendations on controllers. However, the suggested sensor units, the hardware and software design were only partially acceptable, with occasional errors in specifications and generated code. The results of the literature survey showed that non-acceptable, fabricated citations (fake authors list, title, journal details and DOI-Digital Object identifier) were presented by the bot. The paper provides a detailed qualitative analysis, a performance analysis and critical discussion of the aforementioned aspects while providing the query set, the generated answers and codes as supplied data with the goal to give added value to electronics researchers and developers if trying to reach out for the tools in their profession.</t>
  </si>
  <si>
    <t>[Tafferner, Zoltan; Illes, Balazs; Krammer, Oliver; Geczy, Attila] Budapest Univ Technol &amp; Econ, Fac Elect Engn &amp; Informat, Dept Elect Technol, H-1111 Budapest, Hungary; [Illes, Balazs] Inst Microelect &amp; Photon, Lukasiewicz Res Network, LTCC Technol Res Grp, PL-02255 Krakow, Poland</t>
  </si>
  <si>
    <t>Géczy, A (corresponding author), Budapest Univ Technol &amp; Econ, Fac Elect Engn &amp; Informat, Dept Elect Technol, H-1111 Budapest, Hungary.</t>
  </si>
  <si>
    <t>illes.balazs@vik.bme.hu; krammer.oliver@vik.bme.hu</t>
  </si>
  <si>
    <t>; Illes, Balazs/G-7378-2012</t>
  </si>
  <si>
    <t>Tafferner, Zoltan/0009-0006-7466-9761; Illes, Balazs/0000-0002-8619-5472</t>
  </si>
  <si>
    <t>MAY 18</t>
  </si>
  <si>
    <t>10.3390/s23104879</t>
  </si>
  <si>
    <t>H7KD7</t>
  </si>
  <si>
    <t>WOS:000997699800001</t>
  </si>
  <si>
    <t>Cheng, KM; Li, ZY; He, YB; Guo, Q; Lu, YQ; Gu, SQ; Wu, HY</t>
  </si>
  <si>
    <t>Cheng, Kunming; Li, Zhiyong; He, Yongbin; Guo, Qiang; Lu, Yanqiu; Gu, Shuqin; Wu, Haiyang</t>
  </si>
  <si>
    <t>Potential Use of Artificial Intelligence in Infectious Disease: Take ChatGPT as an Example</t>
  </si>
  <si>
    <t>Infectious disease; Artificial intelligence; ChatGPT; Chatbots</t>
  </si>
  <si>
    <t>Over the past month, a new AI model called Chatbot Generative Pre-trained Transformer (ChatGPT), has received enormous attention in the media and scientific communities due to its ability to process and respond to commands in a humanistic fashion. As reported, five days after its launch, the number of registered users of ChatGPT exceeded one million, and its monthly active users had exceeded 100 million two months later, making it the most rapidly growing consumer application in history. The advent of ChatGPT has further brought about new ideas and challenges in the realm of infectious disease. In view of this, in order to evaluate the potential use of ChatGPT in clinical practice and scientific research of infectious disease, we conducted a brief online survey by using the publicly available ChatGPT webpage. Also, the present study also talks about the relevant social and ethical issues related to this program.</t>
  </si>
  <si>
    <t>[Cheng, Kunming; Lu, Yanqiu] Zhengzhou Univ, Affiliated Hosp 2, Dept Intens Care Unit, Zhengzhou, Henan, Peoples R China; [Li, Zhiyong; Guo, Qiang] Tianjin Med Univ, Baodi Clin Coll, Dept Orthoped, Tianjin, Peoples R China; [He, Yongbin] Beijing Sport Univ, Sch Sport Med &amp; Rehabil, Beijing, Peoples R China; [He, Yongbin] Univ North Carolina Chapel Hill, Chapel Hill, NC USA; [Gu, Shuqin] Duke Univ Med Ctr, Duke Human Vaccine Inst, Durham, NC 27708 USA; [Wu, Haiyang] Tianjin Med Univ, Dept Grad Sch, Tianjin, Peoples R China; [Wu, Haiyang] Duke Univ, Sch Med, Duke Mol Physiol Inst, Durham, NC 27708 USA</t>
  </si>
  <si>
    <t>Zhengzhou University; Tianjin Medical University; Beijing Sport University; University of North Carolina; University of North Carolina Chapel Hill; University of North Carolina School of Medicine; Duke University; Tianjin Medical University; Duke University</t>
  </si>
  <si>
    <t>Lu, YQ (corresponding author), Zhengzhou Univ, Affiliated Hosp 2, Dept Intens Care Unit, Zhengzhou, Henan, Peoples R China.;Gu, SQ (corresponding author), Duke Univ Med Ctr, Duke Human Vaccine Inst, Durham, NC 27708 USA.;Wu, HY (corresponding author), Tianjin Med Univ, Dept Grad Sch, Tianjin, Peoples R China.;Wu, HY (corresponding author), Duke Univ, Sch Med, Duke Mol Physiol Inst, Durham, NC 27708 USA.</t>
  </si>
  <si>
    <t>yanqiul@163.com; shuqin.gu@duke.edu; wuhaiyang2021@tmu.edu.cn</t>
  </si>
  <si>
    <t>Haiyang, Wu/HKN-8750-2023; Gu, Shuqin/HNI-4787-2023</t>
  </si>
  <si>
    <t>Haiyang, Wu/0000-0002-3215-1626; Gu, Shuqin/0000-0002-0347-0097</t>
  </si>
  <si>
    <t>10.1007/s10439-023-03203-3</t>
  </si>
  <si>
    <t>AR7R2</t>
  </si>
  <si>
    <t>WOS:000975478300001</t>
  </si>
  <si>
    <t>Cocchi, F; Baraldi, L; Poppi, S; Cornia, M; Baraldi, L; Cucchiara, R</t>
  </si>
  <si>
    <t>Cocchi, Federico; Baraldi, Lorenzo; Poppi, Samuele; Cornia, Marcella; Baraldi, Lorenzo; Cucchiara, Rita</t>
  </si>
  <si>
    <t>Unveiling the Impact of Image Transformations on Deepfake Detection: An Experimental Analysis</t>
  </si>
  <si>
    <t>IMAGE ANALYSIS AND PROCESSING, ICIAP 2023, PT II</t>
  </si>
  <si>
    <t>Deepfake Detection; Self-Supervised Vision Transformers</t>
  </si>
  <si>
    <t>With the recent explosion of interest in visual Generative AI, the field of deepfake detection has gained a lot of attention. In fact, deepfake detection might be the only measure to counter the potential proliferation of generated media in support of fake news and its consequences. While many of the available works limit the detection to a pure and direct classification of fake versus real, this does not translate well to a real-world scenario. Indeed, malevolent users can easily apply post-processing techniques to generated content, changing the underlying distribution of fake data. In this work, we provide an in-depth analysis of the robustness of a deepfake detection pipeline, considering different image augmentations, transformations, and other pre-processing steps. These transformations are only applied in the evaluation phase, thus simulating a practical situation in which the detector is not trained on all the possible augmentations that can be used by the attacker. In particular, we analyze the performance of a k-NN and a linear probe detector on the COCOFake dataset, using image features extracted from pre-trained models, like CLIP and DINO. Our results demonstrate that while the CLIP visual backbone outperforms DINO in deepfake detection with no augmentation, its performance varies significantly in presence of any transformation, favoring the robustness of DINO.</t>
  </si>
  <si>
    <t>[Cocchi, Federico; Poppi, Samuele; Cornia, Marcella; Baraldi, Lorenzo; Cucchiara, Rita] Univ Modena &amp; Reggio Emilia, Modena, Italy; [Cocchi, Federico; Baraldi, Lorenzo; Poppi, Samuele; Baraldi, Lorenzo] Univ Pisa, Pisa, Italy; [Cucchiara, Rita] IIT CNR, Pisa, Italy</t>
  </si>
  <si>
    <t>Universita di Modena e Reggio Emilia; University of Pisa; Consiglio Nazionale delle Ricerche (CNR); Istituto di Informatica e Telematica (IIT-CNR)</t>
  </si>
  <si>
    <t>Baraldi, L (corresponding author), Univ Pisa, Pisa, Italy.</t>
  </si>
  <si>
    <t>federico.cocchi@unimore.it; lorenzo.baraldi@phd.unipi.it; samuele.poppi@unimore.it; marcella.cornia@unimore.it; lorenzo.baraldi@unimore.it; rita.cucchiara@unimore.it</t>
  </si>
  <si>
    <t>Cucchiara, Rita/L-3006-2015</t>
  </si>
  <si>
    <t>Cucchiara, Rita/0000-0002-2239-283X; Cornia, Marcella/0000-0001-9640-9385; Baraldi, Lorenzo/0000-0001-5125-4957</t>
  </si>
  <si>
    <t>European Commission [PE00000013]; European Union [101070617]</t>
  </si>
  <si>
    <t>European Commission(European Union (EU)European Commission Joint Research Centre); European Union(European Union (EU))</t>
  </si>
  <si>
    <t>This work has partially been supported by the European Commission under the PNRR-M4C2 (PE00000013) project FAIR - Future Artificial Intelligence Research and by the Horizon Europe project European Lighthouse on Safe and Secure AI (ELSA) (HORIZON-CL4-2021-HUMAN-01-03), co-funded by the European Union (GA 101070617).</t>
  </si>
  <si>
    <t>978-3-031-43152-4; 978-3-031-43153-1</t>
  </si>
  <si>
    <t>10.1007/978-3-031-43153-1_29</t>
  </si>
  <si>
    <t>BW4WI</t>
  </si>
  <si>
    <t>WOS:001156197500029</t>
  </si>
  <si>
    <t>Heston, TF</t>
  </si>
  <si>
    <t>Heston, Thomas F.</t>
  </si>
  <si>
    <t>Safety of Large Language Models in Addressing Depression</t>
  </si>
  <si>
    <t>risk assessment; large language model; artificial intelligence; chatbot; mental health</t>
  </si>
  <si>
    <t>Background Generative artificial intelligence (AI) models, exemplified by systems such as ChatGPT, Bard, and Anthropic, are currently under intense investigation for their potential to address existing gaps in mental health support. One implementation of these large language models involves the development of mental healthfocused conversational agents, which utilize pre-structured prompts to facilitate user interaction without requiring specialized knowledge in prompt engineering. However, uncertainties persist regarding the safety and efficacy of these agents in recognizing severe depression and suicidal tendencies. Given the wellestablished correlation between the severity of depression and the risk of suicide, improperly calibrated conversational agents may inadequately identify and respond to crises. Consequently, it is crucial to investigate whether publicly accessible repositories of mental health-focused conversational agents can consistently and safely address crisis scenarios before considering their adoption in clinical settings. This study assesses the safety of publicly available ChatGPT-3.5 conversational agents by evaluating their responses to a patient simulation indicating worsening depression and suicidality. Methodology This study evaluated ChatGPT-3.5 conversational agents on a publicly available repository specifically designed for mental health counseling. Each conversational agent was evaluated twice by a highly structured patient simulation. First, the simulation indicated escalating suicide risk based on the Patient Health Questionnaire (PHQ-9). For the second patient simulation, the escalating risk was presented in a more generalized manner not associated with an existing risk scale to assess the more generalized ability of the conversational agent to recognize suicidality. Each simulation recorded the exact point at which the conversational agent recommended human support. Then, the simulation continued until the conversational agent stopped entirely and shut down completely, insisting on human intervention. Results All 25 agents available on the public repository FlowGPT.com were evaluated. The point at which the conversational agents referred to a human occurred around the mid-point of the simulation, and definitive shutdown predominantly only happened at the highest risk levels. For the PHQ-9 simulation, the average initial referral and shutdown aligned with PHQ-9 scores of 12 (moderate depression) and 25 (severe depression). Few agents included crisis resources - only two referenced suicide hotlines. Despite the conversational agents insisting on human intervention, 22 out of 25 agents would eventually resume the dialogue if the simulation reverted to a lower risk level. Conclusions Current generative AI -based conversational agents are slow to escalate mental health risk scenarios, postponing referral to a human to potentially dangerous levels. More rigorous testing and oversight of conversational agents are needed before deployment in mental healthcare settings. Additionally, further investigation should explore if sustained engagement worsens outcomes and whether enhanced accessibility outweighs the risks of improper escalation. Advancing AI safety in mental health remains imperative as these technologies continue rapidly advancing.</t>
  </si>
  <si>
    <t>[Heston, Thomas F.] Washington State Univ, Med Educ &amp; Clin Sci, Spokane, WA 99202 USA; [Heston, Thomas F.] Univ Washington, Family Med, Spokane, WA 99202 USA</t>
  </si>
  <si>
    <t>Washington State University; University of Washington; Washington State University</t>
  </si>
  <si>
    <t>Heston, TF (corresponding author), Washington State Univ, Med Educ &amp; Clin Sci, Spokane, WA 99202 USA.;Heston, TF (corresponding author), Univ Washington, Family Med, Spokane, WA 99202 USA.</t>
  </si>
  <si>
    <t>theston@uw.edu</t>
  </si>
  <si>
    <t>Heston, Thomas F/J-9047-2017</t>
  </si>
  <si>
    <t>Heston, Thomas F/0000-0002-5655-2512</t>
  </si>
  <si>
    <t>DEC 18</t>
  </si>
  <si>
    <t>e50729</t>
  </si>
  <si>
    <t>10.7759/cureus.50729</t>
  </si>
  <si>
    <t>GW5N0</t>
  </si>
  <si>
    <t>WOS:001155723900024</t>
  </si>
  <si>
    <t>Tan, HX</t>
  </si>
  <si>
    <t>Tan, Hanxiao</t>
  </si>
  <si>
    <t>Visualizing Global Explanations of Point Cloud DNNs</t>
  </si>
  <si>
    <t>So far, few researchers have targeted the explainability of point cloud neural networks. Part of the explainability methods are not directly applicable to those networks due to the structural specifics. In this work, we show that Activation Maximization (AM) with traditional pixel-wise regularizations fails to generate human-perceptible global explanations for point cloud networks. We propose new generative model-based AM approaches to clearly outline the global explanations and enhance their comprehensibility. Additionally, we propose a composite evaluation metric to address the limitations of existing evaluating methods, which simultaneously takes into account activation value, diversity and perceptibility. Extensive experiments demonstrate that our generative-based AM approaches outperform regularization-based ones both qualitatively and quantitatively. To the best of our knowledge, this is the first work investigating global explainability of point cloud networks. Our code is available at: https://github.com/Explain3D/PointCloudAM.</t>
  </si>
  <si>
    <t>[Tan, Hanxiao] TU Dortmund, AI Grp, Dortmund, Germany</t>
  </si>
  <si>
    <t>Dortmund University of Technology</t>
  </si>
  <si>
    <t>Tan, HX (corresponding author), TU Dortmund, AI Grp, Dortmund, Germany.</t>
  </si>
  <si>
    <t>hanxiao.tan@tu-dortmund.de</t>
  </si>
  <si>
    <t>Federal Ministry of Education and Research of Germany; state of North-Rhine Westphalia as part of the Lamarr-Institute for Machine Learning and Artificial Intelligence [LAMARR22B]</t>
  </si>
  <si>
    <t>Federal Ministry of Education and Research of Germany(Federal Ministry of Education &amp; Research (BMBF)); state of North-Rhine Westphalia as part of the Lamarr-Institute for Machine Learning and Artificial Intelligence</t>
  </si>
  <si>
    <t>This research has been funded by the Federal Ministry of Education and Research of Germany and the state of North-Rhine Westphalia as part of the Lamarr-Institute for Machine Learning and Artificial Intelligence, LAMARR22B.</t>
  </si>
  <si>
    <t>10.1109/WACV56688.2023.00472</t>
  </si>
  <si>
    <t>WOS:000971500204083</t>
  </si>
  <si>
    <t>Yang, HT; Sun, B; Chen, LY; Pavel, A; Huang, QX</t>
  </si>
  <si>
    <t>Yang, Haitao; Sun, Bo; Chen, Liyan; Pavel, Amy; Huang, Qixing</t>
  </si>
  <si>
    <t>GeoLatent: A Geometric Approach to Latent Space Design for Deformable Shape Generators</t>
  </si>
  <si>
    <t>generative model; Riemannian geometry</t>
  </si>
  <si>
    <t>METRICS</t>
  </si>
  <si>
    <t>We study how to optimize the latent space of neural shape generators that map latent codes to 3D deformable shapes. The key focus is to look at a deformable shape generator from a differential geometry perspective. We define a Riemannian metric based on as-rigid-as-possible and as-conformal-as-possible deformation energies. Under this metric, we study two desired properties of the latent space: 1) straight-line interpolations in latent codes follow geodesic curves; 2) latent codes disentangle pose and shape variations at different scales. Strictly enforcing the geometric interpolation property, however, only applies if the metric matrix is a constant. We show how to achieve this property approximately by enforcing that geodesic interpolations are axis-aligned, i.e., interpolations along coordinate axis follow geodesic curves. In addition, we introduce a novel approach that decouples pose and shape variations via generalized eigendecomposition. We also study efficient regularization terms for learning deformable shape generators, e.g., that promote smooth interpolations. Experimental results on benchmark datasets show that our approach leads to interpretable latent codes, improves the generalizability of synthetic shapes, and enhances performance in geodesic interpolation and geodesic shooting.</t>
  </si>
  <si>
    <t>[Yang, Haitao; Sun, Bo; Chen, Liyan; Pavel, Amy; Huang, Qixing] Univ Texas Austin, 2317 Speedway, Austin, TX 78712 USA</t>
  </si>
  <si>
    <t>Yang, HT (corresponding author), Univ Texas Austin, 2317 Speedway, Austin, TX 78712 USA.</t>
  </si>
  <si>
    <t>Yang, Haitao/0009-0004-9992-6387; Chen, Liyan/0009-0005-9517-6643</t>
  </si>
  <si>
    <t>NSF [IIS-2047677, HDR-1934932, CCF-2019844]</t>
  </si>
  <si>
    <t>Qixing Huang would like to acknowledge NSF IIS-2047677, HDR-1934932, CCF-2019844 and the gift funding from Wormpex AI Research.</t>
  </si>
  <si>
    <t>10.1145/3618371</t>
  </si>
  <si>
    <t>EO2B0</t>
  </si>
  <si>
    <t>WOS:001139790400070</t>
  </si>
  <si>
    <t>Han, S; Lee, J; Han, S; Moosavi, SM; Kim, J; Park, C</t>
  </si>
  <si>
    <t>Han, Seunghee; Lee, Jaewan; Han, Sehui; Moosavi, Seyed Mohamad; Kim, Jihan; Park, Changyoung</t>
  </si>
  <si>
    <t>Design of New Inorganic Crystals with the Desired Composition Using Deep Learning</t>
  </si>
  <si>
    <t>DENSITY-FUNCTIONAL THEORY; STRUCTURE DATABASE ICSD; INVERSE DESIGN; REPRESENTATION; DISCOVERY</t>
  </si>
  <si>
    <t>New solid-state materials have been discovered using various approaches from atom substitution in density functional theory (DFT) to generative models in machine learning. Recently, generative models have shown promising performance in finding new materials. Crystal generation with deep learning has been applied in various methods to discover new crystals. However, most generative models can only be applied to materials with specific elements or generate structures with random compositions. In this work, we developed a model that can generate crystals with desired compositions based on a crystal diffusion variational autoencoder. We generated crystal structures for 14 compositions of three types of materials in different applications. The generated structures were further stabilized using DFT calculations. We found the most stable structures in the existing database for all but one composition, even though eight compositions among them were not in the data set trained in a crystal diffusion variational autoencoder. This substantiates the prospect of the generation of an extensive range of compositions. Finally, 205 unique new crystal materials with energy above hull &lt;100 meV/atom were generated. Moreover, we compared the average formation energy of the crystals generated from five compositions, two of which were hypothetical, with that of traditional methods like atom substitution and a generative model. The generated structures had lower formation energy than those of other models, except for one composition. These results demonstrate that our approach can be applied stably in various fields to design stable inorganic materials based on machine learning.</t>
  </si>
  <si>
    <t>[Han, Seunghee; Kim, Jihan] Korea Adv Inst Sci &amp; Technol, Dept Chem &amp; Biomol Engn, Daejeon 34141, South Korea; [Lee, Jaewan; Han, Sehui; Park, Changyoung] LG AI Res, ISC, Seoul 07796, South Korea; [Moosavi, Seyed Mohamad] Univ Toronto, Dept Chem Engn &amp; Appl Chem, Toronto, ON M5S 3E5, Canada</t>
  </si>
  <si>
    <t>Korea Advanced Institute of Science &amp; Technology (KAIST); University of Toronto</t>
  </si>
  <si>
    <t>Park, C (corresponding author), LG AI Res, ISC, Seoul 07796, South Korea.</t>
  </si>
  <si>
    <t>changyoung.park@lgresearch.ai</t>
  </si>
  <si>
    <t>Park, Changyoung/0009-0008-1350-2057; Lee, Jaewan/0009-0008-1517-8086; Moosavi, Seyed Mohamad/0000-0002-0357-5729</t>
  </si>
  <si>
    <t>National Research Foundation of Korea (NRF) [2021M3A7C208974513]</t>
  </si>
  <si>
    <t>This work was supported by the National Research Foundation of Korea (NRF) under Project Number 2021M3A7C208974513.</t>
  </si>
  <si>
    <t>SEP 8</t>
  </si>
  <si>
    <t>10.1021/acs.jcim.3c00935</t>
  </si>
  <si>
    <t>S1RU4</t>
  </si>
  <si>
    <t>WOS:001065435000001</t>
  </si>
  <si>
    <t>Chen, SL; Savchuk, O; Zheng, SQ; Chen, BY; Stoecker, H; Wang, LX; Zhou, K</t>
  </si>
  <si>
    <t>Chen, Shile; Savchuk, Oleh; Zheng, Shiqi; Chen, Baoyi; Stoecker, Horst; Wang, Lingxiao; Zhou, Kai</t>
  </si>
  <si>
    <t>Fourier-flow model generating Feynman paths</t>
  </si>
  <si>
    <t>MONTE-CARLO METHODS; TRANSITION</t>
  </si>
  <si>
    <t>As an alternative but unified and more fundamental description for quantum physics, Feynman path integrals generalize the classical action principle to a probabilistic perspective, under which the physical observables' estimation translates into a weighted sum over all possible paths. The underlying difficulty is to tackle the whole path manifold from finite samples that can effectively represent the Feynman propagator dictated probability distribution. Modern generative models in machine learning can handle learning and representing probability distribution with high computational efficiency. In this study, we propose a Fourier-flow generative model to simulate the Feynman propagator and generate paths for quantum systems. As a demonstration, we validate the path generator on the harmonic and anharmonic oscillators. The latter is a double-well system without analytic solutions. To preserve the periodic condition for the system, the Fourier transformation is introduced into the flow model to approach a Matsubara representation. With this novel development, the ground-state wave function and low-lying energy levels are estimated accurately. Our method offers a new avenue to investigate quantum systems with machine learning assisted Feynman path integral solving.</t>
  </si>
  <si>
    <t>[Chen, Shile] Tsinghua Univ, Dept Phys, Beijing 100084, Peoples R China; [Savchuk, Oleh; Stoecker, Horst; Wang, Lingxiao; Zhou, Kai] Frankfurt Inst Adv Studies, Ruth Moufang Str 1, D-60438 Frankfurt, Germany; [Savchuk, Oleh; Stoecker, Horst] GSI Helmholtzzentrum Schwerionenforsch GmbH, D-64291 Darmstadt, Germany; [Savchuk, Oleh] Bogolyubov Inst Theoret Phys, UA-03680 Kiev, Ukraine; [Zheng, Shiqi] Univ North Carolina Chapel Hill, Chapel Hill, NC 27599 USA; [Zheng, Shiqi; Chen, Baoyi] Tianjin Univ, Dept Phys, Tianjin 300354, Peoples R China; [Stoecker, Horst] Goethe Univ Frankfurt, Inst Theoret Phys, D-60438 Frankfurt, Germany</t>
  </si>
  <si>
    <t>Tsinghua University; Helmholtz Association; GSI Helmholtz-Center for Heavy Ion Research; National Academy of Sciences Ukraine; Bogolyubov Institute for Theoretical Physics; University of North Carolina; University of North Carolina Chapel Hill; University of North Carolina School of Medicine; Tianjin University; Goethe University Frankfurt</t>
  </si>
  <si>
    <t>Wang, LX; Zhou, K (corresponding author), Frankfurt Inst Adv Studies, Ruth Moufang Str 1, D-60438 Frankfurt, Germany.</t>
  </si>
  <si>
    <t>lwang@fias.uni-frankfurt.de; zhou@fias.uni-frankfurt.de</t>
  </si>
  <si>
    <t>chen, bao-yi/GLU-3311-2022; Zhou, Kai/AGC-9226-2022; Savchuk, Oleh/JAC-1810-2023; Wang, Lingxiao/ABA-2907-2021; Stoecker, Horst/D-6173-2013</t>
  </si>
  <si>
    <t>chen, bao-yi/0000-0002-6411-2795; Savchuk, Oleh/0000-0003-0141-0610; Wang, Lingxiao/0000-0003-3757-3403; Stoecker, Horst/0000-0002-3282-3664; Zhou, Kai/0000-0001-9859-1758</t>
  </si>
  <si>
    <t>BMBF; AI grant of SAMSONAG, Frankfurt; Xidian-FIAS International Joint Research Center</t>
  </si>
  <si>
    <t>BMBF(Federal Ministry of Education &amp; Research (BMBF)); AI grant of SAMSONAG, Frankfurt; Xidian-FIAS International Joint Research Center</t>
  </si>
  <si>
    <t>We thank Drs. Shuzhe Shi and Partha Bagchi for helpful discussions. The work is supported by (i) the BMBF under the ErUM-Data project (K. Z.) , (ii) the AI grant of SAMSONAG, Frankfurt (K. Z. and L. W.) , (iii) Xidian-FIAS International Joint Research Center (L. W) , K. Z. also thanks the donation of NVIDIA GPUs from NVIDIA Corporation.</t>
  </si>
  <si>
    <t>10.1103/PhysRevD.107.056001</t>
  </si>
  <si>
    <t>9N6FJ</t>
  </si>
  <si>
    <t>WOS:000943007500003</t>
  </si>
  <si>
    <t>Jamil, S; Piran, MJ; Rahman, M; Kwon, OJ</t>
  </si>
  <si>
    <t>Jamil, Sonain; Piran, Md. Jalil; Rahman, MuhibUr; Kwon, Oh-Jin</t>
  </si>
  <si>
    <t>Learning-driven lossy image compression: A comprehensive survey</t>
  </si>
  <si>
    <t>Learned image compression; Deep learning; JPEG; End-to-end image compression; Machine learning; JPEG AI; Vision transformers</t>
  </si>
  <si>
    <t>RECURRENT NEURAL-NETWORK; OPTIMIZATION</t>
  </si>
  <si>
    <t>In the field of image processing and computer vision (CV), machine learning (ML) architectures are widely used. Image compression problems can be solved using convolutional neural networks (CNNs). As a result of bandwidth and memory constraints, compression of images is a necessity. There are three types of information found in images: useful, redundant, and irrelevant. In this survey, we will discuss how ML is used to compress lossy images. Firstly, we describe the background of lossy image compression. Next, we classify ML-based image compression frameworks into subgroups based on their architectures. Auto-encoders (AEs), variational auto-encoders (VAEs), CNNs, recurrent neural networks (RNNs), long short-term memories (LSTMs), gated recurrent units (GRUs), generative adversarial networks (GANs), transformers, principal component analysis (PCA) and fuzzy means clustering are among these subgroups. By analyzing learning-driven image compression frameworks, we present pros and cons of each subgroup. Lastly, we outline several research gaps and future research directions in the field of ML-based image compression.</t>
  </si>
  <si>
    <t>[Jamil, Sonain; Kwon, Oh-Jin] Sejong Univ, Dept Elect Engn, Seoul 05006, South Korea; [Piran, Md. Jalil] Sejong Univ, Dept Comp Engn, Seoul 05006, South Korea; [Rahman, MuhibUr] Polytech Montreal, Dept Elect Engn, Montreal, PQ H3T 1J4, Canada</t>
  </si>
  <si>
    <t>Sejong University; Sejong University; Universite de Montreal; Polytechnique Montreal</t>
  </si>
  <si>
    <t>Kwon, OJ (corresponding author), Sejong Univ, Dept Elect Engn, Seoul 05006, South Korea.;Piran, MJ (corresponding author), Sejong Univ, Dept Comp Engn, Seoul 05006, South Korea.</t>
  </si>
  <si>
    <t>sonainjamil@sju.ac.kr; piran@sejong.ac.kr; muhibur.rahman@polymtl.ca; ojkwon@sejong.ac.kr</t>
  </si>
  <si>
    <t>Jalil Piran, Md./I-2070-2018; Jamil, Sonain/ABA-1694-2021</t>
  </si>
  <si>
    <t>Jalil Piran, Md./0000-0003-3229-6785; Jamil, Sonain/0000-0002-7139-7389; Kwon, Oh-jin/0000-0002-9877-8982</t>
  </si>
  <si>
    <t>Institute for Information and Communications Technology Promotion (IITP) - Korea Government, development of JPEG systems standard for snack culture contents [2020-0-00347]</t>
  </si>
  <si>
    <t>Institute for Information and Communications Technology Promotion (IITP) - Korea Government, development of JPEG systems standard for snack culture contents</t>
  </si>
  <si>
    <t>This work was supported by the Institute for Information and Communications Technology Promotion (IITP) funded by the Korea Government, development of JPEG systems standard for snack culture contents, under Grant 2020-0-00347''.</t>
  </si>
  <si>
    <t>10.1016/j.engappai.2023.106361</t>
  </si>
  <si>
    <t>I8ZH6</t>
  </si>
  <si>
    <t>WOS:001005604800001</t>
  </si>
  <si>
    <t>Chen, JM; Wang, DL; Shao, ZC; Zhang, X; Ruan, MC; Li, HT; Li, JQ</t>
  </si>
  <si>
    <t>Chen, Junming; Wang, Duolin; Shao, Zichun; Zhang, Xu; Ruan, Mengchao; Li, Huiting; Li, Jiaqi</t>
  </si>
  <si>
    <t>Using Artificial Intelligence to Generate Master-Quality Architectural Designs from Text Descriptions</t>
  </si>
  <si>
    <t>architectural design; text to design; design process optimization; design quality; design style; diffusion model</t>
  </si>
  <si>
    <t>The exceptional architecture designed by master architects is a shared treasure of humanity, which embodies their design skills and concepts not possessed by common architectural designers. To help ordinary designers improve the design quality, we propose a new artificial intelligence (AI) method for generative architectural design, which generates designs with specified styles and master architect quality through a diffusion model based on textual prompts of the design requirements. Compared to conventional methods dependent on heavy intellectual labor for innovative design and drawing, the proposed method substantially enhances the creativity and efficiency of the design process. It overcomes the problem of specified style difficulties in generating high-quality designs in traditional diffusion models. The research results indicated that: (1) the proposed method efficiently provides designers with diverse architectural designs; (2) new designs upon easily altered text prompts; (3) high scalability for designers to fine-tune it for applications in other design domains; and (4) an optimized architectural design workflow.</t>
  </si>
  <si>
    <t>[Chen, Junming; Wang, Duolin; Shao, Zichun; Ruan, Mengchao; Li, Huiting; Li, Jiaqi] Macau Univ Sci &amp; Technol, Fac Humanities &amp; Arts, Taipa 999078, Macao, Peoples R China; [Zhang, Xu] Nanjing Univ Informat Sci &amp; Technol, Coll Arts, Nanjing 210044, Peoples R China</t>
  </si>
  <si>
    <t>Macau University of Science &amp; Technology; Nanjing University of Information Science &amp; Technology</t>
  </si>
  <si>
    <t>Li, JQ (corresponding author), Macau Univ Sci &amp; Technol, Fac Humanities &amp; Arts, Taipa 999078, Macao, Peoples R China.</t>
  </si>
  <si>
    <t>jmchen@must.edu.mo; dlwang@must.edu.mo; 2220015871@student.must.edu.mo; 20211231007@nuist.edu.cn; 2220024237@student.must.edu.mo; 2220002154@student.must.edu.mo; jiqli@must.edu.mo</t>
  </si>
  <si>
    <t>Chen, Junming/JGM-2773-2023; Wang, Duo/JVO-2488-2024; li, jiaqi/AAX-6745-2020</t>
  </si>
  <si>
    <t>Chen, Junming/0000-0001-6406-0924; li, jiaqi/0000-0001-6076-4350</t>
  </si>
  <si>
    <t>National Social Science Foundation of China Key Project of Art Science [20AC003]; Research Fund of Macao University of Science and Technology (FRG-MUST) [FRG-23-021-FA]; Digital Media Art, Key Laboratory of Sichuan Province, Sichuan Conservatory of Music [22DMAKL05]</t>
  </si>
  <si>
    <t>National Social Science Foundation of China Key Project of Art Science; Research Fund of Macao University of Science and Technology (FRG-MUST); Digital Media Art, Key Laboratory of Sichuan Province, Sichuan Conservatory of Music</t>
  </si>
  <si>
    <t>This research was funded by the National Social Science Foundation of China Key Project of Art Science Research on Chinese Animation Creation and a Theoretical Innovation under the Construction of National Cultural Image (Grant No. 20AC003), the project FRG-23-021-FA and granted by the Research Fund of Macao University of Science and Technology (FRG-MUST), and the Digital Media Art, Key Laboratory of Sichuan Province, Sichuan Conservatory of Music Research onemotional paradigm of virtual idol fans (Grant No. 22DMAKL05).</t>
  </si>
  <si>
    <t>10.3390/buildings13092285</t>
  </si>
  <si>
    <t>T3KE6</t>
  </si>
  <si>
    <t>WOS:001076999100001</t>
  </si>
  <si>
    <t>Galido, PV; Butala, S; Chakerian, M; Agustines, D</t>
  </si>
  <si>
    <t>Galido, Pearl Valentine; Butala, Saloni; Chakerian, Meg; Agustines, Davin</t>
  </si>
  <si>
    <t>A Case Study Demonstrating Applications of ChatGPT in the Clinical Management of Treatment-Resistant Schizophrenia</t>
  </si>
  <si>
    <t>standard of care; psychosis; antipsychotics; artificial intelligence in medicine; chatgpt; treatment-resistant schizophrenia</t>
  </si>
  <si>
    <t>Chat Generative Pre-trained Transformer, also known as ChatGPT, is a new artificial intelligence (AI) program that responds to user inquiry with discourse resembling human language. The range of ChatGPT capabilities caught the interest of the medical world after it demonstrated its ability to pass medical boards examinations. In this case report, we present the clinical treatment of a 22-year-old male diagnosed with treatment-resistant schizophrenia (TRS) and compare the medical management suggested by ChatGPT to current standards of care in order to assess the program's ability to identify the disorder, evaluate potential medical and psychiatric work-up, and develop a treatment plan addressing the distinct nuances of our patient. In our inquiry with ChatGPT, we found that it can accurately identify our patient as having TRS and order appropriate tests to methodically rule out alternative causes of acute psychosis. Furthermore, the AI program suggests pharmacologic treatment options including clozapine with adjuvant medications, and nonpharmacologic treatment options including electroconvulsive therapy (ECT), repetitive transcranial magnetic stimulation (rTMS), and psychotherapy which align with current standards of care. Lastly, ChatGPT provides a comprehensive list of side effects associated with antipsychotics and mood stabilizers used to treat TRS. We found both potential for and limitations in the clinical application of ChatGPT to assist in the assessment and management of complex medical conditions. Overall, ChatGPT may serve as a powerful tool to organize medical data in a meaningful and palatable format for medical professionals to reference during patient care.</t>
  </si>
  <si>
    <t>[Galido, Pearl Valentine; Butala, Saloni; Chakerian, Meg] Western Univ Hlth Sci, Coll Osteopath Med Pacific, Med, Pomona, CA 91766 USA; [Agustines, Davin] Olive View Univ Calif Los Angeles, Med Ctr, Psychiat, Sylmar, CA USA</t>
  </si>
  <si>
    <t>Western University of Health Sciences; University of California System; University of California Los Angeles; University of California Los Angeles Medical Center</t>
  </si>
  <si>
    <t>Galido, PV (corresponding author), Western Univ Hlth Sci, Coll Osteopath Med Pacific, Med, Pomona, CA 91766 USA.</t>
  </si>
  <si>
    <t>pearlvalentin.galido@westernu.edu</t>
  </si>
  <si>
    <t>APR 26</t>
  </si>
  <si>
    <t>e38166</t>
  </si>
  <si>
    <t>10.7759/cureus.38166</t>
  </si>
  <si>
    <t>O8WC9</t>
  </si>
  <si>
    <t>WOS:001046558300031</t>
  </si>
  <si>
    <t>Ikeda, K</t>
  </si>
  <si>
    <t>Ikeda, Kazuki</t>
  </si>
  <si>
    <t>Quantum extensive-form games</t>
  </si>
  <si>
    <t>QUANTUM INFORMATION PROCESSING</t>
  </si>
  <si>
    <t>Quantum games; Mechanism design; Quantum angel problem; Quantum walk</t>
  </si>
  <si>
    <t>ANGEL</t>
  </si>
  <si>
    <t>We propose a concept of quantum extensive-form games, which is a quantum extension of classical extensive-form games. Extensive-form games is a general concept of games such as Go, Shogi, and chess, which have triggered the recent AI revolution, and is the basis for many important game theoretic models in economics. Quantum transitions allow for pairwise annihilation of paths in the quantum game tree, resulting in a probability distribution that is more likely to produce a particular outcome. This is similar in principle to the mechanism of speed-up by quantum computation represented by Grover's algorithm. A quantum extensive-form game is also a generalization of quantum learning, including Quantum Generative Adversarial Networks. As an new example of quantum extensive-form games, we propose a quantum form of the Angel problem originally proposed by Conway in 1996. The classical problem has been solved but by quantizing it, the game becomes non-trivial.</t>
  </si>
  <si>
    <t>[Ikeda, Kazuki] SUNY Stony Brook, Codesign Ctr Quantum Advantage, Dept Phys &amp; Astron, Stony Brook, NY 11794 USA; [Ikeda, Kazuki] SUNY Stony Brook, Ctr Nucl Theory, Stony Brook, NY 11794 USA; [Ikeda, Kazuki] Univ Saskatchewan, Dept Math &amp; Stat, Saskatoon, SK S7N 5E6, Canada; [Ikeda, Kazuki] Univ Saskatchewan, Ctr Quantum Topol &amp; Its Applicat quanTA, Saskatoon, SK S7N 5E6, Canada</t>
  </si>
  <si>
    <t>State University of New York (SUNY) System; State University of New York (SUNY) Stony Brook; State University of New York (SUNY) System; State University of New York (SUNY) Stony Brook; University of Saskatchewan; University of Saskatchewan</t>
  </si>
  <si>
    <t>Ikeda, K (corresponding author), SUNY Stony Brook, Codesign Ctr Quantum Advantage, Dept Phys &amp; Astron, Stony Brook, NY 11794 USA.;Ikeda, K (corresponding author), SUNY Stony Brook, Ctr Nucl Theory, Stony Brook, NY 11794 USA.;Ikeda, K (corresponding author), Univ Saskatchewan, Dept Math &amp; Stat, Saskatoon, SK S7N 5E6, Canada.;Ikeda, K (corresponding author), Univ Saskatchewan, Ctr Quantum Topol &amp; Its Applicat quanTA, Saskatoon, SK S7N 5E6, Canada.</t>
  </si>
  <si>
    <t>kazuki7131@gmail.com</t>
  </si>
  <si>
    <t>Ikeda, Kazuki/ABD-5604-2020</t>
  </si>
  <si>
    <t>Ikeda, Kazuki/0000-0003-3821-2669</t>
  </si>
  <si>
    <t>PIMS Postdoctoral Fellowship Award; U.S. Department of Energy, Office of Science, National Quantum Information Science Research Centers, Co-design Center for Quantum Advantage (C2QA) [DESC0012704]</t>
  </si>
  <si>
    <t>PIMS Postdoctoral Fellowship Award; U.S. Department of Energy, Office of Science, National Quantum Information Science Research Centers, Co-design Center for Quantum Advantage (C2QA)(United States Department of Energy (DOE))</t>
  </si>
  <si>
    <t>The author is supported by PIMS Postdoctoral Fellowship Award. The author was also supported by the U.S. Department of Energy, Office of Science, National Quantum Information Science Research Centers, Co-design Center for Quantum Advantage (C2QA) under Contract No.DESC0012704. The author thanks Dmitri Kharzeev, Adam Lowe, Steven Rayan, Hiroki Sukeno and Tzu-Chieh Wei for useful discussion, collaborations and encouragement. The author is grateful to Megumi Ikeda for providing him with the cartoons.</t>
  </si>
  <si>
    <t>1570-0755</t>
  </si>
  <si>
    <t>1573-1332</t>
  </si>
  <si>
    <t>QUANTUM INF PROCESS</t>
  </si>
  <si>
    <t>Quantum Inf. Process.</t>
  </si>
  <si>
    <t>JAN 18</t>
  </si>
  <si>
    <t>10.1007/s11128-022-03806-0</t>
  </si>
  <si>
    <t>Quantum Science &amp; Technology; Physics, Multidisciplinary; Physics, Mathematical</t>
  </si>
  <si>
    <t>9C2YX</t>
  </si>
  <si>
    <t>WOS:000935290100005</t>
  </si>
  <si>
    <t>Cho, B; Le, BM; Kim, J; Woo, S; Tariq, S; Abuadbba, A; Moore, K</t>
  </si>
  <si>
    <t>Cho, Beomsang; Le, Binh M.; Kim, Jiwon; Woo, Simon; Tariq, Shahroz; Abuadbba, Alsharif; Moore, Kristen</t>
  </si>
  <si>
    <t>Towards Understanding of Deepfake Videos in the Wild</t>
  </si>
  <si>
    <t>Deepfake Videos; Deepfake Detection; Deepfake Datasets</t>
  </si>
  <si>
    <t>Deepfakes have become a growing concern in recent years, prompting researchers to develop benchmark datasets and detection algorithms to tackle the issue. However, existing datasets suffer from significant drawbacks that hamper their effectiveness. Notably, these datasets fail to encompass the latest deepfake videos produced by state-of-the-art methods that are being shared across various platforms. This limitation impedes the ability to keep pace with the rapid evolution of generative AI techniques employed in real-world deepfake production. Our contributions in this IRB-approved study are to bridge this knowledge gap from current real-world deepfakes by providing in-depth analysis. We first present the largest and most diverse and recent deepfake dataset (RWDF-23) collected from the wild to date, consisting of 2,000 deepfake videos collected from 4 platforms targeting 4 different languages span created from 21 countries: Reddit, YouTube, TikTok, and Bilibili. By expanding the dataset's scope beyond the previous research, we capture a broader range of real-world deepfake content, reflecting the ever-evolving landscape of online platforms. Also, we conduct a comprehensive analysis encompassing various aspects of deepfakes, including creators, manipulation strategies, purposes, and real-world content production methods. This allows us to gain valuable insights into the nuances and characteristics of deepfakes in different contexts. Lastly, in addition to the video content, we also collect viewer comments and interactions, enabling us to explore the engagements of internet users with deepfake content. By considering this rich contextual information, we aim to provide a holistic understanding of the evolving deepfake phenomenon and its impact on online platforms.</t>
  </si>
  <si>
    <t>[Cho, Beomsang; Le, Binh M.; Kim, Jiwon; Woo, Simon] Sungkyunkwan Univ, Seoul, South Korea; [Tariq, Shahroz; Abuadbba, Alsharif; Moore, Kristen] CSIROs Data61, Eveleigh, NSW, Australia</t>
  </si>
  <si>
    <t>Sungkyunkwan University (SKKU); Commonwealth Scientific &amp; Industrial Research Organisation (CSIRO)</t>
  </si>
  <si>
    <t>Woo, S (corresponding author), Sungkyunkwan Univ, Seoul, South Korea.</t>
  </si>
  <si>
    <t>gababsang@g.skku.edu; bmle@g.skku.edu; merwl0@g.skku.edu; swoo@g.skku.edu; shahroz.tariq@data61.csiro.au; sharif.abuadbba@data61.csiro.au; kristen.moore@data61.csiro.au</t>
  </si>
  <si>
    <t>Institute for Information &amp; communication Technology Planning &amp; evaluation (IITP) - Korean government MSIT [2022-0-01199, 2022-0-01045, 2022-0-00688, 2021-0-02068, 2019-0-00421, RS-2023-00230337]</t>
  </si>
  <si>
    <t>Institute for Information &amp; communication Technology Planning &amp; evaluation (IITP) - Korean government MSIT(Institute for Information &amp; Communication Technology Planning &amp; Evaluation (IITP), Republic of Korea)</t>
  </si>
  <si>
    <t>This work was partly supported by Institute for Information &amp; communication Technology Planning &amp; evaluation (IITP) grants funded by the Korean government MSIT: (No. 2022-0-01199, Graduate School of Convergence Security at Sungkyunkwan University), (No. 2022-0-01045, Self-directed Multi-Modal Intelligence for solving unknown, open domain problems), (No. 2022-0-00688, AI Platform to Fully Adapt and Reflect Privacy-Policy Changes), (No. 2021-0-02068, Artificial Intelligence Innovation Hub), (No. 2019-0-00421, AI Graduate School Support Program at Sungkyunkwan University), and (No. RS-2023-00230337, Advanced and Proactive AI Platform Research and Development Against Malicious deepfakes).</t>
  </si>
  <si>
    <t>10.1145/3583780.3614729</t>
  </si>
  <si>
    <t>WOS:001161549504108</t>
  </si>
  <si>
    <t>Jui, JH; Hauskrecht, M</t>
  </si>
  <si>
    <t>Jui, Jayati H.; Hauskrecht, Milos</t>
  </si>
  <si>
    <t>Uncovering the Effects of Genes, Proteins, and Medications on Functions of Wound Healing: A Dependency Rule-Based Text Mining Approach Leveraging GPT-4 based Evaluation</t>
  </si>
  <si>
    <t>Relation Extraction; GPT-4; Wound Healing; Biological Function; Medline</t>
  </si>
  <si>
    <t>Wound healing is a complex biological process characterized by intricate cellular and molecular interactions. Understanding the underlying mechanisms and the effects of different biological entities, such as genes, proteins, and medications, on the cellular and biological functions of wound healing is of paramount importance for the development of effective therapeutic interventions. In this paper, we present a text-mining approach aimed to explore and unravel the complex regulatory relationships of genes, proteins, and medications with the biological mechanisms of wound healing. Our approach relies on a set of predefined dependency rules to capture the relationships between biological entities and their target functions from text. By leveraging advanced AI technology like Generative Pre-trained Transformer 4 (GPT-4), also known as ChatGPT, we evaluate the accuracy and quality of the extracted relations. We present a detailed discussion of the encouraging preliminary results that validate the efficacy of our model in identifying potential therapeutic targets in the complex biological system.</t>
  </si>
  <si>
    <t>[Jui, Jayati H.; Hauskrecht, Milos] Univ Pittsburgh, Dept Comp Sci, Pittsburgh, PA 15260 USA</t>
  </si>
  <si>
    <t>Pennsylvania Commonwealth System of Higher Education (PCSHE); University of Pittsburgh</t>
  </si>
  <si>
    <t>Jui, JH (corresponding author), Univ Pittsburgh, Dept Comp Sci, Pittsburgh, PA 15260 USA.</t>
  </si>
  <si>
    <t>jaj146@pitt.edu; milos@pitt.edu</t>
  </si>
  <si>
    <t>Defense Advanced Research Projects Agency (DARPA) [D20AC00002]; U.S. Department of the Interior, Interior Business Center</t>
  </si>
  <si>
    <t>Defense Advanced Research Projects Agency (DARPA)(United States Department of DefenseDefense Advanced Research Projects Agency (DARPA)); U.S. Department of the Interior, Interior Business Center</t>
  </si>
  <si>
    <t>Supported by the Defense Advanced Research Projects Agency (DARPA) through Cooperative Agreement D20AC00002 awarded by the U.S. Department of the Interior, Interior Business Center. The content of the article does not necessarily reflect the position or the policy of the Government, and no official endorsement should be inferred.</t>
  </si>
  <si>
    <t>10.1109/BHI58575.2023.10313354</t>
  </si>
  <si>
    <t>WOS:001107519300002</t>
  </si>
  <si>
    <t>Yazdi, F; Blackmon, M; Kattubadi, A; Krishnan, P</t>
  </si>
  <si>
    <t>Yazdi, Fereshteh; Blackmon, Melodie; Kattubadi, Ayeesha; Krishnan, Prathik</t>
  </si>
  <si>
    <t>Seizure-Induced Cardiomyopathy: A Case of Takotsubo Cardiomyopathy Following an Epileptic Event</t>
  </si>
  <si>
    <t>critical care cardiology; impella device; alcohol use disorder (aud); epilepsy disorders; takotsubo cardiomyopathy</t>
  </si>
  <si>
    <t>We present a case, written with the assistance of the Chat Generative Pre-training Transformer (ChatGPT) Artificial Intelligence (AI), of a 75-year-old female with a history of hypertension, epilepsy, coronary artery disease, and alcohol use disorder. She presented with a tonic-clonic seizure, tachycardia, and a cyanotic right hand. Diagnostic tests revealed stress-induced cardiomyopathy, patent bilateral subclavian and axillary arteries with heavy calcification of bilateral upper extremity arteries, and a small filling defect in the segmental branch of the left lower lobe. The patient was started on antiepileptic medication, thiamine/folate, and heparin drip for limb ischemia. Despite treatment with multiple anti-arrhythmic agents, the patient developed cardiogenic shock and underwent left heart catheterization with Impella placement. The Impella was removed 72 hours after placement, and the patient was started on low-dose Milrinone and Levophed for hemodynamic support. The patient eventually recovered and was discharged to long-term acute care.</t>
  </si>
  <si>
    <t>[Yazdi, Fereshteh; Kattubadi, Ayeesha] Louisiana State Univ, Hlth Sci Ctr, Internal Med, Shreveport, LA 71105 USA; [Blackmon, Melodie] Louisiana State Univ, Hlth Sci Ctr, Crit Care Med, Shreveport, LA USA; [Krishnan, Prathik] Louisiana State Univ, Hlth Sci Ctr, Pulm Crit Care, Shreveport, LA USA</t>
  </si>
  <si>
    <t>Louisiana State University System; Louisiana State University Health Sciences Center at Shreveport; Louisiana State University System; Louisiana State University Health Sciences Center at Shreveport; Louisiana State University System; Louisiana State University Health Sciences Center at Shreveport</t>
  </si>
  <si>
    <t>Yazdi, F (corresponding author), Louisiana State Univ, Hlth Sci Ctr, Internal Med, Shreveport, LA 71105 USA.</t>
  </si>
  <si>
    <t>fereshteh.taba@gmail.com</t>
  </si>
  <si>
    <t>MAY 21</t>
  </si>
  <si>
    <t>e39288</t>
  </si>
  <si>
    <t>10.7759/cureus.39288</t>
  </si>
  <si>
    <t>L2LS9</t>
  </si>
  <si>
    <t>WOS:001021631400023</t>
  </si>
  <si>
    <t>Aloor, JJ; Patrikar, J; Kapoor, P; Oh, J; Scherer, S</t>
  </si>
  <si>
    <t>Aloor, Jasmine Jerry; Patrikar, Jay; Kapoor, Parv; Oh, Jean; Scherer, Sebastian</t>
  </si>
  <si>
    <t>Follow The Rules: Online Signal Temporal Logic Tree Search for Guided Imitation Learning in Stochastic Domains</t>
  </si>
  <si>
    <t>2023 IEEE INTERNATIONAL CONFERENCE ON ROBOTICS AND AUTOMATION, ICRA</t>
  </si>
  <si>
    <t>IEEE International Conference on Robotics and Automation ICRA</t>
  </si>
  <si>
    <t>IEEE International Conference on Robotics and Automation (ICRA)</t>
  </si>
  <si>
    <t>MAY 29-JUN 02, 2023</t>
  </si>
  <si>
    <t>IEEE,IEEE Robot &amp; Automat Soc</t>
  </si>
  <si>
    <t>MODEL-PREDICTIVE CONTROL</t>
  </si>
  <si>
    <t>Seamlessly integrating rules in Learning-from-Demonstrations (LfD) policies is a critical requirement to enable the real-world deployment of AI agents. Recently, Signal Temporal Logic (STL) has been shown to be an effective language for encoding rules as spatio-temporal constraints. This work uses Monte Carlo Tree Search (MCTS) as a means of integrating STL specification into a vanilla LfD policy to improve constraint satisfaction. We propose augmenting the MCTS heuristic with STL robustness values to bias the tree search towards branches with higher constraint satisfaction. While the domain-independent method can be applied to integrate STL rules online into any pre-trained LfD algorithm, we choose goal-conditioned Generative Adversarial Imitation Learning as the offline LfD policy. We apply the proposed method to the domain of planning trajectories for General Aviation aircraft around a non-towered airfield. Results using the simulator trained on real-world data showcase 60% improved performance over baseline LfD methods that do not use STL heuristics. [Code](1) [Video](2)</t>
  </si>
  <si>
    <t>[Aloor, Jasmine Jerry] Indian Inst Technol, Dept Aerosp Engn, Kharagpur, W Bengal, India; [Patrikar, Jay; Kapoor, Parv; Oh, Jean; Scherer, Sebastian] Carnegie Mellon Univ, Robot Inst, Pittsburgh, PA 15213 USA</t>
  </si>
  <si>
    <t>Indian Institute of Technology System (IIT System); Indian Institute of Technology (IIT) - Kharagpur; Carnegie Mellon University</t>
  </si>
  <si>
    <t>Aloor, JJ (corresponding author), Indian Inst Technol, Dept Aerosp Engn, Kharagpur, W Bengal, India.</t>
  </si>
  <si>
    <t>jasminejerry@iitkgp.ac.in; jpatrika@andrew.cmu.edu; parvk@andrew.cmu.edu; hyaejino@andrew.cmu.edu; basti@andrew.cmu.edu</t>
  </si>
  <si>
    <t>Scherer, Sebastian/0000-0002-8373-4688</t>
  </si>
  <si>
    <t>Army Futures Command</t>
  </si>
  <si>
    <t>This work was supported by Army Futures Command.</t>
  </si>
  <si>
    <t>1050-4729</t>
  </si>
  <si>
    <t>2577-087X</t>
  </si>
  <si>
    <t>979-8-3503-2365-8</t>
  </si>
  <si>
    <t>IEEE INT CONF ROBOT</t>
  </si>
  <si>
    <t>10.1109/ICRA48891.2023.10160953</t>
  </si>
  <si>
    <t>Automation &amp; Control Systems; Computer Science, Artificial Intelligence; Engineering, Electrical &amp; Electronic; Robotics</t>
  </si>
  <si>
    <t>Automation &amp; Control Systems; Computer Science; Engineering; Robotics</t>
  </si>
  <si>
    <t>BV4NP</t>
  </si>
  <si>
    <t>WOS:001036713001021</t>
  </si>
  <si>
    <t>Mathiesen, SO; Canossa, A</t>
  </si>
  <si>
    <t>Mathiesen, Samuel Otto; Canossa, Alessandro</t>
  </si>
  <si>
    <t>If You Can't Beat Them, Join Them: How Text-to-Image Tools Can Be Leveraged in the 3D Modelling Process</t>
  </si>
  <si>
    <t>AI; Text-to-image Generators; Creativity; Mixed-Initiative; 3D Modelling; Concept Art</t>
  </si>
  <si>
    <t>The rapidly growing field of text-to-image generation leverages machine learning and natural language processing to allow for the creation of very diverse and high-quality images. Whilst these images can be used in various forms and for many purposes, this paper addresses a specific question: The possibility of utilizing text-to-image generators to create concept art for the 3D-modeling process of a character. There is a potential opportunity to explore how these tools can be incorporated in traditional content creators' pipelines. This opportunity presents itself now because of two factors: The increased capability of these text-to-image tools compared to previous generative models, as well as the lack of specific focus on creators in current research. We propose a possible pipeline to incorporate these newtools in the traditional 3D modeling process, dubbed the 'vortex process'. This workflow follows a more circular and iterative pattern compared to examples of a more traditional process. The impact of utilizing text-to-image tools is threefold: It can boost the speed of iteration, as the speed of generating new artwork is increased compared to a human; this then allows for the exploration of more variations in a design process. Additionally, it can free up extra time to allow for extra polish of the final product. In this paper we therefore examine how the use of this technology affects the creative process. Finally, we highlight some of the potential ethical and societal implications of this technology: Loss of human jobs, issues regarding copyright of artwork used to train models etc., which will all impact future use.</t>
  </si>
  <si>
    <t>[Mathiesen, Samuel Otto; Canossa, Alessandro] Royal Danish Acad, Philip De Langes Alle 10, DK-1435 Copenhagen, Denmark</t>
  </si>
  <si>
    <t>Mathiesen, SO (corresponding author), Royal Danish Acad, Philip De Langes Alle 10, DK-1435 Copenhagen, Denmark.</t>
  </si>
  <si>
    <t>samuel-otto-mathiesen@live.dk; acan@kglakademi.dk</t>
  </si>
  <si>
    <t>Canossa, Alessandro/0000-0002-5852-9287</t>
  </si>
  <si>
    <t>10.1007/978-3-031-48057-7_11</t>
  </si>
  <si>
    <t>WOS:001159622900011</t>
  </si>
  <si>
    <t>Ding, L; Li, T; Jiang, SY; Gapud, A</t>
  </si>
  <si>
    <t>Ding, Lu; Li, Tong; Jiang, Shiyan; Gapud, Albert</t>
  </si>
  <si>
    <t>Students' perceptions of using ChatGPT in a physics class as a virtual tutor</t>
  </si>
  <si>
    <t>GenAI; ChatGPT; Perception; Misconception; Physics problems</t>
  </si>
  <si>
    <t>HELP</t>
  </si>
  <si>
    <t>The latest development of Generative Artificial Intelligence (GenAI), particularly ChatGPT, has drawn the attention of educational researchers and practitioners. We have witnessed many innovative uses of ChatGPT in STEM classrooms. However, studies regarding students' perceptions of ChatGPT as a virtual tutoring tool in STEM education are rare. The current study investigated undergraduate students' perceptions of using ChatGPT in a physics class as an assistant tool for addressing physics questions. Specifically, the study examined the accuracy of ChatGPT in answering physics questions, the relationship between students' ChatGPT trust levels and answer accuracy, and the influence of trust on students' perceptions of ChatGPT. Our finding indicates that despite the inaccuracy of GenAI in question answering, most students trust its ability to provide correct answers. Trust in GenAI is also associated with students' perceptions of GenAI. In addition, this study sheds light on students' misconceptions toward GenAI and provides suggestions for future considerations in AI literacy teaching and research.</t>
  </si>
  <si>
    <t>[Ding, Lu] Univ S Alabama, Dept Counselling &amp; Instruct Sci, UCOM 3858, Mobile, AL 36688 USA; [Li, Tong] Ball State Univ, Ctr Emerging Media Design &amp; Dev, Muncie, IN USA; [Jiang, Shiyan] North Carolina State Univ, Teacher Educ &amp; Learning Sci, Raleigh, NC USA; [Gapud, Albert] Univ S Alabama, Dept Phys, Mobile, AL USA</t>
  </si>
  <si>
    <t>University of South Alabama; Ball State University; North Carolina State University; University of South Alabama</t>
  </si>
  <si>
    <t>Ding, L (corresponding author), Univ S Alabama, Dept Counselling &amp; Instruct Sci, UCOM 3858, Mobile, AL 36688 USA.</t>
  </si>
  <si>
    <t>luding@southalabama.edu</t>
  </si>
  <si>
    <t>Li, Tong/0000-0002-1166-625X; Ding, Lu/0000-0002-1454-1532</t>
  </si>
  <si>
    <t>10.1186/s41239-023-00434-1</t>
  </si>
  <si>
    <t>DA5V6</t>
  </si>
  <si>
    <t>WOS:001129334900001</t>
  </si>
  <si>
    <t>Ostalska, K</t>
  </si>
  <si>
    <t>Ostalska, Katarzyna</t>
  </si>
  <si>
    <t>Waves of Pixels and Word-generated Algorithms: Drone Poetry as a Collaborative Practice between Machine and Human in Waveform by Richard A. Carter</t>
  </si>
  <si>
    <t>TEXT MATTERS-A JOURNAL OF LITERATURE THEORY AND CULTURE</t>
  </si>
  <si>
    <t>digital literature; drone generated poetry; waves; computer code; multimodality</t>
  </si>
  <si>
    <t>The following article explores the creative collaborative practices in digital poetry between more-than-human agents. Richard A. Carter's artistic project Waveform (2017-) makes one reconsider the ways in which multimodal and web-based encounters of image, word, sound and movement, and, in the case of Carter's airborne drone, also the political and military, redefine a literary text via nonhuman extended perception. Drone-generated poetry challenges a human-centered (literary) perspective, raising questions about AI's creativity and code's generative and aesthetic, and not only functional, potential. The article, drawing upon Raichlen, introduces a comparative platform of waves' mechanics to render the complexity of multimedial digital poetic writing. The focal analytical material provided by Carter results from the (human, machine) vision (of the moving waves) translated into words, generated by the drone, and edited by the human. The article studies the creative process in which the collaboration between more-than-human entities, as its outcome, produces poetic work of artistic value and literary merit.</t>
  </si>
  <si>
    <t>[Ostalska, Katarzyna] Univ Lodz, Dept British Literature &amp; Culture, Lodz, Poland</t>
  </si>
  <si>
    <t>University of Lodz</t>
  </si>
  <si>
    <t>Ostalska, K (corresponding author), Univ Lodz, Dept British Literature &amp; Culture, Lodz, Poland.</t>
  </si>
  <si>
    <t>katarzyna.ostalska@uni.lodz.pl</t>
  </si>
  <si>
    <t>LODZ UNIV PRESS</t>
  </si>
  <si>
    <t>LODZ</t>
  </si>
  <si>
    <t>ul. Pomorska 171/173, LODZ, POLAND</t>
  </si>
  <si>
    <t>2083-2931</t>
  </si>
  <si>
    <t>2084-574X</t>
  </si>
  <si>
    <t>TEXT MATTERS</t>
  </si>
  <si>
    <t>Text Matters</t>
  </si>
  <si>
    <t>10.18778/2083-2931.13.15</t>
  </si>
  <si>
    <t>Z6WL9</t>
  </si>
  <si>
    <t>WOS:001113458300010</t>
  </si>
  <si>
    <t>Scoon, K; Samara, K</t>
  </si>
  <si>
    <t>Arai, K</t>
  </si>
  <si>
    <t>Scoon, Kalvin; Samara, Kamil</t>
  </si>
  <si>
    <t>Synthesizing Pokemon Trading Cards Using Nvidia StyleGAN2 from Home</t>
  </si>
  <si>
    <t>INTELLIGENT SYSTEMS AND APPLICATIONS, VOL 2</t>
  </si>
  <si>
    <t>Intelligent Systems Conference (IntelliSys)</t>
  </si>
  <si>
    <t>SEP 01-02, 2022</t>
  </si>
  <si>
    <t>GAN; Pokemon; Trading card; DALL-E; StackGAN; StyleGAN; Google Colab; Google vertex; Python; SR3; GPU; TPU</t>
  </si>
  <si>
    <t>Artificial intelligence plays a large role in the way that we consume content acting as a director behind the scenes controlling what and how we interact with digital mediums daily. Only within the last decade has AI software and hardware advanced to a point where it can also help contribute directly to content creation with the use of technologies such as generative adversarial networks (GANs). In this paper, we will examine some modern GAN solutions as well as the viability of an at-home model training experience in 2021 and into 2022. Specifically, the task being examined is the image synthesis of Pokemon Trading Cards. This dataset was chosen for its familiarity, large number of uniform samples, accessibility, and to examine the effects of training on datasets that share many consistent elements (card layout, formatting, color schemes). Some implications of being able to generate images in such a way are faster prototyping, a more streamlined workflow, or near-instantaneous content creation for creative professionals and illustrators.</t>
  </si>
  <si>
    <t>[Scoon, Kalvin; Samara, Kamil] Univ Wisconsin, Parkside,900 Wood Rd, Kenosha, WI 53141 USA</t>
  </si>
  <si>
    <t>University of Wisconsin System</t>
  </si>
  <si>
    <t>Scoon, K (corresponding author), Univ Wisconsin, Parkside,900 Wood Rd, Kenosha, WI 53141 USA.</t>
  </si>
  <si>
    <t>kalvin.scoon@gmail.com</t>
  </si>
  <si>
    <t>978-3-031-16078-3; 978-3-031-16077-6</t>
  </si>
  <si>
    <t>10.1007/978-3-031-16078-3_44</t>
  </si>
  <si>
    <t>BU3ES</t>
  </si>
  <si>
    <t>WOS:000890320100044</t>
  </si>
  <si>
    <t>Galdina, TE; Chernodubov, AI; Mikhailova, MI</t>
  </si>
  <si>
    <t>Galdina, Tatyana E.; Chernodubov, Alexey I.; Mikhailova, Maria I.</t>
  </si>
  <si>
    <t>Intraspecific Diversity of Pinus sylvestris L. in Provenance Trials of the Central Russian Forest-Steppe Area</t>
  </si>
  <si>
    <t>LESNOY ZHURNAL-FORESTRY JOURNAL</t>
  </si>
  <si>
    <t>provenance trials; Scots pine; reproductive ability; phenological observations; seeds; generative organs; weight of 1000 seeds; cone weight; cone length; cone thickness; seed release; seed coloring; seed germination energy; germination</t>
  </si>
  <si>
    <t>GROWTH; CLIMATE</t>
  </si>
  <si>
    <t>The provenance trials of Scots pine (Pinus sylvestris L.) in the Central Russian forest-steppe area were established by M.M. Veresen in 1959. They have become a natural laboratory for genetic and environmental research in order to solve the practical issues of forest seed zoning. The study of the intraspecific diversity of the provenance trials makes it possible to distinguish patterns in the formation of species with various origins under the influence of different ecological, genetic, and climatic conditions. This article presents the results of a multi-year research project. This allows us to state with full responsibility the strong influence of environmental and genetic factors on the characteristics of growth, resistance, trunk productivity, and reproductive capacity of Scots pine in new growing conditions. The generative parts of the study objects were also examined by morphometric indicators. The changes were revealed in seed production, size, cone coloring, color and weight of 1000 pieces of seeds, seed release, seed fullness, germinative energy, and absolute germination. Genetic factors, which are programmed by ancestry, define the constancy of the difference in size and color of cones and seeds. In addition, genetic factors, along with the weather conditions of a new location, regulate reproductive ability. It was noted that Scots pine with different geographical origins enters the flowering phase at different times. The northern trees are 5-7 days earlier than locals; the southern trees are 5 days later. They were studied in the climate of the Voronezh region. The variability in the characteristics of the generative organs of Scots pine is also affected by its place of birth. The size and weight of the cone are directly related to the geographic latitude. The length and weight of the cone increase with movement from north to south. There is no strict relationship between the release of the seeds during free pollination and the place of origin since the study objects were surrounded by various pollinators. The weight of 1000 seeds changes with the same regularity as in natural stands of pine: it increases with the geographical latitude of the origin. Consequently, under the influence of new growing conditions, Scots pine is strongly affected by its genetic factors that determine the stability, trunk productivity, and reproductive capacity of the species.</t>
  </si>
  <si>
    <t>[Galdina, Tatyana E.; Chernodubov, Alexey I.; Mikhailova, Maria I.] Voronezh State Univ Forestry &amp; Technol, ul Timiryazeva,8, Voronezh 394087, Russia</t>
  </si>
  <si>
    <t>Voronezh State University of Forestry &amp; Technologies named after G.F. Morozov</t>
  </si>
  <si>
    <t>Galdina, TE (corresponding author), Voronezh State Univ Forestry &amp; Technol, ul Timiryazeva,8, Voronezh 394087, Russia.</t>
  </si>
  <si>
    <t>tatyana_galdina@mail.ru; schaxina.mary@yandex.ru</t>
  </si>
  <si>
    <t>NORTHERN ARCTIC FEDERAL UNIV M V LOMONOSOV</t>
  </si>
  <si>
    <t>ARKHANGELSK</t>
  </si>
  <si>
    <t>NABEREZHNAYA SEVERNOY DVINY, DOM 17, ARKHANGELSK, 163002, RUSSIA</t>
  </si>
  <si>
    <t>0536-1036</t>
  </si>
  <si>
    <t>LESNOY ZH</t>
  </si>
  <si>
    <t>Lesnoy Zh.</t>
  </si>
  <si>
    <t>10.37482/0536-1036-2023-3-84-98</t>
  </si>
  <si>
    <t>L3GP1</t>
  </si>
  <si>
    <t>WOS:001022180100002</t>
  </si>
  <si>
    <t>Tao, R; Xu, JW</t>
  </si>
  <si>
    <t>Tao, Ran; Xu, Jinwen</t>
  </si>
  <si>
    <t>Mapping with ChatGPT</t>
  </si>
  <si>
    <t>ISPRS INTERNATIONAL JOURNAL OF GEO-INFORMATION</t>
  </si>
  <si>
    <t>ChatGPT; cartography; thematic maps; mental maps; spatial thinking</t>
  </si>
  <si>
    <t>The emergence and rapid advancement of large language models (LLMs), represented by OpenAI's Generative Pre-trained Transformer (GPT), has brought up new opportunities across various industries and disciplines. These cutting-edge technologies are transforming the way we interact with information, communicate, and solve complex problems. We conducted a pilot study exploring making maps with ChatGPT, a popular artificial intelligence (AI) chatbot. Specifically, we tested designing thematic maps using given or public geospatial data, as well as creating mental maps purely using textual descriptions of geographic space. We conclude that ChatGPT provides a useful alternative solution for mapping given its unique advantages, such as lowering the barrier to producing maps, boosting the efficiency of massive map production, and understanding geographical space with its spatial thinking capability. However, mapping with ChatGPT still has limitations at the current stage, such as its unequal benefits for different users and dependence on user intervention for quality control.</t>
  </si>
  <si>
    <t>[Tao, Ran] Univ S Florida, Sch Geosci, Tampa, FL 33647 USA; [Xu, Jinwen] Florida Int Univ, GIS Ctr, Miami, FL 33199 USA</t>
  </si>
  <si>
    <t>State University System of Florida; University of South Florida; State University System of Florida; Florida International University</t>
  </si>
  <si>
    <t>Tao, R (corresponding author), Univ S Florida, Sch Geosci, Tampa, FL 33647 USA.</t>
  </si>
  <si>
    <t>rtao@usf.edu; jinwxu@fiu.edu</t>
  </si>
  <si>
    <t>Xu, Jinwen/IUO-1010-2023; Tao, Ran/HLX-8317-2023</t>
  </si>
  <si>
    <t>Xu, Jinwen/0000-0001-9663-5737; Tao, Ran/0000-0002-4618-1893</t>
  </si>
  <si>
    <t>2220-9964</t>
  </si>
  <si>
    <t>ISPRS INT J GEO-INF</t>
  </si>
  <si>
    <t>ISPRS Int. J. Geo-Inf.</t>
  </si>
  <si>
    <t>10.3390/ijgi12070284</t>
  </si>
  <si>
    <t>Computer Science, Information Systems; Geography, Physical; Remote Sensing</t>
  </si>
  <si>
    <t>Computer Science; Physical Geography; Remote Sensing</t>
  </si>
  <si>
    <t>N3LW5</t>
  </si>
  <si>
    <t>WOS:001036078400001</t>
  </si>
  <si>
    <t>Jadhav, S; Shrivastava, M; Mitra, S</t>
  </si>
  <si>
    <t>Jadhav, Shreejit; Shrivastava, Mihir; Mitra, Sanjit</t>
  </si>
  <si>
    <t>Towards a robust and reliable deep learning approach for detection of compact binary mergers in gravitational wave data</t>
  </si>
  <si>
    <t>gravitational wave; deep learning; cbc search; variational autoencoder; generative adversarial network; robust and reliable model</t>
  </si>
  <si>
    <t>PUBLIC ADVANCED LIGO; CATALOG; SEARCH; 1ST</t>
  </si>
  <si>
    <t>The ability of deep learning (DL) approaches to learn generalised signal and noise models, coupled with their fast inference on GPUs, holds great promise for enhancing gravitational-wave (GW) searches in terms of speed, parameter space coverage, and search sensitivity. However, the opaque nature of DL models severely harms their reliability. In this work, we meticulously develop a DL model stage-wise and work towards improving its robustness and reliability. First, we address the problems in maintaining the purity of training data by deriving a new metric that better reflects the visual strength of the 'chirp' signal features in the data. Using a reduced, smooth representation obtained through a variational auto-encoder (VAE), we build a classifier to search for compact binary coalescence (CBC) signals. Our tests on real LIGO data show an impressive performance of the model. However, upon probing the robustness of the model through adversarial attacks, its simple failure modes were identified, underlining how such models can still be highly fragile. As a first step towards bringing robustness, we retrain the model in a novel framework involving a generative adversarial network (GAN). Over the course of training, the model learns to eliminate the primary modes of failure identified by the adversaries. Although absolute robustness is practically impossible to achieve, we demonstrate some fundamental improvements earned through such training, like sparseness and reduced degeneracy in the extracted features at different layers inside the model. We show that these gains are achieved at practically zero loss in terms of model performance on real LIGO data before and after GAN training. Through a direct search on similar to 8.8 days of LIGO data, we recover two significant CBC events from GWTC-2.1 (Abbott et al 2022 2108.01045 [gr-qc]), GW190519_153544 and GW190521_074359. We also report the search sensitivity obtained from an injection study.</t>
  </si>
  <si>
    <t>[Jadhav, Shreejit; Mitra, Sanjit] Interuniv Ctr Astron &amp; Astrophys IUCAA, Post Bag 4, Pune 411007, India; [Jadhav, Shreejit] Swinburne Univ Technol, Ctr Astrophys &amp; Supercomp, Hawthorn, Vic 3122, Australia; [Jadhav, Shreejit] ARC Ctr Excellence Gravitat Wave Discovery OzGrav, Melbourne, Australia; [Shrivastava, Mihir] Indian Inst Technol IIT, Kharagpur, India</t>
  </si>
  <si>
    <t>Inter-University Centre for Astronomy &amp; Astrophysics; Swinburne University of Technology; Indian Institute of Technology System (IIT System); Indian Institute of Technology (IIT) - Kharagpur; Indian Institute of Technology (IIT) - Madras</t>
  </si>
  <si>
    <t>Jadhav, S (corresponding author), Interuniv Ctr Astron &amp; Astrophys IUCAA, Post Bag 4, Pune 411007, India.;Jadhav, S (corresponding author), Swinburne Univ Technol, Ctr Astrophys &amp; Supercomp, Hawthorn, Vic 3122, Australia.;Jadhav, S (corresponding author), ARC Ctr Excellence Gravitat Wave Discovery OzGrav, Melbourne, Australia.</t>
  </si>
  <si>
    <t>spjadhav@swin.edu.au</t>
  </si>
  <si>
    <t>Ministry of Electronics and Information technologyhttp://dx.doi.org/10.13039/501100008628; Council for Scientific and Industrial Research (CSIR), India [CE170100004]; Australian Research Council Centre of Excellence for Gravitational Wave Discovery; Department of Science and Technology (DST), India; NSF's LIGO Laboratory - National Science Foundation; C-DAC, Pune; Ministry of Electronics and Information Technology (MeitY); Department of Science and Technology (DST), Government of India</t>
  </si>
  <si>
    <t>Ministry of Electronics and Information technologyhttp://dx.doi.org/10.13039/501100008628; Council for Scientific and Industrial Research (CSIR), India(Council of Scientific &amp; Industrial Research (CSIR) - India); Australian Research Council Centre of Excellence for Gravitational Wave Discovery(Australian Research Council); Department of Science and Technology (DST), India(Department of Science &amp; Technology (India)); NSF's LIGO Laboratory - National Science Foundation; C-DAC, Pune(United States Department of Energy (DOE)); Ministry of Electronics and Information Technology (MeitY)(Ministry of Electronics and Information Technology (MEITY), Government of India); Department of Science and Technology (DST), Government of India(Department of Science &amp; Technology (India))</t>
  </si>
  <si>
    <t>Authors express thanks to the members of LIGO-Virgo-KAGRA Collaboration for their valuable comments and suggestions. S J acknowledges support of Council for Scientific and Industrial Research (CSIR), India and the Australian Research Council Centre of Excellence for Gravitational Wave Discovery (OzGrav), Project Number CE170100004. S M acknowledges support from the Department of Science and Technology (DST), India, provided under the Swarna Jayanti Fellowships scheme. This material is based upon work supported by NSF's LIGO Laboratory which is a major facility fully funded by the National Science Foundation. We acknowledge the use of GWA and the LDG clusters at Inter-University Centre for Astronomy and Astrophysics (Sarathi) for the computational work. We also acknowledge National Supercomputing Mission (NSM) for providing computing resources of 'PARAM Siddhi-AI', under National PARAM Supercomputing Facility (NPSF), C-DAC, Pune and supported by the Ministry of Electronics and Information Technology (MeitY) and Department of Science and Technology (DST), Government of India. This document has been assigned IUCAA preprint number IUCAA-03/2023 and LIGO document number LIGO-P2200351.</t>
  </si>
  <si>
    <t>10.1088/2632-2153/ad0938</t>
  </si>
  <si>
    <t>AV0A4</t>
  </si>
  <si>
    <t>WOS:001121098300001</t>
  </si>
  <si>
    <t>Lokumarambage, MU; Gowrisetty, VSS; Rezaei, H; Sivalingam, T; Rajatheva, N; Fernando, A</t>
  </si>
  <si>
    <t>Lokumarambage, Maheshi U.; Gowrisetty, Vishnu Sai Sankeerth; Rezaei, Hossein; Sivalingam, Thushan; Rajatheva, Nandana; Fernando, Anil</t>
  </si>
  <si>
    <t>Wireless End-to-End Image Transmission System Using Semantic Communications</t>
  </si>
  <si>
    <t>Semantics; Communication systems; Receivers; Decoding; Wireless communication; Image communication; Bandwidth; Generative adversarial networks; End-to-end communication; generative adversarial network (GAN); polar code; semantic coding; semantic communication</t>
  </si>
  <si>
    <t>6G</t>
  </si>
  <si>
    <t>Semantic communication is considered the future of mobile communication, which aims to transmit data beyond Shannon's theorem of communications by transmitting the semantic meaning of the data rather than the bit-by-bit reconstruction of the data at the receiver's end. The semantic communication paradigm aims to bridge the gap of limited bandwidth problems in modern high-volume multimedia application content transmission. Integrating AI technologies with the 6G communications networks paved the way to develop semantic communication-based end-to-end communication systems. In this study, we have implemented a semantic communication-based end-to-end image transmission system, and we discuss potential design considerations in developing semantic communication systems in conjunction with physical channel characteristics. A Pre-trained GAN network is used at the receiver as the transmission task to reconstruct the realistic image based on the Semantic segmented image at the receiver input. The semantic segmentation task at the transmitter (encoder) and the GAN network at the receiver (decoder) is trained on a common knowledge base, the COCO-Stuff dataset. The research shows that the resource gain in the form of bandwidth saving is immense when transmitting the semantic segmentation map through the physical channel instead of the ground truth image in contrast to conventional communication systems. Furthermore, the research studies the effect of physical channel distortions and quantization noise on semantic communication-based multimedia content transmission.</t>
  </si>
  <si>
    <t>[Lokumarambage, Maheshi U.; Gowrisetty, Vishnu Sai Sankeerth; Fernando, Anil] Univ Strathclyde, Dept Comp &amp; Informat Sci, Glasgow G1 1XQ, Scotland; [Rezaei, Hossein; Sivalingam, Thushan; Rajatheva, Nandana] Univ Oulu, Ctr Wireless Commun CWC, Oulu 90570, Finland</t>
  </si>
  <si>
    <t>University of Strathclyde; University of Oulu</t>
  </si>
  <si>
    <t>Rajatheva, N (corresponding author), Univ Oulu, Ctr Wireless Commun CWC, Oulu 90570, Finland.</t>
  </si>
  <si>
    <t>nandana.rajatheva@oulu.fi</t>
  </si>
  <si>
    <t>rezaei, hossein/JXM-1715-2024</t>
  </si>
  <si>
    <t>rezaei, hossein/0000-0002-4065-5998; Rajatheva, Nandana/0000-0002-7029-5583</t>
  </si>
  <si>
    <t>Academy of Finland [346208]</t>
  </si>
  <si>
    <t>Academy of Finland(Research Council of Finland)</t>
  </si>
  <si>
    <t>This work was supported by the Academy of Finland, 6G Flagship Program under Grant 346208.</t>
  </si>
  <si>
    <t>10.1109/ACCESS.2023.3266656</t>
  </si>
  <si>
    <t>F0UP8</t>
  </si>
  <si>
    <t>WOS:000979587100001</t>
  </si>
  <si>
    <t>Al-Haidri, W; Matveev, I; Al-antari, MA; Zubkov, M</t>
  </si>
  <si>
    <t>Al-Haidri, Walid; Matveev, Igor; Al-antari, Mugahed A.; Zubkov, Mikhail</t>
  </si>
  <si>
    <t>A Deep Learning Framework for Cardiac MR Under-Sampled Image Reconstruction with a Hybrid Spatial and k-Space Loss Function</t>
  </si>
  <si>
    <t>DIAGNOSTICS</t>
  </si>
  <si>
    <t>magnetic resonance imaging (MRI); medical image reconstruction; deep learning; conditional generative adversarial networks (CGANs); parallel imaging; hybrid spatial and k-space loss function</t>
  </si>
  <si>
    <t>QUALITY</t>
  </si>
  <si>
    <t>Magnetic resonance imaging (MRI) is an efficient, non-invasive diagnostic imaging tool for a variety of disorders. In modern MRI systems, the scanning procedure is time-consuming, which leads to problems with patient comfort and causes motion artifacts. Accelerated or parallel MRI has the potential to minimize patient stress as well as reduce scanning time and medical costs. In this paper, a new deep learning MR image reconstruction framework is proposed to provide more accurate reconstructed MR images when under-sampled or aliased images are generated. The proposed reconstruction model is designed based on the conditional generative adversarial networks (CGANs) where the generator network is designed in a form of an encoder-decoder U-Net network. A hybrid spatial and k-space loss function is also proposed to improve the reconstructed image quality by minimizing the L1-distance considering both spatial and frequency domains simultaneously. The proposed reconstruction framework is directly compared when CGAN and U-Net are adopted and used individually based on the proposed hybrid loss function against the conventional L1-norm. Finally, the proposed reconstruction framework with the extended loss function is evaluated and compared against the traditional SENSE reconstruction technique using the evaluation metrics of structural similarity (SSIM) and peak signal to noise ratio (PSNR). To fine-tune and evaluate the proposed methodology, the public Multi-Coil k-Space OCMR dataset for cardiovascular MR imaging is used. The proposed framework achieves a better image reconstruction quality compared to SENSE in terms of PSNR by 6.84 and 9.57 when U-Net and CGAN are used, respectively. Similarly, it demonstrates SSIM of the reconstructed MR images comparable to the one provided by the SENSE algorithm when U-Net and CGAN are used. Comparing cases where the proposed hybrid loss function is used against the cases with the simple L1-norm, the reconstruction performance can be noticed to improve by 6.84 and 9.57 for U-Net and CGAN, respectively. To conclude this, the proposed framework using CGAN provides the best reconstruction performance compared with U-Net or the conventional SENSE reconstruction techniques. The proposed framework seems to be useful for the practical reconstruction of cardiac images since it can provide better image quality in terms of SSIM and PSNR.</t>
  </si>
  <si>
    <t>[Al-Haidri, Walid; Matveev, Igor; Zubkov, Mikhail] ITMO Univ, Sch Phys &amp; Engn, St Petersburg 191002, Russia; [Al-antari, Mugahed A.] Sejong Univ, Coll Software &amp; Convergence Technol, Daeyang AI Ctr, Dept Artificial Intelligence, Seoul 05006, South Korea</t>
  </si>
  <si>
    <t>ITMO University; Sejong University</t>
  </si>
  <si>
    <t>Al-antari, MA (corresponding author), Sejong Univ, Coll Software &amp; Convergence Technol, Daeyang AI Ctr, Dept Artificial Intelligence, Seoul 05006, South Korea.</t>
  </si>
  <si>
    <t>en.mualshz@sejong.ac.kr; m.zubkov@metalab.ifmo.ru</t>
  </si>
  <si>
    <t>Zubkov, Mikhail/E-8038-2017; Al-antari, Prof. Mugahed A./M-5602-2018</t>
  </si>
  <si>
    <t>Zubkov, Mikhail/0000-0003-0768-1737; Al-antari, Prof. Mugahed A./0000-0002-4457-4407</t>
  </si>
  <si>
    <t>Ministry of Science and Higher Education of the Russian Federation [075-15-2021-592]; National Research Foundation of Korea (NRF) - Korean government (MSIT) [RS-2022-00166402]</t>
  </si>
  <si>
    <t>Ministry of Science and Higher Education of the Russian Federation; National Research Foundation of Korea (NRF) - Korean government (MSIT)(National Research Foundation of KoreaMinistry of Science &amp; ICT (MSIT), Republic of Korea)</t>
  </si>
  <si>
    <t>The work was supported by the Ministry of Science and Higher Education of the Russian Federation (075-15-2021-592).</t>
  </si>
  <si>
    <t>2075-4418</t>
  </si>
  <si>
    <t>Diagnostics</t>
  </si>
  <si>
    <t>10.3390/diagnostics13061120</t>
  </si>
  <si>
    <t>A6DV0</t>
  </si>
  <si>
    <t>WOS:000956016100001</t>
  </si>
  <si>
    <t>Li, SP; Liu, SX; Zhang, LW; Li, X; Bian, YY; Weng, C; Wu, ZY; Meng, HL</t>
  </si>
  <si>
    <t>Li, Sipan; Liu, Songxiang; Zhang, Luwen; Li, Xiang; Bian, Yanyao; Weng, Chao; Wu, Zhiyong; Meng, Helen</t>
  </si>
  <si>
    <t>SnakeGAN: A Universal Vocoder Leveraging DDSP Prior Knowledge and Periodic Inductive Bias</t>
  </si>
  <si>
    <t>universal vocoder; differentiable digital signal processing; audio generation</t>
  </si>
  <si>
    <t>Generative adversarial network (GAN)-based neural vocoders have been widely used in audio synthesis tasks due to their high generation quality, efficient inference, and small computation footprint. However, it is still challenging to train a universal vocoder which can generalize well to out-of-domain (OOD) scenarios, such as unseen speaking styles, non-speech vocalization, singing, and musical pieces. In this work, we propose SnakeGAN, a GAN-based universal vocoder, which can synthesize high-fidelity audio in various OOD scenarios. SnakeGAN takes a coarse-grained signal generated by a differentiable digital signal processing (DDSP) model as prior knowledge, aiming at recovering high-fidelity waveform from a Mel-spectrogram. We introduce periodic nonlinearities through the Snake activation function and anti-aliased representation into the generator, which further brings desired inductive bias for audio synthesis and significantly improves the extrapolation capacity for universal vocoding in unseen scenarios. To validate the effectiveness of our proposed method, we train SnakeGAN with only speech data and evaluate its performance for various OOD distributions with both subjective and objective metrics. Experimental results show that SnakeGAN significantly outperforms the compared approaches and can generate high-fidelity audio samples including unseen speakers with unseen styles, singing voices, instrumental pieces, and nonverbal vocalization.</t>
  </si>
  <si>
    <t>[Li, Sipan; Zhang, Luwen; Li, Xiang; Wu, Zhiyong] Tsinghua Univ, Shenzhen Int Grad Sch, Shenzhen, Peoples R China; [Liu, Songxiang; Bian, Yanyao; Weng, Chao] Tencent Inc, AI Lab, Shenzhen, Peoples R China; [Meng, Helen] Chinese Univ Hong Kong, Dept Syst Engn &amp; Engn Management, Hong Kong, Peoples R China</t>
  </si>
  <si>
    <t>Tsinghua University; Tencent; Chinese University of Hong Kong</t>
  </si>
  <si>
    <t>Wu, ZY (corresponding author), Tsinghua Univ, Shenzhen Int Grad Sch, Shenzhen, Peoples R China.;Liu, SX (corresponding author), Tencent Inc, AI Lab, Shenzhen, Peoples R China.</t>
  </si>
  <si>
    <t>lsp20@mails.tsinghua.edu.cn; shaunxliu@tencent.com; zlw20@mails.tsinghua.edu.cn; xiang-li20@mails.tsinghua.edu.cn; louisbian@tencent.com; cweng@tencent.com; zywu@se.cuhk.edu.hk; hmmeng@se.cuhk.edu.hk</t>
  </si>
  <si>
    <t>zhang, lm/JWP-8874-2024; 王, 娅冰/JGE-0541-2023; liu, sha/JXL-6600-2024; zhen, wang/KBA-3844-2024</t>
  </si>
  <si>
    <t>National Natural Science Foundation of China [62076144]; Shenzhen Science and Technology Program [WDZC20220816140515001, JCYJ20220818101014030]; Tencent AI Lab Rhino-Bird Focused Research Program [RBFR2022005]; Tsinghua University -Tencent Joint Laboratory</t>
  </si>
  <si>
    <t>National Natural Science Foundation of China(National Natural Science Foundation of China (NSFC)); Shenzhen Science and Technology Program; Tencent AI Lab Rhino-Bird Focused Research Program; Tsinghua University -Tencent Joint Laboratory</t>
  </si>
  <si>
    <t>This work is supported by National Natural Science Foundation of China (62076144), Shenzhen Science and Technology Program (WDZC20220816140515001, JCYJ20220818101014030), Tencent AI Lab Rhino-Bird Focused Research Program (RBFR2022005) and Tsinghua University -Tencent Joint Laboratory.</t>
  </si>
  <si>
    <t>10.1109/ICME55011.2023.00293</t>
  </si>
  <si>
    <t>WOS:001062707300276</t>
  </si>
  <si>
    <t>Delsoz, M; Raja, H; Madadi, Y; Tang, AA; Wirostko, BM; Kahook, MY; Yousefi, S</t>
  </si>
  <si>
    <t>Delsoz, Mohammad; Raja, Hina; Madadi, Yeganeh; Tang, Anthony A.; Wirostko, Barbara M.; Kahook, Malik Y.; Yousefi, Siamak</t>
  </si>
  <si>
    <t>The Use of ChatGPT to Assist in Diagnosing Glaucoma Based on Clinical Case Reports</t>
  </si>
  <si>
    <t>OPHTHALMOLOGY AND THERAPY</t>
  </si>
  <si>
    <t>ChatGPT; Large language models (LLM); Artificial intelligence (AI); Glaucoma; Provisional diagnosis; Differential diagnosis</t>
  </si>
  <si>
    <t>OPEN-ANGLE GLAUCOMA; OPTIC DISK SIZE; RISK-FACTORS; DIABETIC-RETINOPATHY; OCULAR HYPERTENSION; POPULATION; PREVALENCE</t>
  </si>
  <si>
    <t>IntroductionThe purpose of this study was to evaluate the capabilities of large language models such as Chat Generative Pretrained Transformer (ChatGPT) to diagnose glaucoma based on specific clinical case descriptions with comparison to the performance of senior ophthalmology resident trainees.MethodsWe selected 11 cases with primary and secondary glaucoma from a publicly accessible online database of case reports. A total of four cases had primary glaucoma including open-angle, juvenile, normal-tension, and angle-closure glaucoma, while seven cases had secondary glaucoma including pseudo-exfoliation, pigment dispersion glaucoma, glaucomatocyclitic crisis, aphakic, neovascular, aqueous misdirection, and inflammatory glaucoma. We input the text of each case detail into ChatGPT and asked for provisional and differential diagnoses. We then presented the details of 11 cases to three senior ophthalmology residents and recorded their provisional and differential diagnoses. We finally evaluated the responses based on the correct diagnoses and evaluated agreements.ResultsThe provisional diagnosis based on ChatGPT was correct in eight out of 11 (72.7%) cases and three ophthalmology residents were correct in six (54.5%), eight (72.7%), and eight (72.7%) cases, respectively. The agreement between ChatGPT and the first, second, and third ophthalmology residents were 9, 7, and 7, respectively.ConclusionsThe accuracy of ChatGPT in diagnosing patients with primary and secondary glaucoma, using specific case examples, was similar or better than senior ophthalmology residents. With further development, ChatGPT may have the potential to be used in clinical care settings, such as primary care offices, for triaging and in eye care clinical practices to provide objective and quick diagnoses of patients with glaucoma.</t>
  </si>
  <si>
    <t>[Delsoz, Mohammad; Raja, Hina; Madadi, Yeganeh; Tang, Anthony A.; Yousefi, Siamak] Univ Tennessee, Hlth Sci Ctr, Hamilton Eye Inst, Dept Ophthalmol, 930 Madison Ave,Suite 471, Memphis, TN 38163 USA; [Wirostko, Barbara M.] Univ Utah, John Moran Eye Ctr, Salt Lake City, UT USA; [Kahook, Malik Y.] Univ Colorado, Sch Med, Dept Ophthalmol, Aurora, CO USA; [Yousefi, Siamak] Univ Tennessee, Hlth Sci Ctr, Dept Genet Genom &amp; Informat, Memphis, TN 38163 USA</t>
  </si>
  <si>
    <t>University of Tennessee System; University of Tennessee Health Science Center; Utah System of Higher Education; University of Utah; University of Colorado System; University of Colorado Anschutz Medical Campus; University of Tennessee System; University of Tennessee Health Science Center</t>
  </si>
  <si>
    <t>Yousefi, S (corresponding author), Univ Tennessee, Hlth Sci Ctr, Hamilton Eye Inst, Dept Ophthalmol, 930 Madison Ave,Suite 471, Memphis, TN 38163 USA.;Yousefi, S (corresponding author), Univ Tennessee, Hlth Sci Ctr, Dept Genet Genom &amp; Informat, Memphis, TN 38163 USA.</t>
  </si>
  <si>
    <t>siamak.yousefi@uthsc.edu</t>
  </si>
  <si>
    <t>Madadi, Yeganeh/JUV-2768-2023</t>
  </si>
  <si>
    <t>Madadi, Yeganeh/0000-0003-4292-3404; Yousefi, Siamak/0000-0001-8633-5730</t>
  </si>
  <si>
    <t>NIH [R01EY033005, R21EY031725]; Research to Prevent Blindness (RPB), New York; Hamilton Eye Institute</t>
  </si>
  <si>
    <t>NIH(United States Department of Health &amp; Human ServicesNational Institutes of Health (NIH) - USA); Research to Prevent Blindness (RPB), New York(Research to Prevent Blindness (RPB)); Hamilton Eye Institute</t>
  </si>
  <si>
    <t>This work was supported by NIH Grants R01EY033005 (SY), R21EY031725 (SY), grants from Research to Prevent Blindness (RPB), New York (SY), and supports from the Hamilton Eye Institute (SY). The funders had no role in study design, data collection and analy-sis, decision to publish, or preparation of the manuscript. Publication for this submission, including the journal's Rapid Service Fee, was funded by the grants received.</t>
  </si>
  <si>
    <t>2193-8245</t>
  </si>
  <si>
    <t>2193-6528</t>
  </si>
  <si>
    <t>OPHTHALMOL THER</t>
  </si>
  <si>
    <t>OPHTHALMOL. THER.</t>
  </si>
  <si>
    <t>10.1007/s40123-023-00805-x</t>
  </si>
  <si>
    <t>R7HY6</t>
  </si>
  <si>
    <t>WOS:001066039300001</t>
  </si>
  <si>
    <t>Nyatsanga, S; Kucherenko, T; Ahuja, C; Henter, GE; Neff, M</t>
  </si>
  <si>
    <t>Nyatsanga, S.; Kucherenko, T.; Ahuja, C.; Henter, G. E.; Neff, M.</t>
  </si>
  <si>
    <t>A Comprehensive Review of Data-Driven Co-Speech Gesture Generation</t>
  </si>
  <si>
    <t>44th Annual Conference of The European Association for Computer Graphics</t>
  </si>
  <si>
    <t>MAY 08-12, 2023</t>
  </si>
  <si>
    <t>Saarbrucken, GERMANY</t>
  </si>
  <si>
    <t>co-speech gestures; gesture generation; deep learning; virtual agents; social robotics</t>
  </si>
  <si>
    <t>MOTION GENERATION; COMMUNICATION; ALIGNMENT; STYLE; PERCEPTION; ANIMATION; MODEL</t>
  </si>
  <si>
    <t>Gestures that accompany speech are an essential part of natural and efficient embodied human communication. The automatic generation of such co-speech gestures is a long-standing problem in computer animation and is considered an enabling technology for creating believable characters in film, games, and virtual social spaces, as well as for interaction with social robots. The problem is made challenging by the idiosyncratic and non-periodic nature of human co-speech gesture motion, and by the great diversity of communicative functions that gestures encompass. The field of gesture generation has seen surging interest in the last few years, owing to the emergence of more and larger datasets of human gesture motion, combined with strides in deep-learning-based generative models that benefit from the growing availability of data. This review article summarizes co-speech gesture generation research, with a particular focus on deep generative models. First, we articulate the theory describing human gesticulation and how it complements speech. Next, we briefly discuss rule-based and classical statistical gesture synthesis, before delving into deep learning approaches. We employ the choice of input modalities as an organizing principle, examining systems that generate gestures from audio, text and non-linguistic input. Concurrent with the exposition of deep learning approaches, we chronicle the evolution of the related training data sets in terms of size, diversity, motion quality, and collection method (e.g., optical motion capture or pose estimation from video). Finally, we identify key research challenges in gesture generation, including data availability and quality; producing human-like motion; grounding the gesture in the co-occurring speech in interaction with other speakers, and in the environment; performing gesture evaluation; and integration of gesture synthesis into applications. We highlight recent approaches to tackling the various key challenges, as well as the limitations of these approaches, and point toward areas of future development.</t>
  </si>
  <si>
    <t>[Nyatsanga, S.; Neff, M.] Univ Calif Davis, Davis, CA 95616 USA; [Kucherenko, T.] SEED Elect Arts, Stockholm, Sweden; [Ahuja, C.] Meta AI, New York, NY USA; [Henter, G. E.] KTH Royal Inst Technol, Div Speech Mus &amp; Hearing, Stockholm, Sweden</t>
  </si>
  <si>
    <t>University of California System; University of California Davis; Royal Institute of Technology</t>
  </si>
  <si>
    <t>Nyatsanga, S (corresponding author), Univ Calif Davis, Davis, CA 95616 USA.</t>
  </si>
  <si>
    <t>Kucherenko, Taras/0000-0001-9838-8848</t>
  </si>
  <si>
    <t>IBM PhD fellowship award; Knut and Alice Wallenberg Foundation through Wallenberg Research Arena (WARA) Media and Language; Electronic Arts (EA) R&amp;D department, SEED; Knut and Alice Wallenberg Foundation through Wallenberg AI, Autonomous Systems and Software Program (WASP); National Science Foundation</t>
  </si>
  <si>
    <t>IBM PhD fellowship award(International Business Machines (IBM)); Knut and Alice Wallenberg Foundation through Wallenberg Research Arena (WARA) Media and Language; Electronic Arts (EA) R&amp;D department, SEED; Knut and Alice Wallenberg Foundation through Wallenberg AI, Autonomous Systems and Software Program (WASP); National Science Foundation(National Science Foundation (NSF))</t>
  </si>
  <si>
    <t>S. N. was partially supported by an IBM PhD fellowship award. G. E. H. and T. K. were partially supported by the Knut and Alice Wallenberg Foundation, both through Wallenberg Research Arena (WARA) Media and Language -with in-kind contribution from the Electronic Arts (EA) R&amp;D department, SEED -and through the Wallenberg AI, Autonomous Systems and Software Program (WASP). S. N. and M. N. were partially supported by the National Science Foundation on grant IIS 2232066.</t>
  </si>
  <si>
    <t>10.1111/cgf.14776</t>
  </si>
  <si>
    <t>I0WJ2</t>
  </si>
  <si>
    <t>WOS:001000062600041</t>
  </si>
  <si>
    <t>Deveshwar, N; Rajagopal, A; Sahin, S; Shimron, E; Larson, PEZ</t>
  </si>
  <si>
    <t>Deveshwar, Nikhil; Rajagopal, Abhejit; Sahin, Sule; Shimron, Efrat; Larson, Peder E. Z.</t>
  </si>
  <si>
    <t>Synthesizing Complex-Valued Multicoil MRI Data from Magnitude-Only Images</t>
  </si>
  <si>
    <t>synthetic phase; synthetic multi-coil data; deep generative models; GANs; generative adversarial network; synthetic data; MRI reconstruction; deep learning; unrolled networks</t>
  </si>
  <si>
    <t>Despite the proliferation of deep learning techniques for accelerated MRI acquisition and enhanced image reconstruction, the construction of large and diverse MRI datasets continues to pose a barrier to effective clinical translation of these technologies. One major challenge is in collecting the MRI raw data (required for image reconstruction) from clinical scanning, as only magnitude images are typically saved and used for clinical assessment and diagnosis. The image phase and multi-channel RF coil information are not retained when magnitude-only images are saved in clinical imaging archives. Additionally, preprocessing used for data in clinical imaging can lead to biased results. While several groups have begun concerted efforts to collect large amounts of MRI raw data, current databases are limited in the diversity of anatomy, pathology, annotations, and acquisition types they contain. To address this, we present a method for synthesizing realistic MR data from magnitude-only data, allowing for the use of diverse data from clinical imaging archives in advanced MRI reconstruction development. Our method uses a conditional GAN-based framework to generate synthetic phase images from input magnitude images. We then applied ESPIRiT to derive RF coil sensitivity maps from fully sampled real data to generate multi-coil data. The synthetic data generation method was evaluated by comparing image reconstruction results from training Variational Networks either with real data or synthetic data. We demonstrate that the Variational Network trained on synthetic MRI data from our method, consisting of GAN-derived synthetic phase and multi-coil information, outperformed Variational Networks trained on data with synthetic phase generated using current state-of-the-art methods. Additionally, we demonstrate that the Variational Networks trained with synthetic k-space data from our method perform comparably to image reconstruction networks trained on undersampled real k-space data.</t>
  </si>
  <si>
    <t>[Deveshwar, Nikhil; Sahin, Sule; Larson, Peder E. Z.] Univ Calif Berkeley, UCSF Grad Program Bioengn, Berkeley, CA 94701 USA; [Deveshwar, Nikhil; Rajagopal, Abhejit; Sahin, Sule; Larson, Peder E. Z.] Univ Calif San Francisco, Dept Radiol &amp; Biomed Imaging, San Francisco, CA 94016 USA; [Deveshwar, Nikhil; Shimron, Efrat] Univ Calif Berkeley, Dept Elect Engn &amp; Comp Sci, Berkeley, CA 94701 USA</t>
  </si>
  <si>
    <t>University of California System; University of California Berkeley; University of California System; University of California San Francisco; University of California System; University of California Berkeley</t>
  </si>
  <si>
    <t>Larson, PEZ (corresponding author), Univ Calif San Francisco, Dept Radiol &amp; Biomed Imaging, San Francisco, CA 94016 USA.</t>
  </si>
  <si>
    <t>peder.larson@ucsf.edu</t>
  </si>
  <si>
    <t>Sahin, Sule/0000-0002-7006-4793; Deveshwar, Nikhil/0000-0002-5516-3769</t>
  </si>
  <si>
    <t>National Institutes of Health [R01AR078762]; University of California, San Francisco, AI Imaging and Cancer Award</t>
  </si>
  <si>
    <t>National Institutes of Health(United States Department of Health &amp; Human ServicesNational Institutes of Health (NIH) - USA); University of California, San Francisco, AI Imaging and Cancer Award(University of California System)</t>
  </si>
  <si>
    <t>This study was kindly supported by National Institutes of Health (Research Grant No R01AR078762) and University of California, San Francisco, AI Imaging and Cancer Award.</t>
  </si>
  <si>
    <t>10.3390/bioengineering10030358</t>
  </si>
  <si>
    <t>A3LS1</t>
  </si>
  <si>
    <t>WOS:000954186600001</t>
  </si>
  <si>
    <t>Anaam, A; Al-antari, MA; Gofuku, A</t>
  </si>
  <si>
    <t>Anaam, Asaad; Al-antari, Mugahed A.; Gofuku, Akio</t>
  </si>
  <si>
    <t>A deep learning self-attention cross residual network with Info-WGANGP for mitotic cell identification in HEp-2 medical microscopic images</t>
  </si>
  <si>
    <t>Computer -Aided Diagnosis system (CADs); Imbalanced medical data classification; HEp-2 mitotic cells; Generative Adversarial Networks (GANs); Self -attention deep cross residual network</t>
  </si>
  <si>
    <t>PATTERN-RECOGNITION; CLASSIFICATION; DIAGNOSIS</t>
  </si>
  <si>
    <t>Background: The identification of human epithelial type-2 mitotic cell patterns in the indirect immunofluores-cence images (IIF HEp-2) is a critical step for autoimmune diseases computer-aided diagnosis (CAD) systems. Recognition of HEp-2 cells in the mitotic phase is clinically vital for validating the HEp-2 samples and assisting in diagnosing specimens with mixed patterns. Typically, mitotic cells are rarely observed in the HEp-2 specimen images, resulting in a significant skewness of the available medical datasets towards the majority of interphase (non-mitotic) patterns. Methods: In this paper, a deep learning framework is proposed based on a self-attention deep cross-residual network with an efficient generative adversarial network (GAN). The proposed framework consists of two consecutive steps. First, the problem of imbalanced data of minority mitotic against the majority interphase cells is remedied using Info-WGANGP approach in combination with the conventional data augmentation methods. Second, a downstream end-to-end deep learning Att-DCRNet is developed to classify the mitotic and interphase cell patterns of the IIF HEp-2 medical images. A comprehensive experimental study is performed to validate the effectiveness of the proposed framework against other state-of-the-art methods over the public medical dataset of UQ-SNP_HEp-2 Task-3. Results: The proposed framework demonstrates competitive classification results attaining a maximum perfor-mance of 84.10% F1-score, 84.70% Matthew's correlation coefficient (MCC), and 99.0% balanced class accuracy (BcA), which proves its applicability for automatically supporting an accurate diagnosis decision regarding the HEp-2 mitotic and interphase cell patterns. The source code is available at this link: https://github.com/Anaam-dl/AttDCRNet_with_InfoWGANGP.</t>
  </si>
  <si>
    <t>[Anaam, Asaad; Gofuku, Akio] Okayama Univ, Grad Sch Interdisciplinary Sci &amp; Engn Hlth Syst, Okayama 7008530, Japan; [Al-antari, Mugahed A.] Sejong Univ, Coll Software &amp; Convergence Technol, Daeyang AI Ctr, Dept Artificial Intelligence, Seoul 05006, South Korea</t>
  </si>
  <si>
    <t>Okayama University; Sejong University</t>
  </si>
  <si>
    <t>Anaam, A; Gofuku, A (corresponding author), Okayama Univ, Grad Sch Interdisciplinary Sci &amp; Engn Hlth Syst, Okayama 7008530, Japan.</t>
  </si>
  <si>
    <t>asaadanam@s.okayama-u.ac.jp; gofuku-a@okayama-u.ac.jp</t>
  </si>
  <si>
    <t>Anaam, Asaad/JNE-1400-2023</t>
  </si>
  <si>
    <t>Anaam, Asaad/0000-0002-7076-5215</t>
  </si>
  <si>
    <t>10.1016/j.bspc.2023.105191</t>
  </si>
  <si>
    <t>M6XC5</t>
  </si>
  <si>
    <t>WOS:001031616300001</t>
  </si>
  <si>
    <t>Mozo, A; Karamchandani, A; de la Cal, L; Gómez-Canaval, S; Pastor, A; Gifre, L</t>
  </si>
  <si>
    <t>Mozo, Alberto; Karamchandani, Amit; de la Cal, Luis; Gomez-Canaval, Sandra; Pastor, Antonio; Gifre, Lluis</t>
  </si>
  <si>
    <t>A Machine-Learning-Based Cyberattack Detector for a Cloud-Based SDN Controller</t>
  </si>
  <si>
    <t>software-defined networking; machine learning; energy efficiency; green AI; adversarial attack; cryptomining attack; cybersecurity</t>
  </si>
  <si>
    <t>SOFTWARE DEFINED NETWORKING; SECURITY; THREATS</t>
  </si>
  <si>
    <t>The rapid evolution of network infrastructure through the softwarization of network elements has led to an exponential increase in the attack surface, thereby increasing the complexity of threat protection. In light of this pressing concern, European Telecommunications Standards Institute (ETSI) TeraFlowSDN (TFS), an open-source microservice-based cloud-native Software-Defined Networking (SDN) controller, integrates robust Machine-Learning components to safeguard its network and infrastructure against potential malicious actors. This work presents a comprehensive study of the integration of these Machine-Learning components in a distributed scenario to provide secure end-to-end protection against cyber threats occurring at the packet level of the telecom operator's Virtual Private Network (VPN) services configured with that feature. To illustrate the effectiveness of this integration, a real-world emerging attack vector (the cryptomining malware attack) is used as a demonstration. Furthermore, to address the pressing challenge of energy consumption in the telecom industry, we harness the full potential of state-of-the-art Green Artificial Intelligence techniques to optimize the size and complexity of Machine-Learning models in order to reduce their energy usage while maintaining their ability to accurately detect potential cyber threats. Additionally, to enhance the integrity and security of TeraFlowSDN's cybersecurity components, Machine-Learning models are safeguarded from sophisticated adversarial attacks that attempt to deceive them by subtly perturbing input data. To accomplish this goal, Machine-Learning models are retrained with high-quality adversarial examples generated using a Generative Adversarial Network.</t>
  </si>
  <si>
    <t>[Mozo, Alberto; Karamchandani, Amit; de la Cal, Luis; Gomez-Canaval, Sandra] Univ Politecn Madrid, Dept Sistemas Informat, ETSI Sistemas Informat, Madrid 28031, Spain; [Pastor, Antonio] Telefonica I D, Madrid 28050, Spain; [Gifre, Lluis] Ctr Tecnol Telecomunicac Catalunya CTTC CERCA, Castelldefels 08860, Spain</t>
  </si>
  <si>
    <t>Universidad Politecnica de Madrid; Telefonica SA</t>
  </si>
  <si>
    <t>Mozo, A (corresponding author), Univ Politecn Madrid, Dept Sistemas Informat, ETSI Sistemas Informat, Madrid 28031, Spain.</t>
  </si>
  <si>
    <t>a.mozo@upm.es</t>
  </si>
  <si>
    <t>Gifre, Lluis/D-3951-2016</t>
  </si>
  <si>
    <t>Gifre, Lluis/0000-0001-9936-9411; Pastor Perales, Antonio/0000-0003-2849-9782; de la Cal Garcia, Luis/0000-0002-1798-8743; GOMEZ CANAVAL, SANDRA MARIA/0000-0002-9757-7871; KARAMCHANDANI BATRA, AMIT/0000-0002-0311-6610</t>
  </si>
  <si>
    <t>European Union [101015857]; Horizon Europe SNS R&amp;I Work Programme [101097122]; Horizon Europe - Pillar II [101097122] Funding Source: Horizon Europe - Pillar II</t>
  </si>
  <si>
    <t>European Union(European Union (EU)); Horizon Europe SNS R&amp;I Work Programme; Horizon Europe - Pillar II(European Union (EU)Horizon Europe - Pillar II)</t>
  </si>
  <si>
    <t>This work was partially supported by the European Union's Horizon 2020 Research and Innovation Programme under Grant 101015857 (TeraFlow) and Horizon Europe SNS R&amp;I Work Programme under Grant 101097122 (ACROSS).</t>
  </si>
  <si>
    <t>10.3390/app13084914</t>
  </si>
  <si>
    <t>F0HY0</t>
  </si>
  <si>
    <t>WOS:000979255500001</t>
  </si>
  <si>
    <t>Daher, R; Vasconcelos, F; Stoyanov, D</t>
  </si>
  <si>
    <t>Daher, Rema; Vasconcelos, Francisco; Stoyanov, Danail</t>
  </si>
  <si>
    <t>A Temporal Learning Approach to Inpainting Endoscopic Specularities and Its Effect on Image Correspondence</t>
  </si>
  <si>
    <t>Surgical AI; Surgical Data Science; Endoscopy; Specular highlights; Inpainting; Temporal GANs; Transformers</t>
  </si>
  <si>
    <t>CLASSIFICATION; SEGMENTATION; REFLECTION</t>
  </si>
  <si>
    <t>Video streams are utilised to guide minimally-invasive surgery and diagnosis in a wide range of procedures, and many computer-assisted techniques have been developed to automatically analyse them. These approaches can provide additional information to the surgeon such as lesion detection, instrument navigation, or anatomy 3D shape modelling. However, the necessary image features to recognise these patterns are not always reliably detected due to the presence of irregular light patterns such as specular highlight reflections. In this paper, we aim at removing specular highlights from endoscopic videos using machine learning. We propose using temporal generative adversarial network (GAN) to inpaint the hidden anatomy under specularities, inferring its appearance spatially and from neighbouring frames, where they are not present in the same location. This is achieved using in-vivo data from gastric endoscopy (Hyper Kvasir) in a fully unsupervised manner that relies on the automatic detection of specular highlights. System evaluations show significant improvements to other methods through direct comparison and ablation studies that depict the importance of the network's temporal and transfer learning components. The generalisability of our system to different surgical setups and procedures was also evaluated qualitatively on in-vivo data of gastric endoscopy and ex-vivo porcine data (SERV-CT, SCARED). We also assess the effect of our method in comparison to other methods on computer vision tasks that underpin 3D reconstruction and camera motion estimation, namely stereo disparity, optical flow, and sparse point feature matching. These are evaluated quantitatively and qualitatively and results show a positive effect of our specular inpainting method on these tasks in a novel comprehensive analysis. Our code and dataset are made available at https://github.com/endomapper/Endo-STTN.</t>
  </si>
  <si>
    <t>[Daher, Rema; Vasconcelos, Francisco; Stoyanov, Danail] UCL, Wellcome EPSRC Ctr Intervent &amp; Surg Sci WEISS, Gower St, London WC1E 6BT, England</t>
  </si>
  <si>
    <t>UK Research &amp; Innovation (UKRI); Engineering &amp; Physical Sciences Research Council (EPSRC); University of London; University College London</t>
  </si>
  <si>
    <t>Daher, R (corresponding author), UCL, Wellcome EPSRC Ctr Intervent &amp; Surg Sci WEISS, Gower St, London WC1E 6BT, England.</t>
  </si>
  <si>
    <t>rema.daher.20@ucl.ac.uk; f.vasconcelos@ucl.ac.uk; danail.stoyanov@ucl.ac.uk</t>
  </si>
  <si>
    <t>Daher, Rema/0000-0002-0740-7490</t>
  </si>
  <si>
    <t>Wellcome/EPSRC Centre for Interventional and Surgical Sciences (WEISS) [203145/Z/16/Z]; Engineering and Physical Sciences Research Council (EPSRC) [EP/P027938/1, EP/R004080/1, EP/P012841/1]; Royal Academy of Engineering Chair in Emerging Technologies Scheme [GA863146]; UCL Centre for Digital Innovation through Amazon Web Services (AWS) Doctoral Scholarship in Digital Innovation [2022/2023]</t>
  </si>
  <si>
    <t>Wellcome/EPSRC Centre for Interventional and Surgical Sciences (WEISS)(UK Research &amp; Innovation (UKRI)Engineering &amp; Physical Sciences Research Council (EPSRC)Wellcome Trust); Engineering and Physical Sciences Research Council (EPSRC)(UK Research &amp; Innovation (UKRI)Engineering &amp; Physical Sciences Research Council (EPSRC)); Royal Academy of Engineering Chair in Emerging Technologies Scheme; UCL Centre for Digital Innovation through Amazon Web Services (AWS) Doctoral Scholarship in Digital Innovation</t>
  </si>
  <si>
    <t>This research was funded in part, by the Wellcome/EPSRC Centre for Interventional and Surgical Sciences (WEISS) [203145/Z/16/Z] ; Engineering and Physical Sciences Research Council (EPSRC) [EP/P027938/1, EP/R004080/1, EP/P012841/1] ; the Royal Academy of Engineering Chair in Emerging Technologies Scheme; H2020 (GA863146) ; and the UCL Centre for Digital Innovation through Amazon Web Services (AWS) Doctoral Scholarship in Digital Innovation 2022/2023. For the purpose of open access, the author has applied BY public copyright licence to any author-accepted manuscript version from this submission.</t>
  </si>
  <si>
    <t>10.1016/j.media.2023.102994</t>
  </si>
  <si>
    <t>W5AN4</t>
  </si>
  <si>
    <t>WOS:001091752000001</t>
  </si>
  <si>
    <t>Insuasti, J; Roa, F; Zapata-Jaramillo, CM</t>
  </si>
  <si>
    <t>Insuasti, Jesus; Roa, Felipe; Zapata-Jaramillo, Carlos Mario</t>
  </si>
  <si>
    <t>Computers' Interpretations of Knowledge Representation Using Pre-Conceptual Schemas: An Approach Based on the BERT and Llama 2-Chat Models</t>
  </si>
  <si>
    <t>BIG DATA AND COGNITIVE COMPUTING</t>
  </si>
  <si>
    <t>pre-conceptual schema; computational linguistics; linguistic corpus; language models</t>
  </si>
  <si>
    <t>Pre-conceptual schemas are a straightforward way to represent knowledge using controlled language regardless of context. Despite the benefits of using pre-conceptual schemas by humans, they present challenges when interpreted by computers. We propose an approach to making computers able to interpret the basic pre-conceptual schemas made by humans. To do that, the construction of a linguistic corpus is required to work with large language models-LLM. The linguistic corpus was mainly fed using Master's and doctoral theses from the digital repository of the University of Narino to produce a training dataset for re-training the BERT model; in addition, we complement this by explaining the elicited sentences in triads from the pre-conceptual schemas using one of the cutting-edge large language models in natural language processing: Llama 2-Chat by Meta AI. The diverse topics covered in these theses allowed us to expand the spectrum of linguistic use in the BERT model and empower the generative capabilities using the fine-tuned Llama 2-Chat model and the proposed solution. As a result, the first version of a computational solution was built to consume the language models based on BERT and Llama 2-Chat and thus automatically interpret pre-conceptual schemas by computers via natural language processing, adding, at the same time, generative capabilities. The validation of the computational solution was performed in two phases: the first one for detecting sentences and interacting with pre-conceptual schemas with students in the Formal Languages and Automata Theory course-the seventh semester of the systems engineering undergraduate program at the University of Narino's Tumaco campus. The second phase was for exploring the generative capabilities based on pre-conceptual schemas; this second phase was performed with students in the Object-oriented Design course-the second semester of the systems engineering undergraduate program at the University of Narino's Tumaco campus. This validation yielded favorable results in implementing natural language processing using the BERT and Llama 2-Chat models. In this way, some bases were laid for future developments related to this research topic.</t>
  </si>
  <si>
    <t>[Insuasti, Jesus; Roa, Felipe] Univ Narino, Syst Engn Dept, Pasto 520001, Colombia; [Zapata-Jaramillo, Carlos Mario] Univ Nacl Colombia, Comp &amp; Decis Sci Dept, Medellin 050034, Colombia</t>
  </si>
  <si>
    <t>Universidad Nacional de Colombia</t>
  </si>
  <si>
    <t>Insuasti, J (corresponding author), Univ Narino, Syst Engn Dept, Pasto 520001, Colombia.</t>
  </si>
  <si>
    <t>insuasti@udenar.edu.co; feliperoa@udenar.edu.co; cmzapata@unal.edu.co</t>
  </si>
  <si>
    <t>Zapata-Jaramillo, Carlos Mario/0000-0002-0628-4097</t>
  </si>
  <si>
    <t>2504-2289</t>
  </si>
  <si>
    <t>BIG DATA COGN COMPUT</t>
  </si>
  <si>
    <t>Big Data Cogn. Comput.</t>
  </si>
  <si>
    <t>10.3390/bdcc7040182</t>
  </si>
  <si>
    <t>EG8H8</t>
  </si>
  <si>
    <t>WOS:001137855700001</t>
  </si>
  <si>
    <t>McDonnell, KJ</t>
  </si>
  <si>
    <t>McDonnell, Kevin J.</t>
  </si>
  <si>
    <t>Leveraging the Academic Artificial Intelligence Silecosystem to Advance the Community Oncology Enterprise</t>
  </si>
  <si>
    <t>artificial intelligence; City of Hope; oncology; community practice</t>
  </si>
  <si>
    <t>GENERATIVE ADVERSARIAL NETWORKS; NEURAL-NETWORK; HEALTH-CARE; BIG DATA; LEARNING APPLICATIONS; AUTO-SEGMENTATION; VIRTUAL-REALITY; HEART-FAILURE; CANCER CARE; ANALOG</t>
  </si>
  <si>
    <t>Over the last 75 years, artificial intelligence has evolved from a theoretical concept and novel paradigm describing the role that computers might play in our society to a tool with which we daily engage. In this review, we describe AI in terms of its constituent elements, the synthesis of which we refer to as the AI Silecosystem. Herein, we provide an historical perspective of the evolution of the AI Silecosystem, conceptualized and summarized as a Kuhnian paradigm. This manuscript focuses on the role that the AI Silecosystem plays in oncology and its emerging importance in the care of the community oncology patient. We observe that this important role arises out of a unique alliance between the academic oncology enterprise and community oncology practices. We provide evidence of this alliance by illustrating the practical establishment of the AI Silecosystem at the City of Hope Comprehensive Cancer Center and its team utilization by community oncology providers.</t>
  </si>
  <si>
    <t>[McDonnell, Kevin J.] City Hope Natl Med Ctr, Ctr Precis Med, Comprehens Canc Ctr, Dept Med Oncol &amp; Therapeut Res, Duarte, CA 91010 USA</t>
  </si>
  <si>
    <t>City of Hope</t>
  </si>
  <si>
    <t>McDonnell, KJ (corresponding author), City Hope Natl Med Ctr, Ctr Precis Med, Comprehens Canc Ctr, Dept Med Oncol &amp; Therapeut Res, Duarte, CA 91010 USA.</t>
  </si>
  <si>
    <t>kemcdonnell@coh.org</t>
  </si>
  <si>
    <t>10.3390/jcm12144830</t>
  </si>
  <si>
    <t>N3HL7</t>
  </si>
  <si>
    <t>WOS:001035963500001</t>
  </si>
  <si>
    <t>White, RW</t>
  </si>
  <si>
    <t>White, Ryen W.</t>
  </si>
  <si>
    <t>Tasks, Copilots, and the Future of Search</t>
  </si>
  <si>
    <t>PROCEEDINGS OF THE 46TH INTERNATIONAL ACM SIGIR CONFERENCE ON RESEARCH AND DEVELOPMENT IN INFORMATION RETRIEVAL, SIGIR 2023</t>
  </si>
  <si>
    <t>46th International ACM SIGIR Conference on Research and Development in Information Retrieval (SIGIR)</t>
  </si>
  <si>
    <t>JUL 23-27, 2023</t>
  </si>
  <si>
    <t>Taipei, TAIWAN</t>
  </si>
  <si>
    <t>Assoc Comp Machinery,ACM Special Interest Grp Informat Retrieval</t>
  </si>
  <si>
    <t>Tasks; Task models; Task intelligence; Complex tasks; Artificial intelligence; Copilots; Web search; Search systems; Search experience</t>
  </si>
  <si>
    <t>Tasks are central to information retrieval (IR) and drive interactions with search systems [2, 4, 10]. Understanding and modeling tasks helps these systems better support user needs [8, 9, 11]. This keynote focuses on search tasks, the emergence of generative artificial intelligence (AI), and the implications of recent work at their intersection for the future of search. Recent estimates suggest that half of Web search queries go unanswered, many of them connected to complex search tasks(1) that are ill-defined or multi-step and span several queries [6]. AI copilots, e.g., ChatGPT and Bing Chat, are emerging to address complex search tasks and many other challenges. These copilots are built on large foundation models such as GPT-4 and are being extended with skills and plugins. Copilots broaden the surface of tasks achievable via search, moving toward creation not just finding (e.g., interview preparation, email composition), and can make searchers more efficient and more successful. Users currently engage with AI copilots via natural language queries and dialog and the copilots generate answers with source attribution [7]. However, in delegating responsibility for answer generation, searchers also lose some control over aspects of the search process, such as directly manipulating queries and examining lists of search results [1]. The efficiency gains from auto-generating a single, synthesized answer may also reduce opportunities for user learning and serendipity. A wholesale move to copilots for all search tasks is neither practical nor necessary: model inference is expensive, conversational interfaces are unfamiliar to many users in a search context, and traditional search already excels for many types of task. Instead, experiences that unite search and chat are becoming more common, enabling users to adjust the modality and other aspects (e.g., answer tone) based on the task. The rise of AI copilots creates many opportunities for IR, including aligning generated answers with user intent, tasks, and applications via human feedback [3]; understanding copilot usage, including functional fixedness [5]; using context and data to tailor responses to people and situations (e.g., grounding, personalization); new search experiences (e.g., unifying search and chat); reliability and safety (e.g., accuracy, bias); understanding impacts on user learning and agency; and evaluation (e.g., model-based feedback, searcher simulations [12], repeatability). Research in these and related areas will enable search systems to more effectively utilize new copilot technologies together with traditional search to help searchers better tackle a wider variety of tasks.</t>
  </si>
  <si>
    <t>[White, Ryen W.] Microsoft Res, Redmond, WA 98052 USA</t>
  </si>
  <si>
    <t>White, RW (corresponding author), Microsoft Res, Redmond, WA 98052 USA.</t>
  </si>
  <si>
    <t>ryenw@microsoft.com</t>
  </si>
  <si>
    <t>978-1-4503-9408-6</t>
  </si>
  <si>
    <t>10.1145/3539618.3593069</t>
  </si>
  <si>
    <t>BW2LG</t>
  </si>
  <si>
    <t>WOS:001118084000004</t>
  </si>
  <si>
    <t>Li, CH; Blaes, S; Kolev, P; Vlastelica, M; Frey, J; Martius, G</t>
  </si>
  <si>
    <t>Li, Chenhao; Blaes, Sebastian; Kolev, Pavel; Vlastelica, Marin; Frey, Jonas; Martius, Georg</t>
  </si>
  <si>
    <t>Versatile Skill Control via Self-supervised Adversarial Imitation of Unlabeled Mixed Motions</t>
  </si>
  <si>
    <t>Learning diverse skills is one of the main challenges in robotics. To this end, imitation learning approaches have achieved impressive results. These methods require explicitly labeled datasets or assume consistent skill execution to enable learning and active control of individual behaviors, which limits their applicability. In this work, we propose a cooperative adversarial method for obtaining single versatile policies with controllable skill sets from unlabeled datasets containing diverse state transition patterns by maximizing their discriminability. Moreover, we show that by utilizing unsupervised skill discovery in the generative adversarial imitation learning framework, novel and useful skills emerge with successful task fulfillment. Finally, the obtained versatile policies are tested on an agile quadruped robot called Solo 8 and present faithful replications of diverse skills encoded in the demonstrations.</t>
  </si>
  <si>
    <t>[Li, Chenhao; Blaes, Sebastian; Kolev, Pavel; Vlastelica, Marin; Martius, Georg] Max Planck Inst Intelligent Syst, Tubingen, Germany; [Frey, Jonas] Swiss Fed Inst Technol, Robot Syst Lab, Zurich, Switzerland</t>
  </si>
  <si>
    <t>Max Planck Society; Swiss Federal Institutes of Technology Domain; ETH Zurich</t>
  </si>
  <si>
    <t>Li, CH (corresponding author), Max Planck Inst Intelligent Syst, Tubingen, Germany.</t>
  </si>
  <si>
    <t>chenhao.li@tuebingen.mpg.de; sebastian.blaes@tuebingen.mpg.de; pavel.kolev@tuebingen.mpg.de; marin.vlastelica@tuebingen.mpg.de; jonfrey@ethz.ch; georg.martius@tuebingen.mpg.de</t>
  </si>
  <si>
    <t>Volkswagen Stiftung [98 571]; T ubingen AI Center [BMBF FKZ: 01IS18039B]</t>
  </si>
  <si>
    <t>Volkswagen Stiftung(Volkswagen); T ubingen AI Center</t>
  </si>
  <si>
    <t>This work is supported by the Volkswagen Stiftung (No 98 571) and the T ubingen AI Center (BMBF FKZ: 01IS18039B).</t>
  </si>
  <si>
    <t>10.1109/ICRA48891.2023.10160421</t>
  </si>
  <si>
    <t>WOS:001036713002048</t>
  </si>
  <si>
    <t>Wilson, E; Fazekas, G; Wiggins, G</t>
  </si>
  <si>
    <t>Wilson, Elizabeth; Fazekas, Gyorgy; Wiggins, Geraint</t>
  </si>
  <si>
    <t>On the Integration of Machine Agents into Live Coding</t>
  </si>
  <si>
    <t>ORGANISED SOUND</t>
  </si>
  <si>
    <t>CREATIVITY</t>
  </si>
  <si>
    <t>Co-creation strategies for human-machine collaboration have recently been explored in various creative disciplines and more opportunities for human-machine collaborations are materialising. In this article, we outline how to augment musical live coding by considering how human live coders can effectively collaborate with a machine agent imbued with the ability to produce its own patterns of executable code. Using machine agents allows live coders to explore not-yet conceptualised patterns of code and supports them in asking new questions. We argue that to move away from scenarios where machine agents are used in a merely generative way, or only as creative impetus for the human, and towards a more collaborative relationship with the machine agent, consideration is needed for system designers around the aspects of reflection, aesthetics and evaluation. Furthermore, owing to live coding's close relationship with exposing processes, using agents in such a way can be a useful manner to explore how to make artificial intelligence processes more open and explainable to an audience. Finally, some speculative futures of co-creative and artificially intelligent systems and what opportunities they might afford the live coder are discussed.</t>
  </si>
  <si>
    <t>[Wilson, Elizabeth; Fazekas, Gyorgy; Wiggins, Geraint] Queen Mary Univ, Ctr Digital Mus, London, England; [Wiggins, Geraint] Vrije Univ Brussel, AI Lab, Brussels, Belgium</t>
  </si>
  <si>
    <t>University of London; Queen Mary University London; Vrije Universiteit Brussel</t>
  </si>
  <si>
    <t>Wilson, E (corresponding author), Queen Mary Univ, Ctr Digital Mus, London, England.</t>
  </si>
  <si>
    <t>elizabeth.wilson@qmul.ac.uk; george.fazekas@qmul.ac.uk; geraint.wiggins@qmul.ac.uk</t>
  </si>
  <si>
    <t>Wiggins, Geraint/K-9443-2016</t>
  </si>
  <si>
    <t>Wiggins, Geraint/0000-0002-1587-112X</t>
  </si>
  <si>
    <t>This work was supported by EPSRC and AHRC under the EP/L01632X/1 (Centre for Doctoral Training in Media and Arts Technology) grant. G. Wiggins received funding from the Flemish Government under the Onderzoeksprogramma Artificile Intelligentie (AI) V</t>
  </si>
  <si>
    <t>This work was supported by EPSRC and AHRC under the EP/L01632X/1 (Centre for Doctoral Training in Media and Arts Technology) grant. G. Wiggins received funding from the Flemish Government under the Onderzoeksprogramma Artificiele Intelligentie (AI) Vlaanderen.</t>
  </si>
  <si>
    <t>1355-7718</t>
  </si>
  <si>
    <t>1469-8153</t>
  </si>
  <si>
    <t>ORGAN SOUND</t>
  </si>
  <si>
    <t>Organ. Sound</t>
  </si>
  <si>
    <t>10.1017/S1355771823000420</t>
  </si>
  <si>
    <t>T8ZO5</t>
  </si>
  <si>
    <t>WOS:001093279600001</t>
  </si>
  <si>
    <t>Srivastava, E; Kim, H; Lee, J; Shin, S; Jeong, S; Hwang, E</t>
  </si>
  <si>
    <t>Srivastava, Ekta; Kim, Hyebin; Lee, Jaepil; Shin, Sungho; Jeong, Sungho; Hwang, Euiseok</t>
  </si>
  <si>
    <t>Adversarial Data Augmentation and Transfer Net for Scrap Metal Identification Using Laser-Induced Breakdown Spectroscopy Measurement of Standard Reference Materials</t>
  </si>
  <si>
    <t>APPLIED SPECTROSCOPY</t>
  </si>
  <si>
    <t>Laser-induced breakdown spectroscopy; LIBS; scrap metal classification; generative adversarial network; GAN; data augmentation; transfer learning</t>
  </si>
  <si>
    <t>NEURAL-NETWORKS; ALLOY-STEEL; LIBS; CLASSIFICATION</t>
  </si>
  <si>
    <t>In this study, we propose a transfer learning-based classification model for identifying scrap metal using an augmented training dataset consisting of laser-induced breakdown spectroscopy (LIBS) measurement of standard reference material (SRMs) samples, considering varying experimental setups and environmental conditions. LIBS provides unique spectra for identifying unknown samples without complicated sample preparation. Thus, LIBS systems combined with machine learning methods have been actively studied for industrial applications such as scrap metal recycling. However, in machine learning models, a training set of the used samples may not cover the diversity of the scrap metal encountered in field measurements. Moreover, differences in experimental configuration, where laboratory standards and real samples are analyzed in situ, may lead to a wider gap in the distribution of training and test sets, dramatically reducing the performance of the LIBS-based fast classification system for real samples. To address these challenges, we propose a two-step Aug2Tran model. First, we augment the SRM dataset by synthesizing spectra of unobserved types through attenuation of dominant peaks corresponding to sample composition and generating spectra depending on the target sample using a generative adversarial network. Second, we used the augmented SRM dataset to build a robust real-time classification model with a convolutional neural network, which is further customized for the target scrap metal with limited measurements through transfer learning. For evaluation, SRMs of five representative metal types, including aluminum, copper, iron, stainless steel, and brass, are measured with a typical setup to form the SRM dataset. For testing, scrap metal from actual industrial fields is experimented with three different configurations, resulting in eight different test datasets. The experimental results show that the proposed scheme produces an average classification accuracy of 98.25% for the three experimental conditions, as high as the results of the conventional scheme with three separately trained and executed models. Additionally, the proposed model improves the classification accuracy of arbitrarily shaped static or moving samples with various surface contaminations and compositions, and even for differing ranges of charted intensities and wavelengths. Therefore, the proposed Aug2Tran model can be used as a systematic model for scrap metal classification with generalizability and ease of implementation.</t>
  </si>
  <si>
    <t>[Srivastava, Ekta; Kim, Hyebin; Hwang, Euiseok] Gwangju Inst Sci &amp; Technol GIST, Sch Elect Engn &amp; Comp Sci, Gwangju, South Korea; [Kim, Hyebin] Korea Elect Power Res Inst KEPRI, Daejeon, South Africa; [Lee, Jaepil; Jeong, Sungho] Gwangju Inst Sci &amp; Technol GIST, Sch Mech Engn, Gwangju, South Korea; [Shin, Sungho] Purdue Univ, Dept Basic Med Sci, W Lafayette, IN USA; [Hwang, Euiseok] Gwangju Inst Sci &amp; Technol GIST, AI Grad Sch, Gwangju, South Korea; [Hwang, Euiseok] Gwangju Inst Sci &amp; Technol GIST, 123 Cheomdangwagi Ro, Gwangju 61005, South Korea</t>
  </si>
  <si>
    <t>Gwangju Institute of Science &amp; Technology (GIST); Gwangju Institute of Science &amp; Technology (GIST); Purdue University System; Purdue University; Gwangju Institute of Science &amp; Technology (GIST); Gwangju Institute of Science &amp; Technology (GIST)</t>
  </si>
  <si>
    <t>Hwang, E (corresponding author), Gwangju Inst Sci &amp; Technol GIST, 123 Cheomdangwagi Ro, Gwangju 61005, South Korea.</t>
  </si>
  <si>
    <t>euiseokh@gist.ac.kr</t>
  </si>
  <si>
    <t>Srivastava, Ekta/0000-0002-1709-589X; Hwang, Euiseok/0000-0002-1718-7030; Jeong, Sungho/0000-0001-9374-118X</t>
  </si>
  <si>
    <t>R&amp;D Center for Valuable Recycling (Global-Top R&amp;D Program) of the Ministry of Environment, Government of Republic of Korea [2016002250003]; Institute of Information &amp; Communications Technology Planning &amp; Evaluation (IITP) - Korea government (MSIT) [2019-0-01842]</t>
  </si>
  <si>
    <t>R&amp;D Center for Valuable Recycling (Global-Top R&amp;D Program) of the Ministry of Environment, Government of Republic of Korea; Institute of Information &amp; Communications Technology Planning &amp; Evaluation (IITP) - Korea government (MSIT)(Institute for Information &amp; Communication Technology Planning &amp; Evaluation (IITP), Republic of KoreaMinistry of Science &amp; ICT (MSIT), Republic of Korea)</t>
  </si>
  <si>
    <t>The author(s) disclosed receipt of the following financial support for the research, authorship, and/or publication of this article: This work was supported by the R&amp;D Center for Valuable Recycling (Global-Top R&amp;D Program) of the Ministry of Environment, Government of Republic of Korea (Project No. 2016002250003) and Institute of Information &amp; Communications Technology Planning &amp; Evaluation (IITP) grant funded by the Korea government (MSIT) (No. 2019-0-01842, Artificial Intelligence Graduate School Program (GIST)).</t>
  </si>
  <si>
    <t>0003-7028</t>
  </si>
  <si>
    <t>1943-3530</t>
  </si>
  <si>
    <t>APPL SPECTROSC</t>
  </si>
  <si>
    <t>Appl. Spectrosc.</t>
  </si>
  <si>
    <t>10.1177/00037028231170234</t>
  </si>
  <si>
    <t>Instruments &amp; Instrumentation; Spectroscopy</t>
  </si>
  <si>
    <t>J8MQ7</t>
  </si>
  <si>
    <t>WOS:000976883400001</t>
  </si>
  <si>
    <t>Pestourie, R; Mroueh, Y; Rackauckas, C; Das, P; Johnson, SG</t>
  </si>
  <si>
    <t>Pestourie, Raphael; Mroueh, Youssef; Rackauckas, Chris; Das, Payel; Johnson, Steven G.</t>
  </si>
  <si>
    <t>Physics-enhanced deep surrogates for partial differential equations</t>
  </si>
  <si>
    <t>INFORMED NEURAL-NETWORKS; INVERSE DESIGN; OPTIMIZATION</t>
  </si>
  <si>
    <t>Many physics and engineering applications demand partial differential equations (PDE) property evaluations that are traditionally computed with resource-intensive high-fidelity numerical solvers. Data-driven surrogate models provide an efficient alternative but come with a substantial cost of training. Emerging applications would benefit from surrogates with an improved accuracy-cost tradeoff when studied at scale. Here we present a 'physics-enhanced deep-surrogate' (PEDS) approach towards developing fast surrogate models for complex physical systems, which is described by PDEs. Specifically, a combination of a low-fidelity, explainable physics simulator and a neural network generator is proposed, which is trained end-to-end to globally match the output of an expensive high-fidelity numerical solver. Experiments on three exemplar test cases, diffusion, reaction-diffusion and electromagnetic scattering models, show that a PEDS surrogate can be up to three times more accurate than an ensemble of feedforward neural networks with limited data (approximately 103 training points), and reduces the training data need by at least a factor of 100 to achieve a target error of 5%. Experiments reveal that PEDS provides a general, data-driven strategy to bridge the gap between a vast array of simplified physical models with corresponding brute-force numerical solvers modelling complex systems, offering accuracy, speed and data efficiency, as well as physical insights into the process. Data-driven surrogate models are used in computational physics and engineering to greatly speed up evaluations of the properties of partial differential equations, but they come with a heavy computational cost associated with training. Pestourie et al. combine a low-fidelity physics model with a generative deep neural network and demonstrate improved accuracy-cost trade-offs compared with standard deep neural networks and high-fidelity numerical solvers.</t>
  </si>
  <si>
    <t>[Pestourie, Raphael] Georgia Inst Technol, Sch Computat Sci &amp; Engn, Atlanta, GA 30332 USA; [Mroueh, Youssef; Das, Payel] IBM Thomas J Watson Res Ctr, IBM Res AI, Yorktown Hts, NY 10598 USA; [Mroueh, Youssef] MIT IBM Watson AI Lab, Cambridge, MA USA; [Rackauckas, Chris; Johnson, Steven G.] MIT, Cambridge, MA USA</t>
  </si>
  <si>
    <t>University System of Georgia; Georgia Institute of Technology; International Business Machines (IBM); Massachusetts Institute of Technology (MIT)</t>
  </si>
  <si>
    <t>Pestourie, R (corresponding author), Georgia Inst Technol, Sch Computat Sci &amp; Engn, Atlanta, GA 30332 USA.;Das, P (corresponding author), IBM Thomas J Watson Res Ctr, IBM Res AI, Yorktown Hts, NY 10598 USA.</t>
  </si>
  <si>
    <t>rpestourie3@gatech.edu; daspa@us.ibm.com</t>
  </si>
  <si>
    <t>Pestourie, Raphael/0000-0001-6267-8771</t>
  </si>
  <si>
    <t>US Army Research Office through the Institute for Soldier Nanotechnologies [W911NF-18-2-0048]; MIT-IBM Watson AI Laboratory</t>
  </si>
  <si>
    <t>US Army Research Office through the Institute for Soldier Nanotechnologies; MIT-IBM Watson AI Laboratory(International Business Machines (IBM))</t>
  </si>
  <si>
    <t>R.P. was supported by the US Army Research Office through the Institute for Soldier Nanotechnologies (grant award no. W911NF-18-2-0048) and the MIT-IBM Watson AI Laboratory. We thank M. Dost for her suggestions in proof reading.</t>
  </si>
  <si>
    <t>2023 DEC 4</t>
  </si>
  <si>
    <t>10.1038/s42256-023-00761-y</t>
  </si>
  <si>
    <t>Z5YG9</t>
  </si>
  <si>
    <t>WOS:001112821500001</t>
  </si>
  <si>
    <t>Hussain, MS; Zaki, MJ; Subramanian, D</t>
  </si>
  <si>
    <t>Hussain, Md Shamim; Zaki, Mohammed J.; Subramanian, Dharmashankar</t>
  </si>
  <si>
    <t>The Information Pathways Hypothesis: Transformers are Dynamic Self-Ensembles</t>
  </si>
  <si>
    <t>Transformer neural networks; Self-attention; Sparse attention; Ensemble methods; Information pathway</t>
  </si>
  <si>
    <t>Transformers use the dense self-attention mechanism which gives a lot of flexibility for long-range connectivity. Over multiple layers of a deep transformer, the number of possible connectivity patterns increases exponentially. However, very few of these contribute to the performance of the network, and even fewer are essential. We hypothesize that there are sparsely connected sub-networks within a transformer, called information pathways which can be trained independently. However, the dynamic (i.e., input-dependent) nature of these pathways makes it difficult to prune dense self-attention during training. But the overall distribution of these pathways is often predictable. We take advantage of this fact to propose Stochastically Subsampled self-Attention (SSA) - a general-purpose training strategy for transformers that can reduce both the memory and computational cost of self-attention by 4 to 8 times during training while also serving as a regularization method - improving generalization over dense training. We show that an ensemble of sub-models can be formed from the subsampled pathways within a network, which can achieve better performance than its densely attended counterpart. We perform experiments on a variety of NLP, computer vision and graph learning tasks in both generative and discriminative settings to provide empirical evidence for our claims and show the effectiveness of the proposed method.</t>
  </si>
  <si>
    <t>[Hussain, Md Shamim; Zaki, Mohammed J.] Rensselaer Polytech Inst, Troy, NY 12180 USA; [Subramanian, Dharmashankar] IBM TJ Watson Res Ctr, Yorktown Hts, NY USA</t>
  </si>
  <si>
    <t>Rensselaer Polytechnic Institute; International Business Machines (IBM)</t>
  </si>
  <si>
    <t>Hussain, MS (corresponding author), Rensselaer Polytech Inst, Troy, NY 12180 USA.</t>
  </si>
  <si>
    <t>hussam4@rpi.edu; zaki@cs.rpi.edu; dharmash@us.ibm.com</t>
  </si>
  <si>
    <t>Hussain, Md Shamim/JFJ-5950-2023</t>
  </si>
  <si>
    <t>Hussain, Md Shamim/0000-0002-0832-913X; SUBRAMANIAN, DHARMASHANKAR/0000-0002-1990-7740</t>
  </si>
  <si>
    <t>Rensselaer-IBM AI Research Collaboration, part of the IBM AI Horizons Network</t>
  </si>
  <si>
    <t>Rensselaer-IBM AI Research Collaboration, part of the IBM AI Horizons Network(International Business Machines (IBM))</t>
  </si>
  <si>
    <t>This work was supported by the Rensselaer-IBM AI Research Collaboration, part of the IBM AI Horizons Network.</t>
  </si>
  <si>
    <t>10.1145/3580305.3599520</t>
  </si>
  <si>
    <t>WOS:001118896300070</t>
  </si>
  <si>
    <t>Çiftçi, UA; Yuksek, G; Demir, I</t>
  </si>
  <si>
    <t>Ciftci, Umur A.; Yuksek, Gokturk; Demir, Ilke</t>
  </si>
  <si>
    <t>My Face My Choice: Privacy Enhancing Deepfakes for Social Media Anonymization</t>
  </si>
  <si>
    <t>Recently, productization of face recognition and identification algorithms have become the most controversial topic about ethical AI. As new policies around digital identities are formed [22], we introduce three face access models in a hypothetical social network, where the user has the power to only appear in photos they approve. Our approach eclipses current tagging systems and replaces unapproved faces with quantitatively dissimilar deepfakes. In addition, we propose new metrics specific for this task, where the deepfake is generated at random with a guaranteed dissimilarity. We explain access models based on strictness of the data flow, and discuss impact of each model on privacy, usability, and performance. We evaluate our system on Facial Descriptor Dataset [61] as the real dataset, and two synthetic datasets with random and equal class distributions. Running seven SOTA face recognizers on our results, MFMC reduces the average accuracy by 61%. Lastly, we extensively analyze similarity metrics, deepfake generators, and datasets in structural, visual, and generative spaces; supporting the design choices and verifying the quality.</t>
  </si>
  <si>
    <t>[Ciftci, Umur A.; Yuksek, Gokturk] SUNY Binghamton, Binghamton, NY 13902 USA; [Demir, Ilke] Intel Labs, Hillsboro, OR USA</t>
  </si>
  <si>
    <t>State University of New York (SUNY) System; State University of New York (SUNY) Binghamton; Intel Corporation</t>
  </si>
  <si>
    <t>Çiftçi, UA (corresponding author), SUNY Binghamton, Binghamton, NY 13902 USA.</t>
  </si>
  <si>
    <t>uciftci@binghamton.edu; gokturk@binghamton.edu; ilke.demir@intel.com</t>
  </si>
  <si>
    <t>10.1109/WACV56688.2023.00142</t>
  </si>
  <si>
    <t>WOS:000971500201045</t>
  </si>
  <si>
    <t>Mao, JF; Wang, XT</t>
  </si>
  <si>
    <t>Mao, Jiafeng; Wang, Xueting</t>
  </si>
  <si>
    <t>TRAINING-FREE LOCATION-AWARE TEXT-TO-IMAGE SYNTHESIS</t>
  </si>
  <si>
    <t>diffusion model; text-to-image synthesis</t>
  </si>
  <si>
    <t>Current large-scale generative models have impressive efficiency in generating high-quality images based on text prompts. However, they lack the ability to precisely control the size and position of objects in the generated image. In this study(1), we analyze the generative mechanism of the stable diffusion model and propose a new interactive generation paradigm that allows users to specify the position of generated objects without additional training. Moreover, we propose an object detection-based evaluation metric to assess the control capability of location aware generation task. Our experimental results show that our method outperforms state-of-the-art methods on both control capacity and image quality.</t>
  </si>
  <si>
    <t>[Mao, Jiafeng] Univ Tokyo, Dept Informat &amp; Commun Engn, Tokyo, Japan; [Wang, Xueting] CyberAgent Inc, AI Lab, Tokyo, Japan</t>
  </si>
  <si>
    <t>University of Tokyo</t>
  </si>
  <si>
    <t>Mao, JF (corresponding author), Univ Tokyo, Dept Informat &amp; Commun Engn, Tokyo, Japan.</t>
  </si>
  <si>
    <t>mao@hal.t.u-tokyo.ac.jp; wang_xueting@cyberagent.co.jp</t>
  </si>
  <si>
    <t>10.1109/ICIP49359.2023.10222616</t>
  </si>
  <si>
    <t>WOS:001106821001015</t>
  </si>
  <si>
    <t>Yi, HW; Huang, CHP; Tripathi, S; Hering, L; Thies, J; Black, MJ</t>
  </si>
  <si>
    <t>Yi, Hongwei; Huang, Chun-Hao P.; Tripathi, Shashank; Hering, Lea; Thies, Justus; Black, Michael J.</t>
  </si>
  <si>
    <t>MIME: Human-Aware 3D Scene Generation</t>
  </si>
  <si>
    <t>Generating realistic 3D worlds occupied by moving humans has many applications in games, architecture, and synthetic data creation. But generating such scenes is expensive and labor intensive. Recent work generates human poses and motions given a 3D scene. Here, we take the opposite approach and generate 3D indoor scenes given 3D human motion. Such motions can come from archival motion capture or from IMU sensors worn on the body, effectively turning human movement into a scanner of the 3D world. Intuitively, human movement indicates the free-space in a room and human contact indicates surfaces or objects that support activities such as sitting, lying or touching. We propose MIME (Mining Interaction and Movement to infer 3D Environments), which is a generative model of indoor scenes that produces furniture layouts that are consistent with the human movement. MIME uses an auto-regressive transformer architecture that takes the already generated objects in the scene as well as the human motion as input, and outputs the next plausible object. To train MIME, we build a dataset by populating the 3D FRONT scene dataset with 3D humans. Our experiments show that MIME produces more diverse and plausible 3D scenes than a recent generative scene method that does not know about human movement. Code and data are available for research at https://mime.is.tue.mpg.de.</t>
  </si>
  <si>
    <t>[Yi, Hongwei; Tripathi, Shashank; Hering, Lea; Thies, Justus; Black, Michael J.] Max Planck Inst Intelligent Syst, Tubingen, Germany; [Huang, Chun-Hao P.] Adobe Inc, London, England</t>
  </si>
  <si>
    <t>Max Planck Society</t>
  </si>
  <si>
    <t>Yi, HW (corresponding author), Max Planck Inst Intelligent Syst, Tubingen, Germany.</t>
  </si>
  <si>
    <t>hongwei.yi@tuebingen.mpg.de; chunhaoh@adobe.com; shashanktripathi@tuebingen.mpg.de; leahering@tuebingen.mpg.de; justusthies@tuebingen.mpg.de; michaelblack@tuebingen.mpg.de</t>
  </si>
  <si>
    <t>German Federal Ministry of Education and Research (BMBF): Tubingen AI Center [FKZ: 01IS18039B]</t>
  </si>
  <si>
    <t>German Federal Ministry of Education and Research (BMBF): Tubingen AI Center(Federal Ministry of Education &amp; Research (BMBF))</t>
  </si>
  <si>
    <t>We thank Despoina Paschalidou, Wamiq Para for useful feedback about reimplementing ATISS, and Yuliang Xiu, Weiyang Liu, Yandong Wen, Yao Feng for the insightful discussions, Radek Danecek, Peter Kulits for proofreading, and Benjamin Pellkofer for IT support. This work was supported in part by the German Federal Ministry of Education and Research (BMBF): Tubingen AI Center, FKZ: 01IS18039B.</t>
  </si>
  <si>
    <t>10.1109/CVPR52729.2023.01246</t>
  </si>
  <si>
    <t>WOS:001062522105027</t>
  </si>
  <si>
    <t>Salvagno, M; Taccone, FS; Gerli, AG</t>
  </si>
  <si>
    <t>Salvagno, Michele; Taccone, Fabio Silvio; Gerli, Alberto Giovanni</t>
  </si>
  <si>
    <t>Can artificial intelligence help for scientific writing?</t>
  </si>
  <si>
    <t>CRITICAL CARE</t>
  </si>
  <si>
    <t>Artificial intelligence; Scientific writing; Machine learning; Chatbots</t>
  </si>
  <si>
    <t>This paper discusses the use of Artificial Intelligence Chatbot in scientific writing. ChatGPT is a type of chatbot, developed by OpenAI, that uses the Generative Pre-trained Transformer (GPT) language model to understand and respond to natural language inputs. AI chatbot and ChatGPT in particular appear to be useful tools in scientific writing, assisting researchers and scientists in organizing material, generating an initial draft and/or in proofreading. There is no publication in the field of critical care medicine prepared using this approach; however, this will be a possibility in the next future. ChatGPT work should not be used as a replacement for human judgment and the output should always be reviewed by experts before being used in any critical decision-making or application. Moreover, several ethical issues arise about using these tools, such as the risk of plagiarism and inaccuracies, as well as a potential imbalance in its accessibility between high- and low-income countries, if the software becomes paying. For this reason, a consensus on how to regulate the use of chatbots in scientific writing will soon be required.</t>
  </si>
  <si>
    <t>[Salvagno, Michele; Taccone, Fabio Silvio] Univ Libre Bruxelles, Erasme Hosp, Dept Intens Care, B-1070 Brussels, Belgium; [Gerli, Alberto Giovanni] Univ Milan, Dept Clin Sci &amp; Community Hlth, I-20122 Milan, Italy</t>
  </si>
  <si>
    <t>Universite Libre de Bruxelles; University of Milan</t>
  </si>
  <si>
    <t>Salvagno, M (corresponding author), Univ Libre Bruxelles, Erasme Hosp, Dept Intens Care, B-1070 Brussels, Belgium.</t>
  </si>
  <si>
    <t>michele.salvagno@ulb.be</t>
  </si>
  <si>
    <t>Salvagno, Michele/ISA-9807-2023</t>
  </si>
  <si>
    <t>Salvagno, Michele/0000-0002-8415-4247</t>
  </si>
  <si>
    <t>1364-8535</t>
  </si>
  <si>
    <t>1466-609X</t>
  </si>
  <si>
    <t>CRIT CARE</t>
  </si>
  <si>
    <t>Crit. Care</t>
  </si>
  <si>
    <t>FEB 25</t>
  </si>
  <si>
    <t>10.1186/s13054-023-04380-2</t>
  </si>
  <si>
    <t>9I3AJ</t>
  </si>
  <si>
    <t>WOS:000939387400001</t>
  </si>
  <si>
    <t>Ucak, UV; Ashyrmamatov, I; Lee, JY</t>
  </si>
  <si>
    <t>Ucak, Umit V. V.; Ashyrmamatov, Islambek; Lee, Juyong</t>
  </si>
  <si>
    <t>Reconstruction of lossless molecular representations from fingerprints</t>
  </si>
  <si>
    <t>Fingerprints; SMILES; SELFIES; Neural Machine Translation</t>
  </si>
  <si>
    <t>CHEMICAL-STRUCTURES; LINE NOTATION; GENERATION; MODEL; RETROSYNTHESIS; TRANSFORMER; DESCRIPTOR; SMILES</t>
  </si>
  <si>
    <t>The simplified molecular-input line-entry system (SMILES) is the most prevalent molecular representation used in AI-based chemical applications. However, there are innate limitations associated with the internal structure of SMILES representations. In this context, this study exploits the resolution and robustness of unique molecular representations, i.e., SMILES and SELFIES (SELF-referencIng Embedded strings), reconstructed from a set of structural fingerprints, which are proposed and used herein as vital representational tools for chemical and natural language processing (NLP) applications. This is achieved by restoring the connectivity information lost during fingerprint transformation with high accuracy. Notably, the results reveal that seemingly irreversible molecule-to-fingerprint conversion is feasible. More specifically, four structural fingerprints, extended connectivity, topological torsion, atom pairs, and atomic environments can be used as inputs and outputs of chemical NLP applications. Therefore, this comprehensive study addresses the major limitation of structural fingerprints that precludes their use in NLP models. Our findings will facilitate the development of text- or fingerprint-based chemoinformatic models for generative and translational tasks.</t>
  </si>
  <si>
    <t>[Ucak, Umit V. V.; Lee, Juyong] Seoul Natl Univ, Res Inst Pharmaceut Sci, Coll Pharm, 1 Gwanak ro, Seoul 08826, South Korea; [Ashyrmamatov, Islambek] Kangwon Natl Univ, Dept Chem, Chunchon 24341, South Korea; [Lee, Juyong] Seoul Natl Univ, Grad Sch Convergence Sci &amp; Technol, Mol Med &amp; Biopharmaceut Sci, 1 Gwanak ro, Seoul 08826, South Korea</t>
  </si>
  <si>
    <t>Seoul National University (SNU); Kangwon National University; Seoul National University (SNU)</t>
  </si>
  <si>
    <t>Lee, JY (corresponding author), Seoul Natl Univ, Res Inst Pharmaceut Sci, Coll Pharm, 1 Gwanak ro, Seoul 08826, South Korea.;Lee, JY (corresponding author), Seoul Natl Univ, Grad Sch Convergence Sci &amp; Technol, Mol Med &amp; Biopharmaceut Sci, 1 Gwanak ro, Seoul 08826, South Korea.</t>
  </si>
  <si>
    <t>nicole23@snu.ac.kr</t>
  </si>
  <si>
    <t>Lee, Juyong/0000-0003-1174-4358; Ashyrmamatov, Islambek/0000-0001-6704-4233; , Umit/0000-0002-9088-0915</t>
  </si>
  <si>
    <t>National Research Foundation of Korea (NRF) - Korean government (MSIT) [NRF-2019M3E5D4066898, NRF-2022R1C1C1005080, NRF-2020M3A9G7103933]; Korea Environment Industry &amp; Technology Institute (KEITI) - Korea Ministry of Environment (MOE) [KEITI:2020002960002, NTIS:1485017120]</t>
  </si>
  <si>
    <t>National Research Foundation of Korea (NRF) - Korean government (MSIT)(National Research Foundation of KoreaMinistry of Science &amp; ICT (MSIT), Republic of Korea); Korea Environment Industry &amp; Technology Institute (KEITI) - Korea Ministry of Environment (MOE)(Ministry of Environment (ME), Republic of Korea)</t>
  </si>
  <si>
    <t>This work was supported by National Research Foundation of Korea (NRF) grants funded by the Korean government (MSIT) (Nos. NRF-2019M3E5D4066898, NRF-2022R1C1C1005080 and NRF-2020M3A9G7103933 to I.A. and J.L.). This work was also supported by the Korea Environment Industry &amp; Technology Institute (KEITI) through the Technology Development Project for Safety Management of Household Chemical Products, funded by the Korea Ministry of Environment (MOE) (KEITI:2020002960002 and NTIS:1485017120 to U.V.U. and J.L.).</t>
  </si>
  <si>
    <t>FEB 23</t>
  </si>
  <si>
    <t>10.1186/s13321-023-00693-0</t>
  </si>
  <si>
    <t>9G4UX</t>
  </si>
  <si>
    <t>WOS:000938150900001</t>
  </si>
  <si>
    <t>Shan, S; Cryan, J; Wenger, E; Zheng, HT; Hanocka, R; Zhao, BY</t>
  </si>
  <si>
    <t>USENIX Association</t>
  </si>
  <si>
    <t>Shan, Shawn; Cryan, Jenna; Wenger, Emily; Zheng, Haitao; Hanocka, Rana; Zhao, Ben Y.</t>
  </si>
  <si>
    <t>Glaze: Protecting Artists from Style Mimicry by Text-to-Image Models</t>
  </si>
  <si>
    <t>PROCEEDINGS OF THE 32ND USENIX SECURITY SYMPOSIUM</t>
  </si>
  <si>
    <t>32nd USENIX Security Symposium</t>
  </si>
  <si>
    <t>AUG 09-11, 2023</t>
  </si>
  <si>
    <t>Anaheim, CA</t>
  </si>
  <si>
    <t>USENIX,Meta,Futurewei Technologies,Google,NSF,TikTok,Amazon,Ant Res,IBM,Technol Innovat Res,Cisco,Paloalto,ACM Queue,Elect Frontier Fdn</t>
  </si>
  <si>
    <t>Recent text-to-image diffusion models such as MidJourney and Stable Diffusion threaten to displace many in the professional artist community. In particular, models can learn to mimic the artistic style of specific artists after fine-tuning on samples of their art. In this paper, we describe the design, implementation and evaluation of Glaze, a tool that enables artists to apply style cloaks to their art before sharing online. These cloaks apply barely perceptible perturbations to images, and when used as training data, mislead generative models that try to mimic a specific artist. In coordination with the professional artist community, we deploy user studies to more than 1000 artists, assessing their views of AI art, as well as the efficacy of our tool, its usability and tolerability of perturbations, and robustness across different scenarios and against adaptive countermeasures. Both surveyed artists and empirical CLIP-based scores show that even at low perturbation levels (p=0.05), Glaze is highly successful at disrupting mimicry under normal conditions (&gt;92%) and against adaptive countermeasures (&gt;85%).</t>
  </si>
  <si>
    <t>[Shan, Shawn; Cryan, Jenna; Wenger, Emily; Zheng, Haitao; Hanocka, Rana; Zhao, Ben Y.] Univ Chicago, Dept Comp Sci, Chicago, IL 60637 USA</t>
  </si>
  <si>
    <t>University of Chicago</t>
  </si>
  <si>
    <t>Shan, S (corresponding author), Univ Chicago, Dept Comp Sci, Chicago, IL 60637 USA.</t>
  </si>
  <si>
    <t>shawnshan@cs.uchicago.edu; jennacryan@cs.uchicago.edu; ewillson@cs.uchicago.edu; htzheng@cs.uchicago.edu; ranahanocka@cs.uchicago.edu; ravenben@cs.uchicago.edu</t>
  </si>
  <si>
    <t>NSF [CNS-2241303, CNS-1949650]; DARPA GARD program</t>
  </si>
  <si>
    <t>NSF(National Science Foundation (NSF)); DARPA GARD program(United States Department of Defense)</t>
  </si>
  <si>
    <t>We thank our anonymous reviewers and shepherd for their insightful feedback. We also thank Karla Ortiz, Lyndsey Gallant, Nathan Fowkes, Kim Van Deun, Jon Lam, Eveline Frohlich, Edit Ballai, Kat Loveland and many other artists, without whom this project would not be possible. This work is supported in part by NSF grants CNS-2241303, CNS-1949650, and the DARPA GARD program. Opinions, findings, and conclusions or recommendations expressed in this material are those of the authors and do not necessarily reflect the views of any funding agencies.</t>
  </si>
  <si>
    <t>USENIX ASSOC</t>
  </si>
  <si>
    <t>BERKELEY</t>
  </si>
  <si>
    <t>SUITE 215, 2560 NINTH ST, BERKELEY, CA 94710 USA</t>
  </si>
  <si>
    <t>978-1-939133-37-3</t>
  </si>
  <si>
    <t>BV7HQ</t>
  </si>
  <si>
    <t>WOS:001066451502018</t>
  </si>
  <si>
    <t>Feng, L; Li, QY; Peng, ZH; Tan, SH; Zhou, BL</t>
  </si>
  <si>
    <t>Feng, Lan; Li, Quanyi; Peng, Zhenghao; Tan, Shuhan; Zhou, Bolei</t>
  </si>
  <si>
    <t>TrafficGen: Learning to Generate Diverse and Realistic Traffic Scenarios</t>
  </si>
  <si>
    <t>Diverse and realistic traffic scenarios are crucial for evaluating the AI safety of autonomous driving systems in simulation. This work introduces a data-driven method called TrafficGen for traffic scenario generation. It learns from the fragmented human driving data collected in the real world and then generates realistic traffic scenarios. TrafficGen is an autoregressive neural generative model with an encoder-decoder architecture. In each autoregressive iteration, it first encodes the current traffic context with the attention mechanism and then decodes a vehicle's initial state followed by generating its long trajectory. We evaluate the trained model in terms of vehicle placement and trajectories, and the experimental result shows our method has substantial improvements over baselines for generating traffic scenarios. After training, TrafficGen can also augment existing traffic scenarios, by adding new vehicles and extending the fragmented trajectories. We further demonstrate that importing the generated scenarios into a simulator as an interactive training environment improves the performance and safety of a driving agent learned from reinforcement learning. Model and data are available at https://metadriverse.github.io/trafficgen.</t>
  </si>
  <si>
    <t>[Feng, Lan] Swiss Fed Inst Technol, Zurich, Switzerland; [Li, Quanyi] Univ Edinburgh, Edinburgh, Midlothian, Scotland; [Peng, Zhenghao; Zhou, Bolei] Univ Calif Los Angeles, Los Angeles, CA USA; [Tan, Shuhan] Univ Texas Austin, Austin, TX 78712 USA</t>
  </si>
  <si>
    <t>Swiss Federal Institutes of Technology Domain; ETH Zurich; University of Edinburgh; University of California System; University of California Los Angeles; University of Texas System; University of Texas Austin</t>
  </si>
  <si>
    <t>Feng, L (corresponding author), Swiss Fed Inst Technol, Zurich, Switzerland.</t>
  </si>
  <si>
    <t>li, quanyi/KFR-1212-2024</t>
  </si>
  <si>
    <t>Samsung Global Collaboration Award; Cisco Faculty Award</t>
  </si>
  <si>
    <t>The project is partially supported by Samsung Global Collaboration Award and Cisco Faculty Award.</t>
  </si>
  <si>
    <t>10.1109/ICRA48891.2023.10160296</t>
  </si>
  <si>
    <t>WOS:001036713002135</t>
  </si>
  <si>
    <t>Duong, CD; Vu, TN; Ngo, TVN</t>
  </si>
  <si>
    <t>Duong, Cong Doanh; Vu, Trong Nghia; Ngo, Thi Viet Nga</t>
  </si>
  <si>
    <t>Applying a modified technology acceptance model to explain higher education students' usage of ChatGPT: A serial multiple mediation model with knowledge sharing as a moderator</t>
  </si>
  <si>
    <t>Technology acceptance model; Behavior intention to use ChatGPT; Actual use of ChatGPT; Knowledge sharing</t>
  </si>
  <si>
    <t>INTENTION; BIASES</t>
  </si>
  <si>
    <t>Generative artificial intelligence (AI), such as ChatGPT, has taken the world by storm, especially in the education sector, because of its capacity to produce responses that are contextually relevant and appear to imitate human language. This has increased concerns from both scholars and practitioners regarding the potential impacts of ChatGPT on students' learning. However, research on higher education students' adoption of ChatGPT is still scant. Drawing on the modified technology acceptance model (TAM) and a sample of 1389 higher education students recruited in 11 universities in Vietnam with a stratified random sampling approach, the findings of this study indicated that effort expectancy not only directly affected students' actual usage of ChatGPT, but also serially indirectly increased their actual use of ChatGPT through performance expectancy and intentions to use ChatGPT. Additionally, knowledge sharing was found to significantly increase higher education students' transformation from having the intention to use ChatGPT to actual users of ChatGPT. The theoretical and managerial implications of this are discussed in this paper in order to gain benefits and manage the potential threats from this new technology.</t>
  </si>
  <si>
    <t>[Duong, Cong Doanh; Vu, Trong Nghia; Ngo, Thi Viet Nga] Natl Econ Univ, Room 1008,10th Floor,A1 Bldg, Hanoi 100000, Vietnam</t>
  </si>
  <si>
    <t>National Economics University - Vietnam</t>
  </si>
  <si>
    <t>Duong, CD (corresponding author), Natl Econ Univ, Room 1008,10th Floor,A1 Bldg, Hanoi 100000, Vietnam.</t>
  </si>
  <si>
    <t>doanhdc@neu.edu.vn</t>
  </si>
  <si>
    <t>Doanh, Duong Cong/AAT-7460-2021</t>
  </si>
  <si>
    <t>Doanh, Duong Cong/0000-0003-4431-9761</t>
  </si>
  <si>
    <t>National Economics University, Hanoi, Vietnam</t>
  </si>
  <si>
    <t>This research is funded by National Economics University, Hanoi, Vietnam. Data availability Data will be made available on request. References</t>
  </si>
  <si>
    <t>10.1016/j.ijme.2023.100883</t>
  </si>
  <si>
    <t>X4TM7</t>
  </si>
  <si>
    <t>WOS:001098391800001</t>
  </si>
  <si>
    <t>Makrehchi, M; Zhang, D; Petrova, A; Armour, J</t>
  </si>
  <si>
    <t>Makrehchi, Masoud; Zhang, Dell; Petrova, Alina; Armour, John</t>
  </si>
  <si>
    <t>The 3rd International Workshop on Mining and Learning in the Legal Domain</t>
  </si>
  <si>
    <t>legal data mining; legal information retrieval; legal natural language processing; legal knowledge management; large language models</t>
  </si>
  <si>
    <t>The increasing accessibility of legal corpora and databases create opportunities to develop data-driven techniques and advanced tools that can facilitate a variety of tasks in the legal domain, such as legal search and research, legal document review and summary, legal contract drafting, and legal outcome prediction. Compared with other application domains, the legal domain is characterized by the huge scale of natural language text data, the high complexity of specialist knowledge, and the critical importance of ethical considerations. The MLLD workshop aims to bring together researchers and practitioners to share the latest research findings and innovative approaches in employing data mining, machine learning, information retrieval, and knowledge management techniques to transform the legal sector. Building upon the previous successes, the third edition of the MLLD workshop will emphasize the exploration of new research opportunities brought about by recent rapid advances in Large Language Models and Generative AI. We encourage submissions that intersect computer science and law, from both academia and industry, embodying the interdisciplinary spirit of CIKM.</t>
  </si>
  <si>
    <t>[Makrehchi, Masoud] Thomson Reuters Labs, Toronto, ON, Canada; [Zhang, Dell; Petrova, Alina] Thomson Reuters Labs, London, England; [Armour, John] Univ Oxford, Oxford, England</t>
  </si>
  <si>
    <t>University of Oxford</t>
  </si>
  <si>
    <t>Makrehchi, M (corresponding author), Thomson Reuters Labs, Toronto, ON, Canada.</t>
  </si>
  <si>
    <t>masoud.makrehchi@tr.com; dell.z@ieee.org; alina.petrova@thomsonreuters.com; john.armour@law.ox.ac.uk</t>
  </si>
  <si>
    <t>10.1145/3583780.3615308</t>
  </si>
  <si>
    <t>WOS:001161549505069</t>
  </si>
  <si>
    <t>Xie, JY; Chen, JL; Fang, WH; Cai, Y; Li, Q</t>
  </si>
  <si>
    <t>Xie, Jiayuan; Chen, Jiali; Fang, Wenhao; Cai, Yi; Li, Qing</t>
  </si>
  <si>
    <t>Visual question generation for explicit questioning purposes based on target objects</t>
  </si>
  <si>
    <t>Visual question generation; Questioning purposes; Target object</t>
  </si>
  <si>
    <t>ATTENTION</t>
  </si>
  <si>
    <t>Visual question generation aims to focus on some target objects in an image to generate questions with certain questioning purposes. Existing studies mainly utilize an answer to extract the target object corresponding to the questioning purpose for questioning. However, answers fail to accurately and completely map to every target object, such as the objects corresponding to the answer are ambiguous or the answers are the relationship between multiple objects. To address this problem, we propose a content-controlled question generation model, which generates questions based on a given target object set specified from an image. Considering that the target objects have different contributions during the generation process, we design a recurrent generative architecture to explicitly control attention to different objects and their corresponding image information at each generative stage. Extensive experiments on the VQA v2.0 dataset and the Visual7w dataset show that the proposed model outperforms the state-of-the-art models and can controllably generate questions with specified content.(c) 2023 Elsevier Ltd. All rights reserved.</t>
  </si>
  <si>
    <t>[Xie, Jiayuan; Chen, Jiali; Fang, Wenhao; Cai, Yi] South China Univ Technol, Sch Software Engn, Guangzhou, Peoples R China; [Xie, Jiayuan; Chen, Jiali; Fang, Wenhao; Cai, Yi] South China Univ Technol, Key Lab Big Data &amp; Intelligent Robot, Minist Educ, Guangzhou, Peoples R China; [Xie, Jiayuan; Li, Qing] Hong Kong Polytech Univ, Dept Comp, Hong Kong, Peoples R China</t>
  </si>
  <si>
    <t>South China University of Technology; South China University of Technology; Hong Kong Polytechnic University</t>
  </si>
  <si>
    <t>Cai, Y (corresponding author), South China Univ Technol, Sch Software Engn, Guangzhou, Peoples R China.</t>
  </si>
  <si>
    <t>ycai@scut.edu.cn</t>
  </si>
  <si>
    <t>Li, Qing/JMH-1365-2023; Zhou, Hong/JKJ-1067-2023</t>
  </si>
  <si>
    <t>Li, Qing/0000-0003-3370-471X;</t>
  </si>
  <si>
    <t>National Natural Science Foundation of China [62076100]; Fundamental Research Funds for the Central Universities, China, SCUT, China [x2rjD2230080]; Science and Technology Planning Project of Guangdong Province, China [2020B0101100002]; CCF-Zhipu AI Large Model Fund; CAAI-Huawei MindSpore Open Fund</t>
  </si>
  <si>
    <t>National Natural Science Foundation of China(National Natural Science Foundation of China (NSFC)); Fundamental Research Funds for the Central Universities, China, SCUT, China; Science and Technology Planning Project of Guangdong Province, China; CCF-Zhipu AI Large Model Fund; CAAI-Huawei MindSpore Open Fund</t>
  </si>
  <si>
    <t>This work was supported by the National Natural Science Foundation of China (62076100) , Fundamental Research Funds for the Central Universities, China, SCUT, China (x2rjD2230080) , the Science and Technology Planning Project of Guangdong Province, China (2020B0101100002) , CAAI-Huawei MindSpore Open Fund, CCF-Zhipu AI Large Model Fund.</t>
  </si>
  <si>
    <t>10.1016/j.neunet.2023.08.007</t>
  </si>
  <si>
    <t>T8NF5</t>
  </si>
  <si>
    <t>WOS:001080489300001</t>
  </si>
  <si>
    <t>Sauer, S; Matter, H; Hessler, G; Grebner, C</t>
  </si>
  <si>
    <t>Sauer, Susanne; Matter, Hans; Hessler, Gerhard; Grebner, Christoph</t>
  </si>
  <si>
    <t>Integrating Reaction Schemes, Reagent Databases, and Virtual Libraries into Fragment-Based Design by Reinforcement Learning</t>
  </si>
  <si>
    <t>DE-NOVO DESIGN; TOOL</t>
  </si>
  <si>
    <t>Lead optimization supported by artificial intelligence (AI)-based generative models has become increasingly important in drug design. Success factors are reagent availability, novelty, and the optimization of multiple properties. Directed fragment-replacement is particularly attractive, as it mimics medicinal chemistry tactics. Here, we present variations of fragment-based reinforcement learning using an actor-critic model. Novel features include freezing fragments and using reagents as the fragment source. Splitting molecules according to reaction schemes improves synthesizability, while tuning network output probabilities allows us to balance novelty versus diversity. Combining fragment-based optimization with virtual library encodings allows the exploration of large chemical spaces with synthesizable ideas. Collectively, these enhancements influence design toward high-quality molecules with favorable profiles. A validation study using 15 pharmaceutically relevant targets reveals that novel structures are obtained for most cases, which are identical or related to independent validation sets for each target. Hence, these modifications significantly increase the value of fragment-based reinforcement learning for drug design. The code is available on GitHub: https://github.com/Sanofi-Public/IDD-papers-fragrl</t>
  </si>
  <si>
    <t>[Sauer, Susanne; Matter, Hans; Hessler, Gerhard; Grebner, Christoph] Sanofi Aventis Deutschland GmbH, Integrated Drug Discovery, Synthet Mol Design, D-65926 Frankfurt, Germany</t>
  </si>
  <si>
    <t>Sanofi-Aventis</t>
  </si>
  <si>
    <t>Grebner, C (corresponding author), Sanofi Aventis Deutschland GmbH, Integrated Drug Discovery, Synthet Mol Design, D-65926 Frankfurt, Germany.</t>
  </si>
  <si>
    <t>christoph.grebner@sanofi.com</t>
  </si>
  <si>
    <t>Matter, Hans/0000-0002-0249-6025; Sauer, Susanne/0000-0002-9222-3986</t>
  </si>
  <si>
    <t>SEP 5</t>
  </si>
  <si>
    <t>10.1021/acs.jcim.3c00735</t>
  </si>
  <si>
    <t>S1RT0</t>
  </si>
  <si>
    <t>WOS:001062608200001</t>
  </si>
  <si>
    <t>Ahmed, K; Teso, S; Morettin, P; Di Liello, L; Ardino, P; Gobbi, J; Liang, YT; Wang, E; Chang, KW; Passerini, A; Van den Broeck, G</t>
  </si>
  <si>
    <t>Hitzler, P; Sarker, MK; Eberhart, A</t>
  </si>
  <si>
    <t>Ahmed, Kareem; Teso, Stefano; Morettin, Paolo; Di Liello, Luca; Ardino, Pierfrancesco; Gobbi, Jacopo; Liang, Yitao; Wang, Eric; Chang, Kai-Wei; Passerini, Andrea; Van den Broeck, Guy</t>
  </si>
  <si>
    <t>Semantic Loss Functions for Neuro-Symbolic Structured Prediction</t>
  </si>
  <si>
    <t>COMPENDIUM OF NEUROSYMBOLIC ARTIFICIAL INTELLIGENCE</t>
  </si>
  <si>
    <t>Structured output prediction problems are ubiquitous in machine learning. The prominent approach leverages neural networks as powerful feature extractors, otherwise assuming the independence of the outputs. These outputs, however, jointly encode an object, e.g. a path in a graph, and are therefore related through the structure underlying the output space. We discuss the semantic loss, which injects knowledge about such structure, defined symbolically, into training by minimizing the network's violation of such dependencies, steering the network towards predicting distributions satisfying the underlying structure. At the same time, it is agnostic to the arrangement of the symbols, and depends only on the semantics expressed thereby, while also enabling efficient end-to-end training and inference. We also discuss key improvements and applications of the semantic loss. One limitations of the semantic loss is that it does not exploit the association of every data point with certain features certifying its membership in a target class. We should therefore prefer minimum-entropy distributions over valid structures, which we obtain by additionally minimizing the neuro-symbolic entropy. We empirically demonstrate the benefits of this more refined formulation. Moreover, the semantic loss is designed to be modular and can be combined with both discriminative and generative neural models. We illustrate this point by integrating the semantic loss into generative adversarial networks, yielding constrained adversarial networks, a novel class of deep generative models able to efficiently synthesize complex objects obeying the structure of the underlying domain.</t>
  </si>
  <si>
    <t>[Ahmed, Kareem; Wang, Eric; Chang, Kai-Wei; Van den Broeck, Guy] Univ Calif Los Angeles, Los Angeles, CA 90024 USA; [Teso, Stefano; Di Liello, Luca; Ardino, Pierfrancesco; Gobbi, Jacopo; Passerini, Andrea] UNITN, Trento, Italy; [Morettin, Paolo] KULeuven, Leuven, Belgium; [Liang, Yitao] Peking Univ, Beijing, Peoples R China</t>
  </si>
  <si>
    <t>University of California System; University of California Los Angeles; KU Leuven; Peking University</t>
  </si>
  <si>
    <t>Ahmed, K (corresponding author), Univ Calif Los Angeles, Los Angeles, CA 90024 USA.</t>
  </si>
  <si>
    <t>TAILOR - EU [952215]; DARPA Perceptually-enabled Task Guidance (PTG) Program [HR00112220005]; NSF [IIS-1943641, IIS-1956441, CCF-1837129]; Samsung; CISCO; Sloan Fellowship; UCLA Samueli Fellowship; Flemish Government under the Onderzoeksprogramma Artificiele Intelligentie (AI) Vlaanderen programme; Research Foundation - Flanders under the Data- driven logistics project [FWO-S007318N]</t>
  </si>
  <si>
    <t>TAILOR - EU; DARPA Perceptually-enabled Task Guidance (PTG) Program; NSF(National Science Foundation (NSF)); Samsung(Samsung); CISCO; Sloan Fellowship(Alfred P. Sloan Foundation); UCLA Samueli Fellowship; Flemish Government under the Onderzoeksprogramma Artificiele Intelligentie (AI) Vlaanderen programme; Research Foundation - Flanders under the Data- driven logistics project</t>
  </si>
  <si>
    <t>The research of ST and AP was partially supported by TAILOR, a project funded by EU Horizon 2020 research and innovation programme under GA No 952215. This work was funded in part by the DARPA Perceptually-enabled Task Guidance (PTG) Program under contract number HR00112220005, NSF grants #IIS-1943641, #IIS-1956441, #CCF-1837129, Samsung, CISCO, a Sloan Fellowship, and a UCLA Samueli Fellowship. The research of PM received funding from the Flemish Government under the Onderzoeksprogramma Artificiele Intelligentie (AI) Vlaanderen programme and the Research Foundation - Flanders under the Data- driven logistics project (FWO-S007318N).</t>
  </si>
  <si>
    <t>978-1-64368-406-2; 978-1-64368-407-9</t>
  </si>
  <si>
    <t>10.3233/FAIA230154</t>
  </si>
  <si>
    <t>10.3233/FAIA369</t>
  </si>
  <si>
    <t>BW1GE</t>
  </si>
  <si>
    <t>WOS:001106215800023</t>
  </si>
  <si>
    <t>Zhao, P</t>
  </si>
  <si>
    <t>Zhao, Pu</t>
  </si>
  <si>
    <t>Artificial Intelligence-Based Digital Media Design Effect Enhancement Mechanism</t>
  </si>
  <si>
    <t>ADVANCES IN MULTIMEDIA</t>
  </si>
  <si>
    <t>TECHNOLOGY; ORGANIZATION; MODEL</t>
  </si>
  <si>
    <t>The advancement of AI technology has promoted the development speed of digital multimedia and brought a new experience to the digital media experience effect. In this paper, we aim to using artificial intelligence methods to enhance the digital media design experience. Specifically, we propose a method for low-light image enhancement using generative adversarial networks as a model framework. To better solve the problem, we design the following strategies in our proposed method. First, we preprocess the images into patches with a proper size. Second, we introduce the overall network structure of GAN. Third, we designed a multifeature extraction module with different sizes of convolution kernels to enhance the model's ability for extracting features. Fourth, we propose a loss that combines the mean square error distance function with the adversarial error function to enable the model to learn the distributional features of the image. Finally, we verify the effectiveness of the proposed method on two datasets, namely, PASCAL VOC and MIT-Adobe FiveK. The results show that our proposed method performs well in the process of evaluation.</t>
  </si>
  <si>
    <t>[Zhao, Pu] Xinxiang Univ, Xinxiang 453003, Peoples R China</t>
  </si>
  <si>
    <t>Xinxiang University</t>
  </si>
  <si>
    <t>Zhao, P (corresponding author), Xinxiang Univ, Xinxiang 453003, Peoples R China.</t>
  </si>
  <si>
    <t>zhaopu117@xxu.edu.cn</t>
  </si>
  <si>
    <t>1687-5680</t>
  </si>
  <si>
    <t>1687-5699</t>
  </si>
  <si>
    <t>ADV MULTIMED</t>
  </si>
  <si>
    <t>Adv. Multimed.</t>
  </si>
  <si>
    <t>APR 18</t>
  </si>
  <si>
    <t>10.1155/2023/8600543</t>
  </si>
  <si>
    <t>E9GZ6</t>
  </si>
  <si>
    <t>WOS:000978554000002</t>
  </si>
  <si>
    <t>Reynaud, H; Qiao, MY; Dombrowski, M; Day, T; Razavi, R; Gomez, A; Leeson, P; Kainz, B</t>
  </si>
  <si>
    <t>Reynaud, Hadrien; Qiao, Mengyun; Dombrowski, Mischa; Day, Thomas; Razavi, Reza; Gomez, Alberto; Leeson, Paul; Kainz, Bernhard</t>
  </si>
  <si>
    <t>Feature-Conditioned Cascaded Video Diffusion Models for Precise Echocardiogram Synthesis</t>
  </si>
  <si>
    <t>Generative; Diffusion; Video; Cardiac; Ultrasound</t>
  </si>
  <si>
    <t>Image synthesis is expected to provide value for the translation of machine learning methods into clinical practice. Fundamental problems like model robustness, domain transfer, causal modelling, and operator training become approachable through synthetic data. Especially, heavily operator-dependant modalities like Ultrasound imaging require robust frameworks for image and video generation. So far, video generation has only been possible by providing input data that is as rich as the output data, e.g., image sequence plus conditioning in -&gt; video out. However, clinical documentation is usually scarce and only single images are reported and stored, thus retrospective patient-specific analysis or the generation of rich training data becomes impossible with current approaches. In this paper, we extend elucidated diffusion models for video modelling to generate plausible video sequences from single images and arbitrary conditioning with clinical parameters. We explore this idea within the context of echocardiograms by looking into the variation of the Left Ventricle Ejection Fraction, the most essential clinical metric gained from these examinations. We use the publicly available EchoNetDynamic dataset for all our experiments. Our image to sequence approach achieves an R-2 score of 93%, which is 38 points higher than recently proposed sequence to sequence generation methods. Code and weights are available at https://github.com/HReynaud/EchoDiffusion.</t>
  </si>
  <si>
    <t>[Reynaud, Hadrien] Imperial Coll London, UKRI CDT AI Healthcare, London, England; [Reynaud, Hadrien; Qiao, Mengyun; Kainz, Bernhard] Imperial Coll London, Dept Comp, London, England; [Qiao, Mengyun] Imperial Coll London, Dept Brain Sci &amp; DSI, London, England; [Dombrowski, Mischa; Kainz, Bernhard] Friedrich Alexander Univ Erlangen Nurnberg, Erlangen, Germany; [Day, Thomas; Razavi, Reza; Gomez, Alberto] Kings Coll London, Sch BMEIS, London, England; [Day, Thomas; Razavi, Reza] Guys &amp; St Thomas NHS Fdn Trust, London, England; [Gomez, Alberto; Leeson, Paul] Ultromics Ltd, Oxford, England; [Leeson, Paul] John Radcliffe Hosp, Cardiovasc Clin Res Facil, Oxford, England</t>
  </si>
  <si>
    <t>Imperial College London; Imperial College London; Imperial College London; University of Erlangen Nuremberg; University of London; King's College London; Guy's &amp; St Thomas' NHS Foundation Trust; University of Oxford</t>
  </si>
  <si>
    <t>Reynaud, H (corresponding author), Imperial Coll London, UKRI CDT AI Healthcare, London, England.;Reynaud, H (corresponding author), Imperial Coll London, Dept Comp, London, England.</t>
  </si>
  <si>
    <t>hadrien.reynaud19@imperial.ac.uk</t>
  </si>
  <si>
    <t>Kainz, Bernhard/H-3416-2016</t>
  </si>
  <si>
    <t>Kainz, Bernhard/0000-0002-7813-5023</t>
  </si>
  <si>
    <t>Ultromics Ltd.; UKRI Centre for Doctoral Training in Artificial Intelligence for Healthcare [EP/S023283/1]; Erlangen National High Performance Computing Center (NHR@FAU) of the Friedrich-Alexander-Universitat Erlangen-Nurnberg (FAU) under the NHR project [b143dc]; German Research Foundation (DFG) [440719683]; ERC - project MIA-NORMAL [101083647]; DFG [KA 5801/2-1, INST 90/1351-1]</t>
  </si>
  <si>
    <t>Ultromics Ltd.; UKRI Centre for Doctoral Training in Artificial Intelligence for Healthcare(UK Research &amp; Innovation (UKRI)); Erlangen National High Performance Computing Center (NHR@FAU) of the Friedrich-Alexander-Universitat Erlangen-Nurnberg (FAU) under the NHR project; German Research Foundation (DFG)(German Research Foundation (DFG)); ERC - project MIA-NORMAL; DFG(German Research Foundation (DFG))</t>
  </si>
  <si>
    <t>This work was supported by Ultromics Ltd., the UKRI Centre for Doctoral Training in Artificial Intelligence for Healthcare (EP/S023283/1) and HPC resources provided by the Erlangen National High Performance Computing Center (NHR@FAU) of the Friedrich-Alexander-Universitat Erlangen-Nurnberg (FAU) under the NHR project b143dc. NHR funding is provided by federal and Bavarian state authorities. NHR@FAU hardware is partially funded by the German Research Foundation (DFG) -440719683. We thank Phil Wang (https://github.com/lucidrains) for his open source implementation of [7]. Support was also received from the ERC - project MIA-NORMAL 101083647 and DFG KA 5801/2-1, INST 90/1351-1.</t>
  </si>
  <si>
    <t>10.1007/978-3-031-43999-5_14</t>
  </si>
  <si>
    <t>WOS:001109641000014</t>
  </si>
  <si>
    <t>Huang, LH; Zheng, P</t>
  </si>
  <si>
    <t>Huang, Lihua; Zheng, Peng</t>
  </si>
  <si>
    <t>Human-Computer Collaborative Visual Design Creation Assisted by Artificial Intelligence</t>
  </si>
  <si>
    <t>ACM TRANSACTIONS ON ASIAN AND LOW-RESOURCE LANGUAGE INFORMATION PROCESSING</t>
  </si>
  <si>
    <t>Artificial intelligence; human-computer collaboration; visual design creation; cooperation mode; collaboration model; packaging design; creation system</t>
  </si>
  <si>
    <t>With the support and promotion of big data and cloud computing, AI has penetrated into every field of people's lives more and more deeply, with its characteristics of sustainablework, extremely fast computing speed, and a certain intelligence. This is an effective way to solve the general lack of demand and productivity of visual design, and relieve the pressure off designers to deal with relatively low-quality and high-demand designs. Therefore, the combination of design and artificial intelligence technology is a necessity. Research on the application of artificial intelligence technology for visual design is also in full swing at home and abroad However, at present, teams at home and abroad are in the exploratory stage. This paper considers whether it is possible to build an intelligent visual design and creation system by using artificial intelligence technology to help graphic communication designers achieve high-quality, high-efficiency, and high-quantity design output. Additionally, this paperexplores how to combine artificial intelligence technology with designers' design workflow so as to form a complementary human-computer cooperation mode. We will explore how to integrate AI technology with designers' design workflow and then create a human-machine collaboration model with complementary advantages to achieve the high quality, high efficiency, and high quantity of design output required by the intelligent visual design creation system being built. Finally, a basic framework of a generative smart human-computer collaborative visual design creation system based on a subset of neural network expert systems in multiple domains and an aggregate of different modules supported by the system is formed, and the working principle and usage process of the system are further elaborated with the example of packaging design.</t>
  </si>
  <si>
    <t>[Huang, Lihua; Zheng, Peng] Jiangxi Univ Technol, Dept Art &amp; Design, Ziyang Ave, Nanchang 330098, Jiangxi, Peoples R China</t>
  </si>
  <si>
    <t>Huang, LH (corresponding author), Jiangxi Univ Technol, Dept Art &amp; Design, Ziyang Ave, Nanchang 330098, Jiangxi, Peoples R China.</t>
  </si>
  <si>
    <t>dwhhlh760727@126.com</t>
  </si>
  <si>
    <t>General project of the 14th Five-year Plan of Education Science in Jiangxi Province, research on the Integration of Jiangxi Rural Folk Culture and Art Education wisdom in Colleges and Universities under the Background of Cultural Confidence [21YB225]</t>
  </si>
  <si>
    <t>General project of the 14th Five-year Plan of Education Science in Jiangxi Province, research on the Integration of Jiangxi Rural Folk Culture and Art Education wisdom in Colleges and Universities under the Background of Cultural Confidence</t>
  </si>
  <si>
    <t>General project of the 14th Five-year Plan of Education Science in Jiangxi Province, research on the Integration of Jiangxi Rural Folk Culture and Art Education wisdom in Colleges and Universities under the Background of Cultural Confidence (Project No. 21YB225).</t>
  </si>
  <si>
    <t>2375-4699</t>
  </si>
  <si>
    <t>2375-4702</t>
  </si>
  <si>
    <t>ACM T ASIAN LOW-RESO</t>
  </si>
  <si>
    <t>ACM Trans. Asian Low-Resour. Lang. Inf. Process.</t>
  </si>
  <si>
    <t>10.1145/3554735</t>
  </si>
  <si>
    <t>T7EN7</t>
  </si>
  <si>
    <t>WOS:001079577300001</t>
  </si>
  <si>
    <t>Sami, M; Sami, A; Barclay, P</t>
  </si>
  <si>
    <t>Sami, Mansour; Sami, Ashkan; Barclay, Pete</t>
  </si>
  <si>
    <t>A case study of fairness in generated images of Large Language Models for Software Engineering tasks</t>
  </si>
  <si>
    <t>Large Language Models; bias; gender diversity; Generative images; DALL-E-2</t>
  </si>
  <si>
    <t>Bias in Large Language Models (LLMs) has significant implications. Since they have revolutionized content creation on the web, they can lead to more unfair outcomes, lack of inclusivity, reinforcement of stereotypes and ethical and legal concerns. Notably, OpenAI has recently made claims they have introduced a new technique to ensure that DALL-E-2 generates images of people accurately reflect the diversity of the world's population. In order to investigate bias within the field of Software Engineering, the study utilized DALL-E-2 image generation to assess 56 tasks related to software engineering. Another objective was to determine the impact of OpenAI's new measures on the generated images for these specific tasks. Two sets of experiments were conducted. In one set, the tasks were prefixed with the clause As a Software Engineer, while in the other set, only the tasks themselves were used. The tasks were presented in a gender-neutral manner, and the AI was instructed to generate images for each task 20 times. For a female-dominant task of doing administrative tasks, 40 more images were generated. The study revealed a large gender bias in the 2,280 images generated. For instance, in the subset of experiments with prompts explicitly incorporating the phrase As a software engineer, only 2% of the generated images portrayed female protagonists. In all the images in this setting, male protagonists were dominant and in 45 tasks 100% of the protagonists were male. Notably, images generated without the prefixed clause only had more female protagonists in 'provide comments on project milestones' and 'provide enhancements', while other tasks did not exhibit a similar pattern. The findings emphasize unsuitability of implemented guardrails and the importance of further research on LLMs assessments. Further research is needed in LLMs to find out where their guardrails fail so companies can address them properly.</t>
  </si>
  <si>
    <t>[Sami, Mansour; Sami, Ashkan; Barclay, Pete] Edinburg Napier Univ, Comp Sci Subject Grp, Edinburgh, Midlothian, Scotland</t>
  </si>
  <si>
    <t>Edinburgh Napier University</t>
  </si>
  <si>
    <t>Sami, M (corresponding author), Edinburg Napier Univ, Comp Sci Subject Grp, Edinburgh, Midlothian, Scotland.</t>
  </si>
  <si>
    <t>this.is.mansoursami@gmail.com; a.sami@napier.ac.uk; p.barclay@napier.ac.uk</t>
  </si>
  <si>
    <t>10.1109/ICSME58846.2023.00051</t>
  </si>
  <si>
    <t>WOS:001125977500039</t>
  </si>
  <si>
    <t>Li, WY; Chen, XL; Wang, J; Chen, BQ</t>
  </si>
  <si>
    <t>Li, Weiyu; Chen, Xuelin; Wang, Jue; Chen, Baoquan</t>
  </si>
  <si>
    <t>Patch-based 3D Natural Scene Generation from a Single Example</t>
  </si>
  <si>
    <t>We target a 3D generative model for general natural scenes that are typically unique and intricate. Lacking the necessary volumes of training data, along with the difficulties of having ad hoc designs in presence of varying scene characteristics, renders existing setups intractable. Inspired by classical patch-based image models, we advocate for synthesizing 3D scenes at the patch level, given a single example. At the core of this work lies important algorithmic designs w.r.t the scene representation and generative patch nearest-neighbor module, that address unique challenges arising from lifting classical 2D patch-based framework to 3D generation. These design choices, on a collective level, contribute to a robust, effective, and efficient model that can generate high-quality general natural scenes with both realistic geometric structure and visual appearance, in large quantities and varieties, as demonstrated upon a variety of exemplar scenes. Data and code can be found at http://wyysf-98.github.io/Sin3DGen.</t>
  </si>
  <si>
    <t>[Li, Weiyu] Shandong Univ, Jinan, Peoples R China; [Chen, Xuelin; Wang, Jue] Tencent AI Lab, Beijing, Peoples R China; [Chen, Baoquan] Peking Univ, Beijing, Peoples R China</t>
  </si>
  <si>
    <t>Shandong University; Tencent; Peking University</t>
  </si>
  <si>
    <t>Chen, XL (corresponding author), Tencent AI Lab, Beijing, Peoples R China.</t>
  </si>
  <si>
    <t>National Key R&amp;D Program of China [2022ZD0160801]</t>
  </si>
  <si>
    <t>National Key R&amp;D Program of China</t>
  </si>
  <si>
    <t>This work was supported in part by National Key R&amp;D Program of China 2022ZD0160801.</t>
  </si>
  <si>
    <t>10.1109/CVPR52729.2023.01608</t>
  </si>
  <si>
    <t>WOS:001062531301007</t>
  </si>
  <si>
    <t>Choudhury, A; Shamszare, H</t>
  </si>
  <si>
    <t>Choudhury, Avishek; Shamszare, Hamid</t>
  </si>
  <si>
    <t>Investigating the Impact of User Trust on the Adoption and Use of ChatGPT: Survey Analysis</t>
  </si>
  <si>
    <t>ChatGPT; trust in AI; artificial intelligence; technology adoption; behavioral intention; chatbot; human factors; trust; adoption; intent; survey; shared accountability; AI policy</t>
  </si>
  <si>
    <t>PLS-SEM</t>
  </si>
  <si>
    <t>Background: ChatGPT (Chat Generative Pre-trained Transformer) has gained popularity for its ability to generate human-like responses. It is essential to note that overreliance or blind trust in ChatGPT, especially in high-stakes decision-making contexts, can have severe consequences. Similarly, lacking trust in the technology can lead to underuse, resulting in missed opportunities. Objective: This study investigated the impact of users' trust in ChatGPT on their intent and actual use of the technology. Four hypotheses were tested: (1) users' intent to use ChatGPT increases with their trust in the technology; (2) the actual use of ChatGPT increases with users' intent to use the technology; (3) the actual use of ChatGPT increases with users' trust in the technology; and (4) users' intent to use ChatGPT can partially mediate the effect of trust in the technology on its actual use. Methods: This study distributed a web-based survey to adults in the United States who actively use ChatGPT (version 3.5) at least once a month between February 2023 through March 2023. The survey responses were used to develop 2 latent constructs: Trust and Intent to Use , with Actual Use being the outcome variable. The study used partial least squares structural equation modeling to evaluate and test the structural model and hypotheses. Results: In the study, 607 respondents completed the survey. The primary uses of ChatGPT were for information gathering (n=219, 36.1%), entertainment (n=203, 33.4%), and problem-solving (n=135, 22.2%), with a smaller number using it for health-related queries (n=44, 7.2%) and other activities (n=6, 1%). Our model explained 50.5% and 9.8% of the variance in Intent to Use and Actual Use , respectively, with path coefficients of 0.711 and 0.221 for Trust on Intent to Use and Actual Use, respectively. The bootstrapped results failed to reject all 4 null hypotheses, with Trust having a significant direct effect on both Intent to Use (beta=0.711, 95% CI 0.656-0.764) and Actual Use (beta=0.302, 95% CI 0.229-0.374). The indirect effect of Trust on Actual Use , partially mediated by Intent to Use , was also significant (beta=0.113, 95% CI 0.001-0.227). Conclusions: Our results suggest that trust is critical to users' adoption of ChatGPT. It remains crucial to highlight that ChatGPT was not initially designed for health care applications. Therefore, an overreliance on it for health-related advice could potentially lead to misinformation and subsequent health risks. Efforts must be focused on improving the ChatGPT's ability to distinguish between queries that it can safely handle and those that should be redirected to human experts (health care professionals). Although risks are associated with excessive trust in artificial intelligence-driven chatbots such as ChatGPT, the potential risks can be reduced by advocating for shared accountability and fostering collaboration between developers, subject matter experts, and human factors researchers.</t>
  </si>
  <si>
    <t>[Choudhury, Avishek; Shamszare, Hamid] West Virginia Univ, Ind &amp; Management Syst Engn, Benjamin M Statler Coll Engn &amp; Mineral Resources, Morgantown, WV USA; [Choudhury, Avishek] West Virginia Univ, Benjamin M Statler Coll Engn &amp; Mineral Resources, Ind &amp; Management Syst Engn, 321 Engn Sci Bldg,1306 Evansdale Dr, Morgantown, WV 26506 USA</t>
  </si>
  <si>
    <t>Choudhury, A (corresponding author), West Virginia Univ, Benjamin M Statler Coll Engn &amp; Mineral Resources, Ind &amp; Management Syst Engn, 321 Engn Sci Bldg,1306 Evansdale Dr, Morgantown, WV 26506 USA.</t>
  </si>
  <si>
    <t>Choudhury, Avishek/0000-0002-5342-0709; Shamszare, Hamid/0009-0007-7786-3452</t>
  </si>
  <si>
    <t>JUN 14</t>
  </si>
  <si>
    <t>e47184</t>
  </si>
  <si>
    <t>10.2196/47184</t>
  </si>
  <si>
    <t>L3OV8</t>
  </si>
  <si>
    <t>WOS:001022396100002</t>
  </si>
  <si>
    <t>Ristea, NC; Miron, AI; Savencu, O; Georgescu, MI; Verga, N; Khan, FS; Ionescu, RT</t>
  </si>
  <si>
    <t>Ristea, Nicolae-Catalin; Miron, Andreea-Iuliana; Savencu, Olivian; Georgescu, Mariana-Iuliana; Verga, Nicolae; Khan, Fahad Shahbaz; Ionescu, Radu Tudor</t>
  </si>
  <si>
    <t>CyTran: A cycle-consistent transformer with multi-level consistency for non-contrast to contrast CT translation</t>
  </si>
  <si>
    <t>Transformers; Generative adversarial transformers; Deep learning; Cycle-consistency; Image translation; Image registration; Computed tomography; Triphasic lung CT</t>
  </si>
  <si>
    <t>We propose a novel approach to translate unpaired contrast computed tomography (CT) scans to noncontrast CT scans and the other way around. Solving this task has two important applications: (i) to automatically generate contrast CT scans for patients for whom injecting contrast substance is not an option, and (ii) to enhance the alignment between contrast and non-contrast CT by reducing the differences induced by the contrast substance before registration.Our approach is based on cycle-consistent generative adversarial convolutional transformers, for short, CyTran. Our neural model can be trained on unpaired images, due to the integration of a multi-level cycleconsistency loss. Aside from the standard cycle-consistency loss applied at the image level, we propose to apply additional cycle-consistency losses between intermediate feature representations, which enforces the model to be cycle-consistent at multiple representations levels, leading to superior results. To deal with high-resolution images, we design a hybrid architecture based on convolutional and multi-head attention layers. In addition, we introduce a novel data set, Coltea-Lung-CT-100W, containing 100 3D triphasic lung CT scans (with a total of 37,290 images) collected from 100 female patients (there is one examination per patient). Each scan contains three phases (non-contrast, early portal venous, and late arterial), allowing us to perform experiments to compare our novel approach with state-of-the-art methods for image style transfer.Our empirical results show that CyTran outperforms all competing methods. Moreover, we show that CyTran can be employed as a preliminary step to improve a state-of-the-art medical image alignment method. We release our novel model and data set as open source at: https://github.com/ristea/cycletransformer.Our qualitative and subjective human evaluations reveal that CyTran is the only approach that does not introduce visual artifacts during the translation process. We believe this is a key advantage in our application domain, where medical images need to precisely represent the scanned body parts. (c) 2023 Elsevier B.V. All rights reserved.</t>
  </si>
  <si>
    <t>[Ristea, Nicolae-Catalin; Georgescu, Mariana-Iuliana; Ionescu, Radu Tudor] Univ Bucharest, Dept Comp Sci, Bucharest, Romania; [Ristea, Nicolae-Catalin] Univ Politehn Bucuresti, Dept Telecommun, Bucharest, Romania; [Ristea, Nicolae-Catalin; Khan, Fahad Shahbaz] Mohamed bin Zayed Univ Artificial Intelligence, Abu Dhabi, U Arab Emirates; [Miron, Andreea-Iuliana; Savencu, Olivian; Verga, Nicolae] Coltea Hosp, Bucharest, Romania; [Miron, Andreea-Iuliana; Savencu, Olivian; Verga, Nicolae] Carol Davila Univ Med &amp; Pharm, Bucharest, Romania; [Khan, Fahad Shahbaz] Linkoping Univ, CVL, Linkoping, Sweden; [Ionescu, Radu Tudor] Univ Bucharest, Romanian Young Acad, Bucharest, Romania</t>
  </si>
  <si>
    <t>University of Bucharest; National University of Science &amp; Technology POLITEHNICA Bucharest; Mohamed Bin Zayed University of Artificial Intelligence; Carol Davila University of Medicine &amp; Pharmacy; Linkoping University; University of Bucharest</t>
  </si>
  <si>
    <t>Ionescu, RT (corresponding author), Univ Bucharest, Dept Comp Sci, Bucharest, Romania.</t>
  </si>
  <si>
    <t>raducu.ionescu@gmail.com</t>
  </si>
  <si>
    <t>Khan, Fahad Shahbaz/ABD-6646-2021; Ionescu (Miron), Andreea Iuliana/ABH-2309-2022; Ionescu, Radu/AAF-6493-2020; Verga, Nicolae I./V-7405-2017</t>
  </si>
  <si>
    <t>Khan, Fahad Shahbaz/0000-0002-4263-3143; Ionescu (Miron), Andreea Iuliana/0009-0000-1494-3331; Ionescu, Radu/0000-0002-9301-1950; Verga, Nicolae I./0000-0002-2782-972X</t>
  </si>
  <si>
    <t>project ELO-Hyp [24/2020]; Alexander von Humboldt Foundation; Stiftung Mercator; NO Grants; Romanian Young Academy</t>
  </si>
  <si>
    <t>project ELO-Hyp; Alexander von Humboldt Foundation(Alexander von Humboldt Foundation); Stiftung Mercator; NO Grants; Romanian Young Academy</t>
  </si>
  <si>
    <t>The research leading to these results has received funding from the NO Grants 2014-2021, under project ELO-Hyp contract No. 24/2020. This article has also benefited from the support of the Romanian Young Academy, which is funded by Stiftung Mercator and the Alexander von Humboldt Foundation for the period 2020-2022.</t>
  </si>
  <si>
    <t>10.1016/j.neucom.2023.03.072</t>
  </si>
  <si>
    <t>F3DE8</t>
  </si>
  <si>
    <t>WOS:000981177000001</t>
  </si>
  <si>
    <t>Allen, RB</t>
  </si>
  <si>
    <t>Goh, DH; Chen, SJ; Tuarob, S</t>
  </si>
  <si>
    <t>Allen, Robert B.</t>
  </si>
  <si>
    <t>Using Causal Threads to Explain Changes in a Dynamic System</t>
  </si>
  <si>
    <t>LEVERAGING GENERATIVE INTELLIGENCE IN DIGITAL LIBRARIES: TOWARDS HUMAN-MACHINE COLLABORATION, ICADL 2023, PT II</t>
  </si>
  <si>
    <t>25th International Conference on Asia-Pacific Digital Libraries (ICADL)</t>
  </si>
  <si>
    <t>Causation; Direct Representation; Discourse Dynamic Knowledge Graphs; Geology; Generative AI; Lexical Semantics; Multithreaded Explanations; Rules; Scientific Explanations; Semantic UML; User and Session Models; Visualization</t>
  </si>
  <si>
    <t>We explore developing rich semantic models of systems. Specifically we consider structured causal explanations about state changes in those systems. Essentially, we are developing process-based dynamic knowledge graphs. As an example, we construct a model of the causal threads for geological changes proposed by the Snowball Earth theory. Further, we describe an early prototype of a graphical interface to present the explanations. Unlike statistical approaches to summarization and explanation such as Large Language Models (LLMs), our approach of direct representation can be inspected and verified directly.</t>
  </si>
  <si>
    <t>rba@boballen.info</t>
  </si>
  <si>
    <t>978-981-99-8087-1; 978-981-99-8088-8</t>
  </si>
  <si>
    <t>10.1007/978-981-99-8088-8_18</t>
  </si>
  <si>
    <t>Computer Science, Information Systems; Computer Science, Interdisciplinary Applications; Information Science &amp; Library Science</t>
  </si>
  <si>
    <t>Computer Science; Information Science &amp; Library Science</t>
  </si>
  <si>
    <t>BW5HH</t>
  </si>
  <si>
    <t>WOS:001160706600018</t>
  </si>
  <si>
    <t>Guerra, GA; Hofmann, H; Sobhani, S; Hofmann, G; Gomez, D; Soroudi, D; Hopkins, BS; Dallas, J; Pangal, DJ; Cheok, S; Nguyen, VN; Mack, WJ; Zada, G</t>
  </si>
  <si>
    <t>Guerra, Gage A.; Hofmann, Hayden; Sobhani, Sina; Hofmann, Grady; Gomez, David; Soroudi, Daniel; Hopkins, Benjamin S.; Dallas, Jonathan; Pangal, Dhiraj J.; Cheok, Stephanie; Nguyen, Vincent N.; Mack, William J.; Zada, Gabriel</t>
  </si>
  <si>
    <t>GPT-4 Artificial Intelligence Model Outperforms ChatGPT, Medical Students, and Neurosurgery Residents on Neurosurgery Written Board-Like Questions</t>
  </si>
  <si>
    <t>WORLD NEUROSURGERY</t>
  </si>
  <si>
    <t>Artificial intelligence; ChatGPT; GPT-4; Machine learning; Neurosurgical boards; Neurosurgical training; SANS question</t>
  </si>
  <si>
    <t>-BACKGROUND: Artificial intelligence (AI) and machine learning have transformed health care with applications in various specialized fields. Neurosurgery can benefit from artificial intelligence in surgical planning, predicting patient outcomes, and analyzing neuroimaging data. GPT-4, an -pdated language model with additional training parameters, has exhibited exceptional performance on standardized exams. This study examines GPT-4's competence on neurosurgical board-style questions, comparing its performance with medical students and residents, to explore its potential in medical education and clinical decision-making.-METHODS: GPT-4's performance was examined on 643 Congress of Neurological Surgeons Self-Assessment Neurosurgery Exam (SANS) board-style questions from various neurosurgery subspecialties. Of these, 477 were text-based and 166 contained images. GPT-4 refused to answer 52 questions that contained no text. The remaining 591 questions were inputted into GPT-4, and its performance was evaluated based on first-time responses. Raw scores were analyzed across subspecialties and question types, and then compared to previous findings on Chat Generative pre-trained transformer performance against SANS users, medical students, and neurosurgery residents.-RESULTS: GPT-4 attempted 91.9% of Congress of Neurological Surgeons SANS questions and achieved 76.6% accuracy. The model's accuracy increased to 79.0% for text-only questions. GPT-4 outperformed Chat Generative pre-trained transformer (P &lt; 0.001) and scored highest in pain/peripheral nerve (84%) and lowest in spine (73%) categories. It exceeded the performance of medical students (26.3%), neurosurgery residents (61.5%), and the national average of SANS users (69.3%) across all categories.-CONCLUSIONS: GPT-4 significantly outperformed medical students, neurosurgery residents, and the national average of SANS users. The mode's accuracy suggests potential applications in educational settings and clinical decision-making, enhancing provider efficiency, and improving patient care.</t>
  </si>
  <si>
    <t>[Guerra, Gage A.; Hofmann, Hayden; Sobhani, Sina; Gomez, David; Hopkins, Benjamin S.; Dallas, Jonathan; Pangal, Dhiraj J.; Cheok, Stephanie; Nguyen, Vincent N.; Mack, William J.; Zada, Gabriel] Univ Southern Calif, Dept Neurosurg, Los Angeles, CA 90007 USA; [Hofmann, Grady] Stanford Univ, Dept Biol, Palo Alto, CA USA; [Soroudi, Daniel] Univ Calif San Francisco, Sch Med, San Francisco, CA USA</t>
  </si>
  <si>
    <t>University of Southern California; Stanford University; University of California System; University of California San Francisco</t>
  </si>
  <si>
    <t>Guerra, GA (corresponding author), Univ Southern Calif, Dept Neurosurg, Los Angeles, CA 90007 USA.</t>
  </si>
  <si>
    <t>gageguer@usc.edu</t>
  </si>
  <si>
    <t>Gomez, David/0000-0003-3612-661X; Soroudi, Daniel/0009-0001-4022-7555; , Hayden/0009-0003-6751-7573; Sobhani, Sina/0000-0001-9089-4148</t>
  </si>
  <si>
    <t>1878-8750</t>
  </si>
  <si>
    <t>1878-8769</t>
  </si>
  <si>
    <t>WORLD NEUROSURG</t>
  </si>
  <si>
    <t>World Neurosurg.</t>
  </si>
  <si>
    <t>E160</t>
  </si>
  <si>
    <t>E165</t>
  </si>
  <si>
    <t>10.1016/j.wneu.2023.08.042</t>
  </si>
  <si>
    <t>Clinical Neurology; Surgery</t>
  </si>
  <si>
    <t>Neurosciences &amp; Neurology; Surgery</t>
  </si>
  <si>
    <t>Y4EE5</t>
  </si>
  <si>
    <t>WOS:001104803500001</t>
  </si>
  <si>
    <t>Den, Y; Wang, BY; Shum, HY</t>
  </si>
  <si>
    <t>Den, Yu; Wang, Baoyuan; Shum, Heung-Yeung</t>
  </si>
  <si>
    <t>Learning Detailed Radiance Manifolds for High-Fidelity and 3D-Consistent Portrait Synthesis from Monocular Image</t>
  </si>
  <si>
    <t>A key challenge for novel view synthesis of monocular portrait images is 3D consistency under continuous pose variations. Most existing methods rely on 2D generative models which often leads to obvious 3D inconsistency artifacts. We present a 3D-consistent novel view synthesis approach for monocular portrait images based on a recent proposed 3D-aware GAN, namely Generative Radiance Manifolds (GRAM) [13], which has shown strong 3D consistency at multiview image generation of virtual subjects via the radiance manifolds representation. However, simply learning an encoder to map a real image into the latent space of GRAM can only reconstruct coarse radiance manifolds without faithful fine details, while improving the reconstruction fidelity via instance-specific optimization is time-consuming. We introduce a novel detail manifolds reconstructor to learn 3D-consistent fine details on the radiance manifolds from monocular images, and combine them with the coarse radiance manifolds for high-fidelity reconstruction. The 3D priors derived from the coarse radiance manifolds are used to regulate the learned details to ensure reasonable synthesized results at novel views. Trained on in-the-wild 2D images, our method achieves high-fidelity and 3D-consistent portrait synthesis largely outperforming the prior art. Project page: https://yudeng.github.io/GRAMInverter/</t>
  </si>
  <si>
    <t>[Den, Yu; Wang, Baoyuan; Shum, Heung-Yeung] Xiaobing AI, Beijing, Peoples R China</t>
  </si>
  <si>
    <t>Den, Y (corresponding author), Xiaobing AI, Beijing, Peoples R China.</t>
  </si>
  <si>
    <t>10.1109/CVPR52729.2023.00430</t>
  </si>
  <si>
    <t>WOS:001058542604073</t>
  </si>
  <si>
    <t>You, A; Parayil, N; Krishna, JG; Bhattarai, U; Sapkota, R; Ahmed, D; Whiting, M; Karkee, M; Grimm, CM; Davidson, JR</t>
  </si>
  <si>
    <t>You, Alexander; Parayil, Nidhi; Krishna, Josyula Gopala; Bhattarai, Uddhav; Sapkota, Ranjan; Ahmed, Dawood; Whiting, Matthew; Karkee, Manoj; Grimm, Cindy M.; Davidson, Joseph R.</t>
  </si>
  <si>
    <t>Semiautonomous Precision Pruning of Upright Fruiting Offshoot Orchard Systems An Integrated Approach</t>
  </si>
  <si>
    <t>IEEE ROBOTICS &amp; AUTOMATION MAGAZINE</t>
  </si>
  <si>
    <t>Robots; Vegetation; Cameras; Robot vision systems; Three-dimensional displays; Optical flow; Generative adversarial networks</t>
  </si>
  <si>
    <t>Dormant pruning is an important orchard activity for maintaining tree health and producing high-quality fruit. Due to decreasing worker availability, pruning is a prime candidate for robotics. However, pruning also represents a uniquely difficult problem, requiring robust systems for perception, pruning point determination, and manipulation that must operate under variable lighting conditions and in complex, highly unstructured environments. In this article, we introduce a system for pruning modern planar orchard architectures with simple pruning rules that combines various subsystems from our previous work on perception and manipulation. The integrated system demonstrates the ability to autonomously detect and cut pruning targets with minimal control of the environment, laying the groundwork for a fully autonomous system in the future. We validate the performance of our system through field trials in a sweet cherry orchard, ultimately achieving a cutting success rate of 58% across 10 trees. Though not fully robust and requiring improvements in throughput, our system is the first to operate on fruit trees and represents a useful base platform to be improved in the future.</t>
  </si>
  <si>
    <t>[You, Alexander; Parayil, Nidhi; Krishna, Josyula Gopala; Davidson, Joseph R.] Oregon State Univ, Collaborat Robot &amp; Intelligent Syst Inst, Corvallis, OR 97331 USA; [Bhattarai, Uddhav; Sapkota, Ranjan; Ahmed, Dawood; Whiting, Matthew; Karkee, Manoj] Washington State Univ, Ctr Precis &amp; Automated Agr Syst, Prosser, WA 99350 USA</t>
  </si>
  <si>
    <t>Oregon State University; Washington State University</t>
  </si>
  <si>
    <t>You, A (corresponding author), Oregon State Univ, Collaborat Robot &amp; Intelligent Syst Inst, Corvallis, OR 97331 USA.</t>
  </si>
  <si>
    <t>youa@oregonstate.edu; parayiln@oregonstate.edu; josyulag@oregonstate.edu; uddhav.bhattarai@wsu.edu; ranjan.sapkota@wsu.edu; dawood.ahmed@wsu.edu; mdwhiting@wsu.edu; manoj.karkee@wsu.edu; cindy.grimm@oregonstate.edu; joseph.davidson@oregonstate.edu</t>
  </si>
  <si>
    <t>Karkee, Manoj/0000-0001-5337-4848; Josyula, Gopala Krishna/0000-0001-7349-3035; Grimm, Cindy/0000-0002-1711-7112; Davidson, Joseph/0000-0003-4388-2210</t>
  </si>
  <si>
    <t>U.S. Department of Agriculture National Institute of Food and Agriculture (USDA-NIFA) through the Agriculture and Food Research Initiative, Agricultural Engineering Program; Artificial Intelligence (AI) Research Institutes program - National Science Foundation; USDA-NIFA under AI Institute [2020-67021-31958]; [2021-67021-35344]</t>
  </si>
  <si>
    <t>U.S. Department of Agriculture National Institute of Food and Agriculture (USDA-NIFA) through the Agriculture and Food Research Initiative, Agricultural Engineering Program; Artificial Intelligence (AI) Research Institutes program - National Science Foundation; USDA-NIFA under AI Institute;</t>
  </si>
  <si>
    <t>This research is supported in part by U.S. Department of Agriculture National Institute of Food and Agriculture (USDA-NIFA) through the Agriculture and Food Research Initiative, Agricultural Engineering Program &amp; nbsp;(Award 2020-67021-31958), and the Artificial Intelligence (AI) Research Institutes program supported by National Science Foundation and USDA-NIFA under the AI Institute: Agricultural AI for Transforming Workforce and Decision Support (Award 2021-67021-35344).</t>
  </si>
  <si>
    <t>1070-9932</t>
  </si>
  <si>
    <t>1558-223X</t>
  </si>
  <si>
    <t>IEEE ROBOT AUTOM MAG</t>
  </si>
  <si>
    <t>IEEE Robot. Autom. Mag.</t>
  </si>
  <si>
    <t>10.1109/MRA.2023.3309098</t>
  </si>
  <si>
    <t>Automation &amp; Control Systems; Robotics</t>
  </si>
  <si>
    <t>EY7T2</t>
  </si>
  <si>
    <t>WOS:001068968400001</t>
  </si>
  <si>
    <t>Kim, DY; Oh, HW; Suh, CH</t>
  </si>
  <si>
    <t>Kim, Dong Yeong; Oh, Hyun Woo; Suh, Chong Hyun</t>
  </si>
  <si>
    <t>Reporting Quality of Research Studies on AI Applications in Medical Images According to the CLAIM Guidelines in a Radiology Journal With a Strong Prominence in Asia</t>
  </si>
  <si>
    <t>Reporting quality; Artificial intelligence; Medical imaging; CLAIM guidelines; Asia</t>
  </si>
  <si>
    <t>CONVOLUTIONAL NEURAL-NETWORK; DEEP LEARNING ALGORITHM; GENERATIVE ADVERSARIAL NETWORK; ARTIFICIAL-INTELLIGENCE; CHEST RADIOGRAPHS; DIAGNOSTIC PERFORMANCE; AUTOMATED SEGMENTATION; NOISE-REDUCTION; CT ANGIOGRAPHY; RIB FRACTURES</t>
  </si>
  <si>
    <t>Objective: We aimed to evaluate the reporting quality of research articles that applied deep learning to medical imaging. Using the Checklist for Artificial Intelligence in Medical Imaging (CLAIM) guidelines and a journal with prominence in Asia as a sample, we intended to provide an insight into reporting quality in the Asian region and establish a journal-specific audit.Materials and Methods: A total of 38 articles published in the Korean Journal of Radiology between June 2018 and January 2023 were analyzed. The analysis included calculating the percentage of studies that adhered to each CLAIM item and identifying items that were met by &lt;= 50% of the studies. The article review was initially conducted independently by two reviewers, and the consensus results were used for the final analysis. We also compared adherence rates to CLAIM before and after December 2020.Results: Of the 42 items in the CLAIM guidelines, 12 items (29%) were satisfied by &lt;= 50% of the included articles. None of the studies reported handling missing data (item #13). Only one study respectively presented the use of de-identification methods (#12), intended sample size (#19), robustness or sensitivity analysis (#30), and full study protocol (#41). Of the studies, 35% reported the selection of data subsets (#10), 40% reported registration information (#40), and 50% measured inter and intrarater variability (#18). No significant changes were observed in the rates of adherence to these 12 items before and after December 2020.Conclusion: The reporting quality of artificial intelligence studies according to CLAIM guidelines, in our study sample, showed room for improvement. We recommend that the authors and reviewers have a solid understanding of the relevant reporting guidelines and ensure that the essential elements are adequately reported when writing and reviewing the manuscripts for publication.</t>
  </si>
  <si>
    <t>[Kim, Dong Yeong; Suh, Chong Hyun] Univ Ulsan, Coll Med, Asan Med Ctr, Dept Radiol, Seoul, South Korea; [Kim, Dong Yeong; Suh, Chong Hyun] Univ Ulsan, Coll Med, Res Inst Radiol, Asan Med Ctr, Seoul, South Korea; [Oh, Hyun Woo] NAVER Inc, Seongnam, South Korea; [Suh, Chong Hyun] Univ Ulsan, Coll Med, Asan Med Ctr, Dept Radiol, 88 Olymp-Ro 43-Gil, Seoul 05505, South Korea; [Suh, Chong Hyun] Univ Ulsan, Res Inst Radiol, Coll Med, Asan Med Ctr, 88 Olymp-Ro 43-Gil, Seoul 05505, South Korea</t>
  </si>
  <si>
    <t>University of Ulsan; Asan Medical Center; University of Ulsan; University of Ulsan; University of Ulsan</t>
  </si>
  <si>
    <t>Suh, CH (corresponding author), Univ Ulsan, Coll Med, Asan Med Ctr, Dept Radiol, 88 Olymp-Ro 43-Gil, Seoul 05505, South Korea.;Suh, CH (corresponding author), Univ Ulsan, Res Inst Radiol, Coll Med, Asan Med Ctr, 88 Olymp-Ro 43-Gil, Seoul 05505, South Korea.</t>
  </si>
  <si>
    <t>chonghyunsuh@amc.seoul.kr</t>
  </si>
  <si>
    <t>Kim, Dong Yeong/HTS-5884-2023</t>
  </si>
  <si>
    <t>Oh, Hyunwoo/0009-0006-7809-2808</t>
  </si>
  <si>
    <t>National Research Foundation of Korea [NRF-2021R1C1C1014413]</t>
  </si>
  <si>
    <t>National Research Foundation of Korea(National Research Foundation of Korea)</t>
  </si>
  <si>
    <t>Funding Statement This work was supported by the National Research Foundation of Korea (NRF-2021R1C1C1014413) .</t>
  </si>
  <si>
    <t>10.3348/kjr.2023.1027</t>
  </si>
  <si>
    <t>Z5WT2</t>
  </si>
  <si>
    <t>WOS:001112781700007</t>
  </si>
  <si>
    <t>Levkovich, I; Elyoseph, Z</t>
  </si>
  <si>
    <t>Levkovich, Inbar; Elyoseph, Zohar</t>
  </si>
  <si>
    <t>Identifying depression and its determinants upon initiating treatment: ChatGPT versus primary care physicians</t>
  </si>
  <si>
    <t>FAMILY MEDICINE AND COMMUNITY HEALTH</t>
  </si>
  <si>
    <t>Depression; Family Health; Family Practice; General Practice; Mental Health</t>
  </si>
  <si>
    <t>HEALTH-CARE; PREFERENCES; MANAGEMENT; EPISODE; ANXIETY; RISK</t>
  </si>
  <si>
    <t>Objective To compare evaluations of depressive episodes and suggested treatment protocols generated by Chat Generative Pretrained Transformer (ChatGPT)-3 and ChatGPT-4 with the recommendations of primary care physicians.Methods Vignettes were input to the ChatGPT interface. These vignettes focused primarily on hypothetical patients with symptoms of depression during initial consultations. The creators of these vignettes meticulously designed eight distinct versions in which they systematically varied patient attributes (sex, socioeconomic status (blue collar worker or white collar worker) and depression severity (mild or severe)). Each variant was subsequently introduced into ChatGPT-3.5 and ChatGPT-4. Each vignette was repeated 10 times to ensure consistency and reliability of the ChatGPT responses.Results For mild depression, ChatGPT-3.5 and ChatGPT-4 recommended psychotherapy in 95.0% and 97.5% of cases, respectively. Primary care physicians, however, recommended psychotherapy in only 4.3% of cases. For severe cases, ChatGPT favoured an approach that combined psychotherapy, while primary care physicians recommended a combined approach. The pharmacological recommendations of ChatGPT-3.5 and ChatGPT-4 showed a preference for exclusive use of antidepressants (74% and 68%, respectively), in contrast with primary care physicians, who typically recommended a mix of antidepressants and anxiolytics/hypnotics (67.4%). Unlike primary care physicians, ChatGPT showed no gender or socioeconomic biases in its recommendations.Conclusion ChatGPT-3.5 and ChatGPT-4 aligned well with accepted guidelines for managing mild and severe depression, without showing the gender or socioeconomic biases observed among primary care physicians. Despite the suggested potential benefit of using atificial intelligence (AI) chatbots like ChatGPT to enhance clinical decision making, further research is needed to refine AI recommendations for severe cases and to consider potential risks and ethical issues.</t>
  </si>
  <si>
    <t>[Levkovich, Inbar] Oranim Acad Coll, Tivon, Israel; [Elyoseph, Zohar] Max Stern Acad Coll Emek Yezreel, Dept Psychol &amp; Educ Counseling, Emek Yezreel, Israel; [Elyoseph, Zohar] Imperial Coll London, Dept Brain Sci, London, England</t>
  </si>
  <si>
    <t>Levkovich, I (corresponding author), Oranim Acad Coll, Tivon, Israel.</t>
  </si>
  <si>
    <t>inbar.lev2@gmail.com</t>
  </si>
  <si>
    <t>Elyoseph, Zohar/0000-0002-5717-4074</t>
  </si>
  <si>
    <t>2305-6983</t>
  </si>
  <si>
    <t>2009-8774</t>
  </si>
  <si>
    <t>FAM MED COMMUNITY HE</t>
  </si>
  <si>
    <t>Fam. Med. Community Health</t>
  </si>
  <si>
    <t>e002391</t>
  </si>
  <si>
    <t>10.1136/fmch-2023-002391</t>
  </si>
  <si>
    <t>Primary Health Care</t>
  </si>
  <si>
    <t>FK6S6</t>
  </si>
  <si>
    <t>WOS:001145721000001</t>
  </si>
  <si>
    <t>Li, SF; Cao, Y; Liu, SH; Lai, YP; Zhu, YD; Ahmad, N</t>
  </si>
  <si>
    <t>Li, Sifan; Cao, Yue; Liu, Shuohan; Lai, Yuping; Zhu, Yongdong; Ahmad, Naveed</t>
  </si>
  <si>
    <t>HDA-IDS: A Hybrid DoS Attacks Intrusion Detection System for IoT by using semi-supervised CL-GAN</t>
  </si>
  <si>
    <t>Internet of Things; Intrusion Detection System; Machine learning; Generative adversarial network</t>
  </si>
  <si>
    <t>DEEP LEARNING APPROACH; NEURAL-NETWORKS; OPTIMIZATION; STACKING; INTERNET</t>
  </si>
  <si>
    <t>In recent years, the application of the internet of things (IoT) in areas such as intelligent transportation, smart cities, and the industrial internet has become increasingly widespread. As a crucial supporting infrastructure, IoT devices are utilized in various fields to construct IoT networks. However, due to the inherent limitations of IoT devices, such as limited computing resources and low memory capacity, security concerns have become increasingly prominent. Among these concerns are Denial-of-Service (DoS) and botnet attacks, which are difficult to prevent due to their large-scale and covert nature. To address these challenges, this paper proposes a Hybrid DoS Attack Intrusion Detection System (HDA-IDS) that combines signature-based detection with anomaly-based detection to effectively identify both known and unknown DoS/botnet attacks. Additionally, this paper introduces a novel anomaly-based detection model called CL-GAN. It integrates CNN-LSTM with GAN to establish a baseline for normal behavior and detect malicious traffic. In contrast to other semi-supervised models, the CL-GAN exhibits superior accuracy, as well as shorter training and testing times, in detecting DoS and botnet attacks. In addition, experimental results demonstrate that the HDA-IDS outperforms other IDSs in detecting DoS and botnet attacks. When tested on datasets such as NSL-KDD, CICIDS2018, and Bot-IoT, the HDA-IDS achieved an average of 5% overall improvement superior performance in terms of accuracy, precision, recall, and F1-Score compared to other works. These results highlight the effectiveness of the proposed system in addressing security issues in IoT networks, and presents a general framework that addresses the challenge of large-scale attacks constructed through the dissemination of false information.</t>
  </si>
  <si>
    <t>[Li, Sifan; Cao, Yue] Wuhan Univ, Sch Cyber Sci &amp; Engn, Wuhan 430072, Peoples R China; [Liu, Shuohan] Univ Warwick, Warwick Mfg Grp, Coventry CV4 7AL, England; [Lai, Yuping] Beijing Univ Posts &amp; Telecommun, Sch Cyberspace Secur, Beijing 100876, Peoples R China; [Zhu, Yongdong] Zhejiang Lab, Inst Intelligent Syst, Hangzhou 311000, Peoples R China; [Ahmad, Naveed] Prince Sultan Univ, Dept Comp Sci, Riyadh 11586, Saudi Arabia</t>
  </si>
  <si>
    <t>Wuhan University; University of Warwick; Beijing University of Posts &amp; Telecommunications; Zhejiang Laboratory; Prince Sultan University</t>
  </si>
  <si>
    <t>Cao, Y (corresponding author), Wuhan Univ, Sch Cyber Sci &amp; Engn, Wuhan 430072, Peoples R China.</t>
  </si>
  <si>
    <t>sifan.li@whu.edu.cn; yue.cao@whu.edu.cn; shuohan.liu@warwick.ac.uk; laiyp@bupt.edu.cn; zhuyd@zhejianglab.com; nahmed@psu.edu.sa</t>
  </si>
  <si>
    <t>Cao, Yue/T-5536-2019; Wang, zhenhua/KFA-8731-2024; Lu, Yi/KEJ-2560-2024; Liu, Shuohan/KCZ-1308-2024; Zhang, Jiahua/KFS-4615-2024; Li, Yuanyuan/KEH-6935-2024</t>
  </si>
  <si>
    <t>Cao, Yue/0000-0002-5425-5848; Liu, Shuohan/0000-0003-1000-2512; Li, Yuanyuan/0000-0002-4955-1159; Cao, Yue/0000-0002-2098-7637; Li, Sifan/0000-0003-1624-0992</t>
  </si>
  <si>
    <t>Hubei Province Key Research and Development Program [2021BAA027]; Wuhan AI Innovation Program [2023010402040020]; Fundamental Research Funds for the Central Universities, China [2042022rc0020]</t>
  </si>
  <si>
    <t>Hubei Province Key Research and Development Program; Wuhan AI Innovation Program; Fundamental Research Funds for the Central Universities, China(Fundamental Research Funds for the Central Universities)</t>
  </si>
  <si>
    <t>Hubei Province Key Research and Development Program (2021BAA027) and Wuhan AI Innovation Program (2023010402040020) and Fundamental Research Funds for the Central Universities, China (2042022rc0020) .</t>
  </si>
  <si>
    <t>F</t>
  </si>
  <si>
    <t>10.1016/j.eswa.2023.122198</t>
  </si>
  <si>
    <t>Y5AQ7</t>
  </si>
  <si>
    <t>WOS:001105387900001</t>
  </si>
  <si>
    <t>Uddin, SMJ; Albert, A; Ovid, A; Alsharef, A</t>
  </si>
  <si>
    <t>Uddin, S. M. Jamil; Albert, Alex; Ovid, Anto; Alsharef, Abdullah</t>
  </si>
  <si>
    <t>Leveraging ChatGPT to Aid Construction Hazard Recognition and Support Safety Education and Training</t>
  </si>
  <si>
    <t>ChatGPT; hazard recognition; hazard identification; education; educational intervention; safety education; safety management; occupational safety; safety training; generative AI</t>
  </si>
  <si>
    <t>IDENTIFYING ROOT CAUSES; OCCUPATIONAL-SAFETY; HEALTH; MANAGEMENT; DESIGN; COMPETENCES; PREVENTION; IDENTIFICATION; PERCEPTIONS; INTEGRATION</t>
  </si>
  <si>
    <t>Proper hazard recognition is fundamental to effective safety management in construction workplaces. Nevertheless, poor hazard recognition levels are a widespread and persistent problem in the construction industry. For example, recent investigations have demonstrated that a significant number of workplace hazards often remain unrecognized in construction workplaces. These unrecognized workplace hazards often remain unmanaged and can potentially translate into devastating and unexpected safety incidents. Therefore, interventions targeted at improving hazard recognition levels are foundational to enhancing safety management in construction workplaces. The main objective of the current investigation was to examine if ChatGPT, a language model recently launched by OpenAI, can aid hazard recognition when integrated into the curriculum of students pursuing a career in the construction industry. The investigation was carried out as an experimental effort with 42 students enrolled in the construction program at a major state university in the United States. First, prior to the introduction of ChatGPT as an intervention, the pre-intervention hazard recognition ability of the students was measured. Next, ChatGPT and its capabilities were introduced to the students in a classroom setting. Guidance was also offered on how the students could leverage ChatGPT to aid hazard recognition efforts. Finally, the post-intervention hazard recognition ability of the students was measured and compared against their earlier performance. The result suggests that ChatGPT can be leveraged to improve hazard recognition levels. Accordingly, integrating ChatGPT as part of safety education and training can yield benefits and prepare the next generation of construction professionals for industry success.</t>
  </si>
  <si>
    <t>[Uddin, S. M. Jamil; Albert, Alex; Ovid, Anto] North Carolina State Univ, Dept Civil Construct &amp; Environm Engn, Raleigh, NC 27606 USA; [Alsharef, Abdullah] King Saud Univ, Coll Engn, Civil Engn Dept, Riyadh 11451, Saudi Arabia</t>
  </si>
  <si>
    <t>North Carolina State University; King Saud University</t>
  </si>
  <si>
    <t>Uddin, SMJ (corresponding author), North Carolina State Univ, Dept Civil Construct &amp; Environm Engn, Raleigh, NC 27606 USA.</t>
  </si>
  <si>
    <t>suddin@ncsu.edu; alex_albert@ncsu.edu; agnanas@ncsu.edu; aalsharef@ksu.edu.sa</t>
  </si>
  <si>
    <t>Uddin, S M Jamil/0000-0002-6829-1487; OVID, ANTO/0009-0007-8815-8337</t>
  </si>
  <si>
    <t>APR 24</t>
  </si>
  <si>
    <t>10.3390/su15097121</t>
  </si>
  <si>
    <t>G3IM9</t>
  </si>
  <si>
    <t>WOS:000988134100001</t>
  </si>
  <si>
    <t>Carlini, N; Hayes, J; Nasr, M; Jagielski, M; Sehwag, V; Tramèr, F; Balle, B; Ippolito, D; Wallace, E</t>
  </si>
  <si>
    <t>Carlini, Nicholas; Hayes, Jamie; Nasr, Milad; Jagielski, Matthew; Sehwag, Vikash; Tramer, Florian; Balle, Borja; Ippolito, Daphne; Wallace, Eric</t>
  </si>
  <si>
    <t>Extracting Training Data from Diffusion Models</t>
  </si>
  <si>
    <t>Image diffusion models such as DALL-E 2, Imagen, and Stable Diffusion have attracted significant attention due to their ability to generate high-quality synthetic images. In this work, we show that diffusion models memorize individual images from their training data and emit them at generation time. With a generate-and-filter pipeline, we extract over a thousand training examples from state-of-the-art models, ranging from photographs of individual people to trademarked company logos. We also train hundreds of diffusion models in various settings to analyze how different modeling and data decisions affect privacy. Overall, our results show that diffusion models are much less private than prior generative models such as GANs, and that mitigating these vulnerabilities may require new advances in privacy-preserving training.</t>
  </si>
  <si>
    <t>[Carlini, Nicholas; Nasr, Milad; Jagielski, Matthew; Ippolito, Daphne] Google, Berkeley, CA 94720 USA; [Hayes, Jamie; Balle, Borja] DeepMind, London, England; [Tramer, Florian] ETHZ, Zurich, Switzerland; [Sehwag, Vikash] Princeton, Princeton, NJ USA; [Wallace, Eric] Univ Calif Berkeley, Berkeley, CA USA</t>
  </si>
  <si>
    <t>Google Incorporated; Swiss Federal Institutes of Technology Domain; ETH Zurich; University of California System; University of California Berkeley</t>
  </si>
  <si>
    <t>Carlini, N (corresponding author), Google, Berkeley, CA 94720 USA.</t>
  </si>
  <si>
    <t>Apple Scholars in AI/ML Fellowship</t>
  </si>
  <si>
    <t>The authors are grateful to Tom Goldstein, Olivia Wiles, Katherine Lee, Austin Tarango, Ian Wilbur, Jeff Dean, Andreas Terzis, Robin Rombach, and Andreas Blattmann, and the reviewers for comments on early drafts of this paper. Nicholas, Milad, Matthew, Daphne, Jamie, and Borja are employed at Google, a company that trains large machine learning models (including diffusion models) on both public and private datasets. Eric Wallace is supported by the Apple Scholars in AI/ML Fellowship.</t>
  </si>
  <si>
    <t>WOS:001066451505025</t>
  </si>
  <si>
    <t>Zhang, JQ; Liu, YQ; Mao, JX; Ma, WZ; Xu, JZ; Ma, SP; Tian, Q</t>
  </si>
  <si>
    <t>Zhang, Junqi; Liu, Yiqun; Mao, Jiaxin; Ma, Weizhi; Xu, Jiazheng; Ma, Shaoping; Tian, Qi</t>
  </si>
  <si>
    <t>User Behavior Simulation for Search Result Re-ranking</t>
  </si>
  <si>
    <t>ACM TRANSACTIONS ON INFORMATION SYSTEMS</t>
  </si>
  <si>
    <t>Information retrieval; ranking; user simulation; reinforcement learning; generative adversarial networks</t>
  </si>
  <si>
    <t>Result ranking is one of the major concerns for Web search technologies. Most existing methodologies rank search results in descending order of relevance. To model the interactions among search results, reinforcement learning (RL algorithms have been widely adopted for ranking tasks. However, the online training of RL methods is time and resource consuming at scale. As an alternative, learning ranking policies in the simulation environment is much more feasible and efficient. In this article, we propose two different simulation environments for the offline training of the RL ranking agent: the Context-aware Click Simulator (CCS) and the Fine-grained User Behavior Simulator with GAN (UserGAN). Based on the simulation environment, we also design a User Behavior Simulation for Reinforcement Learning ( UBS4RL) re-ranking framework, which consists of three modules: a feature extractor for heterogeneous search results, a user simulator for collecting simulated user feedback, and a ranking agent for generation of optimized result lists. Extensive experiments on both simulated and practical Web search datasets show that (1) the proposed user simulators can capture and simulate fine-grained user behavior patterns by training on large-scale search logs, (2) the temporal information of user searching process is a strong signal for ranking evaluation, and (3) learning ranking policies from the simulation environment can effectively improve the search ranking performance.</t>
  </si>
  <si>
    <t>[Zhang, Junqi; Liu, Yiqun; Xu, Jiazheng; Ma, Shaoping] Tsinghua Univ, Beijing Natl Res Ctr Informat Sci &amp; Technol, Inst Artificial Intelligence, Dept Comp Sci &amp; Technol, Beijing 100084, Peoples R China; [Mao, Jiaxin] Renmin Univ China, Gaoling Sch Artificial Intelligence, Key Lab Big Data Management &amp; Anal Methods, Beijing 100872, Peoples R China; [Ma, Weizhi] Tsinghua Univ, Inst AI Ind Res Air, Beijing 100084, Peoples R China; [Tian, Qi] Huawei Cloud &amp; AI, Beijing, Peoples R China</t>
  </si>
  <si>
    <t>Tsinghua University; Renmin University of China; Tsinghua University; Huawei Technologies</t>
  </si>
  <si>
    <t>Liu, YQ (corresponding author), Tsinghua Univ, Beijing Natl Res Ctr Informat Sci &amp; Technol, Inst Artificial Intelligence, Dept Comp Sci &amp; Technol, Beijing 100084, Peoples R China.</t>
  </si>
  <si>
    <t>zhangjq17@mails.tsinghua.edu.cn; yiqunliu@tsinghua.edu.cn; maojiaxin@gmail.com; mawz@tsinghua.edu.cn; xujz18@mails.tsinghua.edu.cn; msp@tsinghua.edu.cn; tian.qi1@huawei.com</t>
  </si>
  <si>
    <t>Natural Science Foundation of China [61732008, 61902209]; Beijing Academy of Artificial Intelligence (BAAI); Tsinghua University Guoqiang Research Institute, Beijing Outstanding Young Scientist Program [BJJWZYJH012019100020098]; Intelligent Social Governance Platform, Major Innovation &amp; Planning Interdisciplinary Platform for the Double-First Class Initiative, Renmin University of China</t>
  </si>
  <si>
    <t>Natural Science Foundation of China(National Natural Science Foundation of China (NSFC)); Beijing Academy of Artificial Intelligence (BAAI); Tsinghua University Guoqiang Research Institute, Beijing Outstanding Young Scientist Program; Intelligent Social Governance Platform, Major Innovation &amp; Planning Interdisciplinary Platform for the Double-First Class Initiative, Renmin University of China</t>
  </si>
  <si>
    <t>This article is an extension of Zhang et al. [79] Compared with the previous conference version, it introduces a fine-grained user behavior simulator UserGAN, which is based on the generative adversarial network. Besides click information, in this work, click time is also considered for ranking evaluation and optimization. An extensible ranking framework (UBS4RL) is also proposed to optimize online and offline evaluation metrics. Extensive experimental assessment shows the effectiveness of the proposed user simulators for ranking evaluation and the UBS4RL framework for ranking optimization. Thisworkwas supported by the Natural Science Foundation of China (grants 61732008 and 61902209), Beijing Academy of Artificial Intelligence (BAAI) and Tsinghua University Guoqiang Research Institute, Beijing Outstanding Young Scientist Program (no. BJJWZYJH012019100020098), and Intelligent Social Governance Platform, Major Innovation &amp; Planning Interdisciplinary Platform for the Double-First Class Initiative, Renmin University of China.</t>
  </si>
  <si>
    <t>1046-8188</t>
  </si>
  <si>
    <t>1558-2868</t>
  </si>
  <si>
    <t>ACM T INFORM SYST</t>
  </si>
  <si>
    <t>ACM Trans. Inf. Syst.</t>
  </si>
  <si>
    <t>10.1145/3511469</t>
  </si>
  <si>
    <t>9I9DS</t>
  </si>
  <si>
    <t>WOS:000939802100005</t>
  </si>
  <si>
    <t>Latha, V; Gomathi, ; Rajeshkanna, A; Ram, SH</t>
  </si>
  <si>
    <t>Latha, V; Gomathi, V; Rajeshkanna, A.; Ram, S. Hari</t>
  </si>
  <si>
    <t>Generating a potent inhibitor against MCF7 breast cancer cell through artificial intelligence based virtual screening and molecular docking studies</t>
  </si>
  <si>
    <t>INDIAN JOURNAL OF BIOCHEMISTRY &amp; BIOPHYSICS</t>
  </si>
  <si>
    <t>ADMET analysis; Selective Estrogen Receptor; Toxicity analysis</t>
  </si>
  <si>
    <t>DRUG DISCOVERY; PERMEABILITY; PREDICTION</t>
  </si>
  <si>
    <t>Artificial Intelligence (AI) has been widely adopted by pharmaceutical industry to aid rationally drug design and development by fostering the quick delivery of drug targets with optimized structures in spite of huge chemical space of &gt;10(60) drug molecules. Tamoxifen, Selective Estrogen Receptor Modulator (SERM), is the drug for breast cancer cell, MCF 7 with many side effects. Tamoxifen may cause side effects like increased bone or tumor pain, pain or reddening around the tumor site, hot flashes, nausea and excessive tiredness etc., Therefore, compound which can resist ER's bioactivity is considered as an important target for treating breast cancer. In this study, AI based Virtual Screening (VS) method using an efficient Generative Neural Network (GNN) model has been experimented to generate high inhibitory potential hit drug-like inhibitors. Physicochemical, Pharmacokinetic and toxicity analysis are carried out for conforming the sub-selection of drug-likeness of inhibitors. Additionally, Molecular Docking studies with DNA (355D) and protein (3EU7) are performed for the evaluation of binding affinity, prediction of intermolecular interactions and inhibition constant. The docked results of the inhibitor M22 (methyl 2-[(2-benzoylphenyl) carbamoyl] benzoate) has low free energy of binding (-8.61 Kcal/mol and -8.05 Kcal/mol) and low Inhibition constant, Ki, value (0.486 mu M and 1.25 mu M) as compared to Tamoxifen (-6.7 Kcal/mol &amp; -5.62 Kcal/mol and 12.2 mu M &amp; 75.85 mu M). Thus, minimum amount of the M22 inhibitor is enough as compared to Tamoxifen and M22 has 3 benzene rings, extended conjugation, amide linkage and huge number of labile electrons which facilitates as a potent drug. This study provides a greenish path to synthesise a potent inhibitor, M22, for further experimental studies rather than preparing number of inhibitors on the atom economy way.</t>
  </si>
  <si>
    <t>[Latha, V] Sri S Ramasamy Naidu Mem Coll, Dept Chem, Sattur 626203, Tamil Nadu, India; [Gomathi, V; Ram, S. Hari] Natl Engn Coll, Dept CSE, Kovilpatti 628503, Tamil Nadu, India; [Rajeshkanna, A.] Sri S Ramasamy Naidu Mem Coll, Dept Comp Sci, Sattur 626203, Tamil Nadu, India</t>
  </si>
  <si>
    <t>National Engineering College - India</t>
  </si>
  <si>
    <t>Latha, V (corresponding author), Sri S Ramasamy Naidu Mem Coll, Dept Chem, Sattur 626203, Tamil Nadu, India.</t>
  </si>
  <si>
    <t>latha@srnmcollege.ac.in</t>
  </si>
  <si>
    <t>V., GOMATHI/B-8105-2013</t>
  </si>
  <si>
    <t>V., GOMATHI/0000-0003-3639-485X; , Hari Ram/0009-0009-5362-4267; Vatchalan, Latha/0000-0002-3712-4184</t>
  </si>
  <si>
    <t>NATL INST SCIENCE COMMUNICATION-NISCAIR</t>
  </si>
  <si>
    <t>NEW DELHI</t>
  </si>
  <si>
    <t>DR K S KRISHNAN MARG, PUSA CAMPUS, NEW DELHI 110 012, INDIA</t>
  </si>
  <si>
    <t>0301-1208</t>
  </si>
  <si>
    <t>0975-0959</t>
  </si>
  <si>
    <t>INDIAN J BIOCHEM BIO</t>
  </si>
  <si>
    <t>Indian J. Biochem. Biophys.</t>
  </si>
  <si>
    <t>10.56042/ijbb.v60i11.6067</t>
  </si>
  <si>
    <t>Y3RD5</t>
  </si>
  <si>
    <t>WOS:001104464300004</t>
  </si>
  <si>
    <t>Liu, RK; Liu, WM; Zheng, ZX; Wang, L; Mao, L; Qiu, QS; Ling, GZ</t>
  </si>
  <si>
    <t>Liu, Ruikang; Liu, Weiming; Zheng, Zhongxing; Wang, Liang; Mao, Liang; Qiu, Qisheng; Ling, Guangzheng</t>
  </si>
  <si>
    <t>Anomaly-GAN: A data augmentation method for train surface anomaly detection</t>
  </si>
  <si>
    <t>Generative adversarial networks; Data augmentation; Image-to-image translation; Train surface anomaly detection</t>
  </si>
  <si>
    <t>Train surface anomaly detection is an essential task in vision-based railway safety inspection. Although existing deep learning methods show great potential, their anomaly detection accuracy is affected by the lack of abnormal images. The number of abnormal images on the train surface is far less than that of normal images. One effective way to solve this problem is to expand the abnormal sample. However, most of train surface anomaly image generation methods faces difficulties in producing images with high quality and rich diversity at the same time. In addition, generating small-area anomalies is not ideal. An Anomaly-GAN based on mask pool, abnormal aware loss, and local versus global discriminators is thus proposed in this paper to solve these problems. The mask pool consists of prior-knowledge-based masks and expert-experience-based masks that guide model in generating anomalies with different shapes, rotation angles, spatial locations, and part numbers. The anomaly aware loss focuses on small-area anomalies, thereby promoting the generated anomalies with more detailed textures and richer semantics. The local versus global consistency discriminators combine local and global feature expressions that lead to the generation of more realistic and natural abnormal samples. The experiments show that, compared with other advanced data augmentation algorithms, the images generated by Anomaly-GAN achieve the best FID and LPIPS scores in all anomaly categories. In addition, compared with the case without data augmentaion, the proposed data enhancement method improves the performance of CNN on mAP and mIOU by 25.6% and 24.2%, respectively. Test code is available in https://github.com/AI-Dream-Chaser/Anomaly-GAN.</t>
  </si>
  <si>
    <t>[Liu, Ruikang; Liu, Weiming; Zheng, Zhongxing] South China Univ Technol, Guangzhou 510641, Peoples R China; [Wang, Liang; Mao, Liang; Qiu, Qisheng; Ling, Guangzheng] Guangdong Pearl River Delta Interc Railway Co Ltd, Guangzhou 510000, Peoples R China</t>
  </si>
  <si>
    <t>Liu, WM (corresponding author), South China Univ Technol, Guangzhou 510641, Peoples R China.</t>
  </si>
  <si>
    <t>liuruikanglin@163.com; wmliu@scut.edu.cn; zxzheng318@foxmail.com; 253572784@qq.com; 390677143@qq.com; qiuqisheng@gzmtr.com; lingguangzheng@126.com</t>
  </si>
  <si>
    <t>liu, yang/HQY-7531-2023</t>
  </si>
  <si>
    <t>Zheng, Zhongxing/0000-0002-6578-282X</t>
  </si>
  <si>
    <t>National Key Research and Devel-opmente Program of China [2016YFB1200402-020]</t>
  </si>
  <si>
    <t>National Key Research and Devel-opmente Program of China</t>
  </si>
  <si>
    <t>Acknowledgments This work was supported by the National Key Research and Devel-opmente Program of China under Grant 2016YFB1200402-020, project of research on multi-scale foreign object detection system and re-lated technical standards for ultra-long continuous space of urban rail platform.</t>
  </si>
  <si>
    <t>OCT 15</t>
  </si>
  <si>
    <t>10.1016/j.eswa.2023.120284</t>
  </si>
  <si>
    <t>I3WM0</t>
  </si>
  <si>
    <t>WOS:001002116200001</t>
  </si>
  <si>
    <t>Shaik, T; Tao, XH; Li, L; Higgins, N; Gururajan, R; Zhou, XJ; Yong, JM</t>
  </si>
  <si>
    <t>Shaik, Thanveer; Tao, Xiaohui; Li, Lin; Higgins, Niall; Gururajan, Raj; Zhou, Xujuan; Yong, Jianming</t>
  </si>
  <si>
    <t>Clustered FedStack: Intermediate Global Models with Bayesian Information Criterion</t>
  </si>
  <si>
    <t>PATTERN RECOGNITION LETTERS</t>
  </si>
  <si>
    <t>Federated learning; FedStack; Clustering; Bayesian; Cyclical learning rates</t>
  </si>
  <si>
    <t>Federated Learning (FL) is currently one of the most popular technologies in the field of Artificial Intelligence (AI) due to its collaborative learning and ability to preserve client privacy. However, it faces challenges such as non-identically and non-independently distributed (non-IID) data with imbalanced labels among local clients. To address these limitations, the research community has explored various approaches such as using local model parameters, federated generative adversarial learning, and federated representation learning. In our study, we propose a novel Clustered FedStack framework based on the previously published Stacked Federated Learning (FedStack) framework. Here, the local clients send their model predictions and output layer weights to a server, which then builds a robust global model. This global model clusters the local clients based on their output layer weights using a clustering mechanism. We adopt three clustering mechanisms, namely K-Means, Agglomerative, and Gaussian Mixture Models, into the framework and evaluate their performance. Bayesian Information Criterion (BIC) is used with the maximum likelihood function to determine the number of clusters. Our results show that Clustered FedStack models outperform baseline models with clustering mechanisms. To estimate the convergence of our proposed framework, we use Cyclical learning rates.</t>
  </si>
  <si>
    <t>[Shaik, Thanveer; Tao, Xiaohui] Univ Southern Queensland, Sch Math Phys &amp; Comp, Toowoomba, Australia; [Li, Lin] Wuhan Univ Technol, Wuhan, Peoples R China; [Higgins, Niall] Royal Brisbane &amp; Womens Hosp, Brisbane, Qld, Australia; [Higgins, Niall] Queensland Univ Technol, Brisbane, Australia; [Gururajan, Raj; Zhou, Xujuan; Yong, Jianming] Univ Southern Queensland, Sch Business, Springfield, Australia</t>
  </si>
  <si>
    <t>University of Southern Queensland; Wuhan University of Technology; Royal Brisbane &amp; Women's Hospital; Queensland University of Technology (QUT); University of Southern Queensland</t>
  </si>
  <si>
    <t>Shaik, T (corresponding author), Univ Southern Queensland, Sch Math Phys &amp; Comp, Toowoomba, Australia.</t>
  </si>
  <si>
    <t>Thanveer.Shaik@usq.edu.au; Xiaohui.Tao@usq.edu.au; cathylilin@whut.edu.cn; Niall.Higgins@health.qld.gov.au; Raj.Gururajan@usq.edu.au; Xujuan.Zhou@usq.edu.au; Jianming.Yong@usq.edu.au</t>
  </si>
  <si>
    <t>tao, xiaohui/KCK-2677-2024</t>
  </si>
  <si>
    <t>Yong, Jianming/0000-0003-4111-1076; Shaik, Thanveer/0000-0002-9730-665X; Zhou, Xujuan/0000-0002-1736-739X</t>
  </si>
  <si>
    <t>0167-8655</t>
  </si>
  <si>
    <t>1872-7344</t>
  </si>
  <si>
    <t>PATTERN RECOGN LETT</t>
  </si>
  <si>
    <t>Pattern Recognit. Lett.</t>
  </si>
  <si>
    <t>10.1016/j.patrec.2023.12.004</t>
  </si>
  <si>
    <t>EK5S8</t>
  </si>
  <si>
    <t>WOS:001138839400001</t>
  </si>
  <si>
    <t>Na, SH; Nam, WJ; Lee, SW</t>
  </si>
  <si>
    <t>Na, Seung-Hyup; Nam, Woo-Jeoung; Lee, Seong-Whan</t>
  </si>
  <si>
    <t>Toward practical and plausible counterfactual explanation through latent adjustment in disentangled space</t>
  </si>
  <si>
    <t>Latent interpolation; Post-hoc explanation; GAN inversion</t>
  </si>
  <si>
    <t>Extensive research into eXplainable AI (XAI) has raised interest in generating counterfactual (CF) explanations. In the past, minimizing the perturbation of input was considered a priority aspect of CF for the benefit of user practicality. However, closeness to the CF data manifold, indicating plausibility, is now emerging as another important property of CF. Thus, we propose a novel framework for generating practical and plausible CFs by minimally perturbing the semantic information of inputs in a disentangled latent space of a generative adversarial network (GAN). Considering the possibility of linear change of semantic information in a disentangled latent space, we obtain the desired CFs using proposed algorithms that adjust the input latents and reference CF latents derived using an optimization-based GAN inversion method . The results of qualitative and quantitative experiments on several datasets from different domains demonstrate the superiorit y and versatility of our framework. In comparative experiments, it not only achieves 1.0 Validity for test samples from a l l datasets but also achieves the minimum values of 0.07 Dissimilarity, 5.96 Rec. Error, 0.94 IM1, and 0.01 Infer. Time for the MNIST dataset.</t>
  </si>
  <si>
    <t>[Na, Seung-Hyup; Lee, Seong-Whan] Korea Univ, Dept Artificial Intelligence, 145 Anam Ro, Seoul 02841, South Korea; [Nam, Woo-Jeoung] Kyungpook Natl Univ, Sch Comp Sci &amp; Engn, 80 Daehak Ro, Daegu 41566, South Korea</t>
  </si>
  <si>
    <t>Korea University; Kyungpook National University</t>
  </si>
  <si>
    <t>Lee, SW (corresponding author), Korea Univ, Dept Artificial Intelligence, 145 Anam Ro, Seoul 02841, South Korea.</t>
  </si>
  <si>
    <t>naash@korea.ac.kr; nwj0612@knu.ac.kr; sw.lee@korea.ac.kr</t>
  </si>
  <si>
    <t>Nam, Woo Jeoung/0000-0002-6548-4486</t>
  </si>
  <si>
    <t>Institute of Information and Com-munications Technology Planning and Evaluation (IITP) - Korea government (MSIT) [2022-0-00984, 2019-0-00079]</t>
  </si>
  <si>
    <t>Institute of Information and Com-munications Technology Planning and Evaluation (IITP) - Korea government (MSIT)(Institute for Information &amp; Communication Technology Planning &amp; Evaluation (IITP), Republic of KoreaMinistry of Science &amp; ICT (MSIT), Republic of Korea)</t>
  </si>
  <si>
    <t>&amp; nbsp;This work was supported by Institute of Information and Communications Technology Planning and Evaluation (IITP) grant funded by the Korea government (MSIT) (No. 2022-0-00984, Development of Artificial Intelligence Technology for Personalized Plug-and-Play Explanation and Verification of Explanation &amp; No. 2019-0-00079, Artificial Intelligence Graduate School Program (Korea University) ) .</t>
  </si>
  <si>
    <t>10.1016/j.eswa.2023.120982</t>
  </si>
  <si>
    <t>P3IS0</t>
  </si>
  <si>
    <t>WOS:001049616900001</t>
  </si>
  <si>
    <t>Piggott, B; Patil, S; Feng, GH; Odat, I; Mukherjee, R; Dharmalingam, B; Liu, AY</t>
  </si>
  <si>
    <t>Piggott, Brett; Patil, Siddhant; Feng, Guohuan; Odat, Ibrahim; Mukherjee, Rajdeep; Dharmalingam, Balakrishnan; Liu, Anyi</t>
  </si>
  <si>
    <t>Net-GPT: A LLM-Empowered Man-in-the-Middle Chatbot for Unmanned Aerial Vehicle</t>
  </si>
  <si>
    <t>2023 IEEE/ACM SYMPOSIUM ON EDGE COMPUTING, SEC 2023</t>
  </si>
  <si>
    <t>IEEE-ACM Symposium on Edge Computing</t>
  </si>
  <si>
    <t>8th Annual IEEE/ACM Symposium on Edge Computing (SEC)</t>
  </si>
  <si>
    <t>DEC 06-09, 2023</t>
  </si>
  <si>
    <t>Wilmington, DE</t>
  </si>
  <si>
    <t>Assoc Comp Machinery,IEEE Comp Soc,IEEE,NSF,IEEE TCI,M &amp; T Bank,Akamai,ByteDance,Toyota,Micas Networks,Sigmobile</t>
  </si>
  <si>
    <t>Man-in-the-Middle (MITM); Large Language Model; System Security; and Cyber Attack</t>
  </si>
  <si>
    <t>In the dynamic realm of AI, integrating Large Language Models (LLMs) with security systems reshape cybersecurity. LLMs bolster defense against cyber threats but also introduce risks, aiding adversaries in generating malicious content, discovering vulnerabilities, and distorting perceptions. This paper presents Net-GPT, an LLMempowered offensive chatbot that understands network protocols and launches Unmanned Aerial Vehicles (UAV)-based Man-in-themiddle (MITM) attacks against a hijack communication between UAV and Ground Control Stations (GCS). Facilitated by an edge server equipped with finely tuned LLMs, Net-GPT crafts mimicked network packets between UAV and GCS. Leveraging the adaptability of popular LLMs, Net-GPT produces context-aligned network packets. We fine-tune and assess Net-GPT's LLM-based efficacy, showing its impressive generative accuracy: 95.3% for Llama-213B and 94.1% for Llama-2-7B. Smaller LLMs, such as Distil-GPT-2, reach 77.9% predictive capability of Llama-2-7B but are 47x faster. Cost-efficiency tests highlight model quality's impact on accuracy while fine-tuning data quantity enhances predictability on specific metrics. It holds great potential to be used in edge-computing environments with amplified computing capability.</t>
  </si>
  <si>
    <t>[Piggott, Brett; Feng, Guohuan; Odat, Ibrahim; Mukherjee, Rajdeep; Dharmalingam, Balakrishnan; Liu, Anyi] Oakland Univ, Dept Comp Sci &amp; Engn, Rochester, MI 48309 USA; [Patil, Siddhant] Univ Wisconsin, Dept Comp Sci, Madison, WI USA</t>
  </si>
  <si>
    <t>Oakland University; University of Wisconsin System; University of Wisconsin Madison</t>
  </si>
  <si>
    <t>Piggott, B (corresponding author), Oakland Univ, Dept Comp Sci &amp; Engn, Rochester, MI 48309 USA.</t>
  </si>
  <si>
    <t>2837-4819</t>
  </si>
  <si>
    <t>979-8-4007-0123-8</t>
  </si>
  <si>
    <t>IEEE ACM Symp Edge C</t>
  </si>
  <si>
    <t>10.1145/3583740.3626809</t>
  </si>
  <si>
    <t>BW5NZ</t>
  </si>
  <si>
    <t>WOS:001164050000035</t>
  </si>
  <si>
    <t>Zhang, JR; Zhang, YS; Cun, XD; Zhang, Y; Zhao, HW; Lu, HT; Shen, X; Ying, S</t>
  </si>
  <si>
    <t>Zhang, Jianrong; Zhang, Yangsong; Cun, Xiaodong; Zhang, Yong; Zhao, Hongwei; Lu, Hongtao; Shen, Xi; Ying, Shan</t>
  </si>
  <si>
    <t>Generating Human Motion from Textual Descriptions with Discrete Representations</t>
  </si>
  <si>
    <t>In this work, we investigate a simple and must-known conditional generative framework based on Vector Quantised-Variational AutoEncoder (VQ-VAE) and Generative Pretrained Transformer (GPT) for human motion generation from textural descriptions. We show that a simple CNN-based VQ-VAE with commonly used training recipes (EMA and Code Reset) allows us to obtain high-quality discrete representations. For GPT, we incorporate a simple corruption strategy during the training to alleviate training-testing discrepancy. Despite its simplicity, our T2M-GPT shows better performance than competitive approaches, including recent diffusion-based approaches. For example, on HumanML3D, which is currently the largest dataset, we achieve comparable performance on the consistency between text and generated motion (R-Precision), but with FID 0.116 largely outperforming MotionDiffuse of 0.630. Additionally, we conduct analyses on HumanML3D and observe that the dataset size is a limitation of our approach. Our work suggests that VQ-VAE still remains a competitive approach for human motion generation. Our implementation is available on the project page: https://mael-zys.github.io/T2M-GPT/.</t>
  </si>
  <si>
    <t>[Zhang, Jianrong; Zhao, Hongwei] Jilin Univ, Jilin, Jilin, Peoples R China; [Zhang, Yangsong; Lu, Hongtao] Shanghai Jiao Tong Univ, Shanghai, Peoples R China; [Zhang, Jianrong; Zhang, Yangsong; Cun, Xiaodong; Zhang, Yong; Shen, Xi; Ying, Shan] Tencent AI Lab, Shenzhen, Peoples R China</t>
  </si>
  <si>
    <t>Jilin University; Shanghai Jiao Tong University; Tencent</t>
  </si>
  <si>
    <t>Shen, X (corresponding author), Tencent AI Lab, Shenzhen, Peoples R China.</t>
  </si>
  <si>
    <t>NSF of China [62176155]; Jilin Province [20200201037JC]</t>
  </si>
  <si>
    <t>NSF of China(National Natural Science Foundation of China (NSFC)); Jilin Province</t>
  </si>
  <si>
    <t>We thank Mathis Petrovich, Yuming Du, Yingyi Chen, Dexiong Chen, and Xuelin Chen for inspiring discussions and valuable feedback. This paper is supported by NSF of China (No. 62176155) and Jilin Province (20200201037JC), etc. More funding information is provided in the supplementary material.</t>
  </si>
  <si>
    <t>10.1109/CVPR52729.2023.01415</t>
  </si>
  <si>
    <t>WOS:001062522107006</t>
  </si>
  <si>
    <t>Bhandari, M; Neupane, A; Mallik, S; Gaur, L; Qin, H</t>
  </si>
  <si>
    <t>Bhandari, Mohan; Neupane, Arjun; Mallik, Saurav; Gaur, Loveleen; Qin, Hong</t>
  </si>
  <si>
    <t>Auguring Fake Face Images Using Dual Input Convolution Neural Network</t>
  </si>
  <si>
    <t>Convolutional Neural Network (CNN); deepfakes; face detection; SHAP; XAI</t>
  </si>
  <si>
    <t>Deepfake technology uses auto-encoders and generative adversarial networks to replace or artificially construct fine-tuned faces, emotions, and sounds. Although there have been significant advancements in the identification of particular fake images, a reliable counterfeit face detector is still lacking, making it difficult to identify fake photos in situations with further compression, blurring, scaling, etc. Deep learning models resolve the research gap to correctly recognize phony images, whose objectionable content might encourage fraudulent activity and cause major problems. To reduce the gap and enlarge the fields of view of the network, we propose a dual input convolutional neural network (DICNN) model with ten-fold cross validation with an average training accuracy of 99.36 +/- 0.62, a test accuracy of 99.08 +/- 0.64, and a validation accuracy of 99.30 +/- 0.94. Additionally, we used 'SHapley Additive exPlanations (SHAP) ' as explainable AI (XAI) Shapely values to explain the results and interoperability visually by imposing the model into SHAP. The proposed model holds significant importance for being accepted by forensics and security experts because of its distinctive features and considerably higher accuracy than state-of-the-art methods.</t>
  </si>
  <si>
    <t>[Bhandari, Mohan] Samriddhi Coll, Dept Sci &amp; Technol, Bhaktapur 44800, Nepal; [Neupane, Arjun] Cent Queensland Univ, Sch Engn &amp; Technol, Norman Gardens, Rockhampton, Qld 4701, Australia; [Mallik, Saurav] Harvard Univ, Sch Publ Hlth, Dept Environm Hlth, Boston, MA 02115 USA; [Mallik, Saurav] Univ Arizona, Tucson, AZ 85721 USA; [Gaur, Loveleen] Amity Univ, Amity Int Business Sch, Noida 201303, India; [Gaur, Loveleen] Taylor Univ, Sch Comp Sci, Subang Jaya 47500, Malaysia; [Gaur, Loveleen] Univ South Pacific, Grad Sch Business, Suva 1168, Fiji; [Qin, Hong] Univ Tennessee, Dept Comp Sci &amp; Engn, Chattanooga, TN 37996 USA</t>
  </si>
  <si>
    <t>Central Queensland University; Harvard University; Harvard T.H. Chan School of Public Health; University of Arizona; Amity University Noida; University of the South Pacific; University of Tennessee System; University of Tennessee at Chattanooga</t>
  </si>
  <si>
    <t>Mallik, S (corresponding author), Harvard Univ, Sch Publ Hlth, Dept Environm Hlth, Boston, MA 02115 USA.;Mallik, S (corresponding author), Univ Arizona, Tucson, AZ 85721 USA.;Gaur, L (corresponding author), Amity Univ, Amity Int Business Sch, Noida 201303, India.;Gaur, L (corresponding author), Taylor Univ, Sch Comp Sci, Subang Jaya 47500, Malaysia.;Gaur, L (corresponding author), Univ South Pacific, Grad Sch Business, Suva 1168, Fiji.</t>
  </si>
  <si>
    <t>smallik@arizone.edu; lgaur@amity.edu</t>
  </si>
  <si>
    <t>Gaur, Loveleen/ABB-9664-2020; Mallik, Saurav/D-1608-2014</t>
  </si>
  <si>
    <t>Gaur, Loveleen/0000-0002-0885-1550; Mallik, Saurav/0000-0003-4107-6784; Bhandari, Mohan/0000-0003-2551-3163; Neupane, Arjun/0000-0002-1010-7552; Qin, Hong/0000-0002-1060-6722</t>
  </si>
  <si>
    <t>10.3390/jimaging9010003</t>
  </si>
  <si>
    <t>8J2GI</t>
  </si>
  <si>
    <t>WOS:000922239300001</t>
  </si>
  <si>
    <t>Bussola, N; Xu, JS; Wu, LH; Gorini, L; Zhang, YF; Furlanello, C; Tong, WD</t>
  </si>
  <si>
    <t>Bussola, Nicole; Xu, Joshua; Wu, Leihong; Gorini, Lorenzo; Zhang, Yifan; Furlanello, Cesare; Tong, Weida</t>
  </si>
  <si>
    <t>A Weakly Supervised Deep Learning Framework for Whole Slide Classification to Facilitate Digital Pathology in Animal Study</t>
  </si>
  <si>
    <t>CHEMICAL RESEARCH IN TOXICOLOGY</t>
  </si>
  <si>
    <t>The pathology of animal studies is crucial for toxicityevaluationsand regulatory assessments, but the manual examination of slides bypathologists remains time-consuming and requires extensive training.One inherent challenge in this process is the interobserver variability,which can compromise the consistency and accuracy of a study. Artificialintelligence (AI) has demonstrated its ability to automate similarexaminations in clinical applications with enhanced efficiency, consistency,and accuracy. However, training AI models typically relies on costlypixel-level annotation of injured regions and is often not availablefor animal pathology. To address this, we developed the PathologAIsystem, a weakly supervised approach for WSI classificationin rat images without explicit lesion annotation at the pixel level.Using rat liver imaging data from the Open TG-GATEs system, PathologAIwas applied to predict necrosis of n = 816 WSIs (377controls). TG-GATEs studied 170 compounds at three dose levels (low,middle, and high) for four time points (3, 7, 14, and 28 days). PathologAIfirst preprocessed WSIs at the tile level to generate a high-levelrepresentation with a Generative Adversarial Network architecture.The prediction of liver necrosis relied on an ensemble model of 5CNN classifiers trained on 335 WSIs. The ensemble model achieved notableclassification accuracy on the holdout test set: 87% among 87 controlslides free of findings, 83% among 120 controls with spontaneous necrosis,67% among 147 treated animals with spontaneous minimal or slight necrosis,and 59% among 127 treated animals with minimal or slight necrosiscaused by the treatment. Importantly, PathologAI was able to discriminateWSIs with spontaneous necrosis from those with treatment related necrosisand discriminated mild lesion level findings (slight vs minimal) andbetween treatment dose levels. PathologAI could provide an inexpensiveand rapid screening tool to assist the digital pathology analysisin preclinical applications and general toxicological studies.</t>
  </si>
  <si>
    <t>[Bussola, Nicole] Univ Trento, Ctr Integrat Biol, I-38123 Trento, Italy; [Xu, Joshua; Wu, Leihong; Zhang, Yifan; Tong, Weida] US FDA, Natl Ctr Toxicol Res, Div Bioinformat &amp; Biostat, Jefferson, AR 72079 USA; [Gorini, Lorenzo; Furlanello, Cesare] HK3 Lab, I-38068 Rovereto, Italy</t>
  </si>
  <si>
    <t>University of Trento; US Food &amp; Drug Administration (FDA)</t>
  </si>
  <si>
    <t>Tong, WD (corresponding author), US FDA, Natl Ctr Toxicol Res, Div Bioinformat &amp; Biostat, Jefferson, AR 72079 USA.;Furlanello, C (corresponding author), HK3 Lab, I-38068 Rovereto, Italy.</t>
  </si>
  <si>
    <t>cesare.furlanello@hk3lab.ai; weida.tong@fda.hhs.gov</t>
  </si>
  <si>
    <t>Wu, Leihong/0000-0002-4093-3708</t>
  </si>
  <si>
    <t>0893-228X</t>
  </si>
  <si>
    <t>1520-5010</t>
  </si>
  <si>
    <t>CHEM RES TOXICOL</t>
  </si>
  <si>
    <t>Chem. Res. Toxicol.</t>
  </si>
  <si>
    <t>AUG 4</t>
  </si>
  <si>
    <t>10.1021/acs.chemrestox.3c00058</t>
  </si>
  <si>
    <t>Chemistry, Medicinal; Chemistry, Multidisciplinary; Toxicology</t>
  </si>
  <si>
    <t>Pharmacology &amp; Pharmacy; Chemistry; Toxicology</t>
  </si>
  <si>
    <t>P4MK3</t>
  </si>
  <si>
    <t>WOS:001043222600001</t>
  </si>
  <si>
    <t>Daniel, N; Aknin, E; Larey, A; Peretz, Y; Sela, G; Fisher, Y; Savir, Y</t>
  </si>
  <si>
    <t>Daniel, Nati; Aknin, Eliel; Larey, Ariel; Peretz, Yoni; Sela, Guy; Fisher, Yael; Savir, Yonatan</t>
  </si>
  <si>
    <t>Between Generating Noise and Generating Images: Noise in the Correct Frequency Improves the Quality of Synthetic Histopathology Images for Digital Pathology</t>
  </si>
  <si>
    <t>LUNG-CANCER; REPRODUCIBILITY</t>
  </si>
  <si>
    <t>Artificial intelligence and machine learning techniques have the promise to revolutionize the field of digital pathology. However, these models demand considerable amounts of data, while the availability of unbiased training data is limited. Synthetic images can augment existing datasets, to improve and validate AI algorithms. Yet, controlling the exact distribution of cellular features within them is still challenging. One of the solutions is harnessing conditional generative adversarial networks that take a semantic mask as an input rather than a random noise. Unlike other domains, outlining the exact cellular structure of tissues is hard, and most of the input masks depict regions of cell types. This is also the case for non-small cell lung cancer, the most common type of lung cancer. Deciding whether a patient would receive immunotherapy depends on quantifying regions of stained cells. However, using polygon-based masks introduce inherent artifacts within the synthetic images - due to the mismatch between the polygon size and the single-cell size. In this work, we show that introducing random single-pixel noise with the appropriate spatial frequency into a polygon semantic mask can dramatically improve the quality of the synthetic images. We used our platform to generate synthetic images of immunohistochemistry-treated lung biopsies. We test the quality of the images using a three-fold validation procedure. First, we show that adding the appropriate noise frequency yields 87% of the similarity metrics improvement that is obtained by adding the actual single-cell features. Second, we show that the synthetic images pass the Turing test. Finally, we show that adding these synthetic images to the train set improves AI performance in terms of PD-L1 semantic segmentation performances. Our work suggests a simple and powerful approach for generating synthetic data on demand to unbias limited datasets to improve the algorithms' accuracy and validate their robustness.</t>
  </si>
  <si>
    <t>[Daniel, Nati; Aknin, Eliel; Larey, Ariel; Savir, Yonatan] Technion ITT, Fac Med, Dept Physiol Biophys &amp; Syst Biol, Haifa, Israel; [Aknin, Eliel] Technion ITT, Fac Ind Engn, Haifa, Israel; [Larey, Ariel] Technion ITT, Fac Comp Sci, Haifa, Israel; [Peretz, Yoni; Sela, Guy] Technion ITT, Fac Elect Engn, Haifa, Israel; [Fisher, Yael] Rambam Hlth Care Campus, Div Pathol, Haifa, Israel</t>
  </si>
  <si>
    <t>Technion Israel Institute of Technology; Rappaport Faculty of Medicine; Technion Israel Institute of Technology; Technion Israel Institute of Technology; Technion Israel Institute of Technology; Rambam Health Care Campus</t>
  </si>
  <si>
    <t>Savir, Y (corresponding author), Technion ITT, Fac Med, Dept Physiol Biophys &amp; Syst Biol, Haifa, Israel.</t>
  </si>
  <si>
    <t>We thank Tanya Wasserman, Tal Ben-Yaakov, Yair Davidson, and Yael Abuhatsera for valuable discussions. This work is supported by Israel Science Foundation (ISF) grant #1619/20, and by the Israeli Ministry of Science and Technology (MOST) grant #2149.</t>
  </si>
  <si>
    <t>10.1109/EMBC40787.2023.10341042</t>
  </si>
  <si>
    <t>WOS:001133788304156</t>
  </si>
  <si>
    <t>Dergaa, I; Chamari, K; Zmijewski, P; Saad, HB</t>
  </si>
  <si>
    <t>Dergaa, Ismail; Chamari, Karim; Zmijewski, Piotr; Saad, Helmi Ben</t>
  </si>
  <si>
    <t>From human writing to artificial intelligence generated text: examining the prospects and potential threats of ChatGPT in academic writing</t>
  </si>
  <si>
    <t>BIOLOGY OF SPORT</t>
  </si>
  <si>
    <t>Artificial Intelligence; Chatbot; Deep Learning; Higher Education; Google Bard; LLaMA; LLM; Machine Learning; Natural Language Processing; NLM; NLP; Paperpal; Peer Review; QuillBot; Rayyan; Research; Sports Medicine</t>
  </si>
  <si>
    <t>Natural language processing (NLP) has been studied in computing for decades. Recent technological advancements have led to the development of sophisticated artificial intelligence (AI) models, such as Chat Generative Pre-trained Transformer (ChatGPT). These models can perform a range of language tasks and generate human-like responses, which offers exciting prospects for academic efficiency. This manuscript aims at (i) exploring the potential benefits and threats of ChatGPT and other NLP technologies in academic writing and research publications; (ii) highlights the ethical considerations involved in using these tools, and (iii) consider the impact they may have on the authenticity and credibility of academic work. This study involved a literature review of relevant scholarly articles published in peer-reviewed journals indexed in Scopus as quartile 1. The search used keywords such as ChatGPT, AI-generated text, academic writing, and natural language processing. The analysis was carried out using a quasi-qualitative approach, which involved reading and critically evaluating the sources and identifying relevant data to support the research questions. The study found that ChatGPT and other NLP technologies have the potential to enhance academic writing and research efficiency. However, their use also raises concerns about the impact on the authenticity and credibility of academic work. The study highlights the need for comprehensive discussions on the potential use, threats, and limitations of these tools, emphasizing the importance of ethical and academic principles, with human intelligence and critical thinking at the forefront of the research process. This study highlights the need for comprehensive debates and ethical considerations involved in their use. The study also recommends that academics exercise caution when using these tools and ensure transparency in their use, emphasizing the importance of human intelligence and critical thinking in academic work.</t>
  </si>
  <si>
    <t>[Dergaa, Ismail] Primary Hlth Care Corp PHCC, Doha, Qatar; [Dergaa, Ismail] Natl Observ Sport, Res Unit Phys Act Sport &amp; Hlth, UR18JS01, Tunis 1003, Tunisia; [Dergaa, Ismail] Univ Sfax, High Inst Sport &amp; Phys Educ, Sfax, Tunisia; [Chamari, Karim] Orthopaed &amp; Sports Med Hosp, FIFA Med Ctr Excellence, Aspetar, Doha, Qatar; [Zmijewski, Piotr] Jozef Pilsudski Univ Phys Educ Warsaw, Warsaw, Poland; [Saad, Helmi Ben] Univ Sousse, Farhat HACHED Hosp, Serv Physiol &amp; Funct Explorat, Sousse, Tunisia; [Saad, Helmi Ben] Univ Sousse, Farhat HACHED Hosp, Res Lab LR12SP09 Heart Failure, Sousse, Tunisia; [Saad, Helmi Ben] Univ Sousse, Fac Med Sousse, Lab Physiol, Sousse, Tunisia</t>
  </si>
  <si>
    <t>Hamad Medical Corporation; Primary Health Care Corporation (PHCC); Universite de Sfax; Aspetar Orthopaedic &amp; Sports Medicine Hospital; Jozef Pilsudski University Physical Education in Warsaw; Universite de Sousse; Hopital Farhat Hached; Universite de Sousse; Hopital Farhat Hached; Universite de Sousse</t>
  </si>
  <si>
    <t>Saad, HB (corresponding author), Univ Sousse, Farhat HACHED Hosp, Serv Physiol &amp; Funct Explorat, Sousse, Tunisia.;Saad, HB (corresponding author), Univ Sousse, Farhat HACHED Hosp, Res Lab LR12SP09 Heart Failure, Sousse, Tunisia.</t>
  </si>
  <si>
    <t>helmi.bensaad@rns.tn</t>
  </si>
  <si>
    <t>Dergaa, Ismail/AAB-8260-2021; Ben Saad, Helmi/C-8263-2018; Zmijewski, Piotr/AAR-4689-2020</t>
  </si>
  <si>
    <t>Dergaa, Ismail/0000-0001-8091-1856; Ben Saad, Helmi/0000-0002-7477-2965; Zmijewski, Piotr/0000-0002-5570-9573</t>
  </si>
  <si>
    <t>TERMEDIA PUBLISHING HOUSE LTD</t>
  </si>
  <si>
    <t>POZNAN</t>
  </si>
  <si>
    <t>KLEEBERGA 2, POZNAN, 61-615, POLAND</t>
  </si>
  <si>
    <t>0860-021X</t>
  </si>
  <si>
    <t>2083-1862</t>
  </si>
  <si>
    <t>BIOL SPORT</t>
  </si>
  <si>
    <t>Biol. Sport</t>
  </si>
  <si>
    <t>10.5114/biolsport.2023.125623</t>
  </si>
  <si>
    <t>Sport Sciences</t>
  </si>
  <si>
    <t>E0KN0</t>
  </si>
  <si>
    <t>WOS:000972527400030</t>
  </si>
  <si>
    <t>Improving the quality of chemical language model outcomes with atom-in-SMILES tokenization</t>
  </si>
  <si>
    <t>Atom-in-SMILES; Tokenization; Repetition; Chemical language processing</t>
  </si>
  <si>
    <t>Tokenization is an important preprocessing step in natural language processing that may have a significant influence on prediction quality. This research showed that the traditional SMILES tokenization has a certain limitation that results in tokens failing to reflect the true nature of molecules. To address this issue, we developed the atom-in-SMILES tokenization scheme that eliminates ambiguities in the generic nature of SMILES tokens. Our results in multiple chemical translation and molecular property prediction tasks demonstrate that proper tokenization has a significant impact on prediction quality. In terms of prediction accuracy and token degeneration, atom-in-SMILES is more effective method in generating higher-quality SMILES sequences from AI-based chemical models compared to other tokenization and representation schemes. We investigated the degrees of token degeneration of various schemes and analyzed their adverse effects on prediction quality. Additionally, token-level repetitions were quantified, and generated examples were incorporated for qualitative examination. We believe that the atom-in-SMILES tokenization has a great potential to be adopted by broad related scientific communities, as it provides chemically accurate, tailor-made tokens for molecular property prediction, chemical translation, and molecular generative models.</t>
  </si>
  <si>
    <t>[Ucak, Umit V. V.] Seoul Natl Univ, Grad Sch Convergence Sci &amp; Technol, Dept Mol Med &amp; Biopharmaceut Sci, Seoul, South Korea; [Ashyrmamatov, Islambek] Seoul Natl Univ, Coll Pharm, Seoul, South Korea; [Lee, Juyong] Seoul Natl Univ, Res Inst Pharmaceut Sci, Seoul, South Korea</t>
  </si>
  <si>
    <t>Lee, JY (corresponding author), Seoul Natl Univ, Res Inst Pharmaceut Sci, Seoul, South Korea.</t>
  </si>
  <si>
    <t>Lee, Juyong/0000-0003-1174-4358; , Umit/0000-0002-9088-0915; Ashyrmamatov, Islambek/0000-0001-6704-4233</t>
  </si>
  <si>
    <t>National Research Foundation of Korea (NRF) - Korean government (MSIT) [NRF-2019M3E5D4066898, NRF-2020M3A9G7103933, NRF-2022R1C1C1005080]; BK21FOUR Program of the National Research Foundation of Korea(NRF) - Ministry of Education [5120200513755]; Korea Environment Industry &amp; Technology Institute (KEITI); Korea Ministry of Environment (MOE) [2020002960002, 1485017120]</t>
  </si>
  <si>
    <t>National Research Foundation of Korea (NRF) - Korean government (MSIT)(National Research Foundation of KoreaMinistry of Science &amp; ICT (MSIT), Republic of Korea); BK21FOUR Program of the National Research Foundation of Korea(NRF) - Ministry of Education(Ministry of Education (MOE), Republic of KoreaNational Research Foundation of Korea); Korea Environment Industry &amp; Technology Institute (KEITI); Korea Ministry of Environment (MOE)(Ministry of Environment (ME), Republic of Korea)</t>
  </si>
  <si>
    <t>This work was supported by the National Research Foundation of Korea (NRF) grants funded by the Korean government (MSIT) (Nos. NRF-2019M3E5D4066898, NRF-2020M3A9G7103933, and NRF-2022R1C1C1005080).This research was supported by the BK21FOUR Program of the National Research Foundation of Korea(NRF) funded by the Ministry of Education(5120200513755).This work was also supported by the Korea Environment Industry &amp; Technology Institute (KEITI) through the Technology Development Project for Safety Management of Household Chemical Products, funded by the Korea Ministry of Environment (MOE) (KEITI:2020002960002 and NTIS:1485017120).</t>
  </si>
  <si>
    <t>10.1186/s13321-023-00725-9</t>
  </si>
  <si>
    <t>H6LU2</t>
  </si>
  <si>
    <t>WOS:000997063500001</t>
  </si>
  <si>
    <t>Boutros, F; Struc, V; Fierrez, J; Damer, N</t>
  </si>
  <si>
    <t>Boutros, Fadi; Struc, Vitomir; Fierrez, Julian; Damer, Naser</t>
  </si>
  <si>
    <t>Synthetic data for face recognition: Current state and future prospects</t>
  </si>
  <si>
    <t>IMAGE AND VISION COMPUTING</t>
  </si>
  <si>
    <t>Face recognition; Synthetic data; Biometrics</t>
  </si>
  <si>
    <t>Over the past years, deep learning capabilities and the availability of large-scale training datasets advanced rapidly, leading to breakthroughs in face recognition accuracy. However, these technologies are foreseen to face a major challenge in the next years due to the legal and ethical concerns about using authentic biometric data in AI model training and evaluation along with increasingly utilizing data-hungry state-of-the-art deep learning models. With the recent advances in deep generative models and their success in generating realistic and high-resolution synthetic image data, privacy-friendly synthetic data has been recently proposed as an alternative to privacy-sensitive authentic data to overcome the challenges of using authentic data in face recognition development. This work aims at providing a clear and structured picture of the use-cases taxonomy of synthetic face data in face recognition along with the recent emerging advances of face recognition models developed on the bases of synthetic data. We also discuss the challenges facing the use of synthetic data in face recognition development and several future prospects of synthetic data in the domain of face recognition.(C) 2023 Elsevier B.V. All rights reserved.</t>
  </si>
  <si>
    <t>[Boutros, Fadi; Damer, Naser] Fraunhofer IGD, Fraunhoferstr 5, D-64283 Darmstadt, Hessia, Germany; [Damer, Naser] Tech Univ Darmstadt, Karolinenpl 5, D-64289 Darmstadt, Hessia, Germany; [Struc, Vitomir] Univ Ljubljana, Fac Elect Engn, Trzaska Cesta 25, Ljubljana 1000, Slovenia; [Fierrez, Julian] Univ Autonoma Madrid, Sch Engn, Madrid 28049, Spain</t>
  </si>
  <si>
    <t>Technical University of Darmstadt; University of Ljubljana; Autonomous University of Madrid</t>
  </si>
  <si>
    <t>Boutros, F (corresponding author), Fraunhofer IGD, Fraunhoferstr 5, D-64283 Darmstadt, Hessia, Germany.</t>
  </si>
  <si>
    <t>fadi.boutros@igd.fraunhofer.de</t>
  </si>
  <si>
    <t>German Federal Ministry of Education and Research; Hessian Ministry of Higher Education, Research, Science and the Arts within ARRS research program (B) Metrology and Biometrics Systems [P2-0250]; German Federal Ministry of Education and Research (BMBF) through the Software Campus Project; Hessian Ministry of Higher Education, Research, Science and the Arts within National Research Center for Applied Cybersecurity ATHENE</t>
  </si>
  <si>
    <t>German Federal Ministry of Education and Research(Federal Ministry of Education &amp; Research (BMBF)); Hessian Ministry of Higher Education, Research, Science and the Arts within ARRS research program (B) Metrology and Biometrics Systems; German Federal Ministry of Education and Research (BMBF) through the Software Campus Project(Federal Ministry of Education &amp; Research (BMBF)); Hessian Ministry of Higher Education, Research, Science and the Arts within National Research Center for Applied Cybersecurity ATHENE</t>
  </si>
  <si>
    <t>This research work has been funded by the German Federal Ministry of Education and Research and the Hessian Ministry of Higher Education, Research, Science and the Arts within their joint support of the National Research Center for Applied Cybersecurity ATHENE and the ARRS research program P2-0250 (B) Metrology and Biometrics Systems. This work has been partially funded by the German Federal Ministry of Education and Research (BMBF) through the Software Campus Project.</t>
  </si>
  <si>
    <t>0262-8856</t>
  </si>
  <si>
    <t>1872-8138</t>
  </si>
  <si>
    <t>IMAGE VISION COMPUT</t>
  </si>
  <si>
    <t>Image Vis. Comput.</t>
  </si>
  <si>
    <t>10.1016/j.imavis.2023.104688</t>
  </si>
  <si>
    <t>Computer Science, Artificial Intelligence; Computer Science, Software Engineering; Computer Science, Theory &amp; Methods; Engineering, Electrical &amp; Electronic; Optics</t>
  </si>
  <si>
    <t>Computer Science; Engineering; Optics</t>
  </si>
  <si>
    <t>J9ZC9</t>
  </si>
  <si>
    <t>WOS:001013125300001</t>
  </si>
  <si>
    <t>Oon, ML; Syn, NL; Tan, CL; Tan, KB; Ng, SB</t>
  </si>
  <si>
    <t>Oon, Ming Liang; Syn, Nicholas L.; Tan, Char Loo; Tan, Kong-Bing; Ng, Siok-Bian</t>
  </si>
  <si>
    <t>Bridging bytes and biopsies: A comparative analysis of ChatGPT and histopathologists in pathology diagnosis and collaborative potential</t>
  </si>
  <si>
    <t>HISTOPATHOLOGY</t>
  </si>
  <si>
    <t>artificial intelligence; chatbot; ChatGPT; digital pathology; natural language processing; pathology</t>
  </si>
  <si>
    <t>Background and aimsChatGPT is a powerful artificial intelligence (AI) chatbot developed by the OpenAI research laboratory which is capable of analysing human input and generating human-like responses. Early research into the potential application of ChatGPT in healthcare has focused mainly on clinical and administrative functions. The diagnostic ability and utility of ChatGPT in histopathology is not well defined. We benchmarked the performance of ChatGPT against pathologists in diagnostic histopathology, and evaluated the collaborative potential between pathologists and ChatGPT to deliver more accurate diagnoses.Methods and resultsIn Part 1 of the study, pathologists and ChatGPT were subjected to a series of questions encompassing common diagnostic conundrums in histopathology. For Part 2, pathologists reviewed a series of challenging virtual slides and provided their diagnoses before and after consultation with ChatGPT. We found that ChatGPT performed worse than pathologists in reaching the correct diagnosis. Consultation with ChatGPT provided limited help and information generated from ChatGPT is dependent on the prompts provided by the pathologists and is not always correct. Finally, we surveyed pathologists who rated the diagnostic accuracy of ChatGPT poorly, but found it useful as an advanced search engine.ConclusionsThe use of ChatGPT4 as a diagnostic tool in histopathology is limited by its inherent shortcomings. Judicious evaluation of the information and histopathology diagnosis generated from ChatGPT4 is essential and cannot replace the acuity and judgement of a pathologist. However, future advances in generative AI may expand its role in the field of histopathology. The use of ChatGPT4 as a diagnostic tool in histopathology is limited by its inherent shortcomings. Judicious evaluation of the information and histopathology diagnosis generated from ChatGPT4 is essential and it cannot replace the acuity and judgement of a pathologist.image</t>
  </si>
  <si>
    <t>[Oon, Ming Liang; Syn, Nicholas L.; Tan, Char Loo; Tan, Kong-Bing; Ng, Siok-Bian] Natl Univ Singapore Hosp, Dept Pathol, Singapore, Singapore; [Tan, Kong-Bing; Ng, Siok-Bian] Natl Univ Singapore, Yong Loo Lin Sch Med, Dept Pathol, Singapore, Singapore; [Ng, Siok-Bian] Natl Univ Singapore, Canc Sci Inst Singapore, Singapore, Singapore</t>
  </si>
  <si>
    <t>National University of Singapore; National University of Singapore; National University of Singapore</t>
  </si>
  <si>
    <t>Ng, SB (corresponding author), Natl Univ Singapore, Yong Loo Lin Sch Med, Dept Pathol, Singapore, Singapore.</t>
  </si>
  <si>
    <t>patnsb@nus.edu.sg</t>
  </si>
  <si>
    <t>Oon, Ming Liang/0000-0003-0493-3361</t>
  </si>
  <si>
    <t>National Medical Research Council; Michigan Medicine Department of Pathology [MOH-001104]; National Medical Research Council Senior Investigator Clinician Scientist Award</t>
  </si>
  <si>
    <t>National Medical Research Council(UK Research &amp; Innovation (UKRI)Medical Research Council UK (MRC)); Michigan Medicine Department of Pathology; National Medical Research Council Senior Investigator Clinician Scientist Award</t>
  </si>
  <si>
    <t>We express appreciation to the Michigan Medicine Department of Pathology, Ann Arbor MI, USA for permission to use images from their 'Virtual Slide Box' whole-slide image repository (), and the Division of Pathology and Data Analytics, Leeds Institute of Medical Research, University of Leeds, UK for permission to use images from their Virtual Pathology whole-slide image repository () in support of research described herein. We would also like to express our gratitude to our colleagues from the Department of Pathology, National University Hospital, Singapore, who participated in this study. S.-B.N is supported by the National Medical Research Council Senior Investigator Clinician Scientist Award (MOH-001104).</t>
  </si>
  <si>
    <t>0309-0167</t>
  </si>
  <si>
    <t>1365-2559</t>
  </si>
  <si>
    <t>Histopathology</t>
  </si>
  <si>
    <t>10.1111/his.15100</t>
  </si>
  <si>
    <t>Cell Biology; Pathology</t>
  </si>
  <si>
    <t>HI2A9</t>
  </si>
  <si>
    <t>WOS:001110930200001</t>
  </si>
  <si>
    <t>Maillard, A; Micheli, G; Lefevre, L; Guyonnet, C; Poyart, C; Canoui, E; Belan, M; Charlier, C</t>
  </si>
  <si>
    <t>Maillard, Alexis; Micheli, Giulia; Lefevre, Leila; Guyonnet, Cecile; Poyart, Claire; Canoui, Etienne; Belan, Martin; Charlier, Caroline</t>
  </si>
  <si>
    <t>Can Chatbot Artificial Intelligence Replace Infectious Diseases Physicians in the Management of Bloodstream Infections? A Prospective Cohort Study</t>
  </si>
  <si>
    <t>CLINICAL INFECTIOUS DISEASES</t>
  </si>
  <si>
    <t>ChatGPT; artificial intelligence; bacteremia; evaluation; infectious diseases</t>
  </si>
  <si>
    <t>CLINICAL-PRACTICE GUIDELINE; NEUTROPENIC PATIENTS; SOCIETY; UPDATE</t>
  </si>
  <si>
    <t>Background The development of chatbot artificial intelligence (AI) has raised major questions about their use in healthcare. We assessed the quality and safety of the management suggested by Chat Generative Pre-training Transformer 4 (ChatGPT-4) in real-life practice for patients with positive blood cultures.Methods Over a 4-week period in a tertiary care hospital, data from consecutive infectious diseases (ID) consultations for a first positive blood culture were prospectively provided to ChatGPT-4. Data were requested to propose a comprehensive management plan (suspected/confirmed diagnosis, workup, antibiotic therapy, source control, follow-up). We compared the management plan suggested by ChatGPT-4 with the plan suggested by ID consultants based on literature and guidelines. Comparisons were performed by 2 ID physicians not involved in patient management.Results Forty-four cases with a first episode of positive blood culture were included. ChatGPT-4 provided detailed and well-written responses in all cases. AI's diagnoses were identical to those of the consultant in 26 (59%) cases. Suggested diagnostic workups were satisfactory (ie, no missing important diagnostic tests) in 35 (80%) cases; empirical antimicrobial therapies were adequate in 28 (64%) cases and harmful in 1 (2%). Source control plans were inadequate in 4 (9%) cases. Definitive antibiotic therapies were optimal in 16 (36%) patients and harmful in 2 (5%). Overall, management plans were considered optimal in only 1 patient, as satisfactory in 17 (39%), and as harmful in 7 (16%).Conclusions The use of ChatGPT-4 without consultant input remains hazardous when seeking expert medical advice in 2023, especially for severe IDs. The management plans of ChatGPT-4 for a first positive blood culture episode were considered optimal in 2%, satisfactory in 39%, and harmful in 16% of cases. Its use without consultant input remains hazardous in this setting.</t>
  </si>
  <si>
    <t>[Maillard, Alexis; Micheli, Giulia; Lefevre, Leila; Canoui, Etienne; Belan, Martin; Charlier, Caroline] Paris Ctr Univ Hosp, AP HP, Infect Dis Stewardship Team, Paris, France; [Micheli, Giulia] Univ Cattolica Sacro Cuore, Dipartimento Sicurezza &amp; Bioet, Sez Malattie Infett, Rome, Italy; [Guyonnet, Cecile; Poyart, Claire] Paris Ctr Univ Hosp, AP HP, Microbiol Dept, Paris, France; [Guyonnet, Cecile; Poyart, Claire] Univ Paris Cite, Inst Cochin, Inst Natl Sante &amp; Rech Med INSERM, Ctr Natl Rech Sci CNRS,U1016,UMR8104, Paris, France; [Belan, Martin; Charlier, Caroline] Univ Paris Citr, Fac Med, Paris, France; [Charlier, Caroline] Inst Pasteur, French Natl Reference Ctr, Paris, France; [Charlier, Caroline] Inst Pasteur, World Hlth Org Collaborating Ctr Listeria, Paris, France; [Charlier, Caroline] Inst Pasteur, Biol Infect Unit, Inserm, Paris, France; [Maillard, Alexis; Belan, Martin; Charlier, Caroline] Ctr Univ Hosp, AP HP, Infect Dis Stewardship Team, 27 Rue Faubourg St Jacques, F-75014 Paris, France</t>
  </si>
  <si>
    <t>Assistance Publique Hopitaux Paris (APHP); Catholic University of the Sacred Heart; IRCCS Policlinico Gemelli; Assistance Publique Hopitaux Paris (APHP); Universite Paris Cite; Institut National de la Sante et de la Recherche Medicale (Inserm); Centre National de la Recherche Scientifique (CNRS); CNRS - National Institute for Biology (INSB); Le Reseau International des Instituts Pasteur (RIIP); Universite Paris Cite; Institut Pasteur Paris; Le Reseau International des Instituts Pasteur (RIIP); Universite Paris Cite; Institut Pasteur Paris; World Health Organization; Le Reseau International des Instituts Pasteur (RIIP); Universite Paris Cite; Institut Pasteur Paris; Institut National de la Sante et de la Recherche Medicale (Inserm); Assistance Publique Hopitaux Paris (APHP)</t>
  </si>
  <si>
    <t>Maillard, A; Belan, M; Charlier, C (corresponding author), Ctr Univ Hosp, AP HP, Infect Dis Stewardship Team, 27 Rue Faubourg St Jacques, F-75014 Paris, France.</t>
  </si>
  <si>
    <t>alexis.maillard@aphp.fr; martin.belan@aphp.fr; caroline.charlier@aphp.fr</t>
  </si>
  <si>
    <t>Guyonnet, Cecile/JXN-7492-2024</t>
  </si>
  <si>
    <t>Guyonnet, Cecile/0009-0000-7310-2858; Micheli, Giulia/0000-0001-7996-8345; Maillard, Alexis/0000-0002-7165-4103</t>
  </si>
  <si>
    <t>1058-4838</t>
  </si>
  <si>
    <t>1537-6591</t>
  </si>
  <si>
    <t>CLIN INFECT DIS</t>
  </si>
  <si>
    <t>Clin. Infect. Dis.</t>
  </si>
  <si>
    <t>10.1093/cid/ciad632</t>
  </si>
  <si>
    <t>Immunology; Infectious Diseases; Microbiology</t>
  </si>
  <si>
    <t>X4HS1</t>
  </si>
  <si>
    <t>WOS:001098084600001</t>
  </si>
  <si>
    <t>An, RP; Batcheller, Q; Wang, JJ; Yang, YY</t>
  </si>
  <si>
    <t>An, Ruopeng; Batcheller, Quinlan; Wang, Junjie; Yang, Yuyi</t>
  </si>
  <si>
    <t>Build neural network models to identify and correct news headlines exaggerating obesity-related scientific findings</t>
  </si>
  <si>
    <t>JOURNAL OF DATA AND INFORMATION SCIENCE</t>
  </si>
  <si>
    <t>Artificial intelligence; Deep neural networks; News; Headlines; Exaggeration; Obesity</t>
  </si>
  <si>
    <t>Purpose: Media exaggerations of health research may confuse readers' understanding, erode public trust in science and medicine, and cause disease mismanagement. This study built artificial intelligence (AI) models to automatically identify and correct news headlines exaggerating obesity-related research findings.Design/methodology/approach: We searched popular digital media outlets to collect 523 headlines exaggerating obesity-related research findings. The reasons for exaggerations include: inferring causality from observational studies, inferring human outcomes from animal research, inferring distant/end outcomes (e.g., obesity) from immediate/intermediate outcomes (e.g., calorie intake), and generalizing findings to the population from a subgroup or convenience sample. Each headline was paired with the title and abstract of the peer-reviewed journal publication covered by the news article. We drafted an exaggeration-free counterpart for each original headline and fined-tuned a BERT model to differentiate between them. We further fine-tuned three generative language models-BART, PEGASUS, and T5 to autogenerate exaggeration-free headlines based on a journal publication's title and abstract. Model performance was evaluated using the ROUGE metrics by comparing model-generated headlines with journal publication titles.Findings: The fine-tuned BERT model achieved 92.5% accuracy in differentiating between exaggeration-free and original headlines. Baseline ROUGE scores averaged 0.311 for ROUGE-1, 0.113 for ROUGE-2, 0.253 for ROUGE-L, and 0.253 ROUGE-Lsum. PEGASUS, T5, and BART all outperformed the baseline. The best-performing BART model attained 0.447 for ROUGE-1, 0.221 for ROUGE-2, 0.402 for ROUGE-L, and 0.402 for ROUGE-Lsum.Originality/value: This study demonstrated the feasibility of leveraging AI to automatically identify and correct news headlines exaggerating obesity-related research findings.</t>
  </si>
  <si>
    <t>[An, Ruopeng; Batcheller, Quinlan; Yang, Yuyi] Washington Univ St Louis, Brown Sch, One Brookings Dr, St Louis, MO 63130 USA; [Wang, Junjie] Dalian Univ Technol, Dept kinesiol &amp; Hlth promot, 2 Linggong Rd, Dalian 116024, Peoples R China</t>
  </si>
  <si>
    <t>Washington University (WUSTL); Dalian University of Technology</t>
  </si>
  <si>
    <t>Wang, JJ (corresponding author), Dalian Univ Technol, Dept kinesiol &amp; Hlth promot, 2 Linggong Rd, Dalian 116024, Peoples R China.</t>
  </si>
  <si>
    <t>wangjunjie@dlut.edu.cn</t>
  </si>
  <si>
    <t>Yang, Yuyi/N-5428-2015</t>
  </si>
  <si>
    <t>Yang, Yuyi/0000-0001-9807-6844; Batcheller, Quinlan/0000-0001-6811-7983; WANG, JUNJIE/0000-0003-2270-7245; YANG, YUYI/0000-0002-7625-810X</t>
  </si>
  <si>
    <t>Russian Science Foundation [21-78-10102]</t>
  </si>
  <si>
    <t>Russian Science Foundation(Russian Science Foundation (RSF))</t>
  </si>
  <si>
    <t>This work is supported by Russian Science Foundation (Grant No. 21-78-10102).</t>
  </si>
  <si>
    <t>2096-157X</t>
  </si>
  <si>
    <t>2543-683X</t>
  </si>
  <si>
    <t>J DATA INFO SCI</t>
  </si>
  <si>
    <t>J. Data Info. Sci.</t>
  </si>
  <si>
    <t>2023 JUN 7</t>
  </si>
  <si>
    <t>10.2478/jdis-2023-0014</t>
  </si>
  <si>
    <t>I4XX2</t>
  </si>
  <si>
    <t>WOS:001002837900001</t>
  </si>
  <si>
    <t>Hwang, YS; Um, JS; Pradhan, B; Choudhury, T; Schlueter, S</t>
  </si>
  <si>
    <t>Hwang, Young-Seok; Um, Jung-Sup; Pradhan, Biswajeet; Choudhury, Tanupriya; Schlueter, Stephan</t>
  </si>
  <si>
    <t>How does ChatGPT evaluate the value of spatial information in the 4th industrial revolution?</t>
  </si>
  <si>
    <t>SPATIAL INFORMATION RESEARCH</t>
  </si>
  <si>
    <t>ChatGPT; Spatial information; Perception; 4th Industrial Revolution</t>
  </si>
  <si>
    <t>Chat Generative Pre-trained Transformer (ChatGPT), developed by OpenAI, is a prominent AI model capable of understanding and generating human-like text based on input. Since terms and concepts of spatial information are contextual, the applications of ChatGPT on spatial information disciplines can be biased by the perceptions and perspectives of ChatGPT towards spatial information. Therefore, a thorough understanding of the real magnitude and level of comprehension of spatial information by ChatGPT is essential before exploring its potential applications in spatial information disciplines. This article aims to investigate how ChatGPT evaluates spatial information and its potential contributions to 4th Industrial Revolution (Industry 4.0). ChatGPT has summarized a notable perspective on evaluating and utilizing spatial information in the context of the Industry 4.0. The result of this study shows that ChatGPT has a good understanding on contextual concepts related to spatial information. However, it exhibits potential biases and challenges, as its responses lean towards the technological and analytical aspects. The results provide a crucial understanding on how to leverage ChatGPT's benefits to the fullest while recognizing its constraints, with the aim to enhance the efficacy from the perspective of applications linked to spatial information.</t>
  </si>
  <si>
    <t>[Hwang, Young-Seok] Kyungpook Natl Univ, Dept Spatial Informat Sci, Daegu 41566, South Korea; [Um, Jung-Sup] Kyungpook Natl Univ, Dept Geog, Daegu 41566, South Korea; [Pradhan, Biswajeet] Univ Technol Sydney, Ctr Adv Modelling &amp; Geospatial Informat Syst CAMGI, Sch Civil &amp; Environm Engn, Sydney, NSW 2007, Australia; [Pradhan, Biswajeet] Univ Kebangsaan Malaysia, Inst Climate Change, Earth Observat Ctr, Bangi 43600, Selangor, Malaysia; [Choudhury, Tanupriya] Symbiosis Int, Symbiosis Inst Technol, CSE Dept, Pune 412115, Maharashtra, India; [Schlueter, Stephan] Ulm Univ Appl Sci, Dept Math, Nat &amp; Econ Sci, D-89075 Ulm, Germany</t>
  </si>
  <si>
    <t>Kyungpook National University; Kyungpook National University; University of Technology Sydney; Universiti Kebangsaan Malaysia; Symbiosis International University; Symbiosis Institute of Technology (SIT); Ulm University</t>
  </si>
  <si>
    <t>Schlueter, S (corresponding author), Ulm Univ Appl Sci, Dept Math, Nat &amp; Econ Sci, D-89075 Ulm, Germany.</t>
  </si>
  <si>
    <t>youngseokhwang@knu.ac.kr; jsaeom@knu.ac.kr; biswajeet.pradhan@uts.edu.au; tanupriya.choudhury@sitpune.edu.in; Stephan.Schlueter@thu.de</t>
  </si>
  <si>
    <t>Um, Jung-Sup/AAE-7721-2019; Um, Jung-Sup/F-5351-2018</t>
  </si>
  <si>
    <t>Um, Jung-Sup/0000-0002-3123-3515; Schluter, Stephan/0000-0001-5816-3337</t>
  </si>
  <si>
    <t>Technische Hochschule Ulm (3403)</t>
  </si>
  <si>
    <t>SPRINGER SINGAPORE PTE LTD</t>
  </si>
  <si>
    <t>152 Beach Road, #21-01 Gateway East, SINGAPORE, SINGAPORE</t>
  </si>
  <si>
    <t>2366-3286</t>
  </si>
  <si>
    <t>2366-3294</t>
  </si>
  <si>
    <t>SPAT INF RES</t>
  </si>
  <si>
    <t>Spat. Inf. Res.</t>
  </si>
  <si>
    <t>10.1007/s41324-023-00567-5</t>
  </si>
  <si>
    <t>AZ3G0</t>
  </si>
  <si>
    <t>WOS:001122222400001</t>
  </si>
  <si>
    <t>Polina, K; Ekaterina, R; Anastasia, Y; Andrei, S; Leonid, K; Riccardo, F; Aleksei, I</t>
  </si>
  <si>
    <t>Polina, Karpikova; Ekaterina, Radionova; Anastasia, Yaschenko; Andrei, Spiridonov; Leonid, Kostyushko; Riccardo, Fabbricatore; Aleksei, Ivakhnenko</t>
  </si>
  <si>
    <t>FIANCEE: Faster Inference of Adversarial Networks via Conditional Early Exits</t>
  </si>
  <si>
    <t>Generative DNNs are a powerful tool for image synthesis, but they are limited by their computational load. On the other hand, given a trained model and a task, e.g. faces generation within a range of characteristics, the output image quality will be unevenly distributed among images with different characteristics. It follows, that we might restrain the model's complexity on some instances, maintaining a high quality. We propose a method for diminishing computations by adding so-called early exit branches to the original architecture, and dynamically switching the computational path depending on how difficult it will be to render the output. We apply our method on two different SOTA models performing generative tasks: generation from a semantic map, and cross-reenactment of face expressions; showing it is able to output images with custom lower-quality thresholds. For a threshold of LPIPS &lt;= 0.1, we diminish their computations by up to a half. This is especially relevant for real-time applications such as synthesis of faces, when quality loss needs to be contained, but most of the inputs need fewer computations than the complex instances.</t>
  </si>
  <si>
    <t>[Polina, Karpikova; Ekaterina, Radionova; Anastasia, Yaschenko; Andrei, Spiridonov; Riccardo, Fabbricatore; Aleksei, Ivakhnenko] Samsung AI Ctr Moscow, Moscow, Russia; [Polina, Karpikova; Anastasia, Yaschenko] Higher Sch Econ Moscow, Moscow, Russia; [Leonid, Kostyushko] Lomonosov Moscow State Univ, Moscow, Russia</t>
  </si>
  <si>
    <t>HSE University (National Research University Higher School of Economics); Lomonosov Moscow State University</t>
  </si>
  <si>
    <t>Aleksei, I (corresponding author), Samsung AI Ctr Moscow, Moscow, Russia.</t>
  </si>
  <si>
    <t>aleksei.ivakhnenko@mail.ru</t>
  </si>
  <si>
    <t>10.1109/CVPR52729.2023.01158</t>
  </si>
  <si>
    <t>WOS:001062522104034</t>
  </si>
  <si>
    <t>Shim, J; Kang, C; Joo, K</t>
  </si>
  <si>
    <t>Shim, Jaehyeok; Kang, Changwoo; Joo, Kyungdon</t>
  </si>
  <si>
    <t>Diffusion-Based Signed Distance Fields for 3D Shape Generation</t>
  </si>
  <si>
    <t>We propose a 3D shape generation framework (SDF-Diffusion in short) that uses denoising diffusion models with continuous 3D representation via signed distance fields (SDF). Unlike most existing methods that depend on discontinuous forms, such as point clouds, SDF-Diffusion generates high-resolution 3D shapes while alleviating memory issues by separating the generative process into two-stage: generation and super-resolution. In the first stage, a diffusion-based generative model generates a low-resolution SDF of 3D shapes. Using the estimated low-resolution SDF as a condition, the second stage diffusion model performs super-resolution to generate high-resolution SDF. Our framework can generate a high-fidelity 3D shape despite the extreme spatial complexity. On the ShapeNet dataset, our model shows competitive performance to the state-of-the-art methods and shows applicability on the shape completion task without modification.</t>
  </si>
  <si>
    <t>[Shim, Jaehyeok; Kang, Changwoo; Joo, Kyungdon] UNIST, Artificial Intelligence Grad Sch, Ulsan, South Korea</t>
  </si>
  <si>
    <t>Ulsan National Institute of Science &amp; Technology (UNIST)</t>
  </si>
  <si>
    <t>Joo, K (corresponding author), UNIST, Artificial Intelligence Grad Sch, Ulsan, South Korea.</t>
  </si>
  <si>
    <t>jh.shim@unist.ac.kr; kangchangwoo@unist.ac.kr; kyungdon@unist.ac.kr</t>
  </si>
  <si>
    <t>Institute of Information &amp; communications Technology Planning &amp; Evaluation (IITP) - Korea government (MSIT) [2022-0-00612, 2022-0-00907, 2020-0-01336]; Artificial intelligence industrial convergence cluster development project - Ministry of Science and ICT (MSIT, Korea); Gwangju Metropolitan City</t>
  </si>
  <si>
    <t>Institute of Information &amp; communications Technology Planning &amp; Evaluation (IITP) - Korea government (MSIT)(Institute for Information &amp; Communication Technology Planning &amp; Evaluation (IITP), Republic of KoreaMinistry of Science &amp; ICT (MSIT), Republic of Korea); Artificial intelligence industrial convergence cluster development project - Ministry of Science and ICT (MSIT, Korea)(Ministry of Science &amp; ICT (MSIT), Republic of Korea); Gwangju Metropolitan City</t>
  </si>
  <si>
    <t>This work was supported by Institute of Information &amp; communications Technology Planning &amp; Evaluation (IITP) grant funded by the Korea government (MSIT) (No. 2022-0-00612, Geometric and Physical Commonsense Reasoning based Behavior Intelligence for Embodied AI, No.2022-0-00907, Development of AI Bots Collaboration Platform and Self-organizing AI and No.2020-0-01336, Artificial Intelligence Graduate School Program (UNIST)) and Artificial intelligence industrial convergence cluster development project funded by the Ministry of Science and ICT (MSIT, Korea) &amp; Gwangju Metropolitan City.</t>
  </si>
  <si>
    <t>10.1109/CVPR52729.2023.02001</t>
  </si>
  <si>
    <t>WOS:001062531305022</t>
  </si>
  <si>
    <t>Godwin-Jones, R</t>
  </si>
  <si>
    <t>Godwin-Jones, Robert</t>
  </si>
  <si>
    <t>Presence and agency in real and virtual spaces: The promise of extended reality for language learning</t>
  </si>
  <si>
    <t>LANGUAGE LEARNING &amp; TECHNOLOGY</t>
  </si>
  <si>
    <t>Augmented Reality; Virtual Reality; Second Language; Acquisition; Artificial; Artificial Intelligence</t>
  </si>
  <si>
    <t>ENVIRONMENTS; MULTILITERACIES; TECHNOLOGIES; VOCABULARY; IMMERSION; CLASSROOM; INSIGHTS; GAMES</t>
  </si>
  <si>
    <t>Augmented and virtual realities (together extended reality) offer language learners the opportunity to communicate and interact in real and virtual spaces. In augmented reality (AR), users view computer generated layers added to a phone camera's view of the world. Virtual reality (VR) immerses users in a 3D environment that might simulate aspects of the outside world or project an entirely imagined reality. This column looks at opportunities and challenges in the use of extended reality (XR) for second language learning. Opportunities include higher learner motivation and personal agency through XR uses that feature collaboration and open-ended interactions, particularly in simulations, games, and learner co design. That direction offers more alignment with current theories of second language acquisition (SLA)- emphasizing holistic language development and ecological frameworks-than most commercial VR apps currently available. Those posit a linear language development and focus largely on vocabulary learning and language practice within closed role-play scenarios. Offering both AR and VR access, mixed reality may present opportunities to combine the best features of each medium. Advances in generative artificial intelligence (AI) provide additional possibilities for personalized language learning in a flexible and dynamic VR environment.</t>
  </si>
  <si>
    <t>[Godwin-Jones, Robert] Virginia Commonwealth Univ, Richmond, VA 23284 USA</t>
  </si>
  <si>
    <t>Virginia Commonwealth University</t>
  </si>
  <si>
    <t>Godwin-Jones, R (corresponding author), Virginia Commonwealth Univ, Richmond, VA 23284 USA.</t>
  </si>
  <si>
    <t>Godwin-Jones, Robert/JWO-9721-2024</t>
  </si>
  <si>
    <t>Godwin-Jones, Robert/0000-0002-2377-3204</t>
  </si>
  <si>
    <t>UNIV HAWAII, NATL FOREIGN LANGUAGE RESOURCE CENTER</t>
  </si>
  <si>
    <t>HONOLULU</t>
  </si>
  <si>
    <t>1859 EAST WEST RD, 106, HONOLULU, HI 96822 USA</t>
  </si>
  <si>
    <t>1094-3501</t>
  </si>
  <si>
    <t>LANG LEARN TECHNOL</t>
  </si>
  <si>
    <t>Lang. Learn. Technol.</t>
  </si>
  <si>
    <t>U3GH5</t>
  </si>
  <si>
    <t>WOS:001083711700002</t>
  </si>
  <si>
    <t>Kim, S; Hong, J; Lee, Y</t>
  </si>
  <si>
    <t>Kim, Seyoung; Hong, Joohwan; Lee, Yongjae</t>
  </si>
  <si>
    <t>A GANs-Based Approach for Stock Price Anomaly Detection and Investment Risk Management</t>
  </si>
  <si>
    <t>SUPPORT VECTOR MACHINE; VOLATILITY</t>
  </si>
  <si>
    <t>This paper addresses the challenges of risk management in the financial market through a data-driven approach. In investment management, it is important to detect and avoid market anomalies, defined as significant deviations from typical stock price movement patterns. We propose a method that utilizes Generative Adversarial Networks (GANs) to detect anomalous patterns in stock prices. We devise simple investment strategies based on the GANs-based anomaly detection model and validate them on real-world data to demonstrate if the proposed approach can reduce investment risk. Experimental results show that GANs-based anomaly detection can be successfully incorporated into investment strategies to yield superior returns and Sharpe ratio and much reduced volatility and maximum drawdown compared to the S&amp;P500 benchmark. This study shows the potential of data-driven approaches in detecting and managing investment risk.</t>
  </si>
  <si>
    <t>[Kim, Seyoung; Hong, Joohwan; Lee, Yongjae] Ulsan Natl Inst Sci &amp; Technol, Ulsan, South Korea</t>
  </si>
  <si>
    <t>Kim, S (corresponding author), Ulsan Natl Inst Sci &amp; Technol, Ulsan, South Korea.</t>
  </si>
  <si>
    <t>abc21389@unist.ac.kr; joohwanhong@unist.ac.kr; yongjaelee@unist.ac.kr</t>
  </si>
  <si>
    <t>Lee, Yongjae/Q-4430-2018</t>
  </si>
  <si>
    <t>Lee, Yongjae/0000-0002-5411-4340</t>
  </si>
  <si>
    <t>National Research Foundation of Korea (NRF) - Korean government (MSIT) [NRF-2022R1I1A4069163]</t>
  </si>
  <si>
    <t>National Research Foundation of Korea (NRF) - Korean government (MSIT)(National Research Foundation of KoreaMinistry of Science &amp; ICT (MSIT), Republic of Korea)</t>
  </si>
  <si>
    <t>This work was supported by the National Research Foundation of Korea (NRF) grant funded by the Korean government (MSIT) (No. NRF-2022R1I1A4069163).</t>
  </si>
  <si>
    <t>10.1145/3604237.3626892</t>
  </si>
  <si>
    <t>WOS:001124982700001</t>
  </si>
  <si>
    <t>Shamshad, F; Naseer, M; Nandakumar, K</t>
  </si>
  <si>
    <t>Shamshad, Fahad; Naseer, Muzammal; Nandakumar, Karthik</t>
  </si>
  <si>
    <t>CLIP2Protect: Protecting Facial Privacy using Text-Guided Makeup via Adversarial Latent Search</t>
  </si>
  <si>
    <t>The success of deep learning based face recognition systems has given rise to serious privacy concerns due to their ability to enable unauthorized tracking of users in the digital world. Existing methods for enhancing privacy fail to generate naturalistic images that can protect facial privacy without compromising user experience. We propose a novel two-step approach for facial privacy protection that relies on finding adversarial latent codes in the low-dimensional manifold of a pretrained generative model. The first step inverts the given face image into the latent space and finetunes the generative model to achieve an accurate reconstruction of the given image from its latent code. This step produces a good initialization, aiding the generation of high-quality faces that resemble the given identity. Subsequently, user-defined makeup text prompts and identity-preserving regularization are used to guide the search for adversarial codes in the latent space. Extensive experiments demonstrate that faces generated by our approach have stronger black-box transferability with an absolute gain of 12.06% over the state-of-the-art facial privacy protection approach under the face verification task. Finally, we demonstrate the effectiveness of the proposed approach for commercial face recognition systems. Our code is available at https://github.com/fahadshamshad/Clip2Protect.</t>
  </si>
  <si>
    <t>[Shamshad, Fahad; Naseer, Muzammal; Nandakumar, Karthik] Mohamed Bin Zayed Univ AI, Abu Dhabi, U Arab Emirates</t>
  </si>
  <si>
    <t>Shamshad, F (corresponding author), Mohamed Bin Zayed Univ AI, Abu Dhabi, U Arab Emirates.</t>
  </si>
  <si>
    <t>fahad.shamshad@mbzuai.ac.ae; muzammal.naseer@mbzuai.ac.ae; karthik.nandakumar@mbzuai.ac.ae</t>
  </si>
  <si>
    <t>10.1109/CVPR52729.2023.01973</t>
  </si>
  <si>
    <t>WOS:001062531304089</t>
  </si>
  <si>
    <t>Khanmohammadi, S; Golafshani, E; Bai, Y; Li, H; Bazli, M; Arashpour, M</t>
  </si>
  <si>
    <t>Khanmohammadi, Sadegh; Golafshani, Emad; Bai, Yu; Li, Heng; Bazli, Milad; Arashpour, Mehrdad</t>
  </si>
  <si>
    <t>Multi-modal mining of crowd-sourced data: Efficient provision of humanitarian aid to remote regions affected by natural disasters</t>
  </si>
  <si>
    <t>INTERNATIONAL JOURNAL OF DISASTER RISK REDUCTION</t>
  </si>
  <si>
    <t>Humanitarian aid; Data mining; Artificial intelligence (AI); Deep neural networks (DNN); SHapley additive exPlanations (SHAP); Generative adversarial networks (GAN)</t>
  </si>
  <si>
    <t>FUSION</t>
  </si>
  <si>
    <t>Data mining applications have the potential to address current deficiencies in the provision of hu-manitarian aid in natural disasters. Simultaneous text and image analysis in crowd-sourced data can improve the quality of humanitarian aid information. Specifically, we select Bidirectional En-coder Representations from Transformers (BERT) and its descendant ALBERT as pre-trained deep networks for the text modality, while we choose ConvNeXt, RegNet, and Faster RCNN for the im-age modality. The developed framework demonstrates its application in classifying humanitarian aid through three key aspects. Firstly, it illustrates the effective performance of ConvNeXt and BERT in the classification of humanitarian aid. Secondly, it investigates the efficiency of genera-tive adversarial networks (GAN) in generating synthetic images for imbalanced input datasets. This approach improves the accuracy, precision, recall, and F1-score of the framework when ap-plied to unseen test data. Finally, the study highlights the potential use of SHapley Additive ex-Planations (SHAP) for interpreting the behaviour of the developed framework, supporting the timely classification of humanitarian aid information from crowd-sourced data after natural dis-asters.</t>
  </si>
  <si>
    <t>[Khanmohammadi, Sadegh; Golafshani, Emad; Bai, Yu; Arashpour, Mehrdad] Monash Univ, Dept Civil Engn, Melbourne, Australia; [Li, Heng] Hong Kong Polytech Univ, Hong Kong, Peoples R China; [Bazli, Milad] Charles Darwin Univ, Coll Engn IT &amp; Environm, Casuarina, Australia; [Arashpour, Mehrdad] Monash Univ, Dept Civil Engn, Melbourne, Vic 3800, Australia</t>
  </si>
  <si>
    <t>Monash University; Hong Kong Polytechnic University; Charles Darwin University; Monash University</t>
  </si>
  <si>
    <t>sadegh.khanmohammadi@monash.edu; emad.golafshani@monash.edu; yu.bai@monash.edu; heng.li@polyu.edu.hk; milad.bazli@cdu.edu.au; Mehrdad.arashpour@monash.edu</t>
  </si>
  <si>
    <t>Li, Heng/B-2821-2015; Arashpour, Mehrdad/GXW-0980-2022</t>
  </si>
  <si>
    <t>bazli, milad/0000-0001-9027-6155; Arashpour, Mehrdad/0000-0003-4148-3160; Khanmohammadi, Sadegh/0000-0001-6270-380X</t>
  </si>
  <si>
    <t>Australian Research Council (ARC) through the Linkage project [LP180101080]</t>
  </si>
  <si>
    <t>Australian Research Council (ARC) through the Linkage project(Australian Research Council)</t>
  </si>
  <si>
    <t>The authors are grateful for support from the Australian Research Council (ARC) through the Linkage project (LP180101080) . The authors acknowledge the contributions of the members of ASCII Lab at Monash University for critiquing the manuscript and provid-ing constructive feedback.</t>
  </si>
  <si>
    <t>2212-4209</t>
  </si>
  <si>
    <t>INT J DISAST RISK RE</t>
  </si>
  <si>
    <t>Int. J. Disaster Risk Reduct.</t>
  </si>
  <si>
    <t>10.1016/j.ijdrr.2023.103972</t>
  </si>
  <si>
    <t>Geosciences, Multidisciplinary; Meteorology &amp; Atmospheric Sciences; Water Resources</t>
  </si>
  <si>
    <t>Geology; Meteorology &amp; Atmospheric Sciences; Water Resources</t>
  </si>
  <si>
    <t>X0RG1</t>
  </si>
  <si>
    <t>WOS:001095603500001</t>
  </si>
  <si>
    <t>Mehta, P; Jagatap, G; Gallagher, K; Timmerman, B; Deb, P; Garg, S; Greenstadt, R; Dolan-Gavitt, B</t>
  </si>
  <si>
    <t>Mehta, Pulak; Jagatap, Gauri; Gallagher, Kevin; Timmerman, Brian; Deb, Progga; Garg, Siddharth; Greenstadt, Rachel; Dolan-Gavitt, Brendan</t>
  </si>
  <si>
    <t>Can Deepfakes be created on a whim?</t>
  </si>
  <si>
    <t>deepfakes; generative models; video synthesis</t>
  </si>
  <si>
    <t>Recent advancements in machine learning and computer vision have led to the proliferation of Deepfakes. As technology democratizes over time, there is an increasing fear that novice users can create Deepfakes, to discredit others and undermine public discourse. In this paper, we conduct user studies to understand whether participants with advanced computer skills and varying level of computer science expertise can create Deepfakes of a person saying a target statement using limited media files. We conduct two studies; in the first study (n = 39) participants try creating a target Deepfake in a constrained time frame using any tool they desire. In the second study (n = 29) participants use pre-specified deep learning based tools to create the same Deepfake. We find that for the first study, of the participants successfully created complete Deepfakes with audio and video, whereas for the second user study, of the participants were successful in stitching target speech to the target video. We further use Deepfake detection software tools as well as human examiner-based analysis, to classify the successfully generated Deepfake outputs as fake, suspicious, or real. The software detector classified of the Deepfakes as fake, whereas the human examiners classified of the videos as fake. We conclude that creating Deepfakes is a simple enough task for a novice user given adequate tools and time; however, the resulting Deepfakes are not sufficiently real-looking and are unable to completely fool detection software as well as human examiners.</t>
  </si>
  <si>
    <t>[Mehta, Pulak; Jagatap, Gauri; Timmerman, Brian; Deb, Progga; Garg, Siddharth; Greenstadt, Rachel; Dolan-Gavitt, Brendan] NYU, New York, NY 10003 USA; [Gallagher, Kevin] NOVA LINCS, Lisbon, Portugal; [Gallagher, Kevin] Univ Nova Lisboa, Lisbon, Portugal</t>
  </si>
  <si>
    <t>New York University; Universidade Nova de Lisboa</t>
  </si>
  <si>
    <t>Mehta, P (corresponding author), NYU, New York, NY 10003 USA.</t>
  </si>
  <si>
    <t>pm3052@nyu.edu; gauri.jagatap@nyu.edu; k.gallagher@fct.unl.pt; brian.timmerman@nyu.edu; pd1353@nyu.edu; sg175@nyu.edu; greenstadt@nyu.edu; brendandg@nyu.edu</t>
  </si>
  <si>
    <t>Dolan-Gavitt, Brendan/0000-0002-8867-4282; Gallagher, Kevin/0000-0002-2714-7841</t>
  </si>
  <si>
    <t>NSF [2016061]</t>
  </si>
  <si>
    <t>This work was supported in part by NSF 2016061.</t>
  </si>
  <si>
    <t>10.1145/3543873.3587581</t>
  </si>
  <si>
    <t>WOS:001124276300243</t>
  </si>
  <si>
    <t>Carvalho, J; Le, AT; Baierl, M; Koert, D; Peters, J</t>
  </si>
  <si>
    <t>Carvalho, Joao; Le, An T.; Baierl, Mark; Koert, Dorothea; Peters, Jan</t>
  </si>
  <si>
    <t>Motion Planning Diffusion: Learning and Planning of Robot Motions with Diffusion Models</t>
  </si>
  <si>
    <t>2023 IEEE/RSJ INTERNATIONAL CONFERENCE ON INTELLIGENT ROBOTS AND SYSTEMS, IROS</t>
  </si>
  <si>
    <t>IEEE International Conference on Intelligent Robots and Systems</t>
  </si>
  <si>
    <t>IEEE/RSJ International Conference on Intelligent Robots and Systems (IROS)</t>
  </si>
  <si>
    <t>OCT 01-05, 2023</t>
  </si>
  <si>
    <t>Detroit, MI</t>
  </si>
  <si>
    <t>IEEE,RSJ</t>
  </si>
  <si>
    <t>Learning priors on trajectory distributions can help accelerate robot motion planning optimization. Given previously successful plans, learning trajectory generative models as priors for a new planning problem is highly desirable. Prior works propose several ways on utilizing this prior to bootstrapping the motion planning problem. Either sampling the prior for initializations or using the prior distribution in a maximum-a-posterior formulation for trajectory optimization. In this work, we propose learning diffusion models as priors. We then can sample directly from the posterior trajectory distribution conditioned on task goals, by leveraging the inverse denoising process of diffusion models. Furthermore, diffusion has been recently shown to effectively encode data multimodality in high-dimensional settings, which is particularly well-suited for large trajectory dataset. To demonstrate our method efficacy, we compare our proposed method - Motion Planning Diffusion - against several baselines in simulated planar robot and 7-dof robot arm manipulator environments. To assess the generalization capabilities of our method, we test it in environments with previously unseen obstacles. Our experiments show that diffusion models are strong priors to encode high-dimensional trajectory distributions of robot motions. https://sites.google.com/view/mp-diffusion</t>
  </si>
  <si>
    <t>[Carvalho, Joao; Le, An T.; Baierl, Mark; Koert, Dorothea; Peters, Jan] Tech Univ Darmstadt, Intelligent Autonomous Syst Lab, Darmstadt, Germany; [Peters, Jan] German Res Ctr AI DFKI, Bremen, Germany; [Peters, Jan] Hessian AI, Darmstadt, Germany; [Koert, Dorothea; Peters, Jan] Ctr Cognit Sci, Berlin, Germany</t>
  </si>
  <si>
    <t>Technical University of Darmstadt; German Research Center for Artificial Intelligence (DFKI)</t>
  </si>
  <si>
    <t>Carvalho, J (corresponding author), Tech Univ Darmstadt, Intelligent Autonomous Syst Lab, Darmstadt, Germany.</t>
  </si>
  <si>
    <t>German Federal Ministry of Education and Research project IKIDA [01IS20045]; German Research Foundation [PE 2315/11-1]</t>
  </si>
  <si>
    <t>German Federal Ministry of Education and Research project IKIDA; German Research Foundation(German Research Foundation (DFG))</t>
  </si>
  <si>
    <t>This work was funded by the German Federal Ministry of Education and Research project IKIDA (01IS20045), and by the German Research Foundation project METRIC4IMITATION (PE 2315/11-1). 1Intelligent Autonomous Systems Lab, TU Darmstadt, Germany; 2German Research Center for AI (DFKI); 3Hessian.AI; 4Centre for Cognitive Science</t>
  </si>
  <si>
    <t>2153-0858</t>
  </si>
  <si>
    <t>978-1-6654-9190-7</t>
  </si>
  <si>
    <t>IEEE INT C INT ROBOT</t>
  </si>
  <si>
    <t>10.1109/IROS55552.2023.10342382</t>
  </si>
  <si>
    <t>Computer Science, Artificial Intelligence; Computer Science, Information Systems; Computer Science, Theory &amp; Methods; Robotics</t>
  </si>
  <si>
    <t>BW2ZH</t>
  </si>
  <si>
    <t>WOS:001133658801065</t>
  </si>
  <si>
    <t>Zhao, B; Jin, WQ; Del Ser, J; Yang, G</t>
  </si>
  <si>
    <t>Zhao, Biao; Jin, Weiqiang; Del Ser, Javier; Yang, Guang</t>
  </si>
  <si>
    <t>ChatAgri: Exploring potentials of ChatGPT on cross-linguistic agricultural text classification</t>
  </si>
  <si>
    <t>Agricultural text classification; Very large pre-trained language model; Generative Pre-trained Transformer (GPT); ChatGPT; GPT-4</t>
  </si>
  <si>
    <t>In the era of sustainable smart agriculture, a vast amount of agricultural news text is posted online, accu-mulating significant agricultural knowledge. To efficiently access this knowledge, effective text classification techniques are urgently needed. Deep learning approaches, such as fine-tuning strategies on pre-trained language models (PLMs), have shown remarkable performance gains. Nonetheless, these methods face several complex challenges, including limited agricultural training data, poor domain transferability (especially across languages), and complex and expensive deployment of large models. Inspired by the success of recent ChatGPT models (e.g., GPT-3.5, GPT-4), this work explores the potential of applying ChatGPT in the field of agricultural informatization. Various crucial factors, such as prompt construction, answer parsing, and different ChatGPT variants, are thoroughly investigated to maximize its capabilities. A preliminary comparative study is conducted, comparing ChatGPT with PLMs-based fine-tuning methods and PLMs-based prompt-tuning methods. Empirical results demonstrate that ChatGPT effectively addresses the mentioned research challenges and bottlenecks, making it an ideal solution for agricultural text classification. Moreover, ChatGPT achieves comparable performance to existing PLM-based fine-tuning methods, even without fine-tuning on agricultural data samples. We hope this preliminary study could inspire the emergence of a general-purpose AI paradigm for agricultural text processing.</t>
  </si>
  <si>
    <t>[Zhao, Biao; Jin, Weiqiang] Xi An Jiao Tong Univ, Sch Informat &amp; Commun Engn, Innovat Harbour, Xian 710049, Shaanxi, Peoples R China; [Del Ser, Javier] Basque Res &amp; Technol Alliance BRTA, TECNALIA, Derio 48160, Spain; [Yang, Guang] Imperial Coll London, Bioengn, London SW7 2BX, England; [Yang, Guang] Imperial Coll London, Imperial X, W12, London W12 7SL, England; [Yang, Guang] Imperial Coll London, Natl Heart &amp; Lung Inst, London SW3 6LY, England</t>
  </si>
  <si>
    <t>Xi'an Jiaotong University; Imperial College London; Imperial College London; Imperial College London</t>
  </si>
  <si>
    <t>Yang, G (corresponding author), Imperial Coll London, Bioengn, London SW7 2BX, England.;Yang, G (corresponding author), Imperial Coll London, Imperial X, W12, London W12 7SL, England.;Yang, G (corresponding author), Imperial Coll London, Natl Heart &amp; Lung Inst, London SW3 6LY, England.</t>
  </si>
  <si>
    <t>biaozhao@xjtu.edu.cn; weiqiangjin@stu.xjtu.edu.cn; javier.delser@tecnalia.com; g.yang@imperial.ac.uk</t>
  </si>
  <si>
    <t>Yang, Guang/S-5032-2016; Del Ser, Javier/J-2187-2014</t>
  </si>
  <si>
    <t>Yang, Guang/0000-0001-7344-7733; Del Ser, Javier/0000-0002-1260-9775; jin, weiqiang/0000-0002-6656-6061</t>
  </si>
  <si>
    <t>ERC IMI, UK [101005122]; H2020 [952172]; MRC, UK [MC/PC/21013]; Royal Society, UK [IEC\NSFC\211235]; NVIDIA Academic Hardware Grant Program, UK; SABER project supported by Boehringer Ingelheim Ltd, UK; UKRI Future Leaders Fellowship, UK [MR/V023799/1]; Spanish Centro para el Desarrollo Tecnologico Industrial (CDTI) , Spain through the AI4ES project; Department of Education of the Basque Government (Eusko Jaurlaritza) , Spain via the Consolidated Research Group MATHMODE [IT1456-22]; Natural Science Basis Research Plan in Shaanxi Province of China [2021JQ-061]</t>
  </si>
  <si>
    <t>ERC IMI, UK; H2020(Horizon 2020); MRC, UK(UK Research &amp; Innovation (UKRI)Medical Research Council UK (MRC)); Royal Society, UK(Royal Society); NVIDIA Academic Hardware Grant Program, UK; SABER project supported by Boehringer Ingelheim Ltd, UK; UKRI Future Leaders Fellowship, UK(UK Research &amp; Innovation (UKRI)); Spanish Centro para el Desarrollo Tecnologico Industrial (CDTI) , Spain through the AI4ES project; Department of Education of the Basque Government (Eusko Jaurlaritza) , Spain via the Consolidated Research Group MATHMODE; Natural Science Basis Research Plan in Shaanxi Province of China</t>
  </si>
  <si>
    <t>The authors would like to thank the anonymous reviewers for their helpful comments, corrections, and recommendations, which significantly improved the quality of the paper. G.Y. was supported in part by the ERC IMI, UK (101005122) , the H2020 (952172) , the MRC, UK (MC/PC/21013) , the Royal Society, UK (IEC\NSFC\211235) , the NVIDIA Academic Hardware Grant Program, UK, the SABER project supported by Boehringer Ingelheim Ltd, UK, and the UKRI Future Leaders Fellowship, UK (MR/V023799/1) . J.D.S. also acknowledged support from the Spanish Centro para el Desarrollo Tecnologico Industrial (CDTI) , Spain through the AI4ES project, and the Department of Education of the Basque Government (Eusko Jaurlaritza) , Spain via the Consolidated Research Group MATHMODE (IT1456-22) . B.Z. and W.J. were supported in part by the Natural Science Basis Research Plan in Shaanxi Province of China (Project Code: 2021JQ-061) . Both the first two authors, B.Z. and W.J., made equal contributions to this work.</t>
  </si>
  <si>
    <t>10.1016/j.neucom.2023.126708</t>
  </si>
  <si>
    <t>S9ND6</t>
  </si>
  <si>
    <t>WOS:001074351000001</t>
  </si>
  <si>
    <t>Mousavi, R; Gu, B</t>
  </si>
  <si>
    <t>Mousavi, Reza; Gu, Bin</t>
  </si>
  <si>
    <t>Resilience Messaging: The Effect of Governors' Social Media Communications on Community Compliance During a Public Health Crisis</t>
  </si>
  <si>
    <t>disaster management; social media; community compliance; resilience communication; inspirational leadership; large language models (LLM); natural language processing (NLP); generative artificial intelligence (generative AI); dynamic panel data model; controlled experiment</t>
  </si>
  <si>
    <t>TRANSFORMATIONAL LEADERSHIP; PERSONALITY; PRODUCTIVITY; INVESTMENTS; INFORMATION; TECHNOLOGY; EVACUATION; HOME</t>
  </si>
  <si>
    <t>When managing major disasters, authorities may ask residents to comply with certain guidelines that change community members' daily routines. In these situations, authorities often appeal to resilience, which refers to the ability to recover from challenges. In this study, we examine whether embedding resilience-related words (resilience messaging) in governors' social media posts increases community compliance with government guidelines in the context of the COVID-19 disaster. First, we conducted a secondary data analysis using a panel data set of U.S. states. This analysis included community mobility data, governors' tweets, official county tweets, approval ratings, new COVID-19 cases, and states' response data for the period between February 2020 and August 2021 (81 weeks). We measure community compliance using the time residents spent at home and the time they spent at retail places, according to community mobility data. We also conducted an online controlled experiment to complement our secondary data analysis in order to identify the underlying mechanism. We show that governors' resilience messaging increases community compliance (12.5% increase in time spent at home and 11% increase in avoiding unnecessary trips). We also find that the effect of resilience messaging on community compliance is mediated by residents' perceptions of inspirational leadership.</t>
  </si>
  <si>
    <t>[Mousavi, Reza] Univ Virginia, McIntire Sch Commerce, Charlottesville, VA 22903 USA; [Gu, Bin] Boston Univ, Questrom Sch Business, Boston, MA 02215 USA</t>
  </si>
  <si>
    <t>University of Virginia; Boston University</t>
  </si>
  <si>
    <t>Mousavi, R (corresponding author), Univ Virginia, McIntire Sch Commerce, Charlottesville, VA 22903 USA.</t>
  </si>
  <si>
    <t>mousavi@virginia.edu; bgu@bu.edu</t>
  </si>
  <si>
    <t>chen, weidong/JZT-5874-2024; lei, lei/JSL-3106-2023; zhang, xu/JXX-7692-2024; Yang, Lili/JTT-5215-2023; wang, hongyuan/JWP-2279-2024; LEI, LEI/JTS-4675-2023; Zhang, Kai/KBD-3312-2024; Gu, b/JNS-4761-2023; zhang, ling/JXW-6931-2024; chen, yan/JRY-4645-2023; lin, qing/JTU-4293-2023; wang, yi/JYO-8193-2024</t>
  </si>
  <si>
    <t>chen, weidong/0009-0006-1337-808X; Yang, Lili/0009-0008-2926-484X; Mousavi, Reza/0000-0002-1990-7767; Gu, Bin/0000-0002-0396-8899</t>
  </si>
  <si>
    <t>10.1287/isre.2021.0599</t>
  </si>
  <si>
    <t>N2ZS5</t>
  </si>
  <si>
    <t>WOS:001035762300001</t>
  </si>
  <si>
    <t>Gholampour, PM; Verma, RM</t>
  </si>
  <si>
    <t>Gholampour, Parisa Mehdi; Verma, Rakesh M.</t>
  </si>
  <si>
    <t>Adversarial Robustness of Phishing Email Detection Models</t>
  </si>
  <si>
    <t>PROCEEDINGS OF THE 9TH ACM INTERNATIONAL WORKSHOP ON SECURITY AND PRIVACY ANALYTICS, IWSPA 2023</t>
  </si>
  <si>
    <t>9th ACM International Workshop on Security and Privacy Analytics (IWSPA)</t>
  </si>
  <si>
    <t>APR 26, 2023</t>
  </si>
  <si>
    <t>Charlotte, NC</t>
  </si>
  <si>
    <t>Assoc Comp Machinery,ACM SIGSAC</t>
  </si>
  <si>
    <t>phishing/legitimate dataset; adversarial attacks; data augmentation; model robustness; transformer models; deep learning; machine learning; generative AI; GPT-2</t>
  </si>
  <si>
    <t>Developing robust detection models against phishing emails has long been the main concern of the cyber defense community. Currently, public phishing/legitimate datasets lack adversarial email examples which keeps the detection models vulnerable. To address this problem, we developed an augmented phishing/legitimate email dataset, utilizing different adversarial text attack techniques. Next, the models were retrained with the adversarial dataset. Results showed that accuracy and F1 score of the models improved under subsequent attacks. In another experiment, synthetic phishing emails were generated using a fine-tuned GPT-2 model. The detection model was retrained with a newly formed synthetic dataset. Subsequently, we observed that the accuracy and robustness of the model did not improve significantly under black box attack methods. In the last experiment, we proposed a defensive technique to classify adversarial examples to their true labels using a K-Nearest Neighbor approach with 94% accuracy in our prediction.</t>
  </si>
  <si>
    <t>[Gholampour, Parisa Mehdi; Verma, Rakesh M.] Univ Houston, Houston, TX 77004 USA</t>
  </si>
  <si>
    <t>Gholampour, PM (corresponding author), Univ Houston, Houston, TX 77004 USA.</t>
  </si>
  <si>
    <t>pmehdigh@cougarnet.uh.edu; rmverma2@central.uh.edu</t>
  </si>
  <si>
    <t>Verma, Rakesh/AAH-3274-2021</t>
  </si>
  <si>
    <t>Verma, Rakesh/0000-0002-7466-7823</t>
  </si>
  <si>
    <t>National Science Foundation [DGE 1433817]; NSF [2210198]; ARO [W911NF-20-1-0254]; ONR [N000142112270]</t>
  </si>
  <si>
    <t>National Science Foundation(National Science Foundation (NSF)); NSF(National Science Foundation (NSF)); ARO; ONR(Office of Naval Research)</t>
  </si>
  <si>
    <t>This research is based upon work supported by National Science Foundation grant DGE 1433817. We thank the reviewers for their constructive comments. Verma's research was also partially supported by NSF grant 2210198, ARO grant W911NF-20-1-0254, and ONR contract N000142112270. He is the founder of Everest Cyber Security and Analytics, Inc.</t>
  </si>
  <si>
    <t>979-8-4007-0099-6</t>
  </si>
  <si>
    <t>10.1145/3579987.3586567</t>
  </si>
  <si>
    <t>BW1PI</t>
  </si>
  <si>
    <t>WOS:001108967900009</t>
  </si>
  <si>
    <t>Wang, YR; Wang, PC; Adams, LC; Sheybani, ND; Qu, LQ; Sarrami, AH; Theruvath, AJ; Gatidis, S; Ho, TA; Zhou, Q; Pribnow, A; Thakor, AS; Rubin, D; Daldrup-Link, HE</t>
  </si>
  <si>
    <t>Wang, Yan-Ran (Joyce); Wang, Pengcheng; Adams, Lisa Christine; Sheybani, Natasha Diba; Qu, Liangqiong; Sarrami, Amir Hossein; Theruvath, Ashok Joseph; Gatidis, Sergios; Ho, Tina; Zhou, Quan; Pribnow, Allison; Thakor, Avnesh S.; Rubin, Daniel; Daldrup-Link, Heike E.</t>
  </si>
  <si>
    <t>Low-count whole-body PET/MRI restoration: an evaluation of dose reduction spectrum and five state-of-the-art artificial intelligence models</t>
  </si>
  <si>
    <t>EUROPEAN JOURNAL OF NUCLEAR MEDICINE AND MOLECULAR IMAGING</t>
  </si>
  <si>
    <t>PET restoration; Whole-body PET imaging; Transformer model; CNN; Deep learning</t>
  </si>
  <si>
    <t>IMAGE-RECONSTRUCTION; RADIATION; PET; CHILDREN</t>
  </si>
  <si>
    <t>Purpose To provide a holistic and complete comparison of the five most advanced AI models in the augmentation of low-dose F-18-FDG PET data over the entire dose reduction spectrum.Methods In this multicenter study, five AI models were investigated for restoring low-count whole-body PET/MRI, covering convolutional benchmarks - U-Net, enhanced deep super-resolution network (EDSR), generative adversarial network (GAN) - and the most cutting-edge image reconstruction transformer models in computer vision to date - Swin transformer image restoration network (SwinIR) and EDSR-ViT (vision transformer). The models were evaluated against six groups of count levels representing the simulated 75%, 50%, 25%, 12.5%, 6.25%, and 1% (extremely ultra-low-count) of the clinical standard 3 MBq/kg F-18-FDG dose. The comparisons were performed upon two independent cohorts - (1) a primary cohort from Stanford University and (2) a cross-continental external validation cohort from Tubingen University - in order to ensure the findings are generalizable. A total of 476 original count and simulated low-count whole-body PET/MRI scans were incorporated into this analysis.Results nFor low-count PET restoration on the primary cohort, the mean structural similarity index (SSIM) scores for dose 6.25% were 0.898 (95% CI, 0.887-0.910) for EDSR, 0.893 (0.881-0.905) for EDSR-ViT, 0.873 (0.859-0.887) for GAN, 0.885 (0.873-0.898) for U-Net, and 0.910 (0.900-0.920) for SwinIR. In continuation, SwinIR and U-Net's performances were also discreetly evaluated at each simulated radiotracer dose levels. Using the primary Stanford cohort, the mean diagnostic image quality (DIQ; 5-point Likert scale) scores of SwinIR restoration were 5 (SD, 0) for dose 75%, 4.50 (0.535) for dose 50%, 3.75 (0.463) for dose 25%, 3.25 (0.463) for dose 12.5%, 4 (0.926) for dose 6.25%, and 2.5 (0.534) for dose 1%.Conclusion Compared to low-count PET images, with near-to or nondiagnostic images at higher dose reduction levels (up to 6.25%), both SwinIR and U-Net significantly improve the diagnostic quality of PET images. A radiotracer dose reduction to 1% of the current clinical standard radiotracer dose is out of scope for current AI techniques.</t>
  </si>
  <si>
    <t>[Wang, Yan-Ran (Joyce); Adams, Lisa Christine; Sarrami, Amir Hossein; Theruvath, Ashok Joseph; Ho, Tina; Zhou, Quan; Daldrup-Link, Heike E.] Stanford Univ, Sch Med, Dept Radiol, 725 Welch Rd, Stanford, CA 94304 USA; [Wang, Yan-Ran (Joyce); Sheybani, Natasha Diba; Qu, Liangqiong; Rubin, Daniel] Stanford Univ, Dept Biomed Data Sci, Stanford, CA 94304 USA; [Wang, Pengcheng] Univ Sci &amp; Technol China, Dept Elect Engn &amp; Informat Sci, Hefei, Peoples R China; [Gatidis, Sergios] Univ Hosp Tuebingen, Dept Diagnost &amp; Intervent Radiol, Tubingen, Germany; [Pribnow, Allison; Thakor, Avnesh S.; Rubin, Daniel; Daldrup-Link, Heike E.] Stanford Univ, Lucile Packard Childrens Hosp, Dept Pediat Pediat Oncol, Stanford, CA 94304 USA</t>
  </si>
  <si>
    <t>Stanford University; Stanford University; Chinese Academy of Sciences; University of Science &amp; Technology of China, CAS; Eberhard Karls University of Tubingen; Eberhard Karls University Hospital; Lucile Packard Children's Hospital (LPCH); Stanford University</t>
  </si>
  <si>
    <t>Wang, YR; Daldrup-Link, HE (corresponding author), Stanford Univ, Sch Med, Dept Radiol, 725 Welch Rd, Stanford, CA 94304 USA.;Wang, YR (corresponding author), Stanford Univ, Dept Biomed Data Sci, Stanford, CA 94304 USA.;Daldrup-Link, HE (corresponding author), Stanford Univ, Lucile Packard Childrens Hosp, Dept Pediat Pediat Oncol, Stanford, CA 94304 USA.</t>
  </si>
  <si>
    <t>wangyanran100@gmail.com; heiked@stanford.edu</t>
  </si>
  <si>
    <t>Adams, Lisa C./AAC-7163-2021; Gatidis, Sergios/AAF-4858-2020; Zhou, Quan/AFU-5146-2022</t>
  </si>
  <si>
    <t>Adams, Lisa C./0000-0001-5836-4542; Gatidis, Sergios/0000-0002-6928-4967; Zhou, Quan/0000-0002-9351-5614</t>
  </si>
  <si>
    <t>National Cancer Institute of the US National Institutes of Health [R01CA269231]; Andrew McDonough B + Foundation</t>
  </si>
  <si>
    <t>National Cancer Institute of the US National Institutes of Health(United States Department of Health &amp; Human ServicesNational Institutes of Health (NIH) - USANIH National Cancer Institute (NCI)); Andrew McDonough B + Foundation</t>
  </si>
  <si>
    <t>This study was supported by a grant from the National Cancer Institute of the US National Institutes of Health, grant number R01CA269231, and the Andrew McDonough B + Foundation.</t>
  </si>
  <si>
    <t>1619-7070</t>
  </si>
  <si>
    <t>1619-7089</t>
  </si>
  <si>
    <t>EUR J NUCL MED MOL I</t>
  </si>
  <si>
    <t>Eur. J. Nucl. Med. Mol. Imaging</t>
  </si>
  <si>
    <t>10.1007/s00259-022-06097-w</t>
  </si>
  <si>
    <t>AF7K9</t>
  </si>
  <si>
    <t>WOS:000913086400001</t>
  </si>
  <si>
    <t>Kumar, N; Kuzelka, O; De Raedt, L</t>
  </si>
  <si>
    <t>Kumar, Nitesh; Kuzelka, Ondrej; De Raedt, Luc</t>
  </si>
  <si>
    <t>First-Order Context-Specific Likelihood Weighting in Hybrid Probabilistic Logic Programs</t>
  </si>
  <si>
    <t>JOURNAL OF ARTIFICIAL INTELLIGENCE RESEARCH</t>
  </si>
  <si>
    <t>INFERENCE; INDEPENDENCE; LANGUAGE</t>
  </si>
  <si>
    <t>Statistical relational AI and probabilistic logic programming have so far mostly focused on discrete probabilistic models. The reasons for this is that one needs to provide constructs to succinctly model the independencies in such models, and also provide efficient inference.Three types of independencies are important to represent and exploit for scalable inference in hybrid models: conditional independencies elegantly modeled in Bayesian networks, context-specific independencies naturally represented by logical rules, and independencies amongst attributes of related objects in relational models succinctly expressed by combining rules.This paper introduces a hybrid probabilistic logic programming language, DC#, which integrates distributional clauses' syntax and semantics principles of Bayesian logic programs. It represents the three types of independencies qualitatively. More importantly, we also introduce the scalable inference algorithm FO-CS-LW for DC#. FO-CS-LW is a first-order extension of the context-specific likelihood weighting algorithm (CS-LW), a novel sampling method that exploits conditional independencies and context-specific independencies in ground models. The FO-CS-LW algorithm upgrades CS-LW with unification and combining rules to the first-order case.</t>
  </si>
  <si>
    <t>[Kumar, Nitesh; De Raedt, Luc] Katholieke Univ Leuven, Dept Comp Sci, Leuven, Belgium; [Kuzelka, Ondrej] Czech Tech Univ, Fac Elect Engn, Prague, Czech Republic</t>
  </si>
  <si>
    <t>KU Leuven; Czech Technical University Prague</t>
  </si>
  <si>
    <t>Kumar, N (corresponding author), Katholieke Univ Leuven, Dept Comp Sci, Leuven, Belgium.</t>
  </si>
  <si>
    <t>NITESH.KR369@GMAIL.COM; ONDREJ.KUZELKA@FEL.CVUT.CZ; LUC.DERAEDT@KULEUVEN.BE</t>
  </si>
  <si>
    <t>Kuzelka, Ondrej/T-3922-2017; Kumar, Nitesh/JGE-0321-2023</t>
  </si>
  <si>
    <t>De Raedt, Luc/0000-0002-6860-6303</t>
  </si>
  <si>
    <t>European Research Council (ERC) under the European Union [694980]; Czech Science Foundation project Generative Relational Models [20-19104Y]; OP VVV project [CZ.02.1.01/0.0/0.0/16 019/0000765]; Research Center for Informatics</t>
  </si>
  <si>
    <t>European Research Council (ERC) under the European Union(European Research Council (ERC)); Czech Science Foundation project Generative Relational Models; OP VVV project; Research Center for Informatics</t>
  </si>
  <si>
    <t>This work has received funding from the European Research Council (ERC) under the European Union's Horizon 2020 research and innovation programme (grant agreement No [694980] SYNTH: Synthesising Inductive Data Models) . OK was supported by Czech Science Foundation project Generative Relational Models (20-19104Y) and partially by the OP VVV project CZ.02.1.01/0.0/0.0/16 019/0000765 Research Center for Informatics. Part of this work was done while NK was visiting CTU in Prague, supported by Research Center for Informatics.</t>
  </si>
  <si>
    <t>AI ACCESS FOUNDATION</t>
  </si>
  <si>
    <t>MARINA DEL REY</t>
  </si>
  <si>
    <t>USC INFORMATION SCIENCES INST, 4676 ADMIRALITY WAY, MARINA DEL REY, CA 90292-6695 USA</t>
  </si>
  <si>
    <t>1076-9757</t>
  </si>
  <si>
    <t>1943-5037</t>
  </si>
  <si>
    <t>J ARTIF INTELL RES</t>
  </si>
  <si>
    <t>J. Artif. Intell. Res.</t>
  </si>
  <si>
    <t>L8MP5</t>
  </si>
  <si>
    <t>WOS:001025753500002</t>
  </si>
  <si>
    <t>Li, ZP; Cao, Z; Li, PF; Zhong, Y; Li, SB</t>
  </si>
  <si>
    <t>Li, Zhenping; Cao, Zhen; Li, Pengfei; Zhong, Yong; Li, Shaobo</t>
  </si>
  <si>
    <t>Discriminator-Enhanced Knowledge-Distillation Networks</t>
  </si>
  <si>
    <t>knowledge distillation; reinforcement learning; query auto-completion</t>
  </si>
  <si>
    <t>Query auto-completion (QAC) serves as a critical functionality in contemporary textual search systems by generating real-time query completion suggestions based on a user's input prefix. Despite the prevalent use of language models (LMs) in QAC candidate generation, LM-based approaches frequently suffer from overcorrection issues during pair-wise loss training and efficiency deficiencies. To address these challenges, this paper presents a novel framework-discriminator-enhanced knowledge distillation (Dis-KD)-for the QAC task. This framework combines three core components: a large-scale pre-trained teacher model, a lightweight student model, and a discriminator for adversarial learning. Specifically, the discriminator aids in discerning generative-level differences between the teacher and the student models. An additional discriminator score loss is amalgamated with the traditional knowledge-distillation loss, resulting in enhanced performance of the student model. Contrary to the stepwise evaluation of each generated word, our approach assesses the entire generation sequence. This method alleviates the prevalent overcorrection issue in the generation process. Consequently, our proposed framework boasts improvements in model accuracy and a reduction in parameter size. Empirical results highlight the superiority of Dis-KD over established baseline methods, with the student model surpassing the teacher model in QAC tasks for sub-word languages.</t>
  </si>
  <si>
    <t>[Li, Zhenping; Zhong, Yong; Li, Shaobo] Chinese Acad Sci, Chengdu Inst Comp Applicat, Chengdu 610041, Peoples R China; [Li, Zhenping; Zhong, Yong] Univ Chinese Acad Sci, Sch Comp Sci &amp; Technol, Beijing 100049, Peoples R China; [Cao, Zhen; Li, Pengfei] Nanyang Technol Univ, Sch Elect &amp; Elect Engn, 50 Nanyang Ave, Singapore 639798, Singapore; [Li, Shaobo] Guizhou Univ, Key Lab Adv Mfg Technol, Minist Educ, Guiyang 550025, Peoples R China</t>
  </si>
  <si>
    <t>Chinese Academy of Sciences; Chengdu Institute of Computer Application, CAS; Chinese Academy of Sciences; University of Chinese Academy of Sciences, CAS; Nanyang Technological University; Guizhou University</t>
  </si>
  <si>
    <t>Li, SB (corresponding author), Chinese Acad Sci, Chengdu Inst Comp Applicat, Chengdu 610041, Peoples R China.;Li, SB (corresponding author), Guizhou Univ, Key Lab Adv Mfg Technol, Minist Educ, Guiyang 550025, Peoples R China.</t>
  </si>
  <si>
    <t>lizhenping18@mails.ucas.ac.cn; caoz0008@e.ntu.edu.sg; pli006@e.ntu.edu.sg; zhongyong@casit.com.cn; lishaobo@gzu.edu.cn</t>
  </si>
  <si>
    <t>Li, Zhenping/0000-0001-8590-8517; Li, shaobo/0000-0003-4759-6000</t>
  </si>
  <si>
    <t>AI industrial technology innovation platform of Sichuan Province [2020ZHCG0002]</t>
  </si>
  <si>
    <t>AI industrial technology innovation platform of Sichuan Province</t>
  </si>
  <si>
    <t>This work was supported by the AI industrial technology innovation platform of Sichuan Province, grant number 2020ZHCG0002.</t>
  </si>
  <si>
    <t>10.3390/app13148041</t>
  </si>
  <si>
    <t>N1SU1</t>
  </si>
  <si>
    <t>WOS:001034901600001</t>
  </si>
  <si>
    <t>Soybelman, N; Kakati, N; Heinrich, L; Di Bello, FA; Dreyer, E; Ganguly, S; Gross, E; Kado, M; Shlomi, J</t>
  </si>
  <si>
    <t>Soybelman, Nathalie; Kakati, Nilotpal; Heinrich, Lukas; Di Bello, Francesco Armando; Dreyer, Etienne; Ganguly, Sanmay; Gross, Eilam; Kado, Marumi; Shlomi, Jonathan</t>
  </si>
  <si>
    <t>Set-conditional set generation for particle physics</t>
  </si>
  <si>
    <t>fast simulation; transformer; graph networks; slot-attention; conditional generation</t>
  </si>
  <si>
    <t>The simulation of particle physics data is a fundamental but computationally intensive ingredient for physics analysis at the large Hadron collider, where observational set-valued data is generated conditional on a set of incoming particles. To accelerate this task, we present a novel generative model based on a graph neural network and slot-attention components, which exceeds the performance of pre-existing baselines.</t>
  </si>
  <si>
    <t>[Soybelman, Nathalie; Kakati, Nilotpal; Dreyer, Etienne; Gross, Eilam; Shlomi, Jonathan] Weizmann Inst Sci, Rehovot, Israel; [Heinrich, Lukas] Tech Univ Munich, Munich, Germany; [Di Bello, Francesco Armando] Ist Nazl Fis Nucl, Genoa, Italy; [Di Bello, Francesco Armando] Univ Genoa, Genoa, Italy; [Ganguly, Sanmay] Univ Tokyo, ICEPP, Tokyo, Japan; [Kado, Marumi] Ist Nazl Fis Nucl, Rome, Italy; [Kado, Marumi] Sapienza Univ Rome, Rome, Italy; [Kado, Marumi] Max Planck Inst Phys &amp; Astrophys, Munich, Germany</t>
  </si>
  <si>
    <t>Weizmann Institute of Science; Technical University of Munich; Istituto Nazionale di Fisica Nucleare (INFN); University of Genoa; University of Tokyo; Istituto Nazionale di Fisica Nucleare (INFN); Sapienza University Rome; Max Planck Society</t>
  </si>
  <si>
    <t>Soybelman, N; Kakati, N (corresponding author), Weizmann Inst Sci, Rehovot, Israel.;Heinrich, L (corresponding author), Tech Univ Munich, Munich, Germany.</t>
  </si>
  <si>
    <t>nathalie.soybelman@weizmann.ac.il; nilotpal.kakati@weizmann.ac.il; l.heinrich@tum.de</t>
  </si>
  <si>
    <t>Jiménez, Yesenia Hernández/ABH-1107-2020</t>
  </si>
  <si>
    <t>Jiménez, Yesenia Hernández/0000-0001-9844-6200; Heinrich, Lukas/0000-0002-4048-7584; Di Bello, Francesco Armando/0000-0002-9870-2021; Ganguly, Sanmay/0000-0003-1285-9261; Dreyer, Etienne/0000-0001-8955-9510; Soybelman, Nathalie/0000-0003-0209-0858; KADO, MARUMI/0000-0002-1003-7638</t>
  </si>
  <si>
    <t>Deutsche Forschungsgemeinschafthttp://dx.doi.org/10.13039/501100001659; Zuckerman STEM Leadership Program; Institute of AI and Beyond for the University of Tokyo [2871/19]; Israel Science Foundation (ISF) [EXC-2094-390783311]; Centers of Excellence - Deutsche Forschungsgemeinschaft (DFG, German Research Foundation) under Germany's Excellence Strategy-</t>
  </si>
  <si>
    <t>Deutsche Forschungsgemeinschafthttp://dx.doi.org/10.13039/501100001659; Zuckerman STEM Leadership Program; Institute of AI and Beyond for the University of Tokyo; Israel Science Foundation (ISF)(Israel Science Foundation); Centers of Excellence - Deutsche Forschungsgemeinschaft (DFG, German Research Foundation) under Germany's Excellence Strategy-(German Research Foundation (DFG))</t>
  </si>
  <si>
    <t>The authors would like to thank Kyle Cranmer for the fruitful discussion and comments on the manuscript. E D is supported by the Zuckerman STEM Leadership Program. S G is partially supported by the Institute of AI and Beyond for the University of Tokyo. E G is supported by the Israel Science Foundation (ISF), Grant No. 2871/19 Centers of Excellence. L H is supported by the Excellence Cluster ORIGINS, which is funded by the Deutsche Forschungsgemeinschaft (DFG, German Research Foundation) under Germany's Excellence Strategy-EXC-2094-390783311.</t>
  </si>
  <si>
    <t>10.1088/2632-2153/ad035b</t>
  </si>
  <si>
    <t>Y8MU0</t>
  </si>
  <si>
    <t>WOS:001107754200001</t>
  </si>
  <si>
    <t>Khan, A; Malik, KM</t>
  </si>
  <si>
    <t>Khan, Awais; Malik, Khalid Mahmood</t>
  </si>
  <si>
    <t>Securing Voice Biometrics: One-Shot Learning Approach for Audio Deepfake Detection</t>
  </si>
  <si>
    <t>Voice Bio-metrics; Spoofing Detection; Speech Synthesis; Deepfake Detection; One shot learning</t>
  </si>
  <si>
    <t>SPEECH</t>
  </si>
  <si>
    <t>The Automatic Speaker Verification (ASV) system is vulnerable to fraudulent activities using audio deepfakes, also known as logical-access voice spoofing attacks. These deepfakes pose a concerning threat to voice biometrics due to recent advancements in generative AI and speech synthesis technologies. While several deep learning models for speech synthesis detection have been developed, most of them show poor generalizability, especially when the attacks have different statistical distributions from the ones seen. Therefore, this paper presents Quick-SpoofNet, an approach for detecting both seen and unseen synthetic attacks in the ASV system using one-shot learning and metric learning techniques. By using the effective spectral feature set, the proposed method extracts compact and representative temporal embeddings from the voice samples and utilizes metric learning and triplet loss to assess the similarity index and distinguish different embeddings. The system effectively clusters similar speech embeddings, classifying bona fide speeches as the target class and identifying other clusters as spoofing attacks. The proposed system is evaluated using the ASVspoof 2019 logical access (LA) dataset and tested against unseen deepfake attacks from the ASVspoof 2021 dataset. Additionally, its generalization ability towards unseen bona fide speech is assessed using speech data from the VSDC dataset.</t>
  </si>
  <si>
    <t>[Khan, Awais; Malik, Khalid Mahmood] Oakland Univ, Dept Comp Sci &amp; Engn, Rochester, MI 48309 USA; [Malik, Khalid Mahmood] Univ Michigan Flint, Coll Innovat &amp; Technol, Flint, MI USA</t>
  </si>
  <si>
    <t>Oakland University; University of Michigan System; University of Michigan Flint</t>
  </si>
  <si>
    <t>Khan, A (corresponding author), Oakland Univ, Dept Comp Sci &amp; Engn, Rochester, MI 48309 USA.</t>
  </si>
  <si>
    <t>awaiskhan@oakland.edu; drmalik@umich.edu</t>
  </si>
  <si>
    <t>National Science Foundation (NSF) [2329858, 2231619]; Advanced Computing Technologies (ACT) [292883]</t>
  </si>
  <si>
    <t>National Science Foundation (NSF)(National Science Foundation (NSF)); Advanced Computing Technologies (ACT)</t>
  </si>
  <si>
    <t>This presented work is supported by the National Science Foundation (NSF) under award numbers 2329858 &amp; 2231619 and Michigan Transnationals Research and Commercialization (MTRAC), Advanced Computing Technologies (ACT) award number 292883.</t>
  </si>
  <si>
    <t>10.1109/WIFS58808.2023.10374968</t>
  </si>
  <si>
    <t>WOS:001156967300027</t>
  </si>
  <si>
    <t>Yang, R; Vo, DM; Nakayama, H</t>
  </si>
  <si>
    <t>Yang, Rui; Duc Minh Vo; Nakayama, Hideki</t>
  </si>
  <si>
    <t>Indirect Adversarial Losses via an Intermediate Distribution for Training GANs</t>
  </si>
  <si>
    <t>In this study, we consider the weak convergence characteristics of the Integral Probability Metrics (IPM) methods in training Generative Adversarial Networks (GANs). We first concentrate on a successful IPM-based GAN method that employs a repulsive version of the Maximum Mean Discrepancy (MMD) as the discriminator loss (called repulsive MMD-GAN). We reinterpret its repulsive metrics as an indirect discriminator loss function toward an intermediate distribution. This allows us to propose a novel generator loss via such an intermediate distribution based on our reinterpretation. Our indirect adversarial losses use a simple known distribution (i.e., the Normal or Uniform distribution in our experiments) to simulate indirect adversarial learning between three parts - real, fake, and intermediate distributions. Furthermore, we found the Kernelized Stein Discrepancy (KSD) from the IPM family as the adversarial loss function to avoid randomness from intermediate distribution samples because the target side (intermediate one) is sample-free in KSD. Experiments on several real-world datasets show that our methods can successfully train GANs with the intermediate-distribution-based KSD and MMD and can outperform previous loss metrics.</t>
  </si>
  <si>
    <t>[Yang, Rui; Duc Minh Vo; Nakayama, Hideki] Univ Tokyo, Tokyo, Japan</t>
  </si>
  <si>
    <t>Yang, R (corresponding author), Univ Tokyo, Tokyo, Japan.</t>
  </si>
  <si>
    <t>yang@nlab.ci.i.u-tokyo.ac.jp; vmduc@nlab.ci.i.u-tokyo.ac.jp; nakayama@ci.i.u-tokyo.ac.jp</t>
  </si>
  <si>
    <t>Institute of AI and Beyond of the University of Tokyo, JSPS/MEXT KAKENHI [22K17947, JP19H04166, JP22H05015]</t>
  </si>
  <si>
    <t>Institute of AI and Beyond of the University of Tokyo, JSPS/MEXT KAKENHI</t>
  </si>
  <si>
    <t>This work was supported by Institute of AI and Beyond of the University of Tokyo, JSPS/MEXT KAKENHI Grant Numbers 22K17947, JP19H04166 and JP22H05015.</t>
  </si>
  <si>
    <t>10.1109/WACV56688.2023.00463</t>
  </si>
  <si>
    <t>WOS:000971500204074</t>
  </si>
  <si>
    <t>Li, SJ; Kulvicius, T; Tamosiunaite, M; Wörgötter, F</t>
  </si>
  <si>
    <t>Li, Shijia; Kulvicius, Tomas; Tamosiunaite, Minija; Woergoetter, Florentin</t>
  </si>
  <si>
    <t>Simulated mental imagery for robotic task planning</t>
  </si>
  <si>
    <t>mental imagery; deep learning; robotic planning; artificial neural network; human-interpretable</t>
  </si>
  <si>
    <t>AFFORDANCE</t>
  </si>
  <si>
    <t>Traditional AI-planning methods for task planning in robotics require a symbolically encoded domain description. While powerful in well-defined scenarios, as well as human-interpretable, setting this up requires a substantial effort. Different from this, most everyday planning tasks are solved by humans intuitively, using mental imagery of the different planning steps. Here, we suggest that the same approach can be used for robots too, in cases which require only limited execution accuracy. In the current study, we propose a novel sub-symbolic method called Simulated Mental Imagery for Planning (SiMIP), which consists of perception, simulated action, success checking, and re-planning performed on 'imagined' images. We show that it is possible to implement mental imagery-based planning in an algorithmically sound way by combining regular convolutional neural networks and generative adversarial networks. With this method, the robot acquires the capability to use the initially existing scene to generate action plans without symbolic domain descriptions, while at the same time, plans remain human-interpretable, different from deep reinforcement learning, which is an alternative sub-symbolic approach. We create a data set from real scenes for a packing problem of having to correctly place different objects into different target slots. This way efficiency and success rate of this algorithm could be quantified.</t>
  </si>
  <si>
    <t>[Li, Shijia; Kulvicius, Tomas; Tamosiunaite, Minija; Woergoetter, Florentin] Univ Gottingen, Inst Phys 3, Gottingen, Germany; [Li, Shijia; Kulvicius, Tomas; Tamosiunaite, Minija; Woergoetter, Florentin] Univ Gottingen, Bernstein Ctr Computat Neurosci, Gottingen, Germany; [Kulvicius, Tomas] Univ Med Ctr Gottingen, Dept Child &amp; Adolescent Psychiat &amp; Psychotherapy, Gottingen, Germany; [Tamosiunaite, Minija] Vytautas Mangnus Univ, Fac Comp Sci, Kaunas, Lithuania</t>
  </si>
  <si>
    <t>University of Gottingen; University of Gottingen; University of Gottingen</t>
  </si>
  <si>
    <t>Li, SJ (corresponding author), Univ Gottingen, Inst Phys 3, Gottingen, Germany.;Li, SJ (corresponding author), Univ Gottingen, Bernstein Ctr Computat Neurosci, Gottingen, Germany.</t>
  </si>
  <si>
    <t>shijia.li@phys.uni-goettingen.de</t>
  </si>
  <si>
    <t>German Science Foundation [WO 388/16-1]; European Commission [H2020-ICT-2018-20/H2020-ICT-2019-2, 871352]</t>
  </si>
  <si>
    <t>German Science Foundation(German Research Foundation (DFG)); European Commission(European Union (EU)European Commission Joint Research Centre)</t>
  </si>
  <si>
    <t>The research leading to these results has received funding from the German Science Foundation WO 388/16-1 and the European Commission, H2020-ICT-2018-20/H2020-ICT-2019-2, GA no. 871352, ReconCycle.</t>
  </si>
  <si>
    <t>AUG 24</t>
  </si>
  <si>
    <t>10.3389/fnbot.2023.1218977</t>
  </si>
  <si>
    <t>Q9YH1</t>
  </si>
  <si>
    <t>WOS:001060994200001</t>
  </si>
  <si>
    <t>Tekden, A; Deisenroth, MP; Bekiroglu, Y</t>
  </si>
  <si>
    <t>Tekden, Ahmet; Deisenroth, Marc Peter; Bekiroglu, Yasemin</t>
  </si>
  <si>
    <t>Neural Field Movement Primitives for Joint Modelling of Scenes and Motions</t>
  </si>
  <si>
    <t>This paper presents a novel Learning from Demonstration (LfD) method that uses neural fields to learn new skills efficiently and accurately. It achieves this by utilizing a shared embedding to learn both scene and motion representations in a generative way. Our method smoothly maps each expert demonstration to a scene-motion embedding and learns to model them without requiring hand-crafted task parameters or large datasets. It achieves data efficiency by enforcing scene and motion generation to be smooth with respect to changes in the embedding space. At inference time, our method can retrieve scene-motion embeddings using test time optimization, and generate precise motion trajectories for novel scenes. The proposed method is versatile and can employ images, 3D shapes, and any other scene representations that can be modeled using neural fields. Additionally, it can generate both end-effector positions and joint angle-based trajectories. Our method is evaluated on tasks that require accurate motion trajectory generation, where the underlying task parametrization is based on object positions and geometric scene changes. Experimental results demonstrate that the proposed method outperforms the baseline approaches and generalizes to novel scenes. Further-more, in real-world experiments, we show that our method can successfully model multi-valued trajectories, it is robust to the distractor objects introduced at inference time, and it can generate 6D motions.</t>
  </si>
  <si>
    <t>[Tekden, Ahmet; Bekiroglu, Yasemin] Chalmers Univ Technol, Elect Engn, Gothenburg, Sweden; [Deisenroth, Marc Peter; Bekiroglu, Yasemin] UCL, Comp Sci, London, England</t>
  </si>
  <si>
    <t>Chalmers University of Technology; University of London; University College London</t>
  </si>
  <si>
    <t>Tekden, A (corresponding author), Chalmers Univ Technol, Elect Engn, Gothenburg, Sweden.</t>
  </si>
  <si>
    <t>tekden@chalmers.se</t>
  </si>
  <si>
    <t>Chalmers AI Research Center (CHAIR); Chalmers Gender Initiative for Excellence (Genie); Wallenberg AI, Autonomous Systems and Software Program (WASP) - Knut and Alice Wallenberg Foundation</t>
  </si>
  <si>
    <t>This work was supported by Chalmers AI Research Center (CHAIR) and Chalmers Gender Initiative for Excellence (Genie), and partially supported by the Wallenberg AI, Autonomous Systems and Software Program (WASP) funded by the Knut and Alice Wallenberg Foundation.</t>
  </si>
  <si>
    <t>10.1109/IROS55552.2023.10342170</t>
  </si>
  <si>
    <t>WOS:001133658802100</t>
  </si>
  <si>
    <t>Tan, YC; Zhou, ZH; Yu, LS; Liu, WM; Chen, CC; Ma, GF; Hu, X; Hertzberg, VS; Yang, C</t>
  </si>
  <si>
    <t>Tan, Yanchao; Zhou, Zihao; Yu, Leisheng; Liu, Weiming; Chen, Chaochao; Ma, Guofang; Hu, Xiao; Hertzberg, Vicki S.; Yang, Carl</t>
  </si>
  <si>
    <t>Enhancing Personalized Healthcare via Capturing Disease Severity, Interaction, and Progression</t>
  </si>
  <si>
    <t>Personalized diagnosis prediction based on electronic health records (EHR) of patients is a promising yet challenging task for AI in healthcare. Existing studies typically ignore the heterogeneity of diseases across different patients. For example, diabetes can have different complications across different. patients (e.g., hyperlipidemia and circulatory disorder), which requires personalized diagnoses and treatments. Specifically, existing models fail to consider 1) varying severity of the same diseases for different patients, 2) complex interactions among syndromic diseases, and 3) dynamic progression of chronic diseases. In this work, we propose to perform personalized diagnosis prediction based on EHR data via capturing disease severity, interaction, and progression. In particular, we enable personalized disease representations via severity-driven embeddings at the disease level. Then, at the visit level, we propose to capture higher-order interactions among diseases that can collectively affect patients' health status via hypergraphbased aggregation; at the patient level, we devise a personalized generative model based on neural ordinary differential equations to capture the continuous -time disease progressions underlying discrete and incomplete visits. Extensive experiments on two realworld EHR datasets show significant performance gains brought by our approach, yielding average improvements of 10.70% for diagnosis prediction over state-of-the-art competitors.</t>
  </si>
  <si>
    <t>[Tan, Yanchao; Zhou, Zihao] Fuzhou Univ, Coll Comp &amp; Data Sci, Fuzhou, Peoples R China; [Yu, Leisheng] Rice Univ, Dept Comp Sci, Houston, TX USA; [Liu, Weiming; Chen, Chaochao] Zhejiang Univ, Coll Comp Sci, Hangzhou, Peoples R China; [Ma, Guofang] Zhejiang Gongshang Univ, Sch Comp Sci, Hangzhou, Peoples R China; [Hu, Xiao; Hertzberg, Vicki S.] Emory Univ, Nell Hodgson Woodruff Sch Nursing, Atlanta, GA USA; [Yang, Carl] Emory Univ, Dept Comp Sci, Atlanta, GA USA</t>
  </si>
  <si>
    <t>Fuzhou University; Rice University; Zhejiang University; Zhejiang Gongshang University; Emory University; Emory University</t>
  </si>
  <si>
    <t>Yang, C (corresponding author), Emory Univ, Dept Comp Sci, Atlanta, GA USA.</t>
  </si>
  <si>
    <t>yctan@fzu.edu.cn; reviverkey@gmail.com; ly50@rice.edu; 21831010@zju.edu.cn; zjuccc@zju.edu.cn; maguglang@zjgsu.edu.cn; xiao.hu@emory.edu; vhertzb@emory.edu; j.carlyang@emory.edu</t>
  </si>
  <si>
    <t>Zhou, Zihao/0009-0006-5213-7350</t>
  </si>
  <si>
    <t>National Natural Science Foundation of China [6230071268]; Natural Science Foundation of Zhejiang Province [LQ23F020007]; National Institute Of Diabetes And Digestive And Kidney Diseases of the National Institutes of Health [K25DK135913]</t>
  </si>
  <si>
    <t>National Natural Science Foundation of China(National Natural Science Foundation of China (NSFC)); Natural Science Foundation of Zhejiang Province(Natural Science Foundation of Zhejiang Province); National Institute Of Diabetes And Digestive And Kidney Diseases of the National Institutes of Health(United States Department of Health &amp; Human ServicesNational Institutes of Health (NIH) - USANIH National Institute of Diabetes &amp; Digestive &amp; Kidney Diseases (NIDDK))</t>
  </si>
  <si>
    <t>This work was supported in part by the National Natural Science Foundation of China (No. 6230071268) and the Natural Science Foundation of Zhejiang Province (LQ23F020007). Carl Yang was supported by the National Institute Of Diabetes And Digestive And Kidney Diseases of the National Institutes of Health under Award Number K25DK135913.</t>
  </si>
  <si>
    <t>WOS:001165180100164</t>
  </si>
  <si>
    <t>Chai, AF; Rajanala, S; Pal, A; Phan, RCW; Ting, CM</t>
  </si>
  <si>
    <t>Chai, Ai-Fang; Rajanala, Sailaja; Pal, Arghya; Phan, Raphael C. -W.; Ting, Chee-Ming</t>
  </si>
  <si>
    <t>ELEGANT: End-to-end Language Grounded Speech Denoiser for Efficient Generation of Talking Face</t>
  </si>
  <si>
    <t>2023 ASIA PACIFIC SIGNAL AND INFORMATION PROCESSING ASSOCIATION ANNUAL SUMMIT AND CONFERENCE, APSIPA ASC</t>
  </si>
  <si>
    <t>Asia-Pacific Signal and Information Processing Association Annual Summit and Conference</t>
  </si>
  <si>
    <t>Asia-Pacific-Signal-and-Information-Processing-Association Annual Summit and Conference (APSIPA ASC)</t>
  </si>
  <si>
    <t>OCT 31-NOV 03, 2023</t>
  </si>
  <si>
    <t>Asia Pacific Signal &amp; Informat Proc Assoc</t>
  </si>
  <si>
    <t>Existing speech driven talking face generation methods (a.k.a Speech2Face models) provide realistic-looking talking avatars. Yet, they are not appropriate if (1) the input speech signals are from the wild which could contain background noise; and (2) the input signal contains hate speech. In the presence of in-the-wild audio signals, the Speech2Face models do a bad lip-sync, unwanted facial movements, and sudden jitters on the head movements. While on the other hand, the Speech2Face models do not perform any reasoning on language understanding of input speech signal which could enable malicious users to translate hateful speech to a synthetic talking face promoting internet, social, and political threats. In this paper, we serve dual objectives on a single go. To the best of our knowledge, our method ELEGANT is the first Speech2Face generative model that performs a language grounding on the input speech that eliminates the transfer of spurious features originating from audio noise. Subsequently, the text embedding is associated with the speech style and passed on to a generative model with a view to learn the phoneme-viseme correspondence. In this way, our proposed ELEGANT model suppresses negative and hateful words using text embedding and also suppresses audio-specific noises using text embedding since noise-to-phoneme mapping would be random. Our experiments show that adopting the speech-denoising technique through text grounding eliminates the transfer of spurious features originating from audio noise to the vision domain. Consequently, a good phoneme-viseme correspondence leads to a comparable performances of SSIM and PSNR scores w.r.t state of the art methods.</t>
  </si>
  <si>
    <t>[Chai, Ai-Fang; Rajanala, Sailaja; Pal, Arghya] Monash Univ, CyPhi AI Lab, Sch IT, Malaysia Campus, Subang Jaya, Malaysia; [Chai, Ai-Fang; Rajanala, Sailaja; Pal, Arghya; Phan, Raphael C. -W.; Ting, Chee-Ming] Monash Univ, Fac IT, Dept Software Syst &amp; Cybersecur, Clayton campus, Clayton, Vic, Australia</t>
  </si>
  <si>
    <t>Monash University; Monash University Malaysia; Monash University</t>
  </si>
  <si>
    <t>Rajanala, S (corresponding author), Monash Univ, CyPhi AI Lab, Sch IT, Malaysia Campus, Subang Jaya, Malaysia.;Rajanala, S (corresponding author), Monash Univ, Fac IT, Dept Software Syst &amp; Cybersecur, Clayton campus, Clayton, Vic, Australia.</t>
  </si>
  <si>
    <t>sailaja.rajanala@monash.edu</t>
  </si>
  <si>
    <t>Malaysia Ministry of Higher Education (MoHE)'s Fundamental Research Grant Scheme (FRGS) [FRGS/1/2021/ICT02/MUSM/01/1]</t>
  </si>
  <si>
    <t>Malaysia Ministry of Higher Education (MoHE)'s Fundamental Research Grant Scheme (FRGS)</t>
  </si>
  <si>
    <t>This research was supported in part by the Malaysia Ministry of Higher Education (MoHE)'s Fundamental Research Grant Scheme (FRGS) under the AdverSurreal project FRGS/1/2021/ICT02/MUSM/01/1. Experimentations were run on Montage, the Monash University Malaysia campus HPC platform. We acknowledge the reviewers whose comments and suggestions significantly enhanced this manuscript.</t>
  </si>
  <si>
    <t>2309-9402</t>
  </si>
  <si>
    <t>979-8-3503-0067-3</t>
  </si>
  <si>
    <t>ASIAPAC SIGN INFO PR</t>
  </si>
  <si>
    <t>10.1109/APSIPAASC58517.2023.10317456</t>
  </si>
  <si>
    <t>BW1OB</t>
  </si>
  <si>
    <t>WOS:001108741800129</t>
  </si>
  <si>
    <t>Parker, G; Spoelma, MJ</t>
  </si>
  <si>
    <t>Parker, Gordon; Spoelma, Michael J.</t>
  </si>
  <si>
    <t>A chat about bipolar disorder</t>
  </si>
  <si>
    <t>BIPOLAR DISORDERS</t>
  </si>
  <si>
    <t>artificial intelligence; bipolar disorder; research</t>
  </si>
  <si>
    <t>ObjectivesThis study aimed to assess the capabilities of ChatGPT (Chat Generative Pre-Trained Transformer) in generating informative content related to bipolar disorders. The objectives were to evaluate its ability to provide accurate information on symptoms, classification, causes, and management of bipolar disorder and to explore its creativity in generating topic-related songs.MethodsChatGPT3 was used for the study, and a series of clinically relevant questions were asked to test its knowledge and creativity. Questions ranged from common symptom descriptions to more artistic requests for songs related to bipolar disorder.ResultsChatGPT demonstrated the capacity to provide basic and informative material on bipolar disorders, including descriptions of symptoms, classification types, causes, and treatment options. It also showed creativity in generating songs that capture the nuances of bipolar symptoms, both during high and low states.ConclusionsWhile ChatGPT3 can offer superficial information on psychiatric topics like bipolar disorder, its inability to provide accurate and up-to-date references limits its utility for creating a comprehensive review article for scientific journals. However, it may be helpful in generating educational material and assisting in component tasks for those with bipolar disorder or other psychiatric conditions. As newer versions of AI models are continually developed, their capabilities in producing more accurate and advanced content will need further evaluation.</t>
  </si>
  <si>
    <t>[Parker, Gordon; Spoelma, Michael J.] Univ New South Wales, Fac Med &amp; Hlth, Sch Clin Med, Discipline Psychiat &amp; Mental Hlth, Sydney, NSW, Australia; [Spoelma, Michael J.] Black Dog Inst, Sydney, NSW, Australia; [Parker, Gordon] UNSW, Discipline Psychiat &amp; Mental Hlth, Level 1,AGSM Bldg,Gate 11,Bot St, Sydney, NSW 2052, Australia</t>
  </si>
  <si>
    <t>University of New South Wales Sydney; Black Dog Institute; University of New South Wales Sydney</t>
  </si>
  <si>
    <t>Parker, G (corresponding author), UNSW, Discipline Psychiat &amp; Mental Hlth, Level 1,AGSM Bldg,Gate 11,Bot St, Sydney, NSW 2052, Australia.</t>
  </si>
  <si>
    <t>g.parker@unsw.edu.au</t>
  </si>
  <si>
    <t>Spoelma, Michael/0000-0003-2844-0748; Parker, Gordon/0000-0003-3424-5519</t>
  </si>
  <si>
    <t>This work was supported by the Australian National Health and Medical Research Council (NHMRC; grant number GNT1176689). The contents of the published material are solely the responsibility of the individual authors and do not reflect the views of the NHMR [GNT1176689]; Australian National Health and Medical Research Council (NHMRC); University of New South Wales, as part of the Wiley - University of New South Wales agreement via the Council of Australian University Librarians</t>
  </si>
  <si>
    <t>This work was supported by the Australian National Health and Medical Research Council (NHMRC; grant number GNT1176689). The contents of the published material are solely the responsibility of the individual authors and do not reflect the views of the NHMR(National Health and Medical Research Council (NHMRC) of Australia); Australian National Health and Medical Research Council (NHMRC)(National Health and Medical Research Council (NHMRC) of Australia); University of New South Wales, as part of the Wiley - University of New South Wales agreement via the Council of Australian University Librarians</t>
  </si>
  <si>
    <t>This work was supported by the Australian National Health and Medical Research Council (NHMRC; grant number GNT1176689). The contents of the published material are solely the responsibility of the individual authors and do not reflect the views of the NHMRC. Open access publishing facilitated by University of New South Wales, as part of the Wiley - University of New South Wales agreement via the Council of Australian University Librarians.</t>
  </si>
  <si>
    <t>1398-5647</t>
  </si>
  <si>
    <t>1399-5618</t>
  </si>
  <si>
    <t>BIPOLAR DISORD</t>
  </si>
  <si>
    <t>Bipolar Disord.</t>
  </si>
  <si>
    <t>2023 SEP 28</t>
  </si>
  <si>
    <t>10.1111/bdi.13379</t>
  </si>
  <si>
    <t>Clinical Neurology; Neurosciences; Psychiatry</t>
  </si>
  <si>
    <t>Neurosciences &amp; Neurology; Psychiatry</t>
  </si>
  <si>
    <t>S7EI1</t>
  </si>
  <si>
    <t>WOS:001072758400001</t>
  </si>
  <si>
    <t>Aryadoust, V</t>
  </si>
  <si>
    <t>Aryadoust, Vahid</t>
  </si>
  <si>
    <t>Topic and Accent Coverage in a Commercialized L2 Listening Test: Implications for Test-takers' Identity</t>
  </si>
  <si>
    <t>APPLIED LINGUISTICS</t>
  </si>
  <si>
    <t>LANGUAGE</t>
  </si>
  <si>
    <t>I analyzed a corpus of the international English language testing system (IELTS) comprising 256 listening sections (1996-2021). The primary objective of the study was to gain insights into the assumptions made by test designers regarding the real-life contexts that test-takers will encounter. Overall, 15 superordinate topic areas and 300 subtopics were identified in the corpus. There was relatively more diversity in topic coverage before 2000. However, the test did not incorporate texts that would address sociocultural matters related to local or international contexts. Additionally, English-as-L2 accents were virtually unrepresented with only three samples from 514 speakers, potentially suggesting a racialized perspective on the listening construct. I argue that it is possible that this way of testing promotes and normalizes test designers' ideologies, while overlooking the importance of the diversity of domains that test-takers will encounter in daily life. I discuss the potential construction of test-takers' identity through exposure to these topics and suggest that test designers may consider reevaluating topic and accent coverage in the test to improve fairness and equity in the test. Finally, I provide ideas on how the use of generative artificial intelligence (AI) can enhance quality of language assessments.</t>
  </si>
  <si>
    <t>[Aryadoust, Vahid] Nanyang Technol Univ, Natl Inst Educ, Singapore, Singapore</t>
  </si>
  <si>
    <t>Aryadoust, V (corresponding author), Nanyang Technol Univ, Natl Inst Educ, Singapore, Singapore.</t>
  </si>
  <si>
    <t>Vahid.aryadoust@nie.edu.sg</t>
  </si>
  <si>
    <t>Aryadoust, Vahid/AAJ-1764-2020</t>
  </si>
  <si>
    <t>Aryadoust, Vahid/0000-0001-6960-2489</t>
  </si>
  <si>
    <t>I would like to thank Azrifah Zakaria for her comments on an earlier draft of this paper; and Yuxin Liu, Wenxin Zhang, and Zhuohan Hou for their assistance in data processing. Any limitations in the study remain mine. ChatGPT, versions 3.5 and 4, and Googl</t>
  </si>
  <si>
    <t>I would like to thank Azrifah Zakaria for her comments on an earlier draft of this paper; and Yuxin Liu, Wenxin Zhang, and Zhuohan Hou for their assistance in data processing. Any limitations in the study remain mine. ChatGPT, versions 3.5 and 4, and Google Bard were used to revise some of the sentences for clarity.</t>
  </si>
  <si>
    <t>0142-6001</t>
  </si>
  <si>
    <t>1477-450X</t>
  </si>
  <si>
    <t>APPL LINGUIST</t>
  </si>
  <si>
    <t>Appl. Lingusit</t>
  </si>
  <si>
    <t>2023 SEP 22</t>
  </si>
  <si>
    <t>10.1093/applin/amad062</t>
  </si>
  <si>
    <t>S0WL0</t>
  </si>
  <si>
    <t>WOS:001068456900001</t>
  </si>
  <si>
    <t>Buldur, M; Sezer, B</t>
  </si>
  <si>
    <t>Buldur, Mehmet; Sezer, Berkant</t>
  </si>
  <si>
    <t>CAN ARTIFICIAL INTELLIGENCE EFFECTIVELY RESPOND TO FREQUENTLY ASKED QUESTIONS ABOUT FLUORIDE USAGE AND EFFECTS? A QUALITATIVE STUDY ON CHATGPT</t>
  </si>
  <si>
    <t>FLUORIDE</t>
  </si>
  <si>
    <t>Artificial Intelligence; Fluoride; Health Informatics; Public Health</t>
  </si>
  <si>
    <t>Objectives: The frequently asked questions about fluoride, as determined by the American Dental Association (ADA), were asked to Generative Pre-trained Transformer (ChatGPT) and the answers were qualitatively compared with those of the ADA. Methods: Questions were posed to ChatGPT on May 8th and 16th, 2023, and the responses were recorded. The answers from the ADA webpage were also recorded. The responses were compared for similarity in word and meaning, both within ChatGPT's responses over a one-week interval and between ChatGPT's responses and ADA's responses. Results: While the responses provided by ChatGPT with a one-week interval had similar information content, in the comparison made with the ADA, ChatGPT provided more detailed and scientific answers. However, both shared the same central idea about fluoride and its role in oral health. Conclusions: The accuracy and reliability of the answers given by the applications developed with artificial intelligence (AI) are of great importance, and it has been seen that the answers given by ChatGPT to the questions asked about fluoride are sufficient and reliable. Clinical Relevance: Advancements in technology, particularly in artificial intelligence, enable individuals to access accurate and reliable information about a topic quickly and in appropriate ways.</t>
  </si>
  <si>
    <t>[Buldur, Mehmet] Canakkale Onsekiz Mart Univ, Dept Restorat Dent, Fac Dent, Canakkale, Turkiye; [Sezer, Berkant] Canakkale Onsekiz Mart Univ, Dept Pediat Dent, Fac Dent, Canakkale, Turkiye</t>
  </si>
  <si>
    <t>Canakkale Onsekiz Mart University; Canakkale Onsekiz Mart University</t>
  </si>
  <si>
    <t>Buldur, M (corresponding author), Canakkale Onsekiz Mart Univ, Dept Restorat Dent, Sch Dent, Sahilyolu Cd 5, TR-17100 Kepez Canakkale, Turkiye.</t>
  </si>
  <si>
    <t>INT SOC FLUORIDE RESEARCH</t>
  </si>
  <si>
    <t>OCEAN VIEW</t>
  </si>
  <si>
    <t>727 BRIGHTON RD,, OCEAN VIEW 9035, DUNEDIN, NEW ZEALAND</t>
  </si>
  <si>
    <t>0015-4725</t>
  </si>
  <si>
    <t>2253-4083</t>
  </si>
  <si>
    <t>Fluoride</t>
  </si>
  <si>
    <t>Public, Environmental &amp; Occupational Health; Toxicology</t>
  </si>
  <si>
    <t>CQ0M7</t>
  </si>
  <si>
    <t>WOS:001126592700003</t>
  </si>
  <si>
    <t>Tothfalusi, T; Varga, E; Csiszar, Z; Varga, P</t>
  </si>
  <si>
    <t>Tothfalusi, Tamas; Varga, Eszter; Csiszar, Zoltan; Varga, Pal</t>
  </si>
  <si>
    <t>ML-based Translation Methods for Protocols and Data Formats</t>
  </si>
  <si>
    <t>protocol translation; machine learning; neural machine translation; natural language processing; LLM</t>
  </si>
  <si>
    <t>In order to exchange information between systems, the information must get encoded into a predefined data format, and it must be transferred in a protocol that the communicating parties have agreed upon. This works well if all parties follow the same protocol standard and use the same data description schemes. If systems use different data formats or protocols, then some sort of translation is required. Protocol and data format translation has been attempted previously through rule-based approaches, ontologies, and also by using machine learning (ML) techniques. Due to the current advances related to AI/ML methods, tools, and infrastructure, the accuracy and feasibility of translation with ML-approaches improved significantly. This paper introduces a generic approach and methodology for translating data formats and protocols with ML-based methods and presents our initial results through JSON-XML and JSON-SenML translation.</t>
  </si>
  <si>
    <t>[Tothfalusi, Tamas] AITIA Int Inc, Ind IoT Div, Budapest, Hungary; [Varga, Eszter; Csiszar, Zoltan; Varga, Pal] Budapest Univ Technol &amp; Econ, Dept Telecommun &amp; Media Informat, Budapest, Hungary</t>
  </si>
  <si>
    <t>Tothfalusi, T (corresponding author), AITIA Int Inc, Ind IoT Div, Budapest, Hungary.</t>
  </si>
  <si>
    <t>tothfalusi@aitia.ai; pvarga@tmit.bme.hu</t>
  </si>
  <si>
    <t>European Commission, through the European H2020 research and innovation programme, KDT Joint Undertaking; project Arrowhead fPVN [101111977]</t>
  </si>
  <si>
    <t>European Commission, through the European H2020 research and innovation programme, KDT Joint Undertaking; project Arrowhead fPVN</t>
  </si>
  <si>
    <t>This research work has been funded by the European Commission, through the European H2020 research and innovation programme, KDT Joint Undertaking, and National Funding Authorities from 10 involved countries -including Hungary -under the research project Arrowhead fPVN with Grant Agreement no. 101111977.</t>
  </si>
  <si>
    <t>WOS:001117985100037</t>
  </si>
  <si>
    <t>Duan, CR; Du, YQ; Jia, HJ; Kulik, HJ</t>
  </si>
  <si>
    <t>Duan, Chenru; Du, Yuanqi; Jia, Haojun; Kulik, Heather J.</t>
  </si>
  <si>
    <t>Accurate transition state generation with an object-aware equivariant elementary reaction diffusion model</t>
  </si>
  <si>
    <t>NATURE COMPUTATIONAL SCIENCE</t>
  </si>
  <si>
    <t>CHEMISTRY</t>
  </si>
  <si>
    <t>Transition state search is key in chemistry for elucidating reaction mechanisms and exploring reaction networks. The search for accurate 3D transition state structures, however, requires numerous computationally intensive quantum chemistry calculations due to the complexity of potential energy surfaces. Here we developed an object-aware SE(3) equivariant diffusion model that satisfies all physical symmetries and constraints for generating sets of structures-reactant, transition state and product-in an elementary reaction. Provided reactant and product, this model generates a transition state structure in seconds instead of hours, which is typically required when performing quantum-chemistry-based optimizations. The generated transition state structures achieve a median of 0.08 A root mean square deviation compared to the true transition state. With a confidence scoring model for uncertainty quantification, we approach an accuracy required for reaction barrier estimation (2.6 kcal mol-1) by only performing quantum chemistry-based optimizations on 14% of the most challenging reactions. We envision usefulness for our approach in constructing large reaction networks with unknown mechanisms. A diffusion model that generates chemical reactions in 3D with all desired symmetries preserved is established and shown to reduce transition state search from days to seconds and complement intuition-based reaction exploration with generative AI.</t>
  </si>
  <si>
    <t>[Duan, Chenru; Jia, Haojun; Kulik, Heather J.] MIT, Dept Chem, Cambridge, MA 02139 USA; [Duan, Chenru; Jia, Haojun; Kulik, Heather J.] MIT, Dept Chem Engn, Cambridge, MA 02139 USA; [Du, Yuanqi] Cornell Univ, Dept Comp Sci, Ithaca, NY USA</t>
  </si>
  <si>
    <t>Massachusetts Institute of Technology (MIT); Massachusetts Institute of Technology (MIT); Cornell University</t>
  </si>
  <si>
    <t>Duan, CR (corresponding author), MIT, Dept Chem, Cambridge, MA 02139 USA.;Duan, CR (corresponding author), MIT, Dept Chem Engn, Cambridge, MA 02139 USA.</t>
  </si>
  <si>
    <t>duanchenru@gmail.com</t>
  </si>
  <si>
    <t>Duan, Chenru/0000-0003-2592-4237; Kulik, Heather/0000-0001-9342-0191</t>
  </si>
  <si>
    <t>US Office of Naval Research [N00014-20-1-2150]; National Science Foundation [CBET-1846426]; Molecular Sciences Software Institute under NSF [OAC-1547580]</t>
  </si>
  <si>
    <t>US Office of Naval Research(Office of Naval Research); National Science Foundation(National Science Foundation (NSF)); Molecular Sciences Software Institute under NSF</t>
  </si>
  <si>
    <t>This work was supported by the US Office of Naval Research under grant no. N00014-20-1-2150 (C.D. and H.J.K.) and National Science Foundation grant CBET-1846426 (H.J. and H.J.K.). C.D. thanks the Molecular Sciences Software Institute for the fellowship support under NSF grant OAC-1547580. C.D. thanks Q. Zhao and M. Monkey for discussions about elementary reactions. C.D. thanks A. Nandy and W. Du for discussions about equivariant graph neural networks. C.D. and Y.D. thank G.-H. Liu and T. Chen for discussions about diffusion model and Schrodinger bridge. C.D. and H.J. thank Y. Zhao for his help on preparing a demo Jupyter notebook for this work. The authors thank S. Choi and M. Schreiner for communications and providing their raw data that makes the comparison in Table 1 possible.</t>
  </si>
  <si>
    <t>2662-8457</t>
  </si>
  <si>
    <t>NAT COMPUT SCI</t>
  </si>
  <si>
    <t>Nat. Comput. Sci.</t>
  </si>
  <si>
    <t>10.1038/s43588-023-00563-7</t>
  </si>
  <si>
    <t>Computer Science, Interdisciplinary Applications; Computer Science, Theory &amp; Methods; Multidisciplinary Sciences</t>
  </si>
  <si>
    <t>CO2P1</t>
  </si>
  <si>
    <t>WOS:001125956100001</t>
  </si>
  <si>
    <t>Bobbin, MP; Sharlin, S; Feyzishendi, P; Dang, AH; Wraback, CM; Josephson, TR</t>
  </si>
  <si>
    <t>Bobbin, Maxwell P.; Sharlin, Samiha; Feyzishendi, Parivash; Dang, An Hong; Wraback, Catherine M.; Josephson, Tyler R.</t>
  </si>
  <si>
    <t>Formalizing chemical physics using the Lean theorem prover</t>
  </si>
  <si>
    <t>ADSORPTION; GASES</t>
  </si>
  <si>
    <t>Interactive theorem provers are computer programs that check whether mathematical statements are correct. We show how the mathematics of theories in chemical physics can be written in the language of the Lean theorem prover, allowing chemical theory to be made even more rigorous and providing insight into the mathematics behind a theory. We use Lean to precisely define the assumptions and derivations of the Langmuir and BET theories of adsorption. We can also go further and create a network of definitions that build off of each other. This allows us to define a common basis for equations of motion or thermodynamics and derive many statements about them, like the kinematic equations of motion or gas laws such as Boyle's law. This approach could be extended beyond chemistry, and we propose the creation of a library of formally-proven theories in all fields of science. Furthermore, the rigorous logic of theorem provers complements the generative capabilities of AI models that generate code; we anticipate their integration to be valuable for automating the discovery of new scientific theories. Theories in chemical physics can be reconstructed in a formal language using the interactive theorem prover, Lean. Lean's ability to check math theorems catches faulty logic and reveals hidden assumptions that are missed in informal derivations.</t>
  </si>
  <si>
    <t>[Bobbin, Maxwell P.; Sharlin, Samiha; Feyzishendi, Parivash; Dang, An Hong; Wraback, Catherine M.; Josephson, Tyler R.] Univ Maryland Baltimore Cty, Dept Chem Biochem &amp; Environm Engn, 1000 Hilltop Circle, Baltimore, MD 21250 USA; [Josephson, Tyler R.] Univ Maryland Baltimore Cty, Dept Comp Sci &amp; Elect Engn, 1000 Hilltop Circle, Baltimore, MD 21250 USA</t>
  </si>
  <si>
    <t>University System of Maryland; University of Maryland Baltimore County; University System of Maryland; University of Maryland Baltimore County</t>
  </si>
  <si>
    <t>Josephson, TR (corresponding author), Univ Maryland Baltimore Cty, Dept Chem Biochem &amp; Environm Engn, 1000 Hilltop Circle, Baltimore, MD 21250 USA.</t>
  </si>
  <si>
    <t>tjo@umbc.edu</t>
  </si>
  <si>
    <t>Josephson, Tyler/0000-0002-0100-0227</t>
  </si>
  <si>
    <t>Division of Chemical, Bioengineering, Environmental, and Transport Systems [2138938]; National Science Foundation; University of Maryland, Baltimore County</t>
  </si>
  <si>
    <t>Division of Chemical, Bioengineering, Environmental, and Transport Systems(National Science Foundation (NSF)NSF - Directorate for Engineering (ENG)); National Science Foundation(National Science Foundation (NSF)); University of Maryland, Baltimore County</t>
  </si>
  <si>
    <t>We are grateful to the Lean prover community and contributors of mathlib on whose work this project is built. We especially thank Kevin Buzzard, Patrick Massot, Tomas Skrivan, Eric Wieser, and Andrew Yang for helpful comments and discussions around our proof structure and suggestions for improvement. We thank Charles Fox, Mauricio Collares, and Ruben Van de Velde for helping with the website. We thank two anonymous peer reviewers, as well as Rose Bohrer, John Keith, and Ben Payne for reading the manuscript and providing helpful feedback. This material is based upon work supported by the National Science Foundation under Grant No. (NSF #2138938), as well as startup funds from the University of Maryland, Baltimore County.</t>
  </si>
  <si>
    <t>FEB 14</t>
  </si>
  <si>
    <t>10.1039/d3dd00077j</t>
  </si>
  <si>
    <t>HQ0K2</t>
  </si>
  <si>
    <t>WOS:001143534100001</t>
  </si>
  <si>
    <t>Dhivya, S; Mohanavalli, S; Sundharakumar, KB; Thamarai, I</t>
  </si>
  <si>
    <t>Dhivya, S.; Mohanavalli, S.; Sundharakumar, K. B.; Thamarai, I.</t>
  </si>
  <si>
    <t>Attention U2Net: Cascaded UNets with Modified Skip Connection for Breast Tumor Segmentation</t>
  </si>
  <si>
    <t>NEURAL PROCESSING LETTERS</t>
  </si>
  <si>
    <t>Breast tumor; Segmentation; Cascaded UNets; Attention based; ASPP</t>
  </si>
  <si>
    <t>MASS SEGMENTATION; U-NET</t>
  </si>
  <si>
    <t>Amidst of all the tumors, breast tumor is the main source for a high incidence mortality rate among women. In the past decades, this mortality rate has tremendously reduced by early detection and diagnosis of the tumors using different modalities. Mammograms have significantly contributed towards the detection of masses and calcifications which assists radiologists in decision making. With the advent of Artificial Intelligence (AI) techniques, several breast mass segmentation methods are devised to assists radiologists in detection of tumor masses and lesions. UNet and its variants are widely used deep learning techniques for mass segmentation in mammograms. Although, UNet exhibits an outstanding performance, it has certain limitations, where the extraction of the fine-grained features is still resilient. In this paper, a AU2Net is proposed where two UNets are cascaded and are connected through skip connections. The attention mechanism and Atrous Spatial Pyramid Pooling (ASPP) are introduced to learn more contextual based features for an enhanced tumor segmentation. The proposed model is validated on Curated Breast Imaging Subset of Digital Database for Screening Mammography (CBIS-DDSM). The images are preprocessed and are augmented using conventional and deep convolutional Generative Adversarial Network based approaches. The proposed method achieved a 92.3% dice score and 89.6% Intersection over Union (IoU) on CBIS-DDSM dataset.</t>
  </si>
  <si>
    <t>[Dhivya, S.; Mohanavalli, S.] Sri Sivasubramaniya Nadar Coll Engn, Dept Informat Technol, OMR, Kalavakkam 603110, Tamil Nadu, India; [Sundharakumar, K. B.] Shiv Nadar Univ, Dept Comp Sci &amp; Engn, OMR, Kalavakkam 603110, TamilNadu, India; [Thamarai, I.] Panimalar Engn Coll Chennai City Campus, Dept Comp Sci &amp; Engn, 23 Railway Colony,2 St,Nelson Manickam Rd, Chennai 600029, TamilNadu, India</t>
  </si>
  <si>
    <t>SSN College of Engineering; Shiv Nadar University</t>
  </si>
  <si>
    <t>Dhivya, S (corresponding author), Sri Sivasubramaniya Nadar Coll Engn, Dept Informat Technol, OMR, Kalavakkam 603110, Tamil Nadu, India.</t>
  </si>
  <si>
    <t>dhivyas@ssn.edu.in; mohanas@ssn.edu.in; sundharakumarkb@snuchennai.edu.in; thamarai.panimalar@gmail.com</t>
  </si>
  <si>
    <t>S, Mohanavalli/ABC-6985-2021</t>
  </si>
  <si>
    <t>1370-4621</t>
  </si>
  <si>
    <t>1573-773X</t>
  </si>
  <si>
    <t>NEURAL PROCESS LETT</t>
  </si>
  <si>
    <t>Neural Process. Lett.</t>
  </si>
  <si>
    <t>10.1007/s11063-023-11400-3</t>
  </si>
  <si>
    <t>DJ9K9</t>
  </si>
  <si>
    <t>WOS:001069616500002</t>
  </si>
  <si>
    <t>Campbell, C; Sands, S; Mcferran, B; Mavrommatis, A</t>
  </si>
  <si>
    <t>Campbell, Colin; Sands, Sean; Mcferran, Brent; Mavrommatis, Alexis</t>
  </si>
  <si>
    <t>Diversity representation in advertising</t>
  </si>
  <si>
    <t>JOURNAL OF THE ACADEMY OF MARKETING SCIENCE</t>
  </si>
  <si>
    <t>Advertising; Marketing; Diversity; Representation; Inclusion; Equity; DEI</t>
  </si>
  <si>
    <t>SIZED FEMALE MODELS; NEWSPAPER ADVERTISEMENTS; TELEVISION COMMERCIALS; BODY-SIZE; GENDER; IMPACT; IMAGES; STIGMA; PORTRAYALS; WORK</t>
  </si>
  <si>
    <t>In this article we develop a comprehensive understanding of diverse representation in advertising. While numerous studies highlight increasing demand for diversity among some consumers, such enthusiasm is not universal. This is creating challenges for brands, some of which have faced backlash, either due to a perceived lack of authenticity in their diversity efforts or because not all consumer groups value diversity equally. Amidst these challenges, technological advancements, such as data-driven decision-making and generative AI, present both new opportunities and risks. The current literature on diverse representation in advertising, although expansive, is relatively siloed. Through a detailed eight-step process, we assess and synthesize the body of literature on diversity representation, reviewing 337 articles spanning research on age, beauty, body size, gender, LGBTQIA+ , physical and mental ability, and race and ethnicity. Our investigation offers two major contributions: a summarization of insights from the broader literature on these seven key areas of diverse representation and development of an integrated conceptual framework. Our conceptual framework details mechanisms, moderators, and outcomes that are either prevalent across the literature or can be reasonably expected to generalize across other forms of diversity. This framework not only offers a holistic perspective for academics and industry professionals but also exposes potential future research avenues.</t>
  </si>
  <si>
    <t>[Campbell, Colin] Univ San Diego, San Diego, CA 92110 USA; [Sands, Sean] Swinburne Univ Technol, Hawthorn, Australia; [Mcferran, Brent] Simon Fraser Univ, Vancouver, BC, Canada; [Mcferran, Brent] Deakin Univ, Burwood, Australia; [Mavrommatis, Alexis] ESADE Business Sch, Barcelona, Spain</t>
  </si>
  <si>
    <t>University of San Diego; Swinburne University of Technology; Simon Fraser University; Deakin University; Universitat Ramon Llull; Escuela Superior de Administracion y Direccion de Empresas (ESADE)</t>
  </si>
  <si>
    <t>Campbell, C (corresponding author), Univ San Diego, San Diego, CA 92110 USA.</t>
  </si>
  <si>
    <t>colincampbell@sandiego.edu; ssands@swin.edu.au; brent.mcferran@sfu.ca; alexis.mavrommatis@esade.edu</t>
  </si>
  <si>
    <t>University of San Diego</t>
  </si>
  <si>
    <t>The authors would like to thank the Guest Editors and the four reviewers for their comments and suggestions which greatly improved the article.</t>
  </si>
  <si>
    <t>0092-0703</t>
  </si>
  <si>
    <t>1552-7824</t>
  </si>
  <si>
    <t>J ACAD MARKET SCI</t>
  </si>
  <si>
    <t>J. Acad. Mark. Sci.</t>
  </si>
  <si>
    <t>2023 DEC 26</t>
  </si>
  <si>
    <t>10.1007/s11747-023-00994-8</t>
  </si>
  <si>
    <t>DS8U7</t>
  </si>
  <si>
    <t>WOS:001134161600001</t>
  </si>
  <si>
    <t>Saraswathi, C; Pushpa, B</t>
  </si>
  <si>
    <t>Saraswathi, Chinnaiyan; Pushpa, Balasubramanian</t>
  </si>
  <si>
    <t>AB-MTEDeep Classifier Trained with AAGAN for the Identification and Classification of Alopecia Areata</t>
  </si>
  <si>
    <t>ENGINEERING TECHNOLOGY &amp; APPLIED SCIENCE RESEARCH</t>
  </si>
  <si>
    <t>artificial intelligence; Alopecia Areata; deep learning; data augmentation; GAN</t>
  </si>
  <si>
    <t>Artificial Intelligence (AI) is widely used in dermatology to analyze trichoscopy imaging and assess Alopecia Areata (AA) and scalp hair problems. From this viewpoint, the Attention-based Balanced Multi-Tasking Ensembling Deep (AB-MTEDeep) network was developed, which combined the Faster Residual Convolutional Neural Network (FRCNN) and Long Short-Term Memory (LSTM) network with cross residual learning to classify scalp images into different AA classes. This article presents a new data augmentation model called AA-Generative Adversarial Network (AA-GAN) to produce a huge number of images from a set of input images. The structure of AA-GAN and its loss functions are comparable to those of standard GAN, which encompasses a generator and a discriminator network. To generate high-quality AA structure-based images, the generator was trained to extract the 2D orientation and confidence maps along with the bust depth map from real hair and scalp images. The discriminator was also used to separate real from generated images, which were provided as feedback to the generator to create synthetic images that are extremely close to the real input images. The created images were used to train the AB-MTEDeep model for AA classification. Finally, the experimental results exhibited that the AA-GAN-AB-MTEDeep achieved 96.94% accuracy.</t>
  </si>
  <si>
    <t>[Saraswathi, Chinnaiyan; Pushpa, Balasubramanian] Annamalai Univ, Dept Comp &amp; Informat Sci, Fac Sci, Chidambaram, India</t>
  </si>
  <si>
    <t>Annamalai University</t>
  </si>
  <si>
    <t>Saraswathi, C (corresponding author), Annamalai Univ, Dept Comp &amp; Informat Sci, Fac Sci, Chidambaram, India.</t>
  </si>
  <si>
    <t>saraswathichinnaiyan@gmail.com; pushpasidhu@gmail.com</t>
  </si>
  <si>
    <t>EOS ASSOC</t>
  </si>
  <si>
    <t>GASTOUNI</t>
  </si>
  <si>
    <t>ARCHAIAS ILIDAS 16, GASTOUNI, 27050, GREECE</t>
  </si>
  <si>
    <t>2241-4487</t>
  </si>
  <si>
    <t>1792-8036</t>
  </si>
  <si>
    <t>ENG TECHNOL APPL SCI</t>
  </si>
  <si>
    <t>Eng. Technol. Appl. Sci. Res.</t>
  </si>
  <si>
    <t>10.48084/etasr.5852</t>
  </si>
  <si>
    <t>P8EK9</t>
  </si>
  <si>
    <t>WOS:001052946400045</t>
  </si>
  <si>
    <t>Kang, X; Song, B; Guo, J; Qin, H; Du, XJ; Guizani, M</t>
  </si>
  <si>
    <t>Kang, Xu; Song, Bin; Guo, Jie; Qin, Hao; Du, Xiaojiang; Guizani, Mohsen</t>
  </si>
  <si>
    <t>Black-box attacks on image classification model with advantage actor-critic algorithm in latent space</t>
  </si>
  <si>
    <t>Black -box attacks; Adversarial examples; Deep reinforcement learning; Policy gradient; Actor -critic</t>
  </si>
  <si>
    <t>The Internet of Things (IoT) ecosystem that integrates a wide variety of intelligent multi-media applications and services has undergone a tremendous transformation over the years. As an essential approach for securing IoT-based multimedia services, Artificial Intelligence (AI) has been in innovation at a rapid pace. However, many machine learning systems are vulnerable to adversarial examples, including advanced deep neural networks. By making imperceptible modifications to real examples, the prediction will deviate far from the correct value. A deep reinforcement learning-based black-box attacker on the image classification model is introduced in our research. Different from the existing black-box attacks, which require massive queries and trials in the pixel space, the proposed method compresses the images into latent space through variational inference, querying the optimal examples efficiently with actor-critic networks. Rather than patch-to-patch translation with generative adversarial networks in related works, the fake examples are generated by gradually superimposing the perturbations into the latent space at each step through the Markov decision process (MDP) to high stability and good astringency of the attacker. Experiments evaluated on the ImageNet dataset demonstrate that the proposed attacker can generate adversarial images for most samples in limited steps, greatly reduc-ing the accuracy of the model.(c) 2023 Published by Elsevier Inc.</t>
  </si>
  <si>
    <t>[Kang, Xu; Song, Bin; Guo, Jie; Qin, Hao] Xidian Univ, State Key Lab Integrated Serv Networks, Xian 710071, Peoples R China; [Du, Xiaojiang] Stevens Inst Technol, Dept Elect &amp; Comp Engn, Hoboken, NJ 07030 USA; [Guizani, Mohsen] Qatar Univ, Dept Comp Sci &amp; Engn, Doha, Qatar</t>
  </si>
  <si>
    <t>Xidian University; Stevens Institute of Technology; Qatar University</t>
  </si>
  <si>
    <t>Song, B (corresponding author), Xidian Univ, State Key Lab Integrated Serv Networks, Xian 710071, Peoples R China.</t>
  </si>
  <si>
    <t>xukang@stu.xidian.edu.cn; bsong@mail.xidian.edu.cn; jguo@xidian.edu.cn; hqin@mail.xidian.edu.cn; dxj@ieee.org; mguizani@ieee.org</t>
  </si>
  <si>
    <t>Sun, Bin/HMD-1646-2023; Kang, Xu/HTP-4112-2023</t>
  </si>
  <si>
    <t>Song, Bin/0000-0002-8096-3370; qin, hao/0000-0001-8698-6525</t>
  </si>
  <si>
    <t>National Natural Science Foundation of China [62071354, 62201419]; National Natural Science Foundation of Shaanxi Province [2019ZDLGY03-03, 2019JQ-375]; Fundamental Research Funds for the Central Universities; Innovation Fund of Xidian University; ISN State Key Laboratory</t>
  </si>
  <si>
    <t>National Natural Science Foundation of China(National Natural Science Foundation of China (NSFC)); National Natural Science Foundation of Shaanxi Province; Fundamental Research Funds for the Central Universities(Fundamental Research Funds for the Central Universities); Innovation Fund of Xidian University; ISN State Key Laboratory</t>
  </si>
  <si>
    <t>This work has been supported by the National Natural Science Foundation of China (No.62071354, 62201419), the National Natural Science Foundation of Shaanxi Province (Grant Nos.2019ZDLGY03-03, 2019JQ-375), the Fundamental Research Funds for the Central Universities, the Innovation Fund of Xidian University and also supported by the ISN State Key Laboratory.</t>
  </si>
  <si>
    <t>10.1016/j.ins.2023.01.019</t>
  </si>
  <si>
    <t>8L3XF</t>
  </si>
  <si>
    <t>WOS:000923717100001</t>
  </si>
  <si>
    <t>Bossema, M; Ben Allouch, S; Plaat, A; Saunders, R</t>
  </si>
  <si>
    <t>Bossema, Marianne; Ben Allouch, Somaya; Plaat, Aske; Saunders, Rob</t>
  </si>
  <si>
    <t>Human-Robot Co-creativity: A Scoping Review Informing a Research Agenda for Human-Robot Co-Creativity with Older Adults</t>
  </si>
  <si>
    <t>2023 32ND IEEE INTERNATIONAL CONFERENCE ON ROBOT AND HUMAN INTERACTIVE COMMUNICATION, RO-MAN</t>
  </si>
  <si>
    <t>IEEE RO-MAN</t>
  </si>
  <si>
    <t>32nd IEEE International Conference on Robot and Human Interactive Communication (RO-MAN)</t>
  </si>
  <si>
    <t>AUG 28-31, 2023</t>
  </si>
  <si>
    <t>Busan, SOUTH KOREA</t>
  </si>
  <si>
    <t>This review is the first step in a long-term research project exploring how social robotics and AI-generated content can contribute to the creative experiences of older adults, with a focus on collaborative drawing and painting. We systematically searched and selected literature on human-robot co-creativity, and analyzed articles to identify methods and strategies for researching co-creative robotics. We found that none of the studies involved older adults, which shows the gap in the literature for this often involved participant group in robotics research. The analyzed literature provides valuable insights into the design of human-robot co-creativity and informs a research agenda to further investigate the topic with older adults. We argue that future research should focus on ecological and developmental perspectives on creativity, on how system behavior can be aligned with the values of older adults, and on the system structures that support this best.</t>
  </si>
  <si>
    <t>[Bossema, Marianne; Ben Allouch, Somaya] Amsterdam Univ Appl Sci, Amsterdam, Netherlands; [Bossema, Marianne; Plaat, Aske; Saunders, Rob] Leiden Univ, Leiden, Netherlands; [Ben Allouch, Somaya] Univ Amsterdam, Amsterdam, Netherlands</t>
  </si>
  <si>
    <t>Leiden University - Excl LUMC; Leiden University; University of Amsterdam</t>
  </si>
  <si>
    <t>Bossema, M (corresponding author), Amsterdam Univ Appl Sci, Amsterdam, Netherlands.;Bossema, M (corresponding author), Leiden Univ, Leiden, Netherlands.</t>
  </si>
  <si>
    <t>m.bossema@hva.nl</t>
  </si>
  <si>
    <t>Dutch Research Council (NWO) [023.019.021]</t>
  </si>
  <si>
    <t>This publication is part of the project 'Social robotics and generative AI to support and enhance creative experiences for older adults', with project number 023.019.021 of the research program Doctoral Grant for Teachers which is financed by the Dutch Research Council (NWO).</t>
  </si>
  <si>
    <t>1944-9445</t>
  </si>
  <si>
    <t>979-8-3503-3670-2</t>
  </si>
  <si>
    <t>IEEE ROMAN</t>
  </si>
  <si>
    <t>10.1109/RO-MAN57019.2023.10309458</t>
  </si>
  <si>
    <t>Computer Science, Artificial Intelligence; Computer Science, Cybernetics; Ergonomics; Robotics</t>
  </si>
  <si>
    <t>Computer Science; Engineering; Robotics</t>
  </si>
  <si>
    <t>BW1NV</t>
  </si>
  <si>
    <t>WOS:001108678600115</t>
  </si>
  <si>
    <t>Karabacak, M; Margetis, K</t>
  </si>
  <si>
    <t>Karabacak, Mert; Margetis, Konstantinos</t>
  </si>
  <si>
    <t>Embracing Large Language Models for Medical Applications: Opportunities and Challenges</t>
  </si>
  <si>
    <t>data privacy; ethical considerations; generative ai; chatgpt; multimodal learning; domain adaptation; reinforcement learning; transfer learning; artificial intelligence; large language models</t>
  </si>
  <si>
    <t>Large language models (LLMs) have the potential to revolutionize the field of medicine by, among other applications, improving diagnostic accuracy and supporting clinical decision-making. However, the successful integration of LLMs in medicine requires addressing challenges and considerations specific to the medical domain. This viewpoint article provides a comprehensive overview of key aspects for the successful implementation of LLMs in medicine, including transfer learning, domain-specific fine-tuning, domain adaptation, reinforcement learning with expert input, dynamic training, interdisciplinary collaboration, education and training, evaluation metrics, clinical validation, ethical considerations, data privacy, and regulatory frameworks. By adopting a multifaceted approach and fostering interdisciplinary collaboration, LLMs can be developed, validated, and integrated into medical practice responsibly, effectively, and ethically, addressing the needs of various medical disciplines and diverse patient populations. Ultimately, this approach will ensure that LLMs enhance patient care and improve overall health outcomes for all.</t>
  </si>
  <si>
    <t>[Karabacak, Mert; Margetis, Konstantinos] Mt Sinai Hlth Syst, Neurol Surg, New York, NY 10019 USA</t>
  </si>
  <si>
    <t>Icahn School of Medicine at Mount Sinai</t>
  </si>
  <si>
    <t>Margetis, K (corresponding author), Mt Sinai Hlth Syst, Neurol Surg, New York, NY 10019 USA.</t>
  </si>
  <si>
    <t>konstantinos.margetis@mountsinai.org</t>
  </si>
  <si>
    <t>Karabacak, Mert/HMW-1735-2023</t>
  </si>
  <si>
    <t>Karabacak, Mert/0000-0002-9263-9893</t>
  </si>
  <si>
    <t>e39305</t>
  </si>
  <si>
    <t>10.7759/cureus.39305</t>
  </si>
  <si>
    <t>WOS:001021631400031</t>
  </si>
  <si>
    <t>Tur, AO; Dall'Asen, N; Beyan, C; Ricci, E</t>
  </si>
  <si>
    <t>Tur, Anil Osman; Dall'Asen, Nicola; Beyan, Cigdem; Ricci, Elisa</t>
  </si>
  <si>
    <t>EXPLORING DIFFUSION MODELS FOR UNSUPERVISED VIDEO ANOMALY DETECTION</t>
  </si>
  <si>
    <t>Anomaly Detection; unsupervised learning; video understanding; imbalanced data</t>
  </si>
  <si>
    <t>This paper investigates the performance of diffusion models for video anomaly detection (VAD) within the most challenging but also the most operational scenario in which the data annotations are not used. As being sparse, diverse, contextual, and often ambiguous, detecting abnormal events precisely is a very ambitious task. To this end, we rely only on the information-rich spatio-temporal data, and the reconstruction power of the diffusion models such that a high reconstruction error is utilized to decide the abnormality. Experiments performed on two large-scale video anomaly detection datasets demonstrate the consistent improvement of the proposed method over the state-of-the-art generative models while in some cases our method achieves better scores than the more complex models. This is the first study using a diffusion model and examining its parameters' influence to present guidance for VAD in surveillance scenarios.</t>
  </si>
  <si>
    <t>[Tur, Anil Osman; Dall'Asen, Nicola; Beyan, Cigdem; Ricci, Elisa] Univ Trento, Dept Informat Engn &amp; Comp Sci, Trento, Italy; [Tur, Anil Osman] Fdn Bruno Kessler, Energy Efficient Embedded Digital Architectures U, Trento, Italy; [Dall'Asen, Nicola] Univ Pisa, Dept Comp Sci, Pisa, Italy; [Ricci, Elisa] Fdn Bruno Kessler, Deep Visual Learning Res Grp, Trento, Italy</t>
  </si>
  <si>
    <t>University of Trento; Fondazione Bruno Kessler; University of Pisa; Fondazione Bruno Kessler</t>
  </si>
  <si>
    <t>Tur, AO (corresponding author), Univ Trento, Dept Informat Engn &amp; Comp Sci, Trento, Italy.;Tur, AO (corresponding author), Fdn Bruno Kessler, Energy Efficient Embedded Digital Architectures U, Trento, Italy.</t>
  </si>
  <si>
    <t>MUR PNRR project FAIR -Future AI Research - NextGenerationEU [PE00000013]; PRECRISIS - EU Internal Security Fund [ISFP-2022-TFI-AG-PROTECT-02101100539]</t>
  </si>
  <si>
    <t>MUR PNRR project FAIR -Future AI Research - NextGenerationEU; PRECRISIS - EU Internal Security Fund</t>
  </si>
  <si>
    <t>We acknowledge the support of the MUR PNRR project FAIR -Future AI Research (PE00000013) funded by the NextGenerationEU. E.R. is partially supported by the PRECRISIS, funded by the EU Internal Security Fund (ISFP-2022-TFI-AG-PROTECT-02101100539). The work was carried out in the Vision and Learning joint laboratory of FBK and UNITN.</t>
  </si>
  <si>
    <t>10.1109/ICIP49359.2023.10222594</t>
  </si>
  <si>
    <t>WOS:001106821002126</t>
  </si>
  <si>
    <t>Deng, KL; Yang, GS; Ramanan, D; Zhu, JY</t>
  </si>
  <si>
    <t>Deng, Kangle; Yang, Gengshan; Ramanan, Deva; Zhu, Jun-Yan</t>
  </si>
  <si>
    <t>3D-aware Conditional Image Synthesis</t>
  </si>
  <si>
    <t>We propose pix2pix3D, a 3D-aware conditional generative model for controllable photorealistic image synthesis. Given a 2D label map, such as a segmentation or edge map, our model learns to synthesize a corresponding image from different viewpoints. To enable explicit 3D user control, we extend conditional generative models with neural radiance fields. Given widely-available posed monocular image and label map pairs, our model learns to assign a label to every 3D point in addition to color and density, which enables it to render the image and pixel-aligned label map simultaneously. Finally, we build an interactive system that allows users to edit the label map from different viewpoints and generate outputs accordingly.</t>
  </si>
  <si>
    <t>[Deng, Kangle; Yang, Gengshan; Ramanan, Deva; Zhu, Jun-Yan] Carnegie Mellon Univ, Pittsburgh, PA 15213 USA</t>
  </si>
  <si>
    <t>Deng, KL (corresponding author), Carnegie Mellon Univ, Pittsburgh, PA 15213 USA.</t>
  </si>
  <si>
    <t>Zhu, Jun-Yan/V-7271-2018</t>
  </si>
  <si>
    <t>Sony Corporation, Singapore DSTA</t>
  </si>
  <si>
    <t>We thank Sheng-Yu Wang, Nupur Kumari, Gaurav Parmer, Ruihan Gao, Muyang Li, George Cazenavette, Andrew Song, Zhipeng Bao, Tamaki Kojima, Krishna Wadhwani, Takuya Narihira, and Tatsuo Fujiwara for their discussion and help. We are grateful for the support from Sony Corporation, Singapore DSTA, and the CMU Argo AI Center for Autonomous Vehicle Research.</t>
  </si>
  <si>
    <t>10.1109/CVPR52729.2023.00431</t>
  </si>
  <si>
    <t>WOS:001058542604074</t>
  </si>
  <si>
    <t>Madyatmadja, ED; Sianipar, CPM; Wijaya, C; Sembiring, DJM</t>
  </si>
  <si>
    <t>Madyatmadja, Evaristus D.; Sianipar, Corinthias P. M.; Wijaya, Cristofer; Sembiring, David J. M.</t>
  </si>
  <si>
    <t>Classifying Crowdsourced Citizen Complaints through Data Mining: Accuracy Testing of k-Nearest Neighbors, Random Forest, Support Vector Machine, and AdaBoost</t>
  </si>
  <si>
    <t>public complaint; citizen science; crowdsourcing; sustainable city; machine learning; smart city; knowledge extraction; text mining; large language model; generative AI</t>
  </si>
  <si>
    <t>E-GOVERNMENT; CLASSIFICATION; SVM; MANAGEMENT; ALGORITHM; CHINA; KNN</t>
  </si>
  <si>
    <t>Crowdsourcing has gradually become an effective e-government process to gather citizen complaints over the implementation of various public services. In practice, the collected complaints form a massive dataset, making it difficult for government officers to analyze the big data effectively. It is consequently vital to use data mining algorithms to classify the citizen complaint data for efficient follow-up actions. However, different classification algorithms produce varied classification accuracies. Thus, this study aimed to compare the accuracy of several classification algorithms on crowdsourced citizen complaint data. Taking the case of the LAKSA app in Tangerang City, Indonesia, this study included k-Nearest Neighbors, Random Forest, Support Vector Machine, and AdaBoost for the accuracy assessment. The data were taken from crowdsourced citizen complaints submitted to the LAKSA app, including those aggregated from official social media channels, from May 2021 to April 2022. The results showed SVM with a linear kernel as the most accurate among the assessed algorithms (89.2%). In contrast, AdaBoost (base learner: Decision Trees) produced the lowest accuracy. Still, the accuracy levels of all algorithms varied in parallel to the amount of training data available for the actual classification categories. Overall, the assessments on all algorithms indicated that their accuracies were insignificantly different, with an overall variation of 4.3%. The AdaBoost-based classification, in particular, showed its large dependence on the choice of base learners. Looking at the method and results, this study contributes to e-government, data mining, and big data discourses. This research recommends that governments continuously conduct supervised training of classification algorithms over their crowdsourced citizen complaints to seek the highest accuracy possible, paving the way for smart and sustainable governance.</t>
  </si>
  <si>
    <t>[Madyatmadja, Evaristus D.; Wijaya, Cristofer] Bina Nusantara Univ, Informat Syst Dept, Jakarta 11530, Indonesia; [Sianipar, Corinthias P. M.] Kyoto Univ, Dept Global Ecol, Kyoto 6068501, Japan; [Sianipar, Corinthias P. M.] Kyoto Univ, Div Environm Sci &amp; Technol, Sakyo Ku, Kyoto 6068502, Japan; [Sembiring, David J. M.] Indonesian Inst Technol &amp; Business ITBI, Deli Serdang 20374, Indonesia</t>
  </si>
  <si>
    <t>Universitas Bina Nusantara; Kyoto University; Kyoto University</t>
  </si>
  <si>
    <t>Madyatmadja, ED (corresponding author), Bina Nusantara Univ, Informat Syst Dept, Jakarta 11530, Indonesia.;Sianipar, CPM (corresponding author), Kyoto Univ, Dept Global Ecol, Kyoto 6068501, Japan.;Sianipar, CPM (corresponding author), Kyoto Univ, Div Environm Sci &amp; Technol, Sakyo Ku, Kyoto 6068502, Japan.</t>
  </si>
  <si>
    <t>emadyatmadja@binus.edu; iam@cpmsianipar.com</t>
  </si>
  <si>
    <t>Sianipar, Corinthias P. M./J-4952-2012</t>
  </si>
  <si>
    <t>Sianipar, Corinthias P. M./0000-0003-0718-6162</t>
  </si>
  <si>
    <t>Research and Technology Transfer Office (RTTO), Bina Nusantara University</t>
  </si>
  <si>
    <t>The authors would like to thank the government officers of Tangerang City for their help in the acquisition of the crowdsourced citizen complaint data used in this research.</t>
  </si>
  <si>
    <t>10.3390/informatics10040084</t>
  </si>
  <si>
    <t>DF4G2</t>
  </si>
  <si>
    <t>WOS:001130595500001</t>
  </si>
  <si>
    <t>Lum, ZC</t>
  </si>
  <si>
    <t>Lum, Zachary C.</t>
  </si>
  <si>
    <t>Can Artificial Intelligence Pass the American Board of Orthopaedic Surgery Examination? Orthopaedic Residents Versus ChatGPT</t>
  </si>
  <si>
    <t>CLINICAL ORTHOPAEDICS AND RELATED RESEARCH</t>
  </si>
  <si>
    <t>BackgroundAdvances in neural networks, deep learning, and artificial intelligence (AI) have progressed recently. Previous deep learning AI has been structured around domain-specific areas that are trained on dataset-specific areas of interest that yield high accuracy and precision. A new AI model using large language models (LLM) and nonspecific domain areas, ChatGPT (OpenAI), has gained attention. Although AI has demonstrated proficiency in managing vast amounts of data, implementation of that knowledge remains a challenge.Questions/purposes(1) What percentage of Orthopaedic In-Training Examination questions can a generative, pretrained transformer chatbot (ChatGPT) answer correctly? (2) How does that percentage compare with results achieved by orthopaedic residents of different levels, and if scoring lower than the 10th percentile relative to 5th-year residents is likely to correspond to a failing American Board of Orthopaedic Surgery score, is this LLM likely to pass the orthopaedic surgery written boards? (3) Does increasing question taxonomy affect the LLM's ability to select the correct answer choices?MethodsThis study randomly selected 400 of 3840 publicly available questions based on the Orthopaedic In-Training Examination and compared the mean score with that of residents who took the test over a 5-year period. Questions with figures, diagrams, or charts were excluded, including five questions the LLM could not provide an answer for, resulting in 207 questions administered with raw score recorded. The LLM's answer results were compared with the Orthopaedic In-Training Examination ranking of orthopaedic surgery residents. Based on the findings of an earlier study, a pass-fail cutoff was set at the 10th percentile. Questions answered were then categorized based on the Buckwalter taxonomy of recall, which deals with increasingly complex levels of interpretation and application of knowledge; comparison was made of the LLM's performance across taxonomic levels and was analyzed using a chi-square test.ResultsChatGPT selected the correct answer 47% (97 of 207) of the time, and 53% (110 of 207) of the time it answered incorrectly. Based on prior Orthopaedic In-Training Examination testing, the LLM scored in the 40th percentile for postgraduate year (PGY) 1s, the eighth percentile for PGY2s, and the first percentile for PGY3s, PGY4s, and PGY5s; based on the latter finding (and using a predefined cutoff of the 10th percentile of PGY5s as the threshold for a passing score), it seems unlikely that the LLM would pass the written board examination. The LLM's performance decreased as question taxonomy level increased (it answered 54% [54 of 101] of Tax 1 questions correctly, 51% [18 of 35] of Tax 2 questions correctly, and 34% [24 of 71] of Tax 3 questions correctly; p = 0.034).ConclusionAlthough this general-domain LLM has a low likelihood of passing the orthopaedic surgery board examination, testing performance and knowledge are comparable to that of a first-year orthopaedic surgery resident. The LLM's ability to provide accurate answers declines with increasing question taxonomy and complexity, indicating a deficiency in implementing knowledge.</t>
  </si>
  <si>
    <t>[Lum, Zachary C.] Nova Southeastern Univ, Davie, FL USA; [Lum, Zachary C.] Nova Southeastern Univ, Dept Fac &amp; Alumni Affairs, Kiran C Patel Sch Osteopath Med, 3200 South Univ Dr, Davie, FL 33328 USA</t>
  </si>
  <si>
    <t>Nova Southeastern University; Nova Southeastern University</t>
  </si>
  <si>
    <t>Lum, ZC (corresponding author), Nova Southeastern Univ, Dept Fac &amp; Alumni Affairs, Kiran C Patel Sch Osteopath Med, 3200 South Univ Dr, Davie, FL 33328 USA.</t>
  </si>
  <si>
    <t>zacharylum@gmail.com</t>
  </si>
  <si>
    <t>Lum, Zachary/0000-0002-5871-8539</t>
  </si>
  <si>
    <t>0009-921X</t>
  </si>
  <si>
    <t>1528-1132</t>
  </si>
  <si>
    <t>CLIN ORTHOP RELAT R</t>
  </si>
  <si>
    <t>Clin. Orthop. Rel. Res.</t>
  </si>
  <si>
    <t>10.1097/CORR.0000000000002704</t>
  </si>
  <si>
    <t>N0LG4</t>
  </si>
  <si>
    <t>WOS:001034028800031</t>
  </si>
  <si>
    <t>Li, LY; Yan, JC; Wen, QS; Jin, YH; Yang, XK</t>
  </si>
  <si>
    <t>Li, Longyuan; Yan, Junchi; Wen, Qingsong; Jin, Yaohui; Yang, Xiaokang</t>
  </si>
  <si>
    <t>Learning Robust Deep State Space for Unsupervised Anomaly Detection in Contaminated Time-Series</t>
  </si>
  <si>
    <t>Data models; Anomaly detection; Training data; Hidden Markov models; Training; Adaptation models; Estimation; density estimation; time-series; variational auto-encoder; deep state space model</t>
  </si>
  <si>
    <t>Anomalies are ubiquitous in real-world time-series data which call for effective and timely detection, especially in an unsupervised setting for labeling cost saving. In this paper, we develop an unsupervised density reconstruction model for multi-dimensional time-series anomaly detection. In particular, it directly handles an important realistic setting that the detection is achieved towards raw time-series contaminated with noise for training, in contrast to most existing anomaly detection works that assume the training data is in general clean i.e., not contaminated with anomaly. It extends recent advancements in deep generative models and state space models to achieve robust anomaly detection. Our approach comprises of a novel state space based generative model, a filtering based inference model, together with a carefully-designated emission model based on robust statistics theory. Extensive experimental results are conducted to show that our approach can adapt to complex patterns even given severely contaminated training data. We also develop visualization techniques to help better understand the behavior of the anomaly detection models. Empirical results show that our method outperforms state-of-the-arts on both synthetic and real-world datasets.</t>
  </si>
  <si>
    <t>[Li, Longyuan; Jin, Yaohui] Shanghai Jiao Tong Univ, AI Inst, State Key Lab Adv Opt Commun Syst, MoE Key Lab Artificial Intelligence, Shanghai 200240, Peoples R China; [Yan, Junchi] Shanghai Jiao Tong Univ, AI Inst, Dept Comp Sci &amp; Engn, MoE Key Lab Artificial Intelligence, Shanghai 200240, Peoples R China; [Wen, Qingsong] Alibaba Grp US Inc, DAMO Acad, Bellevue, WA 98004 USA</t>
  </si>
  <si>
    <t>Jin, YH (corresponding author), Shanghai Jiao Tong Univ, AI Inst, State Key Lab Adv Opt Commun Syst, MoE Key Lab Artificial Intelligence, Shanghai 200240, Peoples R China.;Yan, JC (corresponding author), Shanghai Jiao Tong Univ, AI Inst, Dept Comp Sci &amp; Engn, MoE Key Lab Artificial Intelligence, Shanghai 200240, Peoples R China.</t>
  </si>
  <si>
    <t>jeffli@sjtu.edu.cn; yanjunchi@sjtu.edu.cn; qingsong.wen@alibaba-inc.com; jinyh@sjtu.edu.cn; xkyang@sjtu.edu.cn</t>
  </si>
  <si>
    <t>li, tong/JYO-7530-2024; Wang, Weiyi/JZC-7841-2024; WANG, JIAXUAN/JMP-8599-2023; lin, lin/KCZ-0185-2024; li, xinke/JTU-3633-2023; Yang, Xiaokang/C-6137-2009; lin, lin/KFB-9548-2024; Yang, han/KFS-2671-2024; Zhang, yuxuan/JXM-9935-2024; Wang, Zhuo/JVO-1874-2024; tong, li/KDO-7821-2024; Li, Yao/JJC-2927-2023</t>
  </si>
  <si>
    <t>Yang, Xiaokang/0000-0003-4029-3322;</t>
  </si>
  <si>
    <t>National Key Research and Development Program of China [2018YFC0830400]; Alibaba Innovative Research Funding; Shanghai Municipal Science and Technology Major Project [2021SHZDZX0102]; NSFC [U19B2035, 61972250, 72061127003]</t>
  </si>
  <si>
    <t>National Key Research and Development Program of China; Alibaba Innovative Research Funding; Shanghai Municipal Science and Technology Major Project; NSFC(National Natural Science Foundation of China (NSFC))</t>
  </si>
  <si>
    <t>This work was supported in part by the National Key Research and Development Program of China under Grant 2018YFC0830400, in part by Alibaba Innovative Research Funding, Shanghai Municipal Science and Technology Major Project under Grant 2021SHZDZX0102, and in part by NSFC under Grants U19B2035, 61972250, and 72061127003</t>
  </si>
  <si>
    <t>10.1109/TKDE.2022.3171562</t>
  </si>
  <si>
    <t>F4GJ7</t>
  </si>
  <si>
    <t>WOS:000981944600043</t>
  </si>
  <si>
    <t>Abu-Farha, R; Fino, L; Al-Ashwal, FY; Zawiah, M; Gharaibeh, L; Harahsheh, MM; Elhajji, FD</t>
  </si>
  <si>
    <t>Abu-Farha, Rana; Fino, Leen; Al-Ashwal, Fahmi Y.; Zawiah, Mohammed; Gharaibeh, Lobna; Harahsheh, Mea ' ad M.; Elhajji, Feras Darwish</t>
  </si>
  <si>
    <t>Evaluation of community pharmacists' perceptions and willingness to integrate ChatGPT into their pharmacy practice: A study from Jordan</t>
  </si>
  <si>
    <t>JOURNAL OF THE AMERICAN PHARMACISTS ASSOCIATION</t>
  </si>
  <si>
    <t>ARTIFICIAL-INTELLIGENCE; STUDENTS; RIYADH</t>
  </si>
  <si>
    <t>Objectives: This study aimed to examine the extent of community pharmacists' awareness of Chat Generative Pretraining Transformer (ChatGPT), their willingness to embark on this new development of artificial intelligence (AI) development, and barriers that face the incorporation of this nonconventional source of information into pharmacy practice. Methods: A cross-sectional study was conducted among community pharmacists in Jordanian cities between April 26, 2023, and May 10, 2023. Convenience and snowball sampling techniques were used to select study participants owing to resource and time constraints. The questionnaire was distributed by research assistants through popular social media platforms. Logistic regression analysis was used to assess predictors affecting their willingness to use this service in the future. Results: A total of 221 community pharmacists participated in the current study (response rate was not calculated because opt-in recruitment strategies were used). Remarkably, nearly half of the pharmacists (n = 107, 48.4%) indicated a willingness to incorporate the ChatGPT into their pharmacy practice. Nearly half of the pharmacists (n = 105, 47.5%) demonstrated a high perceived benefit score for ChatGPT, whereas approximately 37% of pharmacists (n = 81) expressed a high concern score about ChatGPT. More than 70% of pharmacists believed that ChatGPT lacked the ability to use human judgment and make complicated ethical judgments in its responses (n = 168). Finally, logistics regression analysis showed that pharmacists who had previous experience in using ChatGPT were more willing to integrate ChatGPT in their pharmacy practice than those with no previous experience in using ChatGPT (odds ratio 2.312, P = 0.035). Conclusion: Although pharmacists show a willingness to incorporate ChatGPT into their practice, especially those with previous experience, there are major concerns. These mainly revolve around the tool's ability to make human-like judgments and ethical decisions. These findings are crucial for the future development and integration of AI tools in pharmacy practice. (c) 2023 American Pharmacists Association (R). Published by Elsevier Inc. All rights reserved.</t>
  </si>
  <si>
    <t>[Abu-Farha, Rana; Fino, Leen; Elhajji, Feras Darwish] Appl Sci Private Univ, Fac Pharm, Clin Pharm &amp; Therapeut Dept, Amman, Jordan; [Al-Ashwal, Fahmi Y.] Al Ayen Univ, Coll Pharm, Nasiriyah, Iraq; [Zawiah, Mohammed] Univ Al Hodeida, Coll Clin Pharm, Dept Pharm Prac tice, Al Hudaydah, Yemen; [Gharaibeh, Lobna] Al Ahliyya Amman Univ, Fac Pharm, Pharmacol &amp; Diagnost Res Ctr, Amman, Jordan; [Harahsheh, Mea ' ad M.] Jordan Univ Sci &amp; Technol, Fac Pharm, Dept Clin Pharm, Irbid, Jordan; [Abu-Farha, Rana] Appl Sci Private Univ, Fac Pharm, Clin Pharm &amp; Therapeut Dept, Amman 11937, Jordan</t>
  </si>
  <si>
    <t>Al-Ayen University; Al-Ahliyya Amman University; Jordan University of Science &amp; Technology</t>
  </si>
  <si>
    <t>Abu-Farha, R (corresponding author), Appl Sci Private Univ, Fac Pharm, Clin Pharm &amp; Therapeut Dept, Amman 11937, Jordan.</t>
  </si>
  <si>
    <t>r_abufarha@asu.edu.jo</t>
  </si>
  <si>
    <t>Al-Ashwal, Fahmi/AAX-5385-2021; Zawiah, Mohammed/AAE-7309-2020</t>
  </si>
  <si>
    <t>Al-Ashwal, Fahmi/0000-0003-2076-0771; Zawiah, Mohammed/0000-0002-3325-1442; Fino, Leen/0000-0002-5768-4912; Abu Farha, Rana/0000-0001-8298-4071; Darwish Elhajji, Feras/0000-0001-5923-9110</t>
  </si>
  <si>
    <t>1544-3191</t>
  </si>
  <si>
    <t>1544-3450</t>
  </si>
  <si>
    <t>J AM PHARM ASSOC</t>
  </si>
  <si>
    <t>J. Am. Pharm. Assoc.</t>
  </si>
  <si>
    <t>10.1016/j.japh.2023.08.020</t>
  </si>
  <si>
    <t>AX0V5</t>
  </si>
  <si>
    <t>WOS:001121639500001</t>
  </si>
  <si>
    <t>Wu, QC; Liu, YJ; Zhao, HD; Kale, A; Bui, T; Yu, T; Lin, Z; Zhang, Y; Chang, SY</t>
  </si>
  <si>
    <t>Wu, Qiucheng; Liu, Yujian; Zhao, Handong; Kale, Ajinkya; Bui, Trung; Yu, Tong; Lin, Zhe; Zhang, Yang; Chang, Shiyu</t>
  </si>
  <si>
    <t>Uncovering the Disentanglement Capability in Text-to-Image Diffusion Models</t>
  </si>
  <si>
    <t>Generative models have been widely studied in computer vision. Recently, diffusion models have drawn substantial attention due to the high quality of their generated images. A key desired property of image generative models is the ability to disentangle different attributes, which should enable modification towards a style without changing the semantic content, and the modification parameters should generalize to different images. Previous studies have found that generative adversarial networks (GANs) are inherently endowed with such disentanglement capability, so they can perform disentangled image editing without re-training or fine-tuning the network. In this work, we explore whether diffusion models are also inherently equipped with such a capability. Our finding is that for stable diffusion models, by partially changing the input text embedding from a neutral description (e.g., a photo of person) to one with style (e.g., a photo of person with smile) while fixing all the Gaussian random noises introduced during the denoising process, the generated images can be modified towards the target style without changing the semantic content. Based on this finding, we further propose a simple, light-weight image editing algorithm where the mixing weights of the two text embeddings are optimized for style matching and content preservation. This entire process only involves optimizing over around 50 parameters and does not fine-tune the diffusion model itself. Experiments show that the proposed method can modify a wide range of attributes, with the performance outperforming diffusion-model-based image-editing algorithms that require fine-tuning. The optimized weights generalize well to different images. Our code is publicly available at https://github.com/UCSB-NLP-Chang/DiffusionDisentanglement.</t>
  </si>
  <si>
    <t>[Wu, Qiucheng; Liu, Yujian; Chang, Shiyu] UC Santa Barbara, Santa Barbara, CA 93106 USA; [Zhao, Handong; Kale, Ajinkya; Bui, Trung; Yu, Tong; Lin, Zhe] Adobe Res, San Francisco, CA USA; [Zhang, Yang] MIT IBM Watson AI Lab, Cambridge, MA USA</t>
  </si>
  <si>
    <t>University of California System; University of California Santa Barbara; Adobe Systems Inc.</t>
  </si>
  <si>
    <t>Wu, QC (corresponding author), UC Santa Barbara, Santa Barbara, CA 93106 USA.</t>
  </si>
  <si>
    <t>qiucheng@ucsb.edu; yujianliu@ucsb.edu</t>
  </si>
  <si>
    <t>10.1109/CVPR52729.2023.00189</t>
  </si>
  <si>
    <t>WOS:001058542602022</t>
  </si>
  <si>
    <t>Sattarov, T; Schreyer, M; Borth, D</t>
  </si>
  <si>
    <t>Sattarov, Timur; Schreyer, Marco; Borth, Damian</t>
  </si>
  <si>
    <t>FinDiff: Diffusion Models for Financial Tabular Data Generation</t>
  </si>
  <si>
    <t>neural networks; diffusion models; synthetic data generation; financial tabular data</t>
  </si>
  <si>
    <t>The sharing of microdata, such as fund holdings and derivative instruments, by regulatory institutions presents a unique challenge due to strict data confidentiality and privacy regulations. These challenges often hinder the ability of both academics and practitioners to conduct collaborative research effectively. The emergence of generative models, particularly diffusion models, capable of synthesizing data mimicking the underlying distributions of real-world data presents a compelling solution. This work introduces Financial Tabular Diffusion (FinDiff), a diffusion model designed to generate real-world mixed-type financial tabular data for a variety of downstream tasks, for example, economic scenario modeling, stress tests, and fraud detection. The model uses embedding encodings to model mixed modality financial data, comprising both categorical and numeric attributes. The performance of FinDiff in generating synthetic tabular financial data is evaluated against state-of-the-art baseline models using three real-world financial datasets (including two publicly available datasets and one proprietary dataset). Empirical results demonstrate that FinDiff excels in generating synthetic tabular financial data with high fidelity, privacy, and utility.</t>
  </si>
  <si>
    <t>[Sattarov, Timur; Schreyer, Marco; Borth, Damian] Univ St Gallen HSG, St Gallen, Switzerland; [Sattarov, Timur] Deutsch Bundesbank, Frankfurt, Germany</t>
  </si>
  <si>
    <t>Deutsche Bank</t>
  </si>
  <si>
    <t>Sattarov, T (corresponding author), Univ St Gallen HSG, St Gallen, Switzerland.;Sattarov, T (corresponding author), Deutsch Bundesbank, Frankfurt, Germany.</t>
  </si>
  <si>
    <t>timur.sattarov@bundesbank.de; marco.schreyer@unisg.ch; damian.borth@unisg.ch</t>
  </si>
  <si>
    <t>10.1145/3604237.3626876</t>
  </si>
  <si>
    <t>WOS:001124982700008</t>
  </si>
  <si>
    <t>Crespi, L; Portanti, M; Loiacono, D</t>
  </si>
  <si>
    <t>Crespi, Leonardo; Portanti, Mania; Loiacono, Daniele</t>
  </si>
  <si>
    <t>Comparing Adversarial and Supervised Learning for Organs at Risk Segmentation in CT images</t>
  </si>
  <si>
    <t>Medical Image Segmentation; Deep Learning; GAN; CNN</t>
  </si>
  <si>
    <t>Organ at Risk (OAR) segmentation from CT scans is a key component of the radiotherapy treatment workflow. In recent years, deep learning techniques have shown remarkable potential in automating this process. In this paper, we investigate the performance of Generative Adversarial Networks (GANs) compared to supervised learning approaches for segmenting OARs from CT images. We propose three GAN-based models with identical generator architectures but different discriminator networks. These models are compared with well-established CNN models, such as SE-ResUnet and DeepLabV3, using the StructSeg dataset, which consists of 50 annotated CT scans containing contours of six OARs. Our work aims to provide insight into the advantages and disadvantages of adversarial training in the context of OAR segmentation. The results are very promising and show that the proposed GAN-based approaches are similar or superior to their CNN-based counterparts, particularly when segmenting more challenging target organs.</t>
  </si>
  <si>
    <t>[Crespi, Leonardo; Portanti, Mania; Loiacono, Daniele] Politecn Milan, Dipartimento Elettron Informaz &amp; Bioingn, Milan, Italy; [Crespi, Leonardo] Human Technopole, Ctr Hlth Data Sci, Milan, Italy</t>
  </si>
  <si>
    <t>Polytechnic University of Milan; Human Technopole</t>
  </si>
  <si>
    <t>Crespi, L (corresponding author), Politecn Milan, Dipartimento Elettron Informaz &amp; Bioingn, Milan, Italy.;Crespi, L (corresponding author), Human Technopole, Ctr Hlth Data Sci, Milan, Italy.</t>
  </si>
  <si>
    <t>Crespi, Leonardo/AHH-4561-2022</t>
  </si>
  <si>
    <t>Crespi, Leonardo/0000-0001-6219-8444</t>
  </si>
  <si>
    <t>FAIR (Future Artificial Intelligence Research) project - NextGenerationEU program within the PNRR-PE-AI scheme (M4C2, investment 1.3, line on Artificial Intelligence)</t>
  </si>
  <si>
    <t>This paper is supported by the FAIR (Future Artificial Intelligence Research) project, funded by the NextGenerationEU program within the PNRR-PE-AI scheme (M4C2, investment 1.3, line on Artificial Intelligence).</t>
  </si>
  <si>
    <t>10.1109/CBMS58004.2023.00280</t>
  </si>
  <si>
    <t>WOS:001037777900099</t>
  </si>
  <si>
    <t>Gao, CX; Zhang, N; Li, YR; Lin, Y; Wan, HY</t>
  </si>
  <si>
    <t>Gao, Changxia; Zhang, Ning; Li, Youru; Lin, Yan; Wan, Huaiyu</t>
  </si>
  <si>
    <t>Adversarial self-attentive time-variant neural networks for multi-step time series forecasting</t>
  </si>
  <si>
    <t>Time series forecasting; Dynamic modeling; Short-term correlations; Long-term forecasting</t>
  </si>
  <si>
    <t>Accurate forecasting of time series mitigates the uncertainty of future outlooks and is a great help in reducing errors in decisions. Despite years of researches, there are still some challenges to accurate forecasting of time series, including the difficulty of dynamic modeling, the problem of capturing short-term correlations, and the conundrum of long-term forecasting. This paper offers an Adversarial Truncated Cauchy Self-Attentive Time Variant Neural Network (ASATVN) for multi-step ahead time series forecasting. Specifically, the proposed model builds on Generative Adversarial Networks, in which the generator is composed of a novel time-variant model. The time-variant model contributes to learning dynamic time-series changes with its time-variant architecture and employs a newly proposed Truncated Cauchy Self-Attention block to capture the local sequential dependencies better. For the discriminator, two self-attentive discriminators are presented to regularize predictions with fidelity and continuity, which is beneficial to predicting sequence over longer time horizons. Our proposed ASATVN model outperforms the state-of-the-art predictive models on eleven real-world benchmark datasets, demonstrating its effectiveness.</t>
  </si>
  <si>
    <t>[Gao, Changxia; Zhang, Ning] Beijing Jiaotong Univ, China Engn Res Ctr, Sch Comp &amp; Informat Technol, Network Management Technol High Speed Railway MOE, Beijing 100044, Peoples R China; [Li, Youru] Beijing Jiaotong Univ, Sch Comp &amp; Informat Technol, China &amp; Beijing Key Lab Adv Informat Sci &amp; Network, Beijing 100044, Peoples R China; [Lin, Yan; Wan, Huaiyu] Beijing Jiaotong Univ, Sch Comp &amp; Informat Technol, Beijing Key Lab Traff Data Anal &amp; Min, Beijing 100044, Peoples R China</t>
  </si>
  <si>
    <t>Beijing Jiaotong University; Beijing Jiaotong University; Beijing Jiaotong University</t>
  </si>
  <si>
    <t>Wan, HY (corresponding author), Beijing Jiaotong Univ, Sch Comp &amp; Informat Technol, Beijing Key Lab Traff Data Anal &amp; Min, Beijing 100044, Peoples R China.</t>
  </si>
  <si>
    <t>chxiag@bjtu.edu.cn; nzhang1@bjtu.edu.cn; liyouru@bjtu.edu.cn; ylincs@bjtu.edu.cn; hywan@bjtu.edu.cn</t>
  </si>
  <si>
    <t>Li, Youru/ADA-9437-2022</t>
  </si>
  <si>
    <t>Li, Youru/0000-0002-9326-9863; Lin, Yan/0000-0002-2320-9777; Wan, Huaiyu/0000-0002-0501-9363</t>
  </si>
  <si>
    <t>National Key R and D Program for the Core Technology of Innovation and Entrepreneurship based on AI, China [2019YFB1405202]</t>
  </si>
  <si>
    <t>National Key R and D Program for the Core Technology of Innovation and Entrepreneurship based on AI, China</t>
  </si>
  <si>
    <t>Acknowledgments This research was supported by National Key R and D Program for the Core Technology of Innovation and Entrepreneurship based on AI, China under Grant 2019YFB1405202.</t>
  </si>
  <si>
    <t>NOV 30</t>
  </si>
  <si>
    <t>10.1016/j.eswa.2023.120722</t>
  </si>
  <si>
    <t>L4RB7</t>
  </si>
  <si>
    <t>WOS:001023143200001</t>
  </si>
  <si>
    <t>Rakhmonov, AAU; Subramanian, B; Olimov, B; Kim, J</t>
  </si>
  <si>
    <t>Rakhmonov, Akhrorjon Akhmadjon Ugli; Subramanian, Barathi; Olimov, Bekhzod; Kim, Jeonghong</t>
  </si>
  <si>
    <t>Extensive Knowledge Distillation Model: An End-to-End Effective Anomaly Detection Model for Real-Time Industrial Applications</t>
  </si>
  <si>
    <t>Anomaly detection; deep convolutional neural networks; image generation; knowledge distillation</t>
  </si>
  <si>
    <t>Detecting anomalies is an essential task in many industries. Current state-of-the-art methods rely on a large number of parameters for high accuracy, which may not be suitable for implementing cost-effective real-time applications. Additionally, developing robust detection models is difficult due to limited anomaly samples. To address these issues, we propose an end-to-end anomaly detection method that utilizes effective data generation and comprehensive knowledge distillation. In particular, the proposed approach first employs a highly effective generative model to generate realistic anomaly images. It then transfers the pre-trained master network's essential intermediate layers and final layer knowledge to a novice network by using the knowledge distillation technique. In the conducted experiments with 4 real-life datasets, the proposed model outperforms its counterparts, including state-of-the-art models, by 0.6% on MNIST and CIFAR-10 datasets, 0.2% on the custom dataset, and stays competitive on the MVTec AD dataset. Additionally, the proposed model outperforms all of its peers in trainable parameter numbers by having only 0.17 M parameters. This is at least twice as few parameters as the baseline model. Overall, the proposed approach offers an efficient solution to anomaly detection that achieves high accuracy despite limited anomaly samples and fewer parameters.</t>
  </si>
  <si>
    <t>[Rakhmonov, Akhrorjon Akhmadjon Ugli; Subramanian, Barathi; Kim, Jeonghong] Kyungpook Natl Univ, Dept Comp Sci &amp; Engn, Daegu 41566, South Korea; [Olimov, Bekhzod] Vitasoft, IT Convergence Res &amp; Dev Ctr, AI Dept, Seoul 04522, South Korea</t>
  </si>
  <si>
    <t>Kyungpook National University</t>
  </si>
  <si>
    <t>Kim, J (corresponding author), Kyungpook Natl Univ, Dept Comp Sci &amp; Engn, Daegu 41566, South Korea.</t>
  </si>
  <si>
    <t>jhk@knu.ac.kr</t>
  </si>
  <si>
    <t>Rakhmonov, Akhrorjon Akhmadjon Ugli/0009-0002-0392-0307; subramanian, barathi/0000-0002-9009-7998</t>
  </si>
  <si>
    <t>Basic Science Research Program through the National Research Foundation of Korea (NRF) - Ministry of Education [2021R1I1A3043970]; BK21 FOUR Project (AI-Driven Convergence Software Education Research Program) - Ministry of Education, School of Computer Science and Engineering, Kyungpook National University, South Korea [4199990214394]</t>
  </si>
  <si>
    <t>Basic Science Research Program through the National Research Foundation of Korea (NRF) - Ministry of Education(National Research Foundation of KoreaMinistry of Education (MOE), Republic of KoreaNational Research Council for Economics, Humanities &amp; Social Sciences, Republic of Korea); BK21 FOUR Project (AI-Driven Convergence Software Education Research Program) - Ministry of Education, School of Computer Science and Engineering, Kyungpook National University, South Korea(Ministry of Education (MOE), Republic of Korea)</t>
  </si>
  <si>
    <t>This work was supported in part by the Basic Science Research Program through the National Research Foundation of Korea (NRF) funded by the Ministry of Education under Grant 2021R1I1A3043970; and in part by the BK21 FOUR Project (AI-Driven Convergence Software Education Research Program) funded by the Ministry of Education, School of Computer Science and Engineering, Kyungpook National University, South Korea, under Grant 4199990214394.</t>
  </si>
  <si>
    <t>10.1109/ACCESS.2023.3293108</t>
  </si>
  <si>
    <t>M5JD2</t>
  </si>
  <si>
    <t>WOS:001030568800001</t>
  </si>
  <si>
    <t>Wang, W; Zhang, MW; Wu, ZW; Chen, QX; Li, Y</t>
  </si>
  <si>
    <t>Wang, Wei; Zhang, Mingwei; Wu, Ziwen; Chen, Qianxi; Li, Yue</t>
  </si>
  <si>
    <t>MDFD: STUDY OF DISTRIBUTED NON-IID SCENARIOS AND FRECHET DISTANCE-BASED EVALUATION</t>
  </si>
  <si>
    <t>Machine learning; federal learning; non-IID; generative adversarial network</t>
  </si>
  <si>
    <t>With the development of distributed machine learning and federated learning, the solution to the data island problem is promoted. People use computer clusters to train machine learning models on data distributed in different regions. In the early stage of research, researchers usually assume that the data sets of each node are independent identically distribution (IID), but this is a strong assumption, which is challenging to meet in practical applications. Therefore, research on non-IID has become a hot spot in recent years. However, there is no uniform standard for designing and evaluating non-IID scenarios. This paper proposes a Frechet distance-independent non-IID distribution dataset metric MDFD. And we conducted experiments on different types of distributed machine-learning methods in different non-IID scenarios to verify the effectiveness of MDFD.</t>
  </si>
  <si>
    <t>[Li, Yue] Nankai Univ, Trusted AI Lab Coll Comp Sci, Coll Comp Sci, Tianjin, Peoples R China; Tianjin Key Lab Network &amp; Data Secur Technol, Tianjin, Peoples R China</t>
  </si>
  <si>
    <t>Li, Y (corresponding author), Nankai Univ, Trusted AI Lab Coll Comp Sci, Coll Comp Sci, Tianjin, Peoples R China.</t>
  </si>
  <si>
    <t>Beijing Nova Program of Science and Technology [Z191100001119129]; Qian Xuesen Laboratory of Space Technology, CAST [GZZKFJJ2020002]</t>
  </si>
  <si>
    <t>This work was supported by the Beijing Nova Program of Science and Technology under Grant Z191100001119129, and Qian Xuesen Laboratory of Space Technology, CAST (GZZKFJJ2020002).</t>
  </si>
  <si>
    <t>10.1109/ICIP49359.2023.10222893</t>
  </si>
  <si>
    <t>WOS:001106821002078</t>
  </si>
  <si>
    <t>Díaz, D; Boj, C</t>
  </si>
  <si>
    <t>Diaz, Diego; Boj, Clara</t>
  </si>
  <si>
    <t>A critical approach to Machine Learning forecast capabilities: creating a predictive biography in the age of the Internet of Behaviour (IoB)</t>
  </si>
  <si>
    <t>prediction; Artificial Intelligence; new media art; Internet of Behaviour; Datacene; Big Data</t>
  </si>
  <si>
    <t>DIGITAL TRACES</t>
  </si>
  <si>
    <t>Based on the notion of the Datacene, understood as the time when data directly affects the social, cultural, economic, political, and even affective structures of the present, in this article we propose how Big Data and Artificial Intelligence give rise to the Internet of Behaviour: a new technological paradigm that has incredible potential to forecast and induce human behaviour. Since ancient times, humans have wanted to predict and alter the future, but in the last ten years, this wish has begun to become a reality due to great advances in the field of social engineering, raising serious doubts regarding social control and the loss of freedom. In this context of analysis, we present two projects developed within the framework of Art, Science, Technology and Society. Data Biography shows the enormous number of digital traces that we generate daily and uses them to compose a person's biography, composed of 365 printed books. Machine Biography, for its part, investigates how current artificial intelligence techniques can predict and induce future human behaviour, for which we have used various forecast and generative models trained with data from our own digital activity, in order to generate another set of books with our foreseeable activity for the year 2050. Both projects invite us to consider from a critical perspective the present and future of the social transformations produced by Big Data and AI.</t>
  </si>
  <si>
    <t>[Diaz, Diego] Univ Jaume 1, Castellon De La Plana, Spain; [Boj, Clara] Univ Politecn Valencia UPV, Valencia, Spain</t>
  </si>
  <si>
    <t>Universitat Jaume I; Universitat Politecnica de Valencia</t>
  </si>
  <si>
    <t>Díaz, D (corresponding author), Univ Jaume 1, Castellon De La Plana, Spain.</t>
  </si>
  <si>
    <t>daz@uji.es; claboto@esc.upv.es</t>
  </si>
  <si>
    <t>10.7238/artnodes.v0i31.45249</t>
  </si>
  <si>
    <t>9R2GL</t>
  </si>
  <si>
    <t>WOS:000945472100001</t>
  </si>
  <si>
    <t>Tu, PT; Yang, ZY; Hartley, R; Xu, ZW; Zhang, J; Fu, YW; Campbell, D; Singh, J; Wang, TY</t>
  </si>
  <si>
    <t>Tu, Peter; Yang, Zhaoyuan; Hartley, Richard; Xu, Zhiwei; Zhang, Jing; Fu, Yiwei; Campbell, Dylan; Singh, Jaskirat; Wang, Tianyu</t>
  </si>
  <si>
    <t>Probabilistic and semantic descriptions of image manifolds and their applications</t>
  </si>
  <si>
    <t>FRONTIERS IN COMPUTER SCIENCE</t>
  </si>
  <si>
    <t>image manifold; normalizing flow; diffusion model; likelihood estimation; semantic disentanglement; adversarial attacks and defenses</t>
  </si>
  <si>
    <t>This paper begins with a description of methods for estimating probability density functions for images that reflects the observation that such data is usually constrained to lie in restricted regions of the high-dimensional image space-not every pattern of pixels is an image. It is common to say that images lie on a lower-dimensional manifold in the high-dimensional space. However, although images may lie on such lower-dimensional manifolds, it is not the case that all points on the manifold have an equal probability of being images. Images are unevenly distributed on the manifold, and our task is to devise ways to model this distribution as a probability distribution. In pursuing this goal, we consider generative models that are popular in AI and computer vision community. For our purposes, generative/probabilistic models should have the properties of (1) sample generation: it should be possible to sample from this distribution according to the modeled density function, and (2) probability computation: given a previously unseen sample from the dataset of interest, one should be able to compute the probability of the sample, at least up to a normalizing constant. To this end, we investigate the use of methods such as normalizing flow and diffusion models. We then show how semantic interpretations are used to describe points on the manifold. To achieve this, we consider an emergent language framework that makes use of variational encoders to produce a disentangled representation of points that reside on a given manifold. Trajectories between points on a manifold can then be described in terms of evolving semantic descriptions. In addition to describing the manifold in terms of density and semantic disentanglement, we also show that such probabilistic descriptions (bounded) can be used to improve semantic consistency by constructing defenses against adversarial attacks. We evaluate our methods on CelebA and point samples for likelihood estimation with improved semantic robustness and out-of-distribution detection capability, MNIST and CelebA for semantic disentanglement with explainable and editable semantic interpolation, and CelebA and Fashion-MNIST to defend against patch attacks with significantly improved classification accuracy. We also discuss the limitations of applying our likelihood estimation to 2D images in diffusion models.</t>
  </si>
  <si>
    <t>[Tu, Peter; Yang, Zhaoyuan; Fu, Yiwei] Gen Elect Res, Comp Vis &amp; Machine Learning Lab, Niskayuna, NY 12309 USA; [Hartley, Richard; Xu, Zhiwei; Zhang, Jing; Campbell, Dylan; Singh, Jaskirat; Wang, Tianyu] Australian Natl Univ, Coll Engn Comp &amp; Cybernet, Sch Comp, Canberra, ACT, Australia</t>
  </si>
  <si>
    <t>General Electric; Australian National University</t>
  </si>
  <si>
    <t>Tu, PT (corresponding author), Gen Elect Res, Comp Vis &amp; Machine Learning Lab, Niskayuna, NY 12309 USA.</t>
  </si>
  <si>
    <t>tu@ge.com</t>
  </si>
  <si>
    <t>This work was supported by the DARPA geometries of learning (GoL) project under the grant agreement number HR00112290075. [HR00112290075]; DARPA geometries of learning (GoL)</t>
  </si>
  <si>
    <t>This work was supported by the DARPA geometries of learning (GoL) project under the grant agreement number HR00112290075.; DARPA geometries of learning (GoL)</t>
  </si>
  <si>
    <t>We thank Amir Rahimi for his contribution to the code and discussion of the normalizing flow models.r This work was supported by the DARPA geometries of learning (GoL) project under the grant agreement number HR00112290075.</t>
  </si>
  <si>
    <t>2624-9898</t>
  </si>
  <si>
    <t>FRONT COMP SCI-SWITZ</t>
  </si>
  <si>
    <t>Front. Comput. Sci.-Switz</t>
  </si>
  <si>
    <t>10.3389/fcomp.2023.1253682</t>
  </si>
  <si>
    <t>Y0YI2</t>
  </si>
  <si>
    <t>WOS:001102606400001</t>
  </si>
  <si>
    <t>Shaikh, AAS; Bhargavi, MS; Kumar, CP</t>
  </si>
  <si>
    <t>Shaikh, Abdullah Abdul Sattar; Bhargavi, M. S.; Kumar, C. Pavan</t>
  </si>
  <si>
    <t>Weighted aggregation through probability based ranking: An optimized federated learning architecture to classify respiratory diseases</t>
  </si>
  <si>
    <t>Respiratory disease classification; Federated learning; GANs</t>
  </si>
  <si>
    <t>Background and Objective Respiratory Diseases are one of the leading chronic illnesses in the world according to the reports by World Health Organization. Diagnosing these respiratory diseases is done through auscultation where a medical professional listens to sounds of air in the lungs for anomalies through a stethoscope. This method necessitates extensive experience and can also be misinterpreted by the medical professional. To address this issue, we introduce an AI-based solution that listens to the lung sounds and classifies the respiratory disease detected. Since the research work deals with medical data that is tightly under wraps due to privacy concerns in the medical field, we introduce a Deep learning solution to classify the diseases and a custom Federated learning (FL) approach to further improve the accuracy of the deep learning model and simultaneously maintain data privacy. Federated Learning architecture maintains data privacy and facilitates a distributed learning system for medical infrastructures.MethodsThe approach utilizes Generative Adversarial Networks (GAN) based Federated learning approach to ensure data privacy. Generative Adversarial Networks generate new data by synthesizing new lung sounds. This new synthesized data is then converted to spectrograms and trained on a neural network to classify four lung diseases, Heart Attack and Normal breathing patterns. Furthermore, to address performance loss during FL, we also propose a new Weighted Aggregation through Probability-based Ranking (FedWAPR) algorithm for optimizing the FL aggregation process. The FedWAPR aggregation takes inspiration from exponential distribution function and ranks better performing clients according to it. Results and Conclusion A test accuracy of about 92% was achieved by the trained model while classifying various respiratory diseases and heart failure. Additionally, we developed a novel FedWAPR approach that significantly outperformed the FedAVG approach for the FL aggregate function.A patient can be checked for respiratory diseases using this improved learning approach without the need for extensive sensitive data recording or for making sure the data sample obtained is secure. In a decentralized training runtime, the trained model successfully classifies various respiratory diseases and heart failure using lung sounds with a test accuracy on par with a centralized model.</t>
  </si>
  <si>
    <t>[Shaikh, Abdullah Abdul Sattar; Bhargavi, M. S.] Bangalore Inst Technol, Dept Comp Sci &amp; Engn, Bangalore 560004, Karnataka, India; [Kumar, C. Pavan] Indian Inst Informat Technol Dharwad, Dept Comp Sci &amp; Engn, Dharwad 580009, Karnataka, India</t>
  </si>
  <si>
    <t>Bangalore Institute of Technology</t>
  </si>
  <si>
    <t>Kumar, CP (corresponding author), Indian Inst Informat Technol Dharwad, Dept Comp Sci &amp; Engn, Dharwad 580009, Karnataka, India.</t>
  </si>
  <si>
    <t>abdullahshaikh136@gmail.com; ms.bhargavi@gmail.com; pavan@iiitdwd.ac.in</t>
  </si>
  <si>
    <t>Bhargavi, Dr. M S/AAB-5183-2020; Kumar C, Pavan/E-3491-2019</t>
  </si>
  <si>
    <t>Bhargavi, Dr. M S/0000-0002-6576-6555; Shaikh, Abdullah Abdul/0009-0006-6894-8385; Kumar C, Pavan/0000-0002-4907-5412</t>
  </si>
  <si>
    <t>10.1016/j.cmpb.2023.107821</t>
  </si>
  <si>
    <t>X3FT9</t>
  </si>
  <si>
    <t>WOS:001097351900001</t>
  </si>
  <si>
    <t>Shamshad, F; Srivatsan, K; Nandakumar, K</t>
  </si>
  <si>
    <t>Shamshad, Fahad; Srivatsan, Koushik; Nandakumar, Karthik</t>
  </si>
  <si>
    <t>Evading Forensic Classifiers with Attribute-Conditioned Adversarial Faces</t>
  </si>
  <si>
    <t>The ability of generative models to produce highly realistic synthetic face images has raised security and ethical concerns. As a first line of defense against such fake faces, deep learning based forensic classifiers have been developed. While these forensic models can detect whether a face image is synthetic or real with high accuracy, they are also vulnerable to adversarial attacks. Although such attacks can be highly successful in evading detection by forensic classifiers, they introduce visible noise patterns that are detectable through careful human scrutiny. Additionally, these attacks assume access to the target model(s) which may not always be true. Attempts have been made to directly perturb the latent space of GANs to produce adversarial fake faces that can circumvent forensic classifiers. In this work, we go one step further and show that it is possible to successfully generate adversarial fake faces with a specified set of attributes (e.g., hair color, eye size, race, gender, etc.). To achieve this goal, we leverage the state-of-the-art generative model StyleGAN with disentangled representations, which enables a range of modifications without leaving the manifold of natural images. We propose a framework to search for adversarial latent codes within the feature space of StyleGAN, where the search can be guided either by a text prompt or a reference image. We also propose a meta-learning based optimization strategy to achieve transferable performance on unknown target models. Extensive experiments demonstrate that the proposed approach can produce semantically manipulated adversarial fake faces, which are true to the specified attribute set and can successfully fool forensic face classifiers, while remaining undetectable by humans. Code: https://github.com/koushiksrivats/face_attribute_attack.</t>
  </si>
  <si>
    <t>[Shamshad, Fahad; Srivatsan, Koushik; Nandakumar, Karthik] Mohamed Bin Zayed Univ AI, Abu Dhabi, U Arab Emirates</t>
  </si>
  <si>
    <t>fahad.shamshad@mbzuai.ac.ae; koushik.srivatsan@mbzuai.ac.ae; karthik.nandakumar@mbzuai.ac.ae</t>
  </si>
  <si>
    <t>10.1109/CVPR52729.2023.01580</t>
  </si>
  <si>
    <t>WOS:001062531300045</t>
  </si>
  <si>
    <t>Kim, S; Choe, M; Yoo, J; Shin, K</t>
  </si>
  <si>
    <t>Kim, Sunwoo; Choe, Minyoung; Yoo, Jaemin; Shin, Kijung</t>
  </si>
  <si>
    <t>Reciprocity in directed hypergraphs: measures, findings, and generators</t>
  </si>
  <si>
    <t>DATA MINING AND KNOWLEDGE DISCOVERY</t>
  </si>
  <si>
    <t>Reciprocity; Directed hypergraph; Hypergraph generator; Graph mining</t>
  </si>
  <si>
    <t>ALGORITHMS; MOTIFS</t>
  </si>
  <si>
    <t>Group interactions are prevalent in a variety of areas. Many of them, including email exchanges, chemical reactions, and bitcoin transactions, are directional, and thus they are naturally modeled as directed hypergraphs, where each hyperarc consists of the set of source nodes and the set of destination nodes. For directed graphs, which are a special case of directed hypergraphs, reciprocity has played a key role as a fundamental graph statistic in revealing organizing principles of graphs and in solving graph learning tasks. For general directed hypergraphs, however, even no systematic measure of reciprocity has been developed. In this work, we investigate the reciprocity of 11 real-world hypergraphs. To this end, we first introduce eight axioms that any reasonable measure of reciprocity should satisfy. Second, we propose HyperRec, a family of principled measures of hypergraph reciprocity that satisfy all the axioms. Third, we develop FastHyperRec, a fast and exact algorithm for computing the measures. Fourth, using them, we examine 11 real-world hypergraphs and discover patterns that distinguish them from random hypergraphs. Lastly, we propose ReDi, an intuitive generative model for directed hypergraphs exhibiting the patterns.</t>
  </si>
  <si>
    <t>[Kim, Sunwoo; Choe, Minyoung; Shin, Kijung] Korea Adv Inst Sci &amp; Technol, Kim Jaechul Grad Sch AI, Seoul, South Korea; [Shin, Kijung] Korea Adv Inst Sci &amp; Technol, Sch Elect Engn, Daejeon, South Korea; [Yoo, Jaemin] Carnegie Mellon Univ, Heinz Coll Informat Syst &amp; Publ Policy, Pittsburgh, PA USA</t>
  </si>
  <si>
    <t>Korea Advanced Institute of Science &amp; Technology (KAIST); Korea Advanced Institute of Science &amp; Technology (KAIST); Carnegie Mellon University</t>
  </si>
  <si>
    <t>Shin, K (corresponding author), Korea Adv Inst Sci &amp; Technol, Kim Jaechul Grad Sch AI, Seoul, South Korea.;Shin, K (corresponding author), Korea Adv Inst Sci &amp; Technol, Sch Elect Engn, Daejeon, South Korea.</t>
  </si>
  <si>
    <t>kswoo97@kaist.ac.kr; minyoung.choe@kaist.ac.kr; jaeminyoo@cmu.edu; kijungs@kaist.ac.kr</t>
  </si>
  <si>
    <t>Yoo, Jaemin/ITV-0506-2023</t>
  </si>
  <si>
    <t>Yoo, Jaemin/0000-0001-7237-5117</t>
  </si>
  <si>
    <t>National Research Foundation of Korea (NRF) grant - Korea government (MSIT) [NRF-2020R1C1C1008296]; Institute of Information amp; Communications Technology Planning amp; Evaluation (IITP) grant - Korea government (MSIT) [2022-0-00871, 2019-0-00075]</t>
  </si>
  <si>
    <t>National Research Foundation of Korea (NRF) grant - Korea government (MSIT)(National Research Foundation of KoreaMinistry of Science &amp; ICT (MSIT), Republic of Korea); Institute of Information amp; Communications Technology Planning amp; Evaluation (IITP) grant - Korea government (MSIT)</t>
  </si>
  <si>
    <t>This work was supported by National Research Foundation of Korea (NRF) grant funded by the Korea government (MSIT) (No. NRF-2020R1C1C1008296) and Institute of Information &amp; Communications Technology Planning &amp; Evaluation (IITP) grant funded by the Korea government (MSIT) (No. 2022-0-00871, Development of AI Autonomy and Knowledge Enhancement for AI Agent Collaboration) (No. 2019-0-00075, Artificial Intelligence Graduate School Program (KAIST)).</t>
  </si>
  <si>
    <t>1384-5810</t>
  </si>
  <si>
    <t>1573-756X</t>
  </si>
  <si>
    <t>DATA MIN KNOWL DISC</t>
  </si>
  <si>
    <t>Data Min. Knowl. Discov.</t>
  </si>
  <si>
    <t>10.1007/s10618-023-00955-3</t>
  </si>
  <si>
    <t>U2YC6</t>
  </si>
  <si>
    <t>WOS:001044721800002</t>
  </si>
  <si>
    <t>Lotfollahi, M; Susmelj, AK; De Donno, C; Hetzel, L; Ji, YG; Ibarra, IL; Srivatsan, SR; Naghipourfar, M; Daza, RM; Martin, B; Shendure, J; McFaline-Figueroa, JL; Boyeau, P; Wolf, FA; Yakubova, N; Günnemann, S; Trapnell, C; Lopez-Paz, D; Theis, FJ</t>
  </si>
  <si>
    <t>Lotfollahi, Mohammad; Susmelj, Anna Klimovskaia; De Donno, Carlo; Hetzel, Leon; Ji, Yuge; Ibarra, Ignacio L.; Srivatsan, Sanjay R.; Naghipourfar, Mohsen; Daza, Riza M.; Martin, Beth; Shendure, Jay; McFaline-Figueroa, Jose L.; Boyeau, Pierre; Wolf, F. Alexander; Yakubova, Nafissa; Guennemann, Stephan; Trapnell, Cole; Lopez-Paz, David; Theis, Fabian J.</t>
  </si>
  <si>
    <t>Predicting cellular responses to complex perturbations in high-throughput screens</t>
  </si>
  <si>
    <t>MOLECULAR SYSTEMS BIOLOGY</t>
  </si>
  <si>
    <t>generative modeling; high-throughput screening; machine learning; perturbation prediction; single-cell transcriptomics</t>
  </si>
  <si>
    <t>SEQ; CANCER; MECHANISMS; THERAPY</t>
  </si>
  <si>
    <t>Recent advances in multiplexed single-cell transcriptomics experiments facilitate the high-throughput study of drug and genetic perturbations. However, an exhaustive exploration of the combinatorial perturbation space is experimentally unfeasible. Therefore, computational methods are needed to predict, interpret, and prioritize perturbations. Here, we present the compositional perturbation autoencoder (CPA), which combines the interpretability of linear models with the flexibility of deep-learning approaches for single-cell response modeling. CPA learns to in silico predict transcriptional perturbation response at the single-cell level for unseen dosages, cell types, time points, and species. Using newly generated single-cell drug combination data, we validate that CPA can predict unseen drug combinations while outperforming baseline models. Additionally, the architecture's modularity enables incorporating the chemical representation of the drugs, allowing the prediction of cellular response to completely unseen drugs. Furthermore, CPA is also applicable to genetic combinatorial screens. We demonstrate this by imputing in silico 5,329 missing combinations (97.6% of all possibilities) in a single-cell Perturb-seq experiment with diverse genetic interactions. We envision CPA will facilitate efficient experimental design and hypothesis generation by enabling in silico response prediction at the single-cell level and thus accelerate therapeutic applications using single-cell technologies.</t>
  </si>
  <si>
    <t>[Lotfollahi, Mohammad; De Donno, Carlo; Hetzel, Leon; Ibarra, Ignacio L.; Wolf, F. Alexander; Theis, Fabian J.] German Res Ctr Environm Hlth, Helmholtz Ctr Munich, Inst Computat Biol, Munich, Germany; [Lotfollahi, Mohammad; Lopez-Paz, David; Theis, Fabian J.] Wellcome Trust Sanger Inst, Wellcome Genome Campus, Hinxton, Cambs, England; [Susmelj, Anna Klimovskaia; Yakubova, Nafissa] Meta AI, Paris, France; [Susmelj, Anna Klimovskaia] Swiss Data Sci Ctr, Zurich, Switzerland; [De Donno, Carlo; Ji, Yuge; Theis, Fabian J.] Tech Univ Munich, Sch Life Sci Weihenstephan, Munich, Germany; [Hetzel, Leon; Theis, Fabian J.] Tech Univ Munich, Dept Math, Munich, Germany; [Daza, Riza M.; Martin, Beth; Shendure, Jay; Trapnell, Cole] Univ Washington, Dept Genome Sci, Seattle, WA USA; [Naghipourfar, Mohsen] Univ Calif Berkeley, Dept Bioengn, Berkeley, CA USA; [Shendure, Jay] Howard Hughes Med Inst, Seattle, WA USA; [Shendure, Jay; Trapnell, Cole] Brotman Baty Inst Precis Med, Seattle, WA USA; [Shendure, Jay; Trapnell, Cole] Allen Discovery Ctr Cell Lineage Tracing, Seattle, WA USA; [McFaline-Figueroa, Jose L.] Columbia Univ, Dept Biomed Engn, New York, NY USA; [Boyeau, Pierre] Univ Calif Berkeley, Dept Elect Engn &amp; Comp Sci, Berkeley, CA USA; [Guennemann, Stephan] Tech Univ Munich, Dept Comp Sci, Munich, Germany; [Wolf, F. Alexander] Lamin Labs, Munich, Germany</t>
  </si>
  <si>
    <t>Helmholtz Association; Helmholtz-Center Munich - German Research Center for Environmental Health; Wellcome Trust Sanger Institute; Technical University of Munich; Technical University of Munich; University of Washington; University of Washington Seattle; University of California System; University of California Berkeley; Howard Hughes Medical Institute; Columbia University; University of California System; University of California Berkeley; Technical University of Munich</t>
  </si>
  <si>
    <t>Theis, FJ (corresponding author), German Res Ctr Environm Hlth, Helmholtz Ctr Munich, Inst Computat Biol, Munich, Germany.;Theis, FJ (corresponding author), Wellcome Trust Sanger Inst, Wellcome Genome Campus, Hinxton, Cambs, England.;Theis, FJ (corresponding author), Tech Univ Munich, Sch Life Sci Weihenstephan, Munich, Germany.;Theis, FJ (corresponding author), Tech Univ Munich, Dept Math, Munich, Germany.</t>
  </si>
  <si>
    <t>fabian.theis@helmholtz-munich.de</t>
  </si>
  <si>
    <t>Theis, Fabian J/ABD-5212-2021; Shendure, Jay/AAU-3684-2021</t>
  </si>
  <si>
    <t>Theis, Fabian J/0000-0002-2419-1943; Susmelj, Anna/0000-0002-1057-6690; Ibarra, Ignacio/0000-0002-0582-002X; De Donno, Carlo/0000-0002-9553-0121; Hetzel, Leon/0000-0002-4823-9729; Daza, Riza/0000-0003-1635-8675</t>
  </si>
  <si>
    <t>BMBF [L031L0214A, 01IS18036A, 01IS18053A]; Helmholtz Association [ZT-I-0007]; Chan Zuckerberg Initiative DAF (advised fund of Silicon Valley Community Foundation) [2018-182835, 2019-207271]; Helmholtz Association's Initiative and Networking Fund through Helmholtz AI [ZT-I-PF-5-01]; European Union [874656]; Projekt DEAL</t>
  </si>
  <si>
    <t>BMBF(Federal Ministry of Education &amp; Research (BMBF)); Helmholtz Association(Helmholtz Association); Chan Zuckerberg Initiative DAF (advised fund of Silicon Valley Community Foundation)(Chan Zuckerberg Initiative (CZI)); Helmholtz Association's Initiative and Networking Fund through Helmholtz AI; European Union(European Union (EU)); Projekt DEAL</t>
  </si>
  <si>
    <t>ML and FJT are grateful for valuable feedback from Aviv Regev and Dana Pe'er. We appreciate support from all members of Theis lab, FJT acknowledges support by the BMBF (grant number L031L0214A, grant number 01IS18036A, and grant number 01IS18053A), by the Helmholtz Association (Incubator grant sparse2big, grant number ZT-I-0007) and by the Chan Zuckerberg Initiative DAF (advised fund of Silicon Valley Community Foundation, 2018-182835 and 2019-207271). This work was further supported by Helmholtz Association's Initiative and Networking Fund through Helmholtz AI [grant number ZT-I-PF-5-01]. ILI has received funding from the European Union's Horizon 2020 research and innovation program under grant agreement No 874656. Open Access funding enabled and organized by Projekt DEAL.</t>
  </si>
  <si>
    <t>1744-4292</t>
  </si>
  <si>
    <t>MOL SYST BIOL</t>
  </si>
  <si>
    <t>Mol. Syst. Biol.</t>
  </si>
  <si>
    <t>10.15252/msb.202211517</t>
  </si>
  <si>
    <t>J3XO2</t>
  </si>
  <si>
    <t>WOS:000982786500001</t>
  </si>
  <si>
    <t>Lund, BD; Wang, T; Mannuru, NR; Nie, B; Shimray, S; Wang, Z</t>
  </si>
  <si>
    <t>Lund, Brady D.; Wang, Ting; Mannuru, Nishith Reddy; Nie, Bing; Shimray, Somipam; Wang, Ziang</t>
  </si>
  <si>
    <t>ChatGPT and a new academic reality: Artificial Intelligence-written research papers and the ethics of the large language models in scholarly publishing</t>
  </si>
  <si>
    <t>JOURNAL OF THE ASSOCIATION FOR INFORMATION SCIENCE AND TECHNOLOGY</t>
  </si>
  <si>
    <t>AI; COMMUNICATION; CONSTRUCTION; PLAGIARISM; CITATION</t>
  </si>
  <si>
    <t>This article discusses OpenAI's ChatGPT, a generative pre-trained transformer, which uses natural language processing to fulfill text-based user requests (i.e., a chatbot ). The history and principles behind ChatGPT and similar models are discussed. This technology is then discussed in relation to its potential impact on academia and scholarly research and publishing. ChatGPT is seen as a potential model for the automated preparation of essays and other types of scholarly manuscripts. Potential ethical issues that could arise with the emergence of large language models like GPT-3, the underlying technology behind ChatGPT, and its usage by academics and researchers, are discussed and situated within the context of broader advancements in artificial intelligence, machine learning, and natural language processing for research and scholarly publishing.</t>
  </si>
  <si>
    <t>[Lund, Brady D.; Mannuru, Nishith Reddy] Univ North Texas, Dept Informat Sci, Denton, TX 76203 USA; [Wang, Ting] Emporia State Univ, Sch Lib &amp; Informat Management, Emporia, KS USA; [Nie, Bing] Zhejiang Tongji Vocat Coll Sci &amp; Technol, Hangzhou, Peoples R China; [Shimray, Somipam] Babasaheb Bhimrao Ambedkar Univ, Dept Lib &amp; Informat Sci, Lucknow, India; [Wang, Ziang] Baker Univ, Sch Educ, Baldwin City, KS USA</t>
  </si>
  <si>
    <t>University of North Texas System; University of North Texas Denton; Babasaheb Bhimrao Ambedkar University; Baker University</t>
  </si>
  <si>
    <t>Lund, BD (corresponding author), Univ North Texas, Dept Informat Sci, Denton, TX 76203 USA.</t>
  </si>
  <si>
    <t>brady.lund@unt.edu</t>
  </si>
  <si>
    <t>Shimray, Dr. Somipam R/AAX-6632-2021; Shimray, Dr. Somipam R/GQB-4371-2022; Mannuru, Nishith Reddy/GRJ-1450-2022</t>
  </si>
  <si>
    <t>Shimray, Dr. Somipam R/0000-0001-7967-489X; Shimray, Dr. Somipam R/0000-0001-7967-489X; Mannuru, Nishith Reddy/0000-0002-6423-4899</t>
  </si>
  <si>
    <t>2330-1635</t>
  </si>
  <si>
    <t>2330-1643</t>
  </si>
  <si>
    <t>J ASSOC INF SCI TECH</t>
  </si>
  <si>
    <t>10.1002/asi.24750</t>
  </si>
  <si>
    <t>Computer Science, Information Systems; Information Science &amp; Library Science</t>
  </si>
  <si>
    <t>A8HN3</t>
  </si>
  <si>
    <t>WOS:000947863900001</t>
  </si>
  <si>
    <t>Zeydan, E; Blanco, L; Barrachina-Muñoz, S; Rezazadeh, F; Vettori, L; Mangues, J</t>
  </si>
  <si>
    <t>Zeydan, Engin; Blanco, Luis; Barrachina-Munoz, Sergio; Rezazadeh, Farhad; Vettori, Luca; Mangues, Josep</t>
  </si>
  <si>
    <t>A Marketplace Solution for Distributed Network Management and Orchestration of Slices</t>
  </si>
  <si>
    <t>business models; network slicing; network management; closed loop</t>
  </si>
  <si>
    <t>The H2020 Distributed management of Network Slices in beyond 5G (MonB5G) project aims to provide zero-touch management and orchestration to support network slicing at scale to reduce the management burden on mobile operators by leveraging distribution of operations along with advanced data-driven Artificial Intelligence (AI)-based mechanisms. However, while this approach shows promise and large companies with abundant data and ML expertise are developing powerful ML-driven services, a critical aspect that remains to be analyzed is its business case. The vast majority of potentially valuable ML services, such as predictive maintenance, Quality of Service (QoS) optimization, network security enhancements, remain stuck at the idea or prototype stage. This paper delves into an analysis of how the MonB5G solutions in particular the tuples (Monitoring System (MS), Analytics Engine (AE), Decision Engine (DE) and Actuator (ACT) could be applied within the network management and orchestration market while investigating various business models and value chains. Numerical results based on experimental data have also been performed to evaluate the OpEX (Operational Expenditure) benefits associated with different network management techniques, for centralized and distributed systems.</t>
  </si>
  <si>
    <t>[Zeydan, Engin; Blanco, Luis; Barrachina-Munoz, Sergio; Rezazadeh, Farhad; Vettori, Luca; Mangues, Josep] Ctr Tecnol Telecomun Catalunya CTTC, Barcelona 08860, Spain</t>
  </si>
  <si>
    <t>Centre Tecnologic Telecomunicacions Catalunya (CTTC)</t>
  </si>
  <si>
    <t>Zeydan, E (corresponding author), Ctr Tecnol Telecomun Catalunya CTTC, Barcelona 08860, Spain.</t>
  </si>
  <si>
    <t>engin.zeydan@cttc.cat; luis.blanco@cttc.cat; sbarrachina@cttc.cat; farhad.rezazadeh@cttc.cat; luca.vettori@cttc.cat; josep.mangues@cttc.cat</t>
  </si>
  <si>
    <t>Rezazadeh, Farhad/AAH-5623-2021</t>
  </si>
  <si>
    <t>Rezazadeh, Farhad/0000-0001-8992-8152</t>
  </si>
  <si>
    <t>H2020 MonB5G project [871780]; ERDF A way of making Europe project [PID2021-126431OB-I00]; Spanish MINECO -Program UNICO I+D - MCIN/AEI [PID2021-126431OB-I00, TSI-063000-2021-54, TSI-063000-2021-55]</t>
  </si>
  <si>
    <t>H2020 MonB5G project; ERDF A way of making Europe project; Spanish MINECO -Program UNICO I+D - MCIN/AEI</t>
  </si>
  <si>
    <t>This work was partially funded by H2020 MonB5G project (grant agreement no. 871780), ERDF A way of making Europe project PID2021-126431OB-I00 and Spanish MINECO -Program UNICO I+D (grants TSI-063000-2021-54 and -55) Grant PID2021-126431OB-I00 funded by MCIN/AEI/10.13039/501100011033.</t>
  </si>
  <si>
    <t>WOS:001117985100026</t>
  </si>
  <si>
    <t>Mallio, CA; Sertorio, AC; Bernetti, C; Zobel, BB</t>
  </si>
  <si>
    <t>Mallio, Carlo A.; Sertorio, Andrea C.; Bernetti, Caterina; Beomonte Zobel, Bruno</t>
  </si>
  <si>
    <t>Large language models for structured reporting in radiology: performance of GPT-4, ChatGPT-3.5, Perplexity and Bing</t>
  </si>
  <si>
    <t>RADIOLOGIA MEDICA</t>
  </si>
  <si>
    <t>Artificial intelligence (AI); Large language models (LLMs); Generative pre-trained transformer (GPT)-based models; GPT-4; Structured report; Computed tomography (CT)</t>
  </si>
  <si>
    <t>Structured reporting may improve the radiological workflow and communication among physicians. Artificial intelligence applications in medicine are growing fast. Large language models (LLMs) are recently gaining importance as valuable tools in radiology and are currently being tested for the critical task of structured reporting. We compared four LLMs models in terms of knowledge on structured reporting and templates proposal. LLMs hold a great potential for generating structured reports in radiology but additional formal validations are needed on this topic.</t>
  </si>
  <si>
    <t>[Mallio, Carlo A.; Sertorio, Andrea C.; Bernetti, Caterina; Beomonte Zobel, Bruno] Univ Campus Biomed Roma, Fdn Policlin Univ Campus Biomed, Dept Med &amp; Surg, Res Unit Radiol, Via Alvaro Portillo 200, I-00128 Rome, Italy</t>
  </si>
  <si>
    <t>Fondazione Policlinico Universitario Campus Bio-Medico; University Campus Bio-Medico - Rome Italy</t>
  </si>
  <si>
    <t>Mallio, CA (corresponding author), Univ Campus Biomed Roma, Fdn Policlin Univ Campus Biomed, Dept Med &amp; Surg, Res Unit Radiol, Via Alvaro Portillo 200, I-00128 Rome, Italy.</t>
  </si>
  <si>
    <t>c.mallio@policlinicocampus.it</t>
  </si>
  <si>
    <t>Mallio, Carlo A./AAH-9988-2019</t>
  </si>
  <si>
    <t>Mallio, Carlo A./0000-0002-0149-0801</t>
  </si>
  <si>
    <t>SPRINGER-VERLAG ITALIA SRL</t>
  </si>
  <si>
    <t>MILAN</t>
  </si>
  <si>
    <t>VIA DECEMBRIO, 28, MILAN, 20137, ITALY</t>
  </si>
  <si>
    <t>0033-8362</t>
  </si>
  <si>
    <t>1826-6983</t>
  </si>
  <si>
    <t>RADIOL MED</t>
  </si>
  <si>
    <t>Radiol. Med.</t>
  </si>
  <si>
    <t>10.1007/s11547-023-01651-4</t>
  </si>
  <si>
    <t>K5WA9</t>
  </si>
  <si>
    <t>WOS:000996937300001</t>
  </si>
  <si>
    <t>Li, S; Sung, YS</t>
  </si>
  <si>
    <t>Li, Shuyu; Sung, Yunsick</t>
  </si>
  <si>
    <t>MelodyDiffusion: Chord-Conditioned Melody Generation Using a Transformer-Based Diffusion Model</t>
  </si>
  <si>
    <t>melody generation; conditional generation; diffusion model; transformer</t>
  </si>
  <si>
    <t>Artificial intelligence, particularly machine learning, has begun to permeate various real-world applications and is continually being explored in automatic music generation. The approaches to music generation can be broadly divided into two categories: rule-based and data-driven methods. Rule-based approaches rely on substantial prior knowledge and may struggle to handle large datasets, whereas data-driven approaches can solve these problems and have become increasingly popular. However, data-driven approaches still face challenges such as the difficulty of considering long-distance dependencies when handling discrete-sequence data and convergence during model training. Although the diffusion model has been introduced as a generative model to solve the convergence problem in generative adversarial networks, it has not yet been applied to discrete-sequence data. This paper proposes a transformer-based diffusion model known as MelodyDiffusion to handle discrete musical data and realize chord-conditioned melody generation. MelodyDiffusion replaces the U-nets used in traditional diffusion models with transformers to consider the long-distance dependencies using attention and parallel mechanisms. Moreover, a transformer-based encoder is designed to extract contextual information from chords as a condition to guide melody generation. MelodyDiffusion can automatically generate diverse melodies based on the provided chords in practical applications. The evaluation experiments, in which Hits@k was used as a metric to evaluate the restored melodies, demonstrate that the large-scale version of MelodyDiffusion achieves an accuracy of 72.41% (k = 1).</t>
  </si>
  <si>
    <t>[Li, Shuyu] Dongguk Univ Seoul, Grad Sch, Dept Multimedia Engn, Seoul 04620, South Korea; [Sung, Yunsick] Dongguk Univ Seoul, Div AI Software Convergence, Seoul 04620, South Korea</t>
  </si>
  <si>
    <t>Dongguk University; Dongguk University</t>
  </si>
  <si>
    <t>Sung, YS (corresponding author), Dongguk Univ Seoul, Div AI Software Convergence, Seoul 04620, South Korea.</t>
  </si>
  <si>
    <t>sung@dongguk.edu</t>
  </si>
  <si>
    <t>Sung, Yunsick/0000-0003-3732-5346</t>
  </si>
  <si>
    <t>Ministry of Education of the Republic of Korea; National Research Foundation of Korea [NRF-2021R1F1A1063466]</t>
  </si>
  <si>
    <t>Ministry of Education of the Republic of Korea(Ministry of Education (MOE), Republic of Korea); National Research Foundation of Korea(National Research Foundation of Korea)</t>
  </si>
  <si>
    <t>This work was supported by the Ministry of Education of the Republic of Korea and the National Research Foundation of Korea (NRF-2021R1F1A1063466).</t>
  </si>
  <si>
    <t>10.3390/math11081915</t>
  </si>
  <si>
    <t>E6EF8</t>
  </si>
  <si>
    <t>WOS:000976445800001</t>
  </si>
  <si>
    <t>Zhang, XC; Xiao, Z; Fu, XJ; Wei, XY; Liu, T; Yan, R; Qin, Z; Zhang, JJ</t>
  </si>
  <si>
    <t>Zhang, Xiaocai; Xiao, Zhe; Fu, Xiuju; Wei, Xiaoyang; Liu, Tao; Yan, Ran; Qin, Zheng; Zhang, Jianjia</t>
  </si>
  <si>
    <t>A Viewpoint Adaptation Ensemble Contrastive Learning framework for vessel type recognition with limited data</t>
  </si>
  <si>
    <t>Maritime transportation; Vessel type recognition; Viewpoint adaptation; Ensemble; Contrastive learning</t>
  </si>
  <si>
    <t>Unmanned Aerial Vehicle (UAV)-based systems are gaining increasing attention in the maritime industry, but one of their major challenges is accurately identifying vessel types from bird-view images captured by UAV. The use of computer vision and deep learning technologies in image recognition requires large amounts of annotated images for model training, but collecting and manually annotating these images is a costly and timeconsuming task. To overcome these challenges, we propose a novel Viewpoint Adaptation Ensemble Contrastive Learning (VAECL) framework. With the VAECL framework, first, an improved deep generative model (DGM) is constructed to learn the distribution of the limited vessel image data and to generate more images for data augmentation. Second, transfer learning using a pre-trained Inception V3 network is then presented for vessel viewpoint transfer and adaptation learning. Third, a contrastive learning paradigm is adopted by formulating a new loss function to obtain more contrastive feature representation via pre-training. Finally, an ensemble learning algorithm is highlighted to further improve the performance of vessel type recognition. Extensive experiments on a newly established dataset reveal the following encouraging findings: (1) VAECL can achieve a high accuracy of 92.96% with proper parameters; (2) DGM-based image augmentation improves the accuracy by at least 14.68%, and it performs better than the traditional data augmentation techniques; (3) viewpoint transfer learning surges the accuracy by as high as 18.50%; (4) contrastive learning increases performance by at least 2.79% in terms of accuracy; (5) ensemble learning enhances the accuracy by as high as 1.03%.</t>
  </si>
  <si>
    <t>[Zhang, Xiaocai; Xiao, Zhe; Fu, Xiuju; Wei, Xiaoyang; Qin, Zheng] ASTAR, Inst High Performance Comp, Singapore 138632, Singapore; [Liu, Tao] Shanghai Maritime Univ, Coll Transport &amp; Commun, Shanghai 201306, Peoples R China; [Yan, Ran] Nanyang Technol Univ, Sch Civil &amp; Environm Engn, Singapore 637551, Singapore; [Zhang, Jianjia] Sun Yat Sen Univ, Sch Biomed Engn, Shenzhen 518107, Peoples R China</t>
  </si>
  <si>
    <t>Agency for Science Technology &amp; Research (A*STAR); A*STAR - Institute of High Performance Computing (IHPC); Shanghai Maritime University; Nanyang Technological University; Sun Yat Sen University</t>
  </si>
  <si>
    <t>Xiao, Z (corresponding author), ASTAR, Inst High Performance Comp, Singapore 138632, Singapore.</t>
  </si>
  <si>
    <t>zhang_xiaocai@ihpc.a-star.edu.sg; zhang_xiaocai@ihpc.a-star.edu.sg; fuxj@ihpc.a-star.edu.sg; wei_xiaoyang@ihpc.a-star.edu.sg; liutao2@shumtu.edu.cn; wei_xiaoyang@ihpc.a-star.edu.sg; zhang_xiaocai@ihpc.a-star.edu.sg; zhangjj225@mail.sysu.edu.cn</t>
  </si>
  <si>
    <t>Yan, Ran/IQS-0711-2023</t>
  </si>
  <si>
    <t>Yan, Ran/0000-0002-3021-9543; FU, XIUJU/0000-0002-6673-1098; Zhang, Xiaocai/0000-0002-3783-6560; Zhang, Jianjia/0000-0001-5048-5606; Liu, Tao/0000-0002-1194-3253</t>
  </si>
  <si>
    <t>Maritime AI Research Programme (Singapore Maritime Institute) [SMI-2022-MTP-06]</t>
  </si>
  <si>
    <t>Maritime AI Research Programme (Singapore Maritime Institute)</t>
  </si>
  <si>
    <t>This work was supported in part by Maritime AI Research Programme (grant number SMI-2022-MTP-06 funded by Singapore Maritime Institute) .</t>
  </si>
  <si>
    <t>D</t>
  </si>
  <si>
    <t>10.1016/j.eswa.2023.122191</t>
  </si>
  <si>
    <t>X4FN2</t>
  </si>
  <si>
    <t>WOS:001098027700001</t>
  </si>
  <si>
    <t>Ferraro, S; van de Maele, T; Verbelen, T; Dhoedt, B</t>
  </si>
  <si>
    <t>Ferraro, Stefano; van de Maele, Toon; Verbelen, Tim; Dhoedt, Bart</t>
  </si>
  <si>
    <t>Symmetry and complexity in object-centric deep active inference models</t>
  </si>
  <si>
    <t>INTERFACE FOCUS</t>
  </si>
  <si>
    <t>active inference; representation learning; symmetries; deep learning</t>
  </si>
  <si>
    <t>Humans perceive and interact with hundreds of objects every day. In doing so, they need to employ mental models of these objects and often exploit symmetries in the object's shape and appearance in order to learn generalizable and transferable skills. Active inference is a first principles approach to understanding and modelling sentient agents. It states that agents entertain a generative model of their environment, and learn and act by minimizing an upper bound on their surprisal, i.e. their free energy. The free energy decomposes into an accuracy and complexity term, meaning that agents favour the least complex model that can accurately explain their sensory observations. In this paper, we investigate how inherent symmetries of particular objects also emerge as symmetries in the latent state space of the generative model learnt under deep active inference. In particular, we focus on object-centric representations, which are trained from pixels to predict novel object views as the agent moves its viewpoint. First, we investigate the relation between model complexity and symmetry exploitation in the state space. Second, we do a principal component analysis to demonstrate how the model encodes the principal axis of symmetry of the object in the latent space. Finally, we also demonstrate how more symmetrical representations can be exploited for better generalization in the context of manipulation.</t>
  </si>
  <si>
    <t>[Ferraro, Stefano; van de Maele, Toon; Verbelen, Tim; Dhoedt, Bart] Ghent Univ imec, Dept Informat Technol, IDLab, Ghent, Belgium</t>
  </si>
  <si>
    <t>Ferraro, S (corresponding author), Ghent Univ imec, Dept Informat Technol, IDLab, Ghent, Belgium.</t>
  </si>
  <si>
    <t>stefano.ferraro@ugent.be</t>
  </si>
  <si>
    <t>Ferraro, Stefano/0000-0001-8193-4240</t>
  </si>
  <si>
    <t>Flemish Government</t>
  </si>
  <si>
    <t>This research received funding from the Flemish Government(AI Research Program)</t>
  </si>
  <si>
    <t>2042-8898</t>
  </si>
  <si>
    <t>2042-8901</t>
  </si>
  <si>
    <t>Interface Focus</t>
  </si>
  <si>
    <t>APR 14</t>
  </si>
  <si>
    <t>10.1098/rsfs.2022.0077</t>
  </si>
  <si>
    <t>Biology</t>
  </si>
  <si>
    <t>Life Sciences &amp; Biomedicine - Other Topics</t>
  </si>
  <si>
    <t>D8BP8</t>
  </si>
  <si>
    <t>Green Published, Green Submitted</t>
  </si>
  <si>
    <t>WOS:000970929600012</t>
  </si>
  <si>
    <t>Zheng, Z; Zhang, ZJ</t>
  </si>
  <si>
    <t>Zheng, Zhong; Zhang, Zijun</t>
  </si>
  <si>
    <t>A Stochastic Recurrent Encoder Decoder Network for Multistep Probabilistic Wind Power Predictions</t>
  </si>
  <si>
    <t>Wind power generation; Stochastic processes; Random variables; Predictive models; Time series analysis; Wind speed; Probabilistic logic; Data-driven models; deep neural networks (DNNs); multistep probabilistic wind power prediction (MPWPP); stochastic recurrent network; time series analysis</t>
  </si>
  <si>
    <t>UNIT COMMITMENT; SPEED; GENERATION; FLUCTUATIONS; FORECASTS</t>
  </si>
  <si>
    <t>In this article, a stochastic recurrent encoder decoder neural network (SREDNN), which considers latent random variables in its recurrent structures, is developed for the first time for the generative multistep probabilistic wind power predictions (MPWPPs). The SREDNN enables the stochastic recurrent model under the encoder-decoder framework to engage exogenous covariates to produce better MPWPP. The SREDNN consists of five components, the prior network, the inference network, the generative network, the encoder recurrent network, and the decoder recurrent network. The SREDNN is equipped with two critical advantages compared with conventional RNN-based methods. First, the integration over the latent random variable builds an infinite Gaussian mixture model (IGMM) as the observation model, which drastically increases the expressiveness of the wind power distribution. Secondly, hidden states of the SREDNN are updated in a stochastic way, which builds an infinite mixture of the IGMM for describing the ultimate wind power distribution and enables the SREDNN to model complex patterns across wind speed and wind power sequences. Computational experiments are conducted on a dataset of a commercial wind farm having 25 wind turbines (WTs) and two publicly assessable WT datasets to verify the advantages and effectiveness of the SREDNN for MPWPP. Experimental results show that the SREDNN achieves a lower negative form of the continuously ranked probability score (CRPS* ) as well as a superior sharpness and comparable reliability of prediction intervals by comparing against considered benchmarking models. Results also show the clear benefit gained from considering latent random variables in SREDNN.</t>
  </si>
  <si>
    <t>[Zheng, Zhong] Dongguan Univ Technol, Sch Econ &amp; Management, Dongguan 523820, Peoples R China; [Zhang, Zijun] City Univ Hong Kong, Shenzhen Res Inst, Shenzhen 518057, Peoples R China; [Zhang, Zijun] City Univ Hong Kong, Sch Data Sci, Hong Kong, Peoples R China</t>
  </si>
  <si>
    <t>Dongguan University of Technology; City University of Hong Kong; Shenzhen Research Institute, City University of Hong Kong; City University of Hong Kong</t>
  </si>
  <si>
    <t>Zhang, ZJ (corresponding author), City Univ Hong Kong, Shenzhen Res Inst, Shenzhen 518057, Peoples R China.</t>
  </si>
  <si>
    <t>zijzhang@cityu.edu.hk</t>
  </si>
  <si>
    <t>Zhang, Zijun/AEP-6714-2022</t>
  </si>
  <si>
    <t>Zhang, Zijun/0000-0002-2717-5033; Zheng, Zhong/0000-0002-1741-0554</t>
  </si>
  <si>
    <t>National Natural Science Foundation of China Youth Scientist Fund [52007160]; Hong Kong Research Grants Council General Research Fund [11204419]; HKIDS Early Career Research [9360163]; CityU Strategic Research [7005537]; InnoHK Initiative, the Government of the HKSAR, and Laboratory for AI-Powered Financial Technologies</t>
  </si>
  <si>
    <t>National Natural Science Foundation of China Youth Scientist Fund; Hong Kong Research Grants Council General Research Fund(Hong Kong Research Grants Council); HKIDS Early Career Research; CityU Strategic Research(City University of Hong Kong); InnoHK Initiative, the Government of the HKSAR, and Laboratory for AI-Powered Financial Technologies</t>
  </si>
  <si>
    <t>This work was supported in part by the National Natural Science Foundation of China Youth Scientist Fund Project under Grant 52007160; in part by Hong Kong Research Grants Council General Research Fund Project under Grant 11204419; in part by HKIDS Early Career Research Grant 9360163; in part by CityU Strategic Research Grant under Project 7005537; and in part by InnoHK Initiative, the Government of the HKSAR, and Laboratory for AI-Powered Financial Technologies.</t>
  </si>
  <si>
    <t>2023 JAN 9</t>
  </si>
  <si>
    <t>10.1109/TNNLS.2023.3234130</t>
  </si>
  <si>
    <t>8C6QT</t>
  </si>
  <si>
    <t>WOS:000917731300001</t>
  </si>
  <si>
    <t>Bashkirova, D; Lezama, J; Sohn, K; Saenko, K; Essa, I</t>
  </si>
  <si>
    <t>Bashkirova, Dina; Lezama, Jose; Sohn, Kihyuk; Saenko, Kate; Essa, Irfan</t>
  </si>
  <si>
    <t>MaskSketch: Unpaired Structure-guided Masked Image Generation</t>
  </si>
  <si>
    <t>Recent conditional image generation methods produce images of remarkable diversity, fidelity and realism. However, the majority of these methods allow conditioning only on labels or text prompts, which limits their level of control over the generation result. In this paper, we introduce MaskSketch, an image generation method that allows spatial conditioning of the generation result using a guiding sketch as an extra conditioning signal during sampling. MaskSketch utilizes a pre-trained masked generative transformer, requiring no model training or paired supervision, and works with input sketches of different levels of abstraction. We show that intermediate self-attention maps of a masked generative transformer encode important structural information of the input image, such as scene layout and object shape, and we propose a novel sampling method based on this observation to enable structure-guided generation. Our results show that MaskSketch achieves high image realism and fidelity to the guiding structure. Evaluated on standard benchmark datasets, MaskSketch outperforms state-of-the-art methods for sketch-to-image translation, as well as unpaired image-to-image translation approaches. The code can be found on our project website: https://masksketch.github.io/</t>
  </si>
  <si>
    <t>[Bashkirova, Dina; Saenko, Kate] Boston Univ, Boston, MA 02215 USA; [Lezama, Jose; Sohn, Kihyuk; Essa, Irfan] Google Res, Mountain View, CA USA; [Saenko, Kate] MIT IBM Watson AI Lab, Cambridge, MA USA; [Essa, Irfan] Georgia Inst Technol, Atlanta, GA USA</t>
  </si>
  <si>
    <t>Boston University; Google Incorporated; University System of Georgia; Georgia Institute of Technology</t>
  </si>
  <si>
    <t>Bashkirova, D (corresponding author), Boston Univ, Boston, MA 02215 USA.</t>
  </si>
  <si>
    <t>10.1109/CVPR52729.2023.00187</t>
  </si>
  <si>
    <t>WOS:001058542602020</t>
  </si>
  <si>
    <t>Massey, PA; Montgomery, C; Zhang, AS</t>
  </si>
  <si>
    <t>Massey, Patrick A.; Montgomery, Carver; Zhang, Andrew S.</t>
  </si>
  <si>
    <t>Comparison of ChatGPT-3.5, ChatGPT-4, and Orthopaedic Resident Performance on Orthopaedic Assessment Examinations</t>
  </si>
  <si>
    <t>JOURNAL OF THE AMERICAN ACADEMY OF ORTHOPAEDIC SURGEONS</t>
  </si>
  <si>
    <t>Introduction: Artificial intelligence (AI) programs have the ability to answer complex queries including medical profession examination questions. The purpose of this study was to compare the performance of orthopaedic residents (ortho residents) against Chat Generative Pretrained Transformer (ChatGPT)-3.5 and GPT-4 on orthopaedic assessment examinations. A secondary objective was to perform a subgroup analysis comparing the performance of each group on questions that included image interpretation versus text-only questions.Methods: The ResStudy orthopaedic examination question bank was used as the primary source of questions. One hundred eighty questions and answer choices from nine different orthopaedic subspecialties were directly input into ChatGPT-3.5 and then GPT-4. ChatGPT did not have consistently available image interpretation, so no images were directly provided to either AI format. Answers were recorded as correct versus incorrect by the chatbot, and resident performance was recorded based on user data provided by ResStudy.Results: Overall, ChatGPT-3.5, GPT-4, and ortho residents scored 29.4%, 47.2%, and 74.2%, respectively. There was a difference among the three groups in testing success, with ortho residents scoring higher than ChatGPT-3.5 and GPT-4 ( P &lt; 0.001 and P &lt; 0.001). GPT-4 scored higher than ChatGPT-3.5 ( P = 0.002). A subgroup analysis was performed by dividing questions into question stems without images and question stems with images. ChatGPT-3.5 was more correct (37.8% vs. 22.4%, respectively, OR = 2.1, P = 0.033) and ChatGPT-4 was also more correct (61.0% vs. 35.7%, OR = 2.8, P &lt; 0.001), when comparing text-only questions versus questions with images. Residents were 72.6% versus 75.5% correct with text-only questions versus questions with images, with no significant difference ( P = 0.302).Conclusion: Orthopaedic residents were able to answer more questions accurately than ChatGPT-3.5 and GPT-4 on orthopaedic assessment examinations. GPT-4 is superior to ChatGPT-3.5 for answering orthopaedic resident assessment examination questions. Both ChatGPT-3.5 and GPT-4 performed better on text-only questions than questions with images. It is unlikely that GPT-4 or ChatGPT-3.5 would pass the American Board of Orthopaedic Surgery written examination.</t>
  </si>
  <si>
    <t>[Massey, Patrick A.; Montgomery, Carver; Zhang, Andrew S.] Louisiana State Univ, Dept Orthopaed Surg, Hlth Sci Ctr Shreveport, Shreveport, LA 71103 USA</t>
  </si>
  <si>
    <t>Louisiana State University System; Louisiana State University Health Sciences Center at Shreveport</t>
  </si>
  <si>
    <t>Massey, PA (corresponding author), Louisiana State Univ, Dept Orthopaed Surg, Hlth Sci Ctr Shreveport, Shreveport, LA 71103 USA.</t>
  </si>
  <si>
    <t>massey@lsuhs.edu; com001@lsuhs.edu; andrew.zhang@lsuhs.edu</t>
  </si>
  <si>
    <t>massey, patrick/KBC-4356-2024</t>
  </si>
  <si>
    <t>Zhang, Andrew/0000-0003-1799-8703</t>
  </si>
  <si>
    <t>1067-151X</t>
  </si>
  <si>
    <t>1940-5480</t>
  </si>
  <si>
    <t>J AM ACAD ORTHOP SUR</t>
  </si>
  <si>
    <t>J. Am. Acad. Orthop. Surg.</t>
  </si>
  <si>
    <t>10.5435/JAAOS-D-23-00396</t>
  </si>
  <si>
    <t>Y6KP2</t>
  </si>
  <si>
    <t>WOS:001106331200003</t>
  </si>
  <si>
    <t>Zin, MM; Nguyen, HT; Satoh, K; Sugawara, S; Nishino, F</t>
  </si>
  <si>
    <t>Zin, May Myo; Ha Thanh Nguyen; Satoh, Ken; Sugawara, Saku; Nishino, Fumihito</t>
  </si>
  <si>
    <t>Information Extraction from Lengthy Legal Contracts: Leveraging Query-Based Summarization and GPT-3.5</t>
  </si>
  <si>
    <t>Information extraction; text summarization; lengthy legal contracts; zero-resource; large language models; unsupervised approach</t>
  </si>
  <si>
    <t>In the legal domain, extracting information from contracts poses significant challenges, primarily due to the scarcity of annotated data. In such situations, leveraging large language models (LLMs), such as the Generative Pretrained Transformer (GPT) models, offers a promising solution. However, the inherent token limitations of these models can be a bottleneck for processing lengthy legal contracts. This paper presents an unsupervised two-step approach to address these challenges. First, we propose a query-based summarization model that extracts sentences pertinent to predefined queries, concisely representing lengthy contracts. This summarization ensures that the core information remains intact while simultaneously addressing the token limitation issue. Subsequently, the generated summary is fed to GPT-3.5 for precise information extraction. Our approach effectively overcomes the challenges of token limitations and zero resources, enabling efficient and scalable information extraction from legal contracts. We compare our results with those obtained from supervised models that have been fine-tuned on domain-specific annotated data. Experimental results demonstrate the remarkable effectiveness of our approach, as it achieves state-of-the-art performance without the need for domain-specific training data.</t>
  </si>
  <si>
    <t>[Zin, May Myo; Ha Thanh Nguyen; Satoh, Ken; Sugawara, Saku; Nishino, Fumihito] Natl Inst Informat, Tokyo, Japan</t>
  </si>
  <si>
    <t>Zin, MM (corresponding author), Natl Inst Informat, Tokyo, Japan.</t>
  </si>
  <si>
    <t>maymyozin@nii.ac.jp</t>
  </si>
  <si>
    <t>JSPS KAKENHI [22H00543]; JST, AIP Trilateral AI Research [JPMJCR20G4]</t>
  </si>
  <si>
    <t>JSPS KAKENHI(Ministry of Education, Culture, Sports, Science and Technology, Japan (MEXT)Japan Society for the Promotion of ScienceGrants-in-Aid for Scientific Research (KAKENHI)); JST, AIP Trilateral AI Research</t>
  </si>
  <si>
    <t>This work was supported by JSPS KAKENHI Grant Number 22H00543 and JST, AIP Trilateral AI Research, Grant Number JPMJCR20G4.</t>
  </si>
  <si>
    <t>10.3233/FAIA230963</t>
  </si>
  <si>
    <t>WOS:001175464100023</t>
  </si>
  <si>
    <t>Rizzo, MG; Cai, NT; Constantinescu, D</t>
  </si>
  <si>
    <t>Rizzo, Michael G.; Cai, Nathan; Constantinescu, David</t>
  </si>
  <si>
    <t>The performance of ChatGPT on orthopaedic in-service training exams: A comparative study of the GPT-3.5 turbo and GPT-4 models in orthopaedic education</t>
  </si>
  <si>
    <t>JOURNAL OF ORTHOPAEDICS</t>
  </si>
  <si>
    <t>Artificial intelligence; Resident education; Orthopaedics; Orthopaedic in-service training exams</t>
  </si>
  <si>
    <t>Introduction: The rapid advancement of artificial intelligence (AI), particularly the development of Large Lan-guage Models (LLMs) such as Generative Pretrained Transformers (GPTs), has revolutionized numerous fields. The purpose of this study is to investigate the application of LLMs within the realm of orthopaedic in training examinations.Methods: Questions from the 2020-2022 Orthopaedic In-Service Training Exams (OITEs) were given to OpenAI's GPT-3.5 Turbo and GPT-4 LLMs, using a zero-shot inference approach. Each model was given a multiple-choice question, without prior exposure to similar queries, and their generated responses were compared to the correct answer within each OITE. The models were evaluated on overall accuracy, performance on questions with and without media, and performance on first-and higher-order questions. Results: The GPT-4 model outperformed the GPT-3.5 Turbo model across all years and question categories (2022: 67.63% vs. 50.24%; 2021: 58.69% vs. 47.42%; 2020: 59.53% vs. 46.51%). Both models showcased better per-formance with questions devoid of associated media, with GPT-4 attaining accuracies of 68.80%, 65.14%, and 68.22% for 2022, 2021, and 2020, respectively. GPT-4 outscored GPT-3.5 Turbo on first-order questions across all years (2022: 63.83% vs. 38.30%; 2021: 57.45% vs. 50.00%; 2020: 65.74% vs. 53.70%). GPT-4 also outscored GPT-3.5 Turbo on higher-order questions across all years (2022: 68.75% vs. 53.75%; 2021: 59.66% vs. 45.38%; 2020: 53.27% vs. 39.25%).Discussion: GPT-4 showed improved performance compared to GPT-3.5 Turbo in all tested categories. The results reflect the potential and limitations of AI in orthopaedics. GPT-4's performance is comparable to a second-to-third-year resident and GPT-3.5 Turbo's performance is comparable to a first-year resident, suggesting the application of current LLMs can neither pass the OITE nor substitute orthopaedic training. This study sets a precedent for future endeavors integrating GPT models into orthopaedic education and underlines the necessity for specialized training of these models for specific medical domains.</t>
  </si>
  <si>
    <t>[Rizzo, Michael G.; Constantinescu, David] Univ Miami Hosp, Dept Orthopaed Surg, 1611 NW 12th Ave 303, Miami, FL 33136 USA; [Cai, Nathan] Univ Miami, Leonard M Miller Sch Med, Dept Educ, 1600 NW 10th Ave 1140, Miami, FL 33136 USA; [Cai, Nathan] Univ Miami, Miller Sch Med, 1600 NW 10th Ave 1140, Miami, FL 33136 USA</t>
  </si>
  <si>
    <t>University System of Ohio; Miami University; University of Miami; University of Miami</t>
  </si>
  <si>
    <t>Cai, NT (corresponding author), Univ Miami, Miller Sch Med, 1600 NW 10th Ave 1140, Miami, FL 33136 USA.</t>
  </si>
  <si>
    <t>nac157@miami.edu</t>
  </si>
  <si>
    <t>Constantinescu, David/0000-0002-1627-0078; Rizzo, Mike/0000-0003-3307-9328</t>
  </si>
  <si>
    <t>0972-978X</t>
  </si>
  <si>
    <t>J ORTHOP</t>
  </si>
  <si>
    <t>J. Orthop.</t>
  </si>
  <si>
    <t>10.1016/j.jor.2023.11.056</t>
  </si>
  <si>
    <t>EP4O6</t>
  </si>
  <si>
    <t>WOS:001140117900001</t>
  </si>
  <si>
    <t>Rismani, S; Shelby, R; Smart, A; Delos Santos, R; Moon, A; Rostamzadeh, N</t>
  </si>
  <si>
    <t>Rismani, Shalaleh; Shelby, Renee; Smart, Andrew; Delos Santos, Renelito; Moon, Ajung; Rostamzadeh, Negar</t>
  </si>
  <si>
    <t>Beyond the ML Model: Applying Safety Engineering Frameworks to Text-to-Image Development</t>
  </si>
  <si>
    <t>Safety engineering; T2I generative models; Responsible ML; Art</t>
  </si>
  <si>
    <t>Identifying potential social and ethical risks in emerging machine learning (ML) models and their applications remains challenging. In this work, we applied two well-established safety engineering frameworks (FMEA, STPA) to a case study involving text-to-image models at three stages of the ML product development pipeline: data processing, integration of a T2I model with other models, and use. Results of our analysis demonstrate the safety frameworks - both of which are not designed explicitly examine social and ethical risks - can uncover failure and hazards that pose social and ethical risks. We discovered a broad range of failures and hazards (i.e., functional, social, and ethical) by analyzing interactions (i.e., between different ML models in the product, between the ML product and user, and between development teams) and processes (i.e., preparation of training data or workflows for using an ML service/product). Our findings underscore the value and importance of examining beyond an ML model in examining social and ethical risks, especially when we have minimal information about an ML model.</t>
  </si>
  <si>
    <t>[Rismani, Shalaleh; Moon, Ajung] McGill Univ, Montreal, PQ, Canada; [Shelby, Renee; Smart, Andrew; Delos Santos, Renelito; Rostamzadeh, Negar] Google Res, San Francisco, CA USA</t>
  </si>
  <si>
    <t>McGill University; Google Incorporated</t>
  </si>
  <si>
    <t>Rismani, S (corresponding author), McGill Univ, Montreal, PQ, Canada.</t>
  </si>
  <si>
    <t>Shelby, Renee/I-7664-2018</t>
  </si>
  <si>
    <t>Shelby, Renee/0000-0003-4720-3844; Smart, Andrew/0000-0002-9816-7348; Moon, AJung/0000-0002-9387-6284</t>
  </si>
  <si>
    <t>Natural Sciences and Engineering Research Council of Canada</t>
  </si>
  <si>
    <t>We thank Freya Salway, who helped us organize the workshops, initiated the connections and invited the artists. We are grateful to our interview and workshop participants for taking the time to share their experiences, expertise, and feedback. We thank Remi Denton, Kathy Meier-Hellstern, Mohammad Havaei, and Tim Falzone for sharing their expertise with us. We also thank our anonymous reviewers for their feedback on this paper. Finally, this work was financially supported by the Natural Sciences and Engineering Research Council of Canada and lead author's part-time internship at Google Research.</t>
  </si>
  <si>
    <t>10.1145/3600211.3604685</t>
  </si>
  <si>
    <t>WOS:001117838100010</t>
  </si>
  <si>
    <t>Shimizu, Y; Takahashi, T; Sato, K; Ogawa, S; Cho, D; Takahashi, Y; Yamashiro, D; Li, Y; Hinakura, K; Iizuka, A; Furuya, T; Suzuki, H</t>
  </si>
  <si>
    <t>Shimizu, Yuho; Takahashi, Tomoya; Sato, Kenichiro; Ogawa, Susumu; Cho, Daisuke; Takahashi, Yoshifumi; Yamashiro, Daichi; Li, Yan; Hinakura, Keigo; Iizuka, Ai; Furuya, Tomoki; Suzuki, Hiroyuki</t>
  </si>
  <si>
    <t>Perceptions of older adults and generativity among older citizens in Japan: a descriptive cross-sectional study</t>
  </si>
  <si>
    <t>OSONG PUBLIC HEALTH AND RESEARCH PERSPECTIVES</t>
  </si>
  <si>
    <t>Generation; Health status; Psychological well-being</t>
  </si>
  <si>
    <t>SELF-STEREOTYPES; LIFE; SATISFACTION</t>
  </si>
  <si>
    <t>Objectives: As the population ages worldwide, including in Japan, there is a growing expectation for older adults to remain active participants in society. The act of sharing one's experiences and knowledge with younger generations through social engagement not only enriches the lives of older individuals, but also holds significant value for our society. In this study, we examined both positive and negative perceptions of older adults and investigated the correlation between these perceptions and generativity among older citizens. Additionally, we evaluated the impact of life satisfaction on these factors. Methods: We conducted a survey of 100 older adults in Japan (mean age, 71.68 years) and utilized multiple regression analyses, using positive and negative perceptions of older adults, life satisfaction, and demographic factors as independent variables. The sub-categories of generativity-namely, generative action, concern, and accomplishment-were used as dependent variables. Results: Participants who held a more positive perception of older adults demonstrated a higher level of generative actions and concerns. Additionally, participants who reported higher levels of life satisfaction also exhibited more generative actions, concerns, and accomplishments. Conversely, those who held a more negative perception of older adults were found to have higher levels of generative actions. Conclusion: Enhancing positive perceptions of older adults among them can boost the sub-categories of generativity. This study, which was conducted from an exploratory perspective, has several limitations, including a potential sampling bias. A more comprehensive examination of the relationship between perceptions of older adults and generativity is anticipated in future research.</t>
  </si>
  <si>
    <t>[Shimizu, Yuho; Takahashi, Tomoya; Sato, Kenichiro; Ogawa, Susumu; Cho, Daisuke; Takahashi, Yoshifumi; Yamashiro, Daichi; Li, Yan; Hinakura, Keigo; Iizuka, Ai; Furuya, Tomoki; Suzuki, Hiroyuki] Tokyo Metropolitan Inst Geriatr &amp; Gerontol, Res Team Social Participat &amp; Hlth Aging, Tokyo, Japan; [Shimizu, Yuho] Univ Tokyo, Grad Sch Humanities &amp; Sociol, 7-3-1 Hongo,Bunkyo Ku, Tokyo, Japan; [Shimizu, Yuho] Japan Soc Promot Sci, Tokyo, Japan</t>
  </si>
  <si>
    <t>University of Tokyo; Japan Society for the Promotion of Science</t>
  </si>
  <si>
    <t>Shimizu, Y (corresponding author), Univ Tokyo, Grad Sch Humanities &amp; Sociol, 7-3-1 Hongo,Bunkyo Ku, Tokyo, Japan.</t>
  </si>
  <si>
    <t>yuhos1120mizu@gmail.com</t>
  </si>
  <si>
    <t>Shimizu, Yuho/HKE-7512-2023; TAKAHASHI, TOMOYA/JWP-3407-2024</t>
  </si>
  <si>
    <t>Shimizu, Yuho/0000-0002-0841-1205; TAKAHASHI, TOMOYA/0000-0002-1610-3552; Yamashiro, Daichi/0000-0002-3752-5850; SATO, KENICHIRO/0009-0008-8311-5765; Takahashi, Yoshifumi/0000-0002-6498-1018; LI, Yan/0009-0002-9716-6383; Ogawa, Susumu/0000-0001-5832-8314</t>
  </si>
  <si>
    <t>JSPS KAKENHI [22H01098]</t>
  </si>
  <si>
    <t>JSPS KAKENHI(Ministry of Education, Culture, Sports, Science and Technology, Japan (MEXT)Japan Society for the Promotion of ScienceGrants-in-Aid for Scientific Research (KAKENHI))</t>
  </si>
  <si>
    <t>This work was supported by JSPS KAKENHI (22H01098).</t>
  </si>
  <si>
    <t>KOREA DISEASE CONTROL &amp; PREVENTION AGENCY</t>
  </si>
  <si>
    <t>CHEONGJU SI</t>
  </si>
  <si>
    <t>NATL CTR MEDICAL INFORMATION &amp; KNOWLEDGE, 202, OSONGSENGMYUNG 2 ST, OSONG EUP, CHEONGJU SI, CHUNGCHEONGBUK DO, SOUTH KOREA</t>
  </si>
  <si>
    <t>2210-9099</t>
  </si>
  <si>
    <t>2233-6052</t>
  </si>
  <si>
    <t>OSONG PUBLIC HEALTH</t>
  </si>
  <si>
    <t>Osong Public Health Res. Perspect.</t>
  </si>
  <si>
    <t>10.24171/j.phrp.2023.0063</t>
  </si>
  <si>
    <t>W8OC7</t>
  </si>
  <si>
    <t>WOS:001094156700009</t>
  </si>
  <si>
    <t>Aghasanli, A; Kangin, D; Angelov, P</t>
  </si>
  <si>
    <t>Aghasanli, Agil; Kangin, Dmitry; Angelov, Plamen</t>
  </si>
  <si>
    <t>Interpretable-through-prototypes deepfake detection for diffusion models</t>
  </si>
  <si>
    <t>The process of recognizing and distinguishing between real content and content generated by deep learning algorithms, often referred to as deepfakes, is known as deepfake detection. In order to counter the rising threat of deepfakes and maintain the integrity of digital media, research is now being done to create more reliable and precise detection techniques. Deep learning models, such as Stable Diffusion, have been able to generate more detailed and less blurry images in recent years. In this paper, we develop a deepfake detection technique to distinguish original and fake images generated by various Diffusion Models. The developed methodology for deepfake detection takes advantage of features from fine-tuned Vision Transformers (ViTs), combined with existing classifiers such as Support Vector Machines (SVM). We demonstrate the proposed methodology's ability of interpretability-through-prototypes by analysing support vectors of the SVMs. Additionally, due to the novelty of the topic, there is a lack of open datasets for deepfake detection. Therefore, to evaluate the methodology, we have also created custom datasets based on various generative techniques of Diffusion Models on open datasets (ImageNet, FFHQ, Oxford-IIIT Pet). The code is available at https://github.com/lira-centre/ DeepfakeDetection.</t>
  </si>
  <si>
    <t>[Aghasanli, Agil; Kangin, Dmitry; Angelov, Plamen] Univ Lancaster, Lancaster, England</t>
  </si>
  <si>
    <t>Lancaster University</t>
  </si>
  <si>
    <t>Aghasanli, A (corresponding author), Univ Lancaster, Lancaster, England.</t>
  </si>
  <si>
    <t>a.aghasanli@lancaster.ac.uk; d.kangin1@lancaster.ac.uk; p.angelov@lancaster.ac.uk</t>
  </si>
  <si>
    <t>ELSA - European Lighthouse on Secure and Safe AI - European Union [101070617]</t>
  </si>
  <si>
    <t>ELSA - European Lighthouse on Secure and Safe AI - European Union</t>
  </si>
  <si>
    <t>This work is supported by ELSA - European Lighthouse on Secure and Safe AI funded by the European Union under grant agreement No. 101070617. Views and opinions expressed are however those of the authors only and do not necessarily reflect those of the European Union or European Commission. Neither the European Union nor the European Commission can be held responsible for them.</t>
  </si>
  <si>
    <t>10.1109/ICCVW60793.2023.00053</t>
  </si>
  <si>
    <t>WOS:001156680300047</t>
  </si>
  <si>
    <t>Milic-Frayling, N</t>
  </si>
  <si>
    <t>Milic-Frayling, Natasa</t>
  </si>
  <si>
    <t>On the Cusp: Computing Thrills and Perils and Professional Awakening</t>
  </si>
  <si>
    <t>PROCEEDINGS OF THE VLDB ENDOWMENT</t>
  </si>
  <si>
    <t>Over the past eight decades, computer science has advanced as a field, and the computing profession has matured by establishing professional codes of conduct, fostering best practices, and establishing industry standards to support the proliferation of technologies and services. Research and applications of digital computation continue to change all aspects of human endeavor through new waves of innovation. While it is clear that different research advances fuel innovation, the ways they come together to make an impact vary. In contrast to highly regulated sectors such as pharma, medicine and law, the process of transforming research into widely deployed technologies is not regulated. We reflect on collective practices, from discovery by scientists and engineers to market delivery by entrepreneurs, industry leaders, and practitioners. We consider ecosystem changes that are required to sustain the transformational effects of new technologies and enable new practices to take root. Every such transformation ruptures in the existing socio-technical fabric and requires a concerted effort to remedy this through effective policies and regulations. Computing experts are involved in all phases and must match the transformational power of their innovation with the highest standard of professional conduct. We highlight the principles of responsible innovation and discuss three waves of digital innovation. We use wide and uncontrolled generative AI deployments to illustrate risks from the implosion of digital media due to contamination of digital records, removal of human agency, and risk to an individual's personhood.</t>
  </si>
  <si>
    <t>[Milic-Frayling, Natasa] Univ Nottingham, Qatar Comp Res Inst, Intact Digital, Nottingham, England</t>
  </si>
  <si>
    <t>Milic-Frayling, N (corresponding author), Univ Nottingham, Qatar Comp Res Inst, Intact Digital, Nottingham, England.</t>
  </si>
  <si>
    <t>natasa-milicf@frayling.net</t>
  </si>
  <si>
    <t>2150-8097</t>
  </si>
  <si>
    <t>PROC VLDB ENDOW</t>
  </si>
  <si>
    <t>Proc. VLDB Endow.</t>
  </si>
  <si>
    <t>10.14778/3611540.3611640</t>
  </si>
  <si>
    <t>R9TK6</t>
  </si>
  <si>
    <t>WOS:001067701000101</t>
  </si>
  <si>
    <t>Fontanini, T; Ferrari, C; Lisanti, G; Galteri, L; Berretti, S; Bertozzi, M; Prati, A</t>
  </si>
  <si>
    <t>Fontanini, Tomaso; Ferrari, Claudio; Lisanti, Giuseppe; Galteri, Leonardo; Berretti, Stefano; Bertozzi, Massimo; Prati, Andrea</t>
  </si>
  <si>
    <t>FrankenMask: Manipulating semantic masks with transformers for face parts editing</t>
  </si>
  <si>
    <t>Generative adversarial networks; Semantic image synthesis; Face analysis; Transformers</t>
  </si>
  <si>
    <t>In this paper, we propose FrankenMask, a novel framework that allows swapping and rearranging face parts in semantic masks for automatic editing of shape-related facial attributes. This is a novel yet challenging task as substituting face parts in a semantic mask requires to account for possible spatial misalignment and the adaptation of surrounding regions. We obtain such a feature by combining a Transformer encoder to learn the spatial relationships of facial parts, with an encoder-decoder architecture, which reconstructs a complete mask from the composition of local parts. Reconstruction and attribute classification results demonstrate the effective synthesis of facial images, while showing the generation of accurate and plausible facial attributes. Code is available at https://github.com/TFonta/FrankenMask_semantic.</t>
  </si>
  <si>
    <t>[Fontanini, Tomaso; Ferrari, Claudio; Bertozzi, Massimo; Prati, Andrea] Univ Parma, Dept Engn &amp; Architecture, Via Sci 181-A, I-43124 Parma, Italy; [Lisanti, Giuseppe] Univ Bologna, Dept Comp Sci &amp; Engn, Mura Anteo Zamboni 7, I-40126 Bologna, Italy; [Berretti, Stefano] Univ Florence, Dept Informat Engn, Via S Marta,3, I-50139 Florence, Italy; [Galteri, Leonardo] Pegaso Telemat Univ, Naples, Italy</t>
  </si>
  <si>
    <t>University of Parma; University of Bologna; University of Florence; Pegaso Online University</t>
  </si>
  <si>
    <t>Fontanini, T (corresponding author), Univ Parma, Dept Engn &amp; Architecture, Via Sci 181-A, I-43124 Parma, Italy.</t>
  </si>
  <si>
    <t>tomaso.fontanini@unipr.it; claudio.ferrari2@unipr.it; giuseppe.lisanti@unibo.it; leonardo.galteri@unipegaso.it; stefano.berretti@unifi.it; massimo.bertozzi@unipr.it; andrea.prati@unipr.it</t>
  </si>
  <si>
    <t>Galteri, Leonardo/HSI-0092-2023; Fontanini, Tomaso/JVZ-6748-2024; Prati, Andrea/B-7440-2014</t>
  </si>
  <si>
    <t>Galteri, Leonardo/0000-0002-7247-9407; Fontanini, Tomaso/0000-0001-6595-4874; Prati, Andrea/0000-0002-1211-529X; Bertozzi, Massimo/0000-0003-1463-5384; Berretti, Stefano/0000-0003-1219-4386</t>
  </si>
  <si>
    <t>Programme FIL-Quota Incentivanteof University of Parma; Fondazione Cariparma, Italy; Italian MIUR [2020TA3K9N]</t>
  </si>
  <si>
    <t>Programme FIL-Quota Incentivanteof University of Parma; Fondazione Cariparma, Italy; Italian MIUR(Ministry of Education, Universities and Research (MIUR))</t>
  </si>
  <si>
    <t>This work was partially supported by the Programme FIL-Quota Incentivanteof University of Parma, co-sponsored by Fondazione Cariparma, Italy, and PRIN 2020 LEGO.AI: LEarning the Geometry of knOwledge in AI systems, grant no. 2020TA3K9N funded by the Italian MIUR. All authors approved the final version of manuscript to be published' to Acknowledgment section.</t>
  </si>
  <si>
    <t>10.1016/j.patrec.2023.10.010</t>
  </si>
  <si>
    <t>Y1LC1</t>
  </si>
  <si>
    <t>WOS:001102941800001</t>
  </si>
  <si>
    <t>Ressler, M</t>
  </si>
  <si>
    <t>Ressler, Mark</t>
  </si>
  <si>
    <t>Automated inauthenticity</t>
  </si>
  <si>
    <t>Artificial intelligence; Large language models; Authenticity; Hubert Dreyfus</t>
  </si>
  <si>
    <t>Large language models and other generative artificial intelligence systems are achieving increasingly impressive results, though the quality of those results still seems dull and uninspired. This paper argues that this poor quality can be linked to the philosophical notion of inauthenticity as presented by Kierkegaard, Nietzsche, and Heidegger, and that this inauthenticity is fundamentally grounded in the design and structure of such systems by virtue of the way they statistically level down the materials on which they are trained. Although it seems possible to create the conditions for authenticity in these systems, the resulting authenticity would be grounded in machine intelligence, not human intelligence. The argument extends the criticisms of artificial intelligence articulated by Hubert Dreyfus, updated to account for recent developments in machine learning and artificial neural networks. While more optimistic concerning the prospects for successfully creating artificial intelligence than Dreyfus had been, this paper argues that the resulting intelligence may not align well with human intelligence and may not be desirable for humans, if it is fully authentic.</t>
  </si>
  <si>
    <t>2023 OCT 29</t>
  </si>
  <si>
    <t>10.1007/s00146-023-01795-x</t>
  </si>
  <si>
    <t>W9VW9</t>
  </si>
  <si>
    <t>WOS:001095046000001</t>
  </si>
  <si>
    <t>Giuste, FO; Sequeira, R; Keerthipati, V; Lais, P; Mirzazadeh, A; Mohseni, A; Zhu, YD; Shi, WQ; Marteau, B; Zhong, YS; Tong, L; Das, B; Shehata, B; Deshpande, S; Wang, MD</t>
  </si>
  <si>
    <t>Giuste, Felipe O.; Sequeira, Ryan; Keerthipati, Vikranth; Lais, Peter; Mirzazadeh, Ali; Mohseni, Arshawn; Zhu, Yuanda; Shi, Wenqi; Marteau, Benoit; Zhong, Yishan; Tong, Li; Das, Bibhuti; Shehata, Bahig; Deshpande, Shriprasad; Wang, May D.</t>
  </si>
  <si>
    <t>Explainable synthetic image generation to improve risk assessment of rare pediatric heart transplant rejection</t>
  </si>
  <si>
    <t>Image classification; Image generation; Multiple instance learning; Explainable artificial intelligence; Cardiac pathology; Whole-slide imaging</t>
  </si>
  <si>
    <t>INTERNATIONAL SOCIETY</t>
  </si>
  <si>
    <t>Expert microscopic analysis of cells obtained from frequent heart biopsies is vital for early detection of pediatric heart transplant rejection to prevent heart failure. Detection of this rare condition is prone to low levels of expert agreement due to the difficulty of identifying subtle rejection signs within biopsy samples. The rarity of pediatric heart transplant rejection also means that very few gold-standard images are available for developing machine learning models. To solve this urgent clinical challenge, we developed a deep learning model to automatically quantify rejection risk within digital images of biopsied tissue using an explainable synthetic data augmentation approach. We developed this explainable AI framework to illustrate how our progressive and inspirational generative adversarial network models distinguish between normal tissue images and those containing cellular rejection signs. To quantify biopsy-level rejection risk, we first detect local rejection features using a binary image classifier trained with expert-annotated and synthetic examples. We converted these local predictions into a biopsy-wide rejection score via an interpretable histogram-based approach. Our model significantly improves upon prior works with the same dataset with an area under the receiver operating curve (AUROC) of 98.84% for the local rejection detection task and 95.56% for the biopsy-rejection prediction task. A biopsy-level sensitivity of 83.33% makes our approach suitable for early screening of biopsies to prioritize expert analysis. Our framework provides a solution to rare medical imaging challenges currently limited by small datasets.</t>
  </si>
  <si>
    <t>[Giuste, Felipe O.; Sequeira, Ryan; Keerthipati, Vikranth; Lais, Peter; Mohseni, Arshawn; Tong, Li; Wang, May D.] Georgia Inst Technol, Wallace H Coulter Dept Biomed Engn, Atlanta, GA 30332 USA; [Mirzazadeh, Ali; Zhu, Yuanda; Shi, Wenqi; Marteau, Benoit; Zhong, Yishan; Wang, May D.] Georgia Inst Technol, Sch Elect &amp; Comp Engn, Atlanta, GA 30332 USA; [Das, Bibhuti] Univ Mississippi Med Ctr, Dept Pediat Cardiol, Jackson, MS 39216 USA; [Shehata, Bahig] Wayne State Univ, Dept Pathol, Sch Med, Detroit, MI 48201 USA; [Deshpande, Shriprasad] Childrens Natl Hlth Syst, Dept Pediat Cardiol, Washington, DC 20010 USA</t>
  </si>
  <si>
    <t>University System of Georgia; Georgia Institute of Technology; University System of Georgia; Georgia Institute of Technology; University of Mississippi Medical Center; University of Mississippi; Wayne State University; Children's National Health System</t>
  </si>
  <si>
    <t>Wang, MD (corresponding author), Georgia Inst Technol, Wallace H Coulter Dept Biomed Engn, Atlanta, GA 30332 USA.;Wang, MD (corresponding author), Georgia Inst Technol, Sch Elect &amp; Comp Engn, Atlanta, GA 30332 USA.</t>
  </si>
  <si>
    <t>fgiuste@gatech.edu; maywang@gatech.edu</t>
  </si>
  <si>
    <t>Wang, Zixi/KEI-0077-2024; tong, li/KDO-7821-2024; Giuste, Felipe/ABH-9932-2020; Wang, May Dongmei/AAF-2065-2021</t>
  </si>
  <si>
    <t>Giuste, Felipe/0000-0002-8355-3705; Wang, May Dongmei/0000-0003-3961-3608; Lais, Peter/0009-0007-4942-8744; Shi, Wenqi/0000-0001-8972-7342; Keerthipati, Vikranth/0000-0003-1712-3616; Marteau, Benoit/0000-0002-4177-7161</t>
  </si>
  <si>
    <t>Enduring Hearts; National Institutes of Health [5R01HL119747]; National Science Foundation [NSF1651360]; CHOA-Georgia Tech collaboration grant; Microsoft Azure Cloud grant; Amazon Faculty Fellow award; Petit Institute; Wallace H Coulter Distinguished Faculty Fellow Fund; Carol Ann and David D Flanagan Faculty Fellow Fund</t>
  </si>
  <si>
    <t>Enduring Hearts; National Institutes of Health(United States Department of Health &amp; Human ServicesNational Institutes of Health (NIH) - USA); National Science Foundation(National Science Foundation (NSF)); CHOA-Georgia Tech collaboration grant; Microsoft Azure Cloud grant(Microsoft); Amazon Faculty Fellow award; Petit Institute; Wallace H Coulter Distinguished Faculty Fellow Fund; Carol Ann and David D Flanagan Faculty Fellow Fund</t>
  </si>
  <si>
    <t>This work was supported by Enduring Hearts with dataset obtained from Quantitative Detection of Circulating Donor-Specific DNA in Organ Transplant Recipients (DTRT-Multi-Center Study), National Institutes of Health (5R01HL119747 with PI Dr. Michael Mitchell), an award from National Science Foundation (NSF1651360) , CHOA-Georgia Tech collaboration grant, a Microsoft Azure Cloud grant, the Amazon Faculty Fellow award, the Petit Institute Faculty Fellow, the Wallace H Coulter Distinguished Faculty Fellow Fund, the Petit Institute Faculty Fellow, and Carol Ann and David D Flanagan Faculty Fellow Fund to Prof. May D Wang. The content is solely the responsibility of the authors and does not necessarily represent the official views of the Enduring Hearts, NIH, NSF, or CHOA.</t>
  </si>
  <si>
    <t>10.1016/j.jbi.2023.104303</t>
  </si>
  <si>
    <t>9Q1SR</t>
  </si>
  <si>
    <t>WOS:000944752400001</t>
  </si>
  <si>
    <t>Unsupervised Video Anomaly Detection with Diffusion Models Conditioned on Compact Motion Representations</t>
  </si>
  <si>
    <t>Video anomaly detection; unsupervised learning; video understanding; conditional diffusion models; generative models</t>
  </si>
  <si>
    <t>This paper aims to address the unsupervised video anomaly detection (VAD) problem, which involves classifying each frame in a video as normal or abnormal, without any access to labels. To accomplish this, the proposed method employs conditional diffusion models, where the input data is the spatiotemporal features extracted from a pre-trained network, and the condition is the features extracted from compact motion representations that summarize a given video segment in terms of its motion and appearance. Our method utilizes a data-driven threshold and considers a high reconstruction error as an indicator of anomalous events. This study is the first to utilize compact motion representations for VAD and the experiments conducted on two large-scale VAD benchmarks demonstrate that they supply relevant information to the diffusion model, and consequently improve VAD performances w.r.t the prior art. Importantly, our method exhibits better generalization performance across different datasets, notably outperforming both the state-of-the-art and baseline methods. The code of our method is available HERE.</t>
  </si>
  <si>
    <t>[Tur, Anil Osman; Dall'Asen, Nicola; Beyan, Cigdem; Ricci, Elisa] Univ Trento, Trento, Italy; [Tur, Anil Osman; Ricci, Elisa] Fdn Bruno Kessler, Trento, Italy; [Dall'Asen, Nicola] Univ Pisa, Pisa, Italy</t>
  </si>
  <si>
    <t>University of Trento; Fondazione Bruno Kessler; University of Pisa</t>
  </si>
  <si>
    <t>Dall'Asen, N (corresponding author), Univ Trento, Trento, Italy.;Dall'Asen, N (corresponding author), Univ Pisa, Pisa, Italy.</t>
  </si>
  <si>
    <t>nicola.dallasen@unitn.it</t>
  </si>
  <si>
    <t>European Union (EU) under NextGenerationEU; MUR PNRR project FAIR -Future AI Research - NextGenerationEU [PE00000013]; PRECRISIS - EU Internal Security Fund [ISFP-2022-TFI-AG-PROTECT-02-101100539]</t>
  </si>
  <si>
    <t>European Union (EU) under NextGenerationEU(European Union (EU)Marie Curie Actions); MUR PNRR project FAIR -Future AI Research - NextGenerationEU; PRECRISIS - EU Internal Security Fund</t>
  </si>
  <si>
    <t>The project is partially funded by the European Union (EU) under NextGenerationEU. We acknowledge the support of the MUR PNRR project FAIR -Future AI Research (PE00000013) funded by the NextGenerationEU. E.R. is partially supported by the PRECRISIS, funded by the EU Internal Security Fund (ISFP-2022-TFI-AG-PROTECT-02-101100539). Views and opinions expressed are however those of the author(s) only and do not necessarily reflect those of the EU or The European Research Executive Agency. Neither the EU nor the granting authority can be held responsible for them. The work was carried out in the Vision and Learning joint laboratory of FBK and UNITN.</t>
  </si>
  <si>
    <t>10.1007/978-3-031-43153-1_5</t>
  </si>
  <si>
    <t>WOS:001156197500005</t>
  </si>
  <si>
    <t>Raitskaya, L; Tikhonova, E</t>
  </si>
  <si>
    <t>Raitskaya, Lilia; Tikhonova, Elena</t>
  </si>
  <si>
    <t>Academic Integrity: Author-Related and Journal-Related Issues</t>
  </si>
  <si>
    <t>JOURNAL OF LANGUAGE AND EDUCATION</t>
  </si>
  <si>
    <t>academic integrity academic misconduct fabrication falsification peer review manipulation,; citation cartel self-citation citation stacking predatory journals</t>
  </si>
  <si>
    <t>MISCONDUCT</t>
  </si>
  <si>
    <t>Introduction: Author-related and journal-related metrics have long been the target for manipulations on part of some researchers, journals, and occasionally countries, eager to rank higher or get other benefits. Games played with metrics are abundant and may be triggered by rigid publish-or-perish national or university policies and consequent pursuit for benefits. In addition, new technologies make headway to unprecedented schemes in research production and promotion. The JLE Editors aim to inform JLE readers of their stance on the current revision of the JLE ethical guidelines for authors, editors, and reviewers in response to the new challenges. Basic Concepts Related to Academic Integrity: The key concepts related to academic integrity are commented on, including some particulars about academic integrity, plagiarism, academic misconduct, fabrication and falsification of data, peer review manipulations, citation manipulations, and predatory journals. Revisions in the JLE Editorial Policy on Authorship: With the ChatGPT entering the realm of science, the technology caused a heated debate over the ethical aspects of Artificial Intellect (AI) generated submissions to scholarly journals. The JLE editors share a rather popular stance that submissions cannot be subject to ChatGPT generation or revision.Conclusion: The JLE has been revising its ethical guidelines as of authorship, including the limits for ChatGPT uses in submissions. The JLE editors apprise all stakeholders of the revised guidelines that cover the use of generative pre-trained transformers in submission generation.</t>
  </si>
  <si>
    <t>[Raitskaya, Lilia] MGIMO Univ, Moscow State Inst Int Relat, Moscow, Russia; [Tikhonova, Elena] HSE Univ, Moscow, Russia; [Tikhonova, Elena] Peoples Friendship Univ Russia RUDN Univ, Moscow, Russia</t>
  </si>
  <si>
    <t>MGIMO University; HSE University (National Research University Higher School of Economics); Peoples Friendship University of Russia</t>
  </si>
  <si>
    <t>Tikhonova, E (corresponding author), HSE Univ, Moscow, Russia.;Tikhonova, E (corresponding author), Peoples Friendship Univ Russia RUDN Univ, Moscow, Russia.</t>
  </si>
  <si>
    <t>etihonova@hse.ru</t>
  </si>
  <si>
    <t>Tikhonova, Elena/B-1951-2015</t>
  </si>
  <si>
    <t>Tikhonova, Elena/0000-0001-8252-6150</t>
  </si>
  <si>
    <t>NATL RESEARCH UNIV HIGHER SCH ECONOMICS</t>
  </si>
  <si>
    <t>SHABOLOVKA, 26, MOSCOW, 119049, RUSSIA</t>
  </si>
  <si>
    <t>2411-7390</t>
  </si>
  <si>
    <t>J LANG EDUC</t>
  </si>
  <si>
    <t>J. Lang. Educ.</t>
  </si>
  <si>
    <t>10.17323/jle.2023.18489</t>
  </si>
  <si>
    <t>EF3X8</t>
  </si>
  <si>
    <t>WOS:001137479500006</t>
  </si>
  <si>
    <t>Kaneda, Y; Takahashi, R; Kaneda, U; Akashima, S; Okita, H; Misaki, S; Yamashiro, A; Ozaki, A; Tanimoto, T</t>
  </si>
  <si>
    <t>Kaneda, Yudai; Takahashi, Ryo; Kaneda, Uiri; Akashima, Shiori; Okita, Haruna; Misaki, Sadaya; Yamashiro, Akimi; Ozaki, Akihiko; Tanimoto, Tetsuya</t>
  </si>
  <si>
    <t>Assessing the Performance of GPT-3.5 and GPT-4 on the 2023 Japanese Nursing Examination</t>
  </si>
  <si>
    <t>chatgpt-4; chatgpt-3; 5; gpt-3; gpt-4; japan; clinical applications; national nursing examination; ai &amp; robotics healthcare; chatgpt</t>
  </si>
  <si>
    <t>PurposeThe purpose of this study was to evaluate the changes in capabilities between the Generative Pre-trained Transformer (GPT)-3.5 and GPT-4 versions of the large-scale language model ChatGPT within a Japanese medical context.MethodsThe study involved ChatGPT versions 3.5 and 4 responding to questions from the 112th Japanese National Nursing Examination (JNNE). The study comprised three analyses: correct answer rate and score rate calculations, comparisons between GPT-3.5 and GPT-4, and comparisons of correct answer rates for conversation questions. ResultsChatGPT versions 3.5 and 4 responded to 237 out of 238 Japanese questions from the 112th JNNE. While GPT-3.5 achieved an overall accuracy rate of 59.9%, failing to meet the passing standards in compulsory and general/scenario-based questions, scoring 58.0% and 58.3%, respectively, GPT-4 had an accuracy rate of 79.7%, satisfying the passing standards by scoring 90.0% and 77.7%, respectively. For each problem type, GPT-4 showed a higher accuracy rate than GPT-3.5. Specifically, the accuracy rates for compulsory questions improved from 58.0% with GPT-3.5 to 90.0% with GPT-4. For general questions, the rates went from 64.6% with GPT-3.5 to 75.6% with GPT-4. In scenario-based questions, the accuracy rates improved substantially from 51.7% with GPT-3.5 to 80.0% with GPT-4. For conversation questions, GPT-3.5 had an accuracy rate of 73.3% and GPT-4 had an accuracy rate of 93.3%.ConclusionsThe GPT-4 version of ChatGPT displayed performance sufficient to pass the JNNE, significantly improving from GPT-3.5. This suggests specialized medical training could make such models beneficial in Japanese clinical settings, aiding decision-making. However, user awareness and training are crucial, given potential inaccuracies in ChatGPT's responses. Hence, responsible usage with an understanding of its capabilities and limitations is vital to best support healthcare professionals and patients.</t>
  </si>
  <si>
    <t>[Kaneda, Yudai] Hokkaido Univ, Coll Med, Sapporo, Japan; [Takahashi, Ryo] Sonodakai Joint Replacement Ctr Hosp, Dept Rehabil Med, Tokyo, Japan; [Kaneda, Uiri] Dokkyo Univ, Dept Foreign Languages, Saitama, Japan; [Akashima, Shiori] Shonan Kamakura Gen Hosp, Dept Obstet &amp; Gynecol, Kamakura, Kanagawa, Japan; [Okita, Haruna] Tokyo Womens Med Univ, Coll Med, Tokyo, Japan; [Misaki, Sadaya] Sonoda Daiichi Hosp, Dept Rehabil Med, Tokyo, Japan; [Yamashiro, Akimi] Shokei Gakuin Univ, Dept Nutr Sci, Natori, Miyagi, Japan; [Ozaki, Akihiko] Jyoban Hosp Tokiwa Fdn, Dept Breast &amp; Thyroid Surg, Iwaki, Fukushima, Japan; [Tanimoto, Tetsuya] Navitas Clin, Dept Internal Med, Kawasaki, Kanagawa, Japan</t>
  </si>
  <si>
    <t>Hokkaido University; Tokyo Women's Medical University</t>
  </si>
  <si>
    <t>Kaneda, Y (corresponding author), Hokkaido Univ, Coll Med, Sapporo, Japan.</t>
  </si>
  <si>
    <t>nature271828@gmail.com</t>
  </si>
  <si>
    <t>Ozaki, Akihiko/AAD-3889-2021</t>
  </si>
  <si>
    <t>AUG 3</t>
  </si>
  <si>
    <t>e42924</t>
  </si>
  <si>
    <t>10.7759/cureus.42924</t>
  </si>
  <si>
    <t>P0KN4</t>
  </si>
  <si>
    <t>WOS:001047616200011</t>
  </si>
  <si>
    <t>Cankurtaran, RE; Polat, YH; Aydemir, NG; Umay, E; Yurekli, OT</t>
  </si>
  <si>
    <t>Cankurtaran, Rasim Eren; Polat, Yunus Halil; Aydemir, Neslihan Gunes; Umay, Ebru; Yurekli, Oyku Tayfur</t>
  </si>
  <si>
    <t>Reliability and Usefulness of ChatGPT for Inflammatory Bowel Diseases: An Analysis for Patients and Healthcare Professionals</t>
  </si>
  <si>
    <t>ulcerative colitis (uc); crohn's disease (cd); healthcare research; artificial intelligence (ai); inflammatory; bowel diseases (ibd); large language model; chatgpt</t>
  </si>
  <si>
    <t>Aim: We aimed to evaluate the performance of Chat Generative Pre-trained Transformer (ChatGPT) within the context of inflammatory bowel disease (IBD), which is expected to become an increasingly significant health issue in the future. In addition, the objective of the study was to assess whether ChatGPT serves as a reliable and useful resource for both patients and healthcare professionals.Methods: For this study, 20 specific questions were identified for the two main components of IBD, which are Crohn's disease (CD) and ulcerative colitis (UC). The questions were divided into two sets: one set contained questions directed at healthcare professionals while the second set contained questions directed toward patients. The responses were evaluated with seven-point Likert-type reliability and usefulness scales.Results: The distribution of the reliability and utility scores was calculated into four groups (two diseases and two question sources) by averaging the mean scores from both raters. The highest scores in both reliability and usefulness were obtained from professional sources (5.00 +/- 1.21 and 5.15 +/- 1.08, respectively). The ranking in terms of reliability and usefulness, respectively, was as follows: CD questions (4.70 +/- 1.26 and 4.75 +/- 1.06) and UC questions (4.40 +/- 1.21 and 4.55 +/- 1.31). The reliability scores of the answers for the professionals were significantly higher than those for the patients (both raters, p=0.032).Conclusion: Despite its capacity for reliability and usefulness in the context of IBD, ChatGPT still has some limitations and deficiencies. The correction of ChatGPT's deficiencies and its enhancement by developers with more detailed and up-to-date information could make it a significant source of information for both patients and medical professionals.</t>
  </si>
  <si>
    <t>[Cankurtaran, Rasim Eren] Ankara Etlik City Hosp, Dept Perinatol, Ankara, Turkiye; [Polat, Yunus Halil] Ankara Numune Training &amp; Res Hosp, Dept Gastroenterol, Ankara, Turkiye; [Aydemir, Neslihan Gunes] Akdeniz Univ, Fac Med, Dept Gastroenterol, Antalya, Turkiye; [Umay, Ebru] Univ Hlth Sci, Ankara Etlik City Hosp, Phys Med &amp; Rehabil, Ankara, Turkiye; [Yurekli, Oyku Tayfur] Ankara Yildirim Beyazit Univ, Fac Med, Dept Gastroenterol, Ankara, Turkiye</t>
  </si>
  <si>
    <t>Ankara Numune Training &amp; Research Hospital; Akdeniz University; University of Health Sciences Turkey; Ankara Yildirim Beyazit University</t>
  </si>
  <si>
    <t>Cankurtaran, RE (corresponding author), Ankara Etlik City Hosp, Dept Perinatol, Ankara, Turkiye.</t>
  </si>
  <si>
    <t>drcankurtaran88@gmail.com</t>
  </si>
  <si>
    <t>e46736</t>
  </si>
  <si>
    <t>10.7759/cureus.46736</t>
  </si>
  <si>
    <t>X2SN5</t>
  </si>
  <si>
    <t>WOS:001097006600039</t>
  </si>
  <si>
    <t>Sun, YS; Wu, QY; Zhou, H; Wang, KSY; Hu, TS; Liao, CC; Miyafuji, S; Liu, ZW; Koike, H</t>
  </si>
  <si>
    <t>Sun, Yasheng; Wu, Qianyi; Zhou, Hang; Wang, Kaisiyuan; Hu, Tianshu; Liao, Chen-Chieh; Miyafuji, Shio; Liu, Ziwei; Koike, Hideki</t>
  </si>
  <si>
    <t>Make Your Brief Stroke Real and Stereoscopic: 3D-Aware Simplified Sketch to Portrait Generation</t>
  </si>
  <si>
    <t>PROCEEDINGS OF THE 25TH INTERNATIONAL CONFERENCE ON MULTIMODAL INTERACTION, ICMI 2023</t>
  </si>
  <si>
    <t>25th International Conference on Multimodal Interaction (ICMI)</t>
  </si>
  <si>
    <t>OCT 09-13, 2023</t>
  </si>
  <si>
    <t>Sorbonne Univ, Paris, FRANCE</t>
  </si>
  <si>
    <t>Assoc Comp Machinery,ACM SIGCHI,Openstreams Ai,Living &amp; Learning Lab Neurodevelopment,CCC Comp Community Consortium Catalyst,AFIHM,Persyval Lab,Grenoble Informat Lab,Univ Grenoble Alpes,Sorbonne Ctr Artificial Intelligence</t>
  </si>
  <si>
    <t>Sorbonne Univ</t>
  </si>
  <si>
    <t>Virtual Character Creation; Cross-Modal Generation</t>
  </si>
  <si>
    <t>Creating the photo-realistic version of people's sketched portraits is useful to various entertainment purposes. Existing studies only generate portraits in the 2D plane with fixed views, making the results less vivid. In this paper, we present Stereoscopic Simplified Sketch-to-Portrait (SSSP), which explores the possibility of creating Stereoscopic 3D-aware portraits from simple contour sketches by involving 3D generative models. Our key insight is to design sketch-aware constraints that can fully exploit the prior knowledge of a triplane-based 3D-aware generative model. Specifically, our designed region-aware volume rendering strategy and global consistency constraint further enhance detail correspondences during sketch encoding. Moreover, in order to facilitate the usage of layman users, we propose a Contour-to-Sketch module with vector quantized representations, so that easily drawn contours can directly guide the generation of 3D portraits. Extensive comparisons show that our method generates high-quality results that match the sketch. Our usability study verifies that our system is preferred by users.</t>
  </si>
  <si>
    <t>[Sun, Yasheng; Liao, Chen-Chieh; Miyafuji, Shio; Koike, Hideki] Tokyo Inst Technol, Tokyo, Japan; [Wu, Qianyi] Monash Univ, Melbourne, Vic, Australia; [Zhou, Hang] Baidu Inc, Shanghai, Peoples R China; [Wang, Kaisiyuan] Univ Sydney, Sydney, NSW, Australia; [Hu, Tianshu] Baidu, Shanghai, Peoples R China; [Liu, Ziwei] Nanyang Technol Univ, Singapore, Singapore</t>
  </si>
  <si>
    <t>Tokyo Institute of Technology; Monash University; Baidu; University of Sydney; Baidu; Nanyang Technological University</t>
  </si>
  <si>
    <t>Sun, YS (corresponding author), Tokyo Inst Technol, Tokyo, Japan.</t>
  </si>
  <si>
    <t>sun.y.aj@m.titech.ac.jp; qianyi.wu@monash.edu; zhouhang09@baidu.com; kaisiyuan.wang@sydney.edu.au; hutianshu007@163.com; liao.c.aa@m.titech.ac.jp; miyafuji.s.aa@m.titech.ac.jp; ziwei.liu@ntu.edu.sg; koike@c.titech.ac.jp</t>
  </si>
  <si>
    <t>Liu, Ziwei/AAG-6939-2021; sun, yasheng/JQI-6590-2023; Wu, Qianyi/JEO-6949-2023</t>
  </si>
  <si>
    <t>sun, yasheng/0000-0002-0589-4424; Zhou, Hang/0000-0002-2616-923X</t>
  </si>
  <si>
    <t>979-8-4007-0055-2</t>
  </si>
  <si>
    <t>10.1145/3577190.3614106</t>
  </si>
  <si>
    <t>BW4GP</t>
  </si>
  <si>
    <t>WOS:001147764700047</t>
  </si>
  <si>
    <t>Garg, A; Nguyen, C; Felix, R; Do, TT; Carneiro, G</t>
  </si>
  <si>
    <t>Garg, Arpit; Cuong Nguyen; Felix, Rafael; Thanh-Toan Do; Carneiro, Gustavo</t>
  </si>
  <si>
    <t>Instance-Dependent Noisy Label Learning via Graphical Modelling</t>
  </si>
  <si>
    <t>Noisy labels are unavoidable yet troublesome in the ecosystem of deep learning because models can easily overfit them. There are many types of label noise, such as symmetric, asymmetric and instance-dependent noise (IDN), with IDN being the only type that depends on image information. Such dependence on image information makes IDN a critical type of label noise to study, given that labelling mistakes are caused in large part by insufficient or ambiguous information about the visual classes present in images. Aiming to provide an effective technique to address IDN, we present a new graphical modelling approach called InstanceGM, that combines discriminative and generative models. The main contributions of InstanceGM are: i) the use of the continuous Bernoulli distribution to train the generative model, offering significant training advantages, and ii) the exploration of a state-of-the-art noisy-label discriminative classifier to generate clean labels from instance-dependent noisy-label samples. InstanceGM is competitive with current noisy-label learning approaches, particularly in IDN benchmarks using synthetic and real-world datasets, where our method shows better accuracy than the competitors in most experiments(1).</t>
  </si>
  <si>
    <t>[Garg, Arpit; Cuong Nguyen; Felix, Rafael; Carneiro, Gustavo] Univ Adelaide, Australian Inst Machine Learning, Adelaide, SA, Australia; [Thanh-Toan Do] Monash Univ, Dept Data Sci &amp; AI, Clayton, Vic, Australia; [Carneiro, Gustavo] Univ Surrey, Ctr Vis Speech &amp; Signal Proc, Guildford, Surrey, England</t>
  </si>
  <si>
    <t>University of Adelaide; Monash University; University of Surrey</t>
  </si>
  <si>
    <t>Garg, A (corresponding author), Univ Adelaide, Australian Inst Machine Learning, Adelaide, SA, Australia.</t>
  </si>
  <si>
    <t>arpit.garg@adelaide.edu.au</t>
  </si>
  <si>
    <t>Nguyen, Cuong Cao/B-7842-2016</t>
  </si>
  <si>
    <t>Nguyen, Cuong Cao/0000-0003-2672-6291; Carneiro, Gustavo/0000-0002-5571-6220; Garg, Arpit/0000-0001-5886-5822</t>
  </si>
  <si>
    <t>Australian Research Council [DP180103232, FT190100525]; Australian Research Council [FT190100525] Funding Source: Australian Research Council</t>
  </si>
  <si>
    <t>Supported by Australian Research Council through grants DP180103232 and FT190100525.</t>
  </si>
  <si>
    <t>10.1109/WACV56688.2023.00232</t>
  </si>
  <si>
    <t>WOS:000971500202039</t>
  </si>
  <si>
    <t>Khowaja, SA; Khuwaja, P; Dev, K; Antonopoulos, A</t>
  </si>
  <si>
    <t>Khowaja, Sunder Ali; Khuwaja, Parus; Dev, Kapal; Antonopoulos, Angelos</t>
  </si>
  <si>
    <t>SPIN: Simulated Poisoning and Inversion Network for Federated Learning-Based 6G Vehicular Networks</t>
  </si>
  <si>
    <t>ICC 2023 - IEEE INTERNATIONAL CONFERENCE ON COMMUNICATIONS</t>
  </si>
  <si>
    <t>International Conference on Communications (ICC)</t>
  </si>
  <si>
    <t>IEEE International Conference on Communications (IEEE ICC)</t>
  </si>
  <si>
    <t>MAY 28-JUN 01, 2023</t>
  </si>
  <si>
    <t>IEEE,IEEE Commun Soc</t>
  </si>
  <si>
    <t>Model Inversion Attacks; Model Poisoning Attacks; Federated Learning; Vehicular Networks; 6G</t>
  </si>
  <si>
    <t>The applications concerning vehicular networks benefit from the vision of beyond 5G and 6G technologies such as ultra-dense network topologies, low latency, and high data rates. Vehicular networks have always faced data privacy preservation concerns, which lead to the advent of distributed learning techniques such as federated learning. Although federated learning has solved data privacy preservation issues to some extent, the technique is quite vulnerable to model inversion and model poisoning attacks. We assume that the design of defense mechanism and attacks are two sides of the same coin. Designing a method to reduce vulnerability requires the attack to be effective and challenging with real-world implications. In this work, we propose simulated poisoning and inversion network (SPIN) that leverages the optimization approach for reconstructing data from a differential model trained by a vehicular node and intercepted when transmitted to roadside unit (RSU). We then train a generative adversarial network (GAN) to improve the generation of data with each passing round and global update from the RSU, accordingly. Evaluation results show the qualitative and quantitative effectiveness of the proposed approach. The attack initiated by SPIN can reduce up to 22% accuracy on publicly available datasets while just using a single attacker. We assume that revealing the simulation of such attacks would help us find its defense mechanism in an effective manner.</t>
  </si>
  <si>
    <t>[Khowaja, Sunder Ali] Univ Sindh, Dept Telecommun Engn, Jamshoro, Pakistan; [Khuwaja, Parus] Univ Sindh, Jamshoro, Pakistan; [Dev, Kapal] Munster Technol Univ, Dept Comp Sci, Cork, Ireland; [Antonopoulos, Angelos] Nearby Comp, R&amp;I Dept, Barcelona, Spain</t>
  </si>
  <si>
    <t>University of Sindh; University of Sindh; Munster Technological University (MTU)</t>
  </si>
  <si>
    <t>Khowaja, SA (corresponding author), Univ Sindh, Dept Telecommun Engn, Jamshoro, Pakistan.</t>
  </si>
  <si>
    <t>sandar.ali@usindh.edu.pk; parus.khuwaja@usindh.edu.pk; kapal.dev@mtu.ie; aantonopoulos@nearbycomputing.com</t>
  </si>
  <si>
    <t>978-1-5386-7462-8</t>
  </si>
  <si>
    <t>INT CONF COMM</t>
  </si>
  <si>
    <t>10.1109/ICC45041.2023.10279339</t>
  </si>
  <si>
    <t>BW0DY</t>
  </si>
  <si>
    <t>WOS:001094862606055</t>
  </si>
  <si>
    <t>EF8Q8</t>
  </si>
  <si>
    <t>WOS:001137603800005</t>
  </si>
  <si>
    <t>Huang, S; Wang, Z; Li, P; Jia, B; Liu, T; Zhu, Y; Liang, W; Zhu, SC</t>
  </si>
  <si>
    <t>Huang, Siyuan; Wang, Zan; Li, Puhao; Jia, Baoxiong; Liu, Tengyu; Zhu, Yixin; Liang, Wei; Zhu, Song-Chun</t>
  </si>
  <si>
    <t>Diffusion-based Generation, Optimization, and Planning in 3D Scenes</t>
  </si>
  <si>
    <t>We introduce the SceneDiffuser, a conditional generative model for 3D scene understanding. SceneDiffuser provides a unified model for solving scene-conditioned generation, optimization, and planning. In contrast to prior work, SceneDiffuser is intrinsically scene-aware, physics-based, and goal-oriented. With an iterative sampling strategy, SceneDiffuser jointly formulates the scene-aware generation, physics-based optimization, and goal-oriented planning via a diffusion-based denoising process in a fully differentiable fashion. Such a design alleviates the discrepancies among different modules and the posterior collapse of previous scene-conditioned generative models. We evaluate the SceneDiffuser on various 3D scene understanding tasks, including human pose and motion generation, dexterous grasp generation, path planning for 3D navigation, and motion planning for robot arms. The results show significant improvements compared with previous models, demonstrating the tremendous potential of the SceneDiffuser for the broad community of 3D scene understanding.</t>
  </si>
  <si>
    <t>[Huang, Siyuan; Wang, Zan; Li, Puhao; Jia, Baoxiong; Liu, Tengyu; Zhu, Song-Chun] BIGAI, Natl Key Lab Gen Artificial Intelligence, Beijing, Peoples R China; [Wang, Zan; Liang, Wei] Beijing Inst Technol, Sch Comp Sci Technol, Beijing, Peoples R China; [Li, Puhao; Zhu, Song-Chun] Tsinghua Univ, Dept Automat, Beijing, Peoples R China; [Zhu, Yixin; Zhu, Song-Chun] Peking Univ, Inst AI, Beijing, Peoples R China; [Liang, Wei] Beijing Inst Technol, Yangtze Delta Region Acad, Jiaxing, Peoples R China</t>
  </si>
  <si>
    <t>Beijing Institute of Technology; Tsinghua University; Peking University; Beijing Institute of Technology</t>
  </si>
  <si>
    <t>Huang, S (corresponding author), BIGAI, Natl Key Lab Gen Artificial Intelligence, Beijing, Peoples R China.;Liang, W (corresponding author), Beijing Inst Technol, Sch Comp Sci Technol, Beijing, Peoples R China.;Liang, W (corresponding author), Beijing Inst Technol, Yangtze Delta Region Acad, Jiaxing, Peoples R China.</t>
  </si>
  <si>
    <t>syhuang@bigai.ai; liangwei@bit.edu.cn</t>
  </si>
  <si>
    <t>National Key R&amp;D Program of China [2021ZD0150200]; Beijing Nova Program; National Natural Science Foundation of China (NSFC) [62172043]</t>
  </si>
  <si>
    <t>National Key R&amp;D Program of China; Beijing Nova Program(Beijing Municipal Science &amp; Technology Commission); National Natural Science Foundation of China (NSFC)(National Natural Science Foundation of China (NSFC))</t>
  </si>
  <si>
    <t>We thank Ruiqi Gao and Ying Nian Wu for their helpful discussions and suggestions. This work is supported in part by the National Key R&amp;D Program of China (2021ZD0150200), the Beijing Nova Program, and the National Natural Science Foundation of China (NSFC) (62172043).</t>
  </si>
  <si>
    <t>10.1109/CVPR52729.2023.01607</t>
  </si>
  <si>
    <t>WOS:001062531301006</t>
  </si>
  <si>
    <t>Wang, S; Scells, H; Potthast, M; Koopman, B; Zuccon, G</t>
  </si>
  <si>
    <t>Wang, Shuai; Scells, Harrisen; Potthast, Martin; Koopman, Bevan; Zuccon, Guido</t>
  </si>
  <si>
    <t>Generating Natural Language Queries for More Effective Systematic Review Screening Prioritisation</t>
  </si>
  <si>
    <t>Systematic review; Screening prioritisation; Query variations; LLM</t>
  </si>
  <si>
    <t>Screening prioritisation in medical systematic reviews aims to rank the set of documents retrieved by complex Boolean queries. Prioritising the most important documents ensures that subsequent review steps can be carried out more efficiently and effectively. The current state of the art uses the final title of the review as a query to rank the documents using BERT-based neural rankers. However, the final title is only formulated at the end of the review process, which makes this approach impractical as it relies on ex post facto information. At the time of screening, only a rough working title is available, with which the BERT-based ranker performs significantly worse than with the final title. In this paper, we explore alternative sources of queries for prioritising screening, such as the Boolean query used to retrieve the documents to be screened and queries generated by instruction-based generative large-scale language models such as ChatGPT and Alpaca. Our best approach is not only viable based on the information available at the time of screening, but also has similar effectiveness to the final title.</t>
  </si>
  <si>
    <t>[Wang, Shuai; Koopman, Bevan; Zuccon, Guido] Univ Queensland, Brisbane, Qld, Australia; [Scells, Harrisen; Potthast, Martin] Univ Leipzig, Leipzig, Germany; [Potthast, Martin] ScaDS AI, Leipzig, Germany; [Koopman, Bevan] CSIRO, Canberra, ACT, Australia</t>
  </si>
  <si>
    <t>University of Queensland; Leipzig University; Commonwealth Scientific &amp; Industrial Research Organisation (CSIRO)</t>
  </si>
  <si>
    <t>Wang, S (corresponding author), Univ Queensland, Brisbane, Qld, Australia.</t>
  </si>
  <si>
    <t>Koopman, Bevan/0000-0001-5577-3391; Scells, Harrisen/0000-0001-9578-7157; Wang, Shuai/0000-0002-0726-5250; Zuccon, Guido/0000-0003-0271-5563</t>
  </si>
  <si>
    <t>UQ Earmarked PhD Scholarship; Australian Research Council [ARC DP 210104043]; Universities Australia - DAAD Joint Research Co-operation Scheme; European Commission [101070014]</t>
  </si>
  <si>
    <t>UQ Earmarked PhD Scholarship; Australian Research Council(Australian Research Council); Universities Australia - DAAD Joint Research Co-operation Scheme; European Commission(European Union (EU)European Commission Joint Research Centre)</t>
  </si>
  <si>
    <t>Shuai Wang is supported by a UQ Earmarked PhD Scholarship. This research is funded by the Australian Research Council Discovery Projects programme ARC DP 210104043, and by the Universities Australia - DAAD Joint Research Co-operation Scheme. This work was partially funded by the European Commission under GA 101070014 (OpenWebSearch.EU).</t>
  </si>
  <si>
    <t>10.1145/3624918.3625322</t>
  </si>
  <si>
    <t>WOS:001122582700009</t>
  </si>
  <si>
    <t>Pereira, RR; Bono, J; Ascensao, JT; Aparício, D; Ribeiro, P; Bizarro, P</t>
  </si>
  <si>
    <t>Pereira, Ricardo Ribeiro; Bono, Jacopo; Ascensao, Joao Tiago; Aparicio, David; Ribeiro, Pedro; Bizarro, Pedro</t>
  </si>
  <si>
    <t>The GANfather: Controllable generation of malicious activity to improve defence systems</t>
  </si>
  <si>
    <t>RECOMMENDER SYSTEMS</t>
  </si>
  <si>
    <t>Machine learning methods to aid defence systems in detecting malicious activity typically rely on labelled data. In some domains, such labelled data is unavailable or incomplete. In practice this can lead to low detection rates and high false positive rates, which characterise for example anti-money laundering systems. In fact, it is estimated that 1.7-4 trillion euros are laundered annually and go undetected. We propose The GANfather, a method to generate samples with properties of malicious activity, without label requirements. We propose to reward the generation of malicious samples by introducing an extra objective to the typical Generative Adversarial Networks (GANs) loss. Ultimately, our goal is to enhance the detection of illicit activity using the discriminator network as a novel and robust defence system. Optionally, we may encourage the generator to bypass pre-existing detection systems. This setup then reveals defensive weaknesses for the discriminator to correct. We evaluate our method in two real-world use cases, money laundering and recommendation systems. In the former, our method moves cumulative amounts close to 350 thousand dollars through a network of accounts without being detected by an existing system. In the latter, we recommend the target item to a broad user base with as few as 30 synthetic attackers. In both cases, we train a new defence system to capture the synthetic attacks.</t>
  </si>
  <si>
    <t>[Pereira, Ricardo Ribeiro; Bono, Jacopo; Ascensao, Joao Tiago; Bizarro, Pedro] Feedzai, Coimbra, Portugal; [Pereira, Ricardo Ribeiro; Aparicio, David; Ribeiro, Pedro] Univ Porto, Porto, Portugal</t>
  </si>
  <si>
    <t>Universidade do Porto</t>
  </si>
  <si>
    <t>Pereira, RR; Bizarro, P (corresponding author), Feedzai, Coimbra, Portugal.;Pereira, RR (corresponding author), Univ Porto, Porto, Portugal.</t>
  </si>
  <si>
    <t>ricardo.ribeiro@feedzai.com; pedro.bizarro@feedzai.com</t>
  </si>
  <si>
    <t>Ribeiro, Pedro/V-2965-2019; Ribeiro, Pedro/F-9537-2011</t>
  </si>
  <si>
    <t>Ribeiro, Pedro/0000-0003-3249-7683; Ribeiro Pereira, Ricardo/0000-0003-2759-2301; Ribeiro, Pedro/0000-0002-5768-1383</t>
  </si>
  <si>
    <t>10.1145/3604237.3626882</t>
  </si>
  <si>
    <t>WOS:001124982700016</t>
  </si>
  <si>
    <t>Fernandez, P; Chaffin, A; Tit, K; Chappelier, V; Furon, T</t>
  </si>
  <si>
    <t>Fernandez, Pierre; Chaffin, Antoine; Tit, Karim; Chappelier, Vivien; Furon, Teddy</t>
  </si>
  <si>
    <t>Three Bricks to Consolidate Watermarks for Large Language Models</t>
  </si>
  <si>
    <t>Watermarking; Large Language Model</t>
  </si>
  <si>
    <t>Discerning between generated and natural texts is increasingly challenging. In this context, watermarking emerges as a promising technique for ascribing text to a specific generative model. It alters the sampling generation process to leave an invisible trace in the output, facilitating later detection. This research consolidates watermarks for large language models based on three theoretical and empirical considerations. First, we introduce new statistical tests that offer robust theoretical guarantees which remain valid even at low false-positive rates (less than 10-6). Second, we compare the effectiveness of watermarks using classical benchmarks in the field of natural language processing, gaining insights into their real-world applicability. Third, we develop advanced detection schemes for scenarios where access to the LLM is available, as well as multi-bit watermarking.</t>
  </si>
  <si>
    <t>[Fernandez, Pierre; Chaffin, Antoine; Tit, Karim; Furon, Teddy] Univ Rennes, Ctr Inria, Rennes, France; [Chaffin, Antoine; Chappelier, Vivien] Imatag, Rennes, France; [Fernandez, Pierre] Meta AI, Rennes, France</t>
  </si>
  <si>
    <t>Universite de Rennes</t>
  </si>
  <si>
    <t>Fernandez, P (corresponding author), Univ Rennes, Ctr Inria, Rennes, France.;Fernandez, P (corresponding author), Meta AI, Rennes, France.</t>
  </si>
  <si>
    <t>pierre.fernandez@inria.fr</t>
  </si>
  <si>
    <t>ANR/AID [SAIDA ANR20-CHIA-0011]</t>
  </si>
  <si>
    <t>ANR/AID</t>
  </si>
  <si>
    <t>Work supported by ANR/AID under Chaire SAIDA ANR20-CHIA-0011. We also thank Thomas Scialom, Herv ' e J ' egou and Matthijs Douze for their insights throughout this work.</t>
  </si>
  <si>
    <t>10.1109/WIFS58808.2023.10374576</t>
  </si>
  <si>
    <t>WOS:001156967300002</t>
  </si>
  <si>
    <t>Oh, JH; Skiba, AW; Hammack, SD; Mitsingas, CM; Carter, CD; Lee, T</t>
  </si>
  <si>
    <t>Oh, Ji-Hun; Skiba, Aaron W.; Hammack, Stephen D.; Mitsingas, Constandinos M.; Carter, Campbell D.; Lee, Tonghun</t>
  </si>
  <si>
    <t>Temporally resolving premixed turbulent flame structures using self-supervised adversarial reconstruction of CH-PLIF</t>
  </si>
  <si>
    <t>Self-supervised frame interpolation; Premixed turbulent flames; Planar laser-induced fluorescence; Generative adversarial networks; Pocket behavior</t>
  </si>
  <si>
    <t>RATES; OH</t>
  </si>
  <si>
    <t>Understanding the turbulence-flame interaction is crucial to model the low-emission combustors developed for energy and propulsion applications. To this end, a novel frame interpolation (FI) method is proposed to better resolve the spatiotemporal evolution of premixed turbulent flame structures. The framework is completely selfsupervised, agnostic to optical flow, and driven by leveraging transferrable feature knowledge at lower speeds and adversarial learning to statistically map the flame dynamics across frames. The method is successfully applied on a 10 kHz CH planar laser-induced fluorescence (PLIF) dataset of highly wrinkled premixed flames with turbulent Reynolds numbers (ReT) of 1100, 1400, and 7900, by down-sampling the image sequence to 5 kHz and restoring the sequence back to 10 kHz via FI. All reconstructions recovered important flame events and displayed excellent resemblance of the corrugated CH-layer geometries to that of the ground truths, with average intersection over union (IoU) and structural similarity index (SSIM) scores of 0.49 and 0.82, which are above the high-similarity baselines of 0.36 and 0.75, respectively. The wrinkling parameters (WP) of the flames also matched the ground truths, wherein R2 was roughly 0.95 for ReT = 1100 and 1400 and 0.85 for ReT = 7900 (lower due to the turbulence-induced uncertainties). The FI is further iteratively repeated to 40 kHz on the ReT = 7900 flames to facilitate pocket analysis by confidently linking their origin of formation, thus, enabling distinction from 3D tunnels, and improving statistical characterization of their consumption speeds. Given that the object features do not exhibit highly turbulent motions with regard to the initial time step, the proposed FI method is shown to be highly accurate and useful to analyzing finite-resolution experimental image sets including, but not restricted to, CH-PLIF.</t>
  </si>
  <si>
    <t>[Oh, Ji-Hun; Lee, Tonghun] Univ Illinois, Dept Mech Sci &amp; Engn, Champaign, IL 61801 USA; [Skiba, Aaron W.; Hammack, Stephen D.; Carter, Campbell D.] US Air Force, Res Lab, Wright Patterson AFB, OH 45433 USA; [Mitsingas, Constandinos M.] US Army, Res Lab, Aberdeen Proving Ground, MD 21005 USA</t>
  </si>
  <si>
    <t>University of Illinois System; University of Illinois Urbana-Champaign; United States Department of Defense; United States Air Force; United States Department of Defense; US Army Research, Development &amp; Engineering Command (RDECOM); US Army Research Laboratory (ARL)</t>
  </si>
  <si>
    <t>Lee, T (corresponding author), Univ Illinois, Dept Mech Sci &amp; Engn, Champaign, IL 61801 USA.</t>
  </si>
  <si>
    <t>tonghun@illinois.edu</t>
  </si>
  <si>
    <t>Army Research Laboratory [W911NF-20-2-0220]; AFOSR [FA9550-21-1-0072]; ONR [N00014-21-1-2475]</t>
  </si>
  <si>
    <t>Army Research Laboratory(United States Department of DefenseUS Army Research Laboratory (ARL)); AFOSR(United States Department of DefenseAir Force Office of Scientific Research (AFOSR)); ONR(Office of Naval Research)</t>
  </si>
  <si>
    <t>This work was supported by the Army Research Laboratory under Cooperative Agreement Number. W911NF-20-2-0220. Student support and data was also provided by AFOSR (FA9550-21-1-0072, Program Manager: Dr. Chiping Li) and ONR (N00014-21-1-2475, Program Manager: Dr. Eric Marineau) .</t>
  </si>
  <si>
    <t>10.1016/j.egyai.2022.100207</t>
  </si>
  <si>
    <t>Y7AI5</t>
  </si>
  <si>
    <t>WOS:001106746200001</t>
  </si>
  <si>
    <t>Kang, SY; Kim, M; Shim, H</t>
  </si>
  <si>
    <t>Kang, Seoungyoon; Kim, Minjae; Shim, Hyunjung</t>
  </si>
  <si>
    <t>F2RPC: Fake to Real Portrait Control From a Virtual Character</t>
  </si>
  <si>
    <t>Face morphing; facial reenactment; generative adversarial networks; virtual character destylization</t>
  </si>
  <si>
    <t>Existing methods for generating virtual character videos focus on improving either appearance or motion. However, achieving both photo- and motion-realistic characters is critical in real services. To address both aspects, we propose Fake to Real Portrait Control (F2RPC), a unified framework for image destylization and face reenactment. F2RPC employs a blind face restoration model to circumvent GAN inversion limitations, such as identity loss and alignment sensitivity, while preserving GAN's generation quality. This framework includes two novel sub-modules: AdaGPEN for destylization and PCGPEN for reenactment, both leveraging the same restoration model as a backbone. AdaGPEN exploits GAN prior of the restoration model via blending features from the original and its blurred image using the AdaMix block. PCGPEN reenacts the input image to follow the input motion condition via flow-based feature editing. These components function in an end-to-end manner, enhancing efficiency and lowering computational overhead. We evaluate F2RPC using synthetic character dataset and high-resolution talking face datasets for destylization and reenactment, respectively. The results show that F2RPC outperforms the combined use of state-of-the-art methods for destylization (i.e., DualStyleGAN) and reenactment (i.e., StyleHEAT). F2RPC improves the FID by 26.4% and preserves identity similarity by 95% more at a resolution of 512x512 video. This evidences F2RPC's efficacy and superiority in the photo- and motion-realistic virtual character video generation task.</t>
  </si>
  <si>
    <t>[Kang, Seoungyoon] Yonsei Univ, Sch Integrated Technol, Incheon 21983, South Korea; [Kim, Minjae] NCSOFT, AI Ctr, Vis AI Lab, Seongnam 13494, Gyeonggi, South Korea; [Shim, Hyunjung] Korea Adv Inst Sci &amp; Technol KAIST, Kim Jaechul Grad Sch Artificial Intelligence, Seoul 02455, South Korea</t>
  </si>
  <si>
    <t>Yonsei University; Korea Advanced Institute of Science &amp; Technology (KAIST)</t>
  </si>
  <si>
    <t>Shim, H (corresponding author), Korea Adv Inst Sci &amp; Technol KAIST, Kim Jaechul Grad Sch Artificial Intelligence, Seoul 02455, South Korea.</t>
  </si>
  <si>
    <t>kateshim@kaist.ac.kr</t>
  </si>
  <si>
    <t>강, 승윤/KBA-9830-2024</t>
  </si>
  <si>
    <t>강, 승윤/0000-0001-8568-6811</t>
  </si>
  <si>
    <t>NCSOFT, Seongnam, South Korea; Basic Science Research Program through the National Research Foundation of Korea (NRF) - MSIP [NRF-2022R1A2C3011154, NRF-2023-00219019]; IITP grant; KEIT grant - Korea Government (MOTIE) [2022-0-00680, 2022-0-01045]</t>
  </si>
  <si>
    <t>NCSOFT, Seongnam, South Korea; Basic Science Research Program through the National Research Foundation of Korea (NRF) - MSIP(National Research Foundation of Korea); IITP grant(Institute for Information &amp; Communication Technology Planning &amp; Evaluation (IITP), Republic of Korea); KEIT grant - Korea Government (MOTIE)(Ministry of Trade, Industry &amp; Energy (MOTIE), Republic of Korea)</t>
  </si>
  <si>
    <t>This work was supported in part by NCSOFT, Seongnam, South Korea; in part by the Basic Science Research Program through the National Research Foundation of Korea (NRF) funded by MSIP under Grant NRF-2022R1A2C3011154 and Grant NRF-2023-00219019; and in part by IITP grant funded the Korea Government (MSIT) and KEIT grant funded by the Korea Government (MOTIE) under Grant 2022-0-00680 and Grant 2022-0-01045.</t>
  </si>
  <si>
    <t>10.1109/ACCESS.2023.3306836</t>
  </si>
  <si>
    <t>Q8WZ9</t>
  </si>
  <si>
    <t>WOS:001060281800001</t>
  </si>
  <si>
    <t>Bao, F; Nie, S; Xue, KW; Cao, Y; Li, CX; Sul, H; Zhu, J</t>
  </si>
  <si>
    <t>Bao, Fan; Nie, Shen; Xue, Kaiwen; Cao, Yue; Li, Chongxuan; Su, Hang; Zhu, Jun</t>
  </si>
  <si>
    <t>All areWorth Words: A ViT Backbone for Diffusion Models</t>
  </si>
  <si>
    <t>Vision transformers (ViT) have shown promise in various vision tasks while the U-Net based on a convolutional neural network (CNN) remains dominant in diffusion models. We design a simple and general ViT-based architecture (named U-ViT) for image generation with diffusion models. U-ViT is characterized by treating all inputs including the time, condition and noisy image patches as tokens and employing long skip connections between shallow and deep layers. We evaluate U-ViT in unconditional and class-conditional image generation, as well as text-to-image generation tasks, where U-ViT is comparable if not superior to a CNN-based U-Net of a similar size. In particular, latent diffusion models with U-ViT achieve record-breaking FID scores of 2.29 in class-conditional image generation on ImageNet 256x256, and 5.48 in text-to-image generation on MS-COCO, among methods without accessing large external datasets during the training of generative models. Our results suggest that, for diffusion-based image modeling, the long skip connection is crucial while the down-sampling and up-sampling operators in CNN-based U-Net are not always necessary. We believe that U-ViT can provide insights for future research on backbones in diffusion models and benefit generative modeling on large scale cross-modality datasets.</t>
  </si>
  <si>
    <t>[Bao, Fan; Zhu, Jun] Inst AI, Dept Comp Sci &amp; Tech, BNRist Ctr, Beijing, Peoples R China; [Nie, Shen; Xue, Kaiwen; Li, Chongxuan] Renmin Univ China, GaoLing Sch Artificial Intelligence, Beijing, Peoples R China; [Nie, Shen; Xue, Kaiwen; Li, Chongxuan] Beijing Key Lab Big Data Management &amp; Anal Method, Beijing, Peoples R China; [Cao, Yue] Beijing Acad Artificial Intelligence, Beijing, Peoples R China</t>
  </si>
  <si>
    <t>Renmin University of China</t>
  </si>
  <si>
    <t>Zhu, J (corresponding author), Inst AI, Dept Comp Sci &amp; Tech, BNRist Ctr, Beijing, Peoples R China.;Li, CX (corresponding author), Renmin Univ China, GaoLing Sch Artificial Intelligence, Beijing, Peoples R China.;Li, CX (corresponding author), Beijing Key Lab Big Data Management &amp; Anal Method, Beijing, Peoples R China.</t>
  </si>
  <si>
    <t>bf19@mails.tsinghua.edu.cn; nieshen@ruc.edu.cn; kevin.kaiwenxue@gmail.com; caoyuel0@gmail.com; chongxuanli@ruc.edu.cn; suhangss@tsinghua.edu.cn; dcszj@tsinghua.edu.cn</t>
  </si>
  <si>
    <t>NSF of China Projects [62061136001, 61620106010, 62076145, U19B2034, U1811461, U19A2081, 6197222]; Beijing Outstanding Young Scientist Program [BJJWZYJH012019100020098]; Tsinghua Institute; High Performance Computing Center, Tsinghua University; Fundamental Research Funds for the Central Universities; Research Funds of Renmin University of China [22XNKJ13]; Beijing Nova Program; XPlorer Prize</t>
  </si>
  <si>
    <t>NSF of China Projects; Beijing Outstanding Young Scientist Program; Tsinghua Institute; High Performance Computing Center, Tsinghua University; Fundamental Research Funds for the Central Universities(Fundamental Research Funds for the Central Universities); Research Funds of Renmin University of China; Beijing Nova Program(Beijing Municipal Science &amp; Technology Commission); XPlorer Prize</t>
  </si>
  <si>
    <t>This work was supported by NSF of China Projects (Nos. 62061136001, 61620106010, 62076145, U19B2034, U1811461, U19A2081, 6197222); Beijing Outstanding Young Scientist Program NO. BJJWZYJH012019100020098; a grant from Tsinghua Institute for Guo Qiang; the High Performance Computing Center, Tsinghua University; the Fundamental Research Funds for the Central Universities, and the Research Funds of Renmin University of China (22XNKJ13). C. Li was also sponsored by Beijing Nova Program. J.Z was also supported by the XPlorer Prize.</t>
  </si>
  <si>
    <t>10.1109/CVPR52729.2023.02171</t>
  </si>
  <si>
    <t>WOS:001062531307001</t>
  </si>
  <si>
    <t>Okui, N; Ikegami, T; Hashimoto, T; Kouno, Y; Nakano, K; Okui, MA</t>
  </si>
  <si>
    <t>Okui, Nobuo; Ikegami, Tadashi; Hashimoto, Tatsuo; Kouno, Yuko; Nakano, Kaori; Okui, Machiko Aurora</t>
  </si>
  <si>
    <t>Predictive Factors for High Post-void Residual Volume in Older Females After OnabotulinumA Treatment for Severe Overactive Bladder Using a Machine Learning Model</t>
  </si>
  <si>
    <t>urodynamic studies; support vector machine; random forest; post-void residual volume; machine learning models; frailty; overactive bladder; onabotulinuma; ai &amp; robotics in healthcare</t>
  </si>
  <si>
    <t>URINARY-INCONTINENCE; TOXIN; FRAILTY</t>
  </si>
  <si>
    <t>Introduction Intravesical onabotulinumA injection is actively used for the treatment of overactive bladder (OAB). However, it occasionally results in significant post-void residual urine (PVR) volume, which can lead to complications and can further impair the activities of daily living in older people. Therefore, this study aimed to identify the predictors of a high post-onabotulinumA injection PVR volume in older women with severe OAB. Methods An observational study was conducted on older women who had previously received intravesical onabotulinumA injections to treat OAB between 2020 and 2022. Urodynamic studies and symptom assessments were conducted, and machine learning models, including random forest and support vector machine (SVM) models, were developed using the R code generated by Chat Generative Pre-trained Transformer 4 (ChatGPT, OpenAI, San Francisco, USA). Results Among 128 patients with OAB, 23 (18.0%) had a PVR volume of &gt; 200 mL after receiving onabotulinumA injections. The factors associated with a PVR volume of &gt; 200 mL were investigated using univariate and multivariate analyses. Age, frailty, OAB-wet, daytime frequency, and nocturia were significant predictors. Random forest analysis highlighted daytime frequency, frailty, and voiding efficiency as important factors. An SVM model incorporating daytime frequency, frailty, and voiding efficiency improved PVR volume prediction. Logit(p) estimation yielded an area under the receiver operating characteristic curve of 0.926294. Conclusion The study found daytime frequency, frailty, and voiding inefficiency to be significant factors associated with a PVR volume of &gt; 200 mL, in older women with severe OAB. Utilizing advanced machine learning techniques and following the guidance of ChatGPT, this research emphasizes the relevance of considering multiple intersecting factors for predicting PVR volume. The findings contribute to our understanding of onabotulinumA injection treatment for OAB and support evidence-based decision-making using readily available information.</t>
  </si>
  <si>
    <t>[Okui, Nobuo] Kanagawa Dent Univ, Dent, Yokosuka, Kanagawa, Japan; [Ikegami, Tadashi] Kanagawa Dent Univ, Diagnost Imaging, Yokosuka, Kanagawa, Japan; [Hashimoto, Tatsuo] Kanagawa Dent Univ, Internal Med, Yokosuka, Kanagawa, Japan; [Kouno, Yuko; Nakano, Kaori] Dr Okuis Urogynecol &amp; Urol, Urol, Yokosuka, Kanagawa, Japan; [Okui, Machiko Aurora] Yokosuka Urogynecol Clin, Urogynecol, Yokosuka, Kanagawa, Japan</t>
  </si>
  <si>
    <t>Kanagawa Dental College; Kanagawa Dental College; Kanagawa Dental College</t>
  </si>
  <si>
    <t>Okui, N (corresponding author), Kanagawa Dent Univ, Dent, Yokosuka, Kanagawa, Japan.</t>
  </si>
  <si>
    <t>okuinobuo@gmail.com</t>
  </si>
  <si>
    <t>e42668</t>
  </si>
  <si>
    <t>10.7759/cureus.42668</t>
  </si>
  <si>
    <t>Y7IC6</t>
  </si>
  <si>
    <t>WOS:001106951100008</t>
  </si>
  <si>
    <t>Alexanderson, S; Nagy, R; Beskow, J; Henter, GE</t>
  </si>
  <si>
    <t>Alexanderson, Simon; Nagy, Rajmund; Beskow, Jonas; Henter, Gustav Eje</t>
  </si>
  <si>
    <t>Listen, Denoise, Action! Audio-Driven Motion Synthesis with Diffusion Models</t>
  </si>
  <si>
    <t>Generative models; machine learning; diffusion models; conformers; gestures; dance; locomotion; product of experts; ensemble models; guided interpolation</t>
  </si>
  <si>
    <t>SPEECH; ANIMATION; GESTURE</t>
  </si>
  <si>
    <t>Diffusion models have experienced a surge of interest as highly expressive yet efficiently trainable probabilistic models. We show that these models are an excellent fit for synthesising human motion that co-occurs with audio, e.g., dancing and co-speech gesticulation, since motion is complex and highly ambiguous given audio, calling for a probabilistic description. Specifically, we adapt the DiffWave architecture to model 3D pose sequences, putting Conformers in place of dilated convolutions for improved modelling power. We also demonstrate control over motion style, using classifier-free guidance to adjust the strength of the stylistic expression. Experiments on gesture and dance generation confirm that the proposed method achieves top-of-the-line motion quality, with distinctive styles whose expression can be made more or less pronounced. We also synthesise path-driven locomotion using the same model architecture. Finally, we generalise the guidance procedure to obtain product-of-expert ensembles of diffusion models and demonstrate how these may be used for, e.g., style interpolation, a contribution we believe is of independent interest.</t>
  </si>
  <si>
    <t>[Alexanderson, Simon; Nagy, Rajmund; Beskow, Jonas; Henter, Gustav Eje] KTH Royal Inst Technol, Div Speech Mus &amp; Hearing, Stockholm, Sweden; [Alexanderson, Simon; Henter, Gustav Eje] Motor AB, Stockholm, Sweden</t>
  </si>
  <si>
    <t>Royal Institute of Technology</t>
  </si>
  <si>
    <t>Alexanderson, S (corresponding author), KTH Royal Inst Technol, Div Speech Mus &amp; Hearing, Stockholm, Sweden.;Alexanderson, S (corresponding author), Motor AB, Stockholm, Sweden.</t>
  </si>
  <si>
    <t>simonal@kth.se; rajmundn@kth.se; beskow@kth.se; ghe@kth.se</t>
  </si>
  <si>
    <t>Wallenberg AI, Autonomous Systems and Software Program (WASP) - Knut and Alice Wallenberg Foundation [0146472]</t>
  </si>
  <si>
    <t>Wallenberg AI, Autonomous Systems and Software Program (WASP) - Knut and Alice Wallenberg Foundation</t>
  </si>
  <si>
    <t>This work was partially supported by a grant from Digital Futures (KTH-RPROJ-0146472) and by the Wallenberg AI, Autonomous Systems and Software Program (WASP) funded by the Knut and Alice Wallenberg Foundation. Some of the computations were enabled by the supercomputing resource Berzelius provided by the National Supercomputer Centre at Linkoping University and the Knut and Alice Wallenberg foundation.</t>
  </si>
  <si>
    <t>10.1145/3592458</t>
  </si>
  <si>
    <t>WOS:001044671300010</t>
  </si>
  <si>
    <t>Ranjan, A; Kumar, H; Kumari, D; Anand, A; Misra, R</t>
  </si>
  <si>
    <t>Ranjan, Amit; Kumar, Hritik; Kumari, Deepshikha; Anand, Archit; Misra, Rajiv</t>
  </si>
  <si>
    <t>Molecule generation toward target protein (SARS-CoV-2) using reinforcement learning-based graph neural network via knowledge graph</t>
  </si>
  <si>
    <t>NETWORK MODELING AND ANALYSIS IN HEALTH INFORMATICS AND BIOINFORMATICS</t>
  </si>
  <si>
    <t>Binding affinity prediction; Graph neural network; Knowledge graph; Molecule generation; Reinforcement learning</t>
  </si>
  <si>
    <t>DRUG; PREDICTION</t>
  </si>
  <si>
    <t>AI-driven approaches are widely used in drug discovery, where candidate molecules are generated and tested on a target protein for binding affinity prediction. However, generating new compounds with desirable molecular properties such as Quantitative Estimate of Drug-likeness (QED) and Dopamine Receptor D2 activity (DRD2) while adhering to distinct chemical laws is challenging. To address these challenges, we proposed a graph-based deep learning framework to generate potential therapeutic drugs targeting the SARS-CoV-2 protein. Our proposed framework consists of two modules: a novel reinforcement learning (RL)-based graph generative module with knowledge graph (KG) and a graph early fusion approach (GEFA) for binding affinity prediction. The first module uses a gated graph neural network (GGNN) model under the RL environment for generating novel molecular compounds with desired properties and a custom-made KG for molecule screening. The second module uses GEFA to predict binding affinity scores between the generated compounds and target proteins. Experiments show how fine-tuning the GGNN model under the RL environment enhances the molecules with desired properties to generate 100% valid and 100% unique compounds using different scoring functions. Additionally, KG-based screening reduces the search space of generated candidate molecules by 96.64% while retaining 95.38% of promising binding molecules against SARS-CoV-2 protein, i.e., 3C-like protease (3CLpro). We achieved a binding affinity score of 8.185 from the top rank of generated compound. In addition, we compared top-ranked generated compounds to Indinavir on different parameters, including drug-likeness and medicinal chemistry, for qualitative analysis from a drug development perspective.</t>
  </si>
  <si>
    <t>[Ranjan, Amit; Kumari, Deepshikha; Misra, Rajiv] Indian Inst Technol Patna, Dept Comp Sci &amp; Engn, Bihta 801106, Bihar, India; [Kumar, Hritik] Indian Inst Technol Patna, Dept Elect Engn, Bihta 801106, Bihar, India; [Anand, Archit] Indian Inst Technol Patna, Dept Met &amp; Mat Engn, Bihta 801106, Bihar, India; [Ranjan, Amit; Kumar, Hritik; Kumari, Deepshikha; Anand, Archit; Misra, Rajiv] Indian Inst Technol Patna, Bihta 801106, Bihar, India</t>
  </si>
  <si>
    <t>Indian Institute of Technology (IIT) - Patna; Indian Institute of Technology (IIT) - Patna; Indian Institute of Technology (IIT) - Patna; Indian Institute of Technology (IIT) - Patna</t>
  </si>
  <si>
    <t>Ranjan, A (corresponding author), Indian Inst Technol Patna, Dept Comp Sci &amp; Engn, Bihta 801106, Bihar, India.;Ranjan, A (corresponding author), Indian Inst Technol Patna, Bihta 801106, Bihar, India.</t>
  </si>
  <si>
    <t>amit_1921cs18@iitp.ac.in; hritik_1901ee26@iitp.ac.in; deepshikha_1901cs19@iitp.ac.in; archit_1901mm09@iitp.ac.in; rajivm@iitp.ac.in</t>
  </si>
  <si>
    <t>Kumar, Hritik/0009-0009-4131-0914</t>
  </si>
  <si>
    <t>Microsoft Corporation and its affiliates, Redmond USA [00011000011]</t>
  </si>
  <si>
    <t>Microsoft Corporation and its affiliates, Redmond USA</t>
  </si>
  <si>
    <t>Financial support by Microsoft Corporation and its affiliates, Redmond USA, for providing us Microsoft Azure service under Grant ID: 00011000011 is gratefully acknowledged.</t>
  </si>
  <si>
    <t>2192-6662</t>
  </si>
  <si>
    <t>2192-6670</t>
  </si>
  <si>
    <t>NETW MODEL ANAL HLTH</t>
  </si>
  <si>
    <t>Netw. Model. Anal. Health</t>
  </si>
  <si>
    <t>JAN 6</t>
  </si>
  <si>
    <t>10.1007/s13721-023-00409-2</t>
  </si>
  <si>
    <t>Mathematical &amp; Computational Biology</t>
  </si>
  <si>
    <t>7Q9HD</t>
  </si>
  <si>
    <t>WOS:000909692400001</t>
  </si>
  <si>
    <t>Kim, J; Park, J; Kim, HY</t>
  </si>
  <si>
    <t>Wang, L; Gall, J; Chin, TJ; Sato, I; Chellappa, R</t>
  </si>
  <si>
    <t>Kim, Jungeun; Park, Jeongeun; Kim, Ha Young</t>
  </si>
  <si>
    <t>ADEL: Adaptive Distribution Effective-Matching Method for Guiding Generators of GANs</t>
  </si>
  <si>
    <t>COMPUTER VISION - ACCV 2022, PT VII</t>
  </si>
  <si>
    <t>16th Asian Conference on Computer Vision (ACCV)</t>
  </si>
  <si>
    <t>DEC 04-08, 2022</t>
  </si>
  <si>
    <t>Macao, PEOPLES R CHINA</t>
  </si>
  <si>
    <t>Univ Macau,Springer,Artificial Intelligence Journal,OPPO</t>
  </si>
  <si>
    <t>Deep learning; Generative adversarial networks; Training stabilization; Probability distribution matching</t>
  </si>
  <si>
    <t>Research on creating high-quality, realistic fake images has engendered immense improvement in GANs. However, GAN training is still subject to mode collapse or vanishing gradient problems. To address these issues, we propose an adaptive distribution effective-matching method (ADEL) that sustains the stability of training and enables high performance by ensuring that the training abilities of the generator and discriminator are maintained in balance without bias in either direction. ADEL can help the generator's training by matching the difference between the distribution of real and fake images. As training is ideal when the discriminator and generator are in a balanced state, ADEL works when it is out of a certain optimal range based on the loss value. Through this, ADEL plays an important role in guiding the generator to create images similar to real images in the early stage when training is difficult. As training progresses, it naturally decays and gives model more freedom to generate a variety of images. ADEL can be applied to a variety of loss functions such as Kullback-Liebler divergence loss, Wasserstein loss, and Least-squares loss. Through extensive experiments, we show that ADEL improves the performance of diverse models such as DCGAN, WGAN, WGAN-GP, LSGAN, and StyleGANv2 upon five datasets, including low-resolution (CIFAR-10 and STL-10) as well as high-resolution (LSUNBedroom, Church, and ImageNet) datasets. Our proposed method is very simple and has a low computational burden, so it is expandable and can be used for diverse models.</t>
  </si>
  <si>
    <t>[Kim, Jungeun] Yonsei Univ, Dept AI, Seoul, South Korea; [Park, Jeongeun; Kim, Ha Young] Yonsei Univ, Grad Sch Informat, Seoul, South Korea</t>
  </si>
  <si>
    <t>Yonsei University; Yonsei University</t>
  </si>
  <si>
    <t>Kim, HY (corresponding author), Yonsei Univ, Grad Sch Informat, Seoul, South Korea.</t>
  </si>
  <si>
    <t>jekim5418@yonsei.ac.kr; park.je@yonsei.ac.kr; hayoung.kim@yonsei.ac.kr</t>
  </si>
  <si>
    <t>Park, Jeongeun/KDN-4631-2024; Park, Jeongeun/ITU-4317-2023</t>
  </si>
  <si>
    <t>Park, Jeongeun/0000-0001-9431-952X; Kim, Jungeun/0000-0002-5341-726X; Kim, Ha Young/0000-0001-5853-7589</t>
  </si>
  <si>
    <t>Korea Agency for Infrastructure Technology Advancement (KAIA) - Ministry of Land, Infrastructure and Transport [22CTAP-C163908-02]; Institute of Information &amp; Communications Technology Planning &amp; Evaluation (IITP) - Korea government (MSIT) [2020-0-01361]</t>
  </si>
  <si>
    <t>Korea Agency for Infrastructure Technology Advancement (KAIA) - Ministry of Land, Infrastructure and Transport(Korea Agency for Infrastructure Technology Advancement (KAIA)Ministry of Land, Infrastructure &amp; Transport (MOLIT), Republic of Korea); Institute of Information &amp; Communications Technology Planning &amp; Evaluation (IITP) - Korea government (MSIT)(Institute for Information &amp; Communication Technology Planning &amp; Evaluation (IITP), Republic of KoreaMinistry of Science &amp; ICT (MSIT), Republic of Korea)</t>
  </si>
  <si>
    <t>This work was supported by the Korea Agency for Infrastructure Technology Advancement (KAIA) grant funded by the Ministry of Land, Infrastructure and Transport (22CTAP-C163908-02). This work was also supported by the Institute of Information &amp; Communications Technology Planning &amp; Evaluation (IITP) grant funded by the Korea government (MSIT) (No. 2020-0-01361, Artificial Intelligence Graduate School Program (Yonsei University)).</t>
  </si>
  <si>
    <t>978-3-031-26292-0; 978-3-031-26293-7</t>
  </si>
  <si>
    <t>10.1007/978-3-031-26293-7_3</t>
  </si>
  <si>
    <t>BV1YA</t>
  </si>
  <si>
    <t>WOS:001000816900003</t>
  </si>
  <si>
    <t>Nawaz, M; Javed, A; Irtaza, A</t>
  </si>
  <si>
    <t>Nawaz, Marriam; Javed, Ali; Irtaza, Aun</t>
  </si>
  <si>
    <t>Convolutional long short-term memory-based approach for deepfakes detection from videos</t>
  </si>
  <si>
    <t>CNN; Deepfakes; Bi-LSTM; Deep learning; Multimedia forensic</t>
  </si>
  <si>
    <t>SALIENCY DETECTION; IMAGES</t>
  </si>
  <si>
    <t>The great development in the area of Artificial Intelligence (AI) has introduced tremendous advancements in information technology. Moreover, the introduction of lightweight machine learning (ML) techniques allows the applications to work with limited storage and processing power. Deepfakes is among the most famous type of such applications of this era which generates a large amount of fake and modified audiovisual data. The creation of such fake data has introduced a serious risk to the security and confidentiality of humans all around the globe. Accurate detection and classification of actual and deepfakes content is a challenging task due to the progression of Generative adversarial networks (GANs) which produce such convincing manipulated content that it's impossible for people to recognize it through their naked eyes. In this work, we have presented deep learning (DL)-based approach namely the convolutional long short-term memory (C-LSTM) method for deepfakes detection from videos. More specifically, the spatial information from the input sample is calculated by employing various pre-trained models like VGG16, VGG19, ResNet50, XceptionNet, and GoogleNet, DenseNet. Further, we have proposed a novel feature descriptor called the Dense-Swish-Net121. Whereas the Bi-LSTM model is utilized to compute the temporal information. Lastly, the results are predicted based on both the frame level and temporal level information to make the final decision. A detailed comparison of all CNN models with the Bi-LSTM approach is performed and has confirmed through the reported results that the proposed Dense-Swish-Net121 with Bi-LSTM approach performs well for deepfakes detection.</t>
  </si>
  <si>
    <t>[Nawaz, Marriam; Javed, Ali] UET Taxila, Dept Software Engn, Taxila 47050, Punjab, Pakistan; [Irtaza, Aun] UET Taxila, Dept Comp Sci, Taxila 47050, Punjab, Pakistan</t>
  </si>
  <si>
    <t>Nawaz, M (corresponding author), UET Taxila, Dept Software Engn, Taxila 47050, Punjab, Pakistan.</t>
  </si>
  <si>
    <t>marriam.nawaz@uettaxila.edu.pk</t>
  </si>
  <si>
    <t>JAVED, ALI/X-3334-2019; Nawaz, Marriam/JVD-9229-2023</t>
  </si>
  <si>
    <t>Punjab HEC of Pakistan [PHEC/ARA/PIRCA/20527/21]; University of California Berkeley</t>
  </si>
  <si>
    <t>Punjab HEC of Pakistan; University of California Berkeley(University of California System)</t>
  </si>
  <si>
    <t>This work was supported by grant of Punjab HEC of Pakistan via Award No. (PHEC/ARA/PIRCA/20527/21). We would like to thank Prof. Hany Farid from the University of California Berkeley to provide us with their World Leaders Dataset for performance evaluation</t>
  </si>
  <si>
    <t>2023 JUL 19</t>
  </si>
  <si>
    <t>10.1007/s11042-023-16196-x</t>
  </si>
  <si>
    <t>M9PJ3</t>
  </si>
  <si>
    <t>WOS:001033457500003</t>
  </si>
  <si>
    <t>Koeroglu, EY; Faki, S; Bestepe, N; Tam, AA; Seyrek, NC; Topaloglu, O; Ersoy, R; Cakir, B</t>
  </si>
  <si>
    <t>Koeroglu, Ekin Y.; Faki, Sevguel; Bestepe, Nagihan; Tam, Abbas A.; Seyrek, Neslihan cuhaci; Topaloglu, Oya; Ersoy, Reyhan; Cakir, Bekir</t>
  </si>
  <si>
    <t>A Novel Approach: Evaluating ChatGPT's Utility for the Management of Thyroid Nodules</t>
  </si>
  <si>
    <t>chatgpt; thyroid; thyroid cancer; artificial intelligence; thyroid nodule</t>
  </si>
  <si>
    <t>INFORMATION; YOUTUBE</t>
  </si>
  <si>
    <t>Background and objective Artificial intelligence (AI) applications such as Chat Generative Pre-Trained Transformer (ChatGPT) created by OpenAI, which represent the revolutionary aspects of today's technology, have benefitted professionals in many fields and society at large. In this study, we aimed to assess how effective is ChatGPT in helping both the patient and the physician manage thyroid nodules, a very common pathology.Methods Fifty-five questions frequently asked by patients were identified and asked to ChatGPT. Subsequently, three cases of thyroid nodules were progressively presented to ChatGPT. The answers to patient questions were scored for correctness and reliability by two endocrinologists. As for the cases, diagnostic and therapeutic approaches provided by ChatGPT were analyzed and scored by two endocrinologists for correctness, safety, and usability. The responses were evaluated by using 7-point Likert-type scales designed by us.Results The answers to patient questions were found to be mostly correct and reliable by both raters (Rater #1: 6.47 +/- 0.50 and 6.27 +/- 0.52; Rater #2: 6.18 +/- 0.92 and 6.09 +/- 0.96). Regarding the management of cases, ChatGPT's approach was found to be largely correct, safe, and usable by Rater #1, while Rater #2 evaluated the approaches as partially or mostly correct, safe, and usable. Conclusion Based on our findings, ChatGPT can be used as an informative and reliable resource for managing patients with thyroid nodules. While it is not suitable to be used as a primary resource for physicians, it has the potential to be a helpful and supportive tool.</t>
  </si>
  <si>
    <t>[Koeroglu, Ekin Y.; Faki, Sevguel; Bestepe, Nagihan] Ankara City Hosp, Endocrinol &amp; Metab, Ankara, Turkiye; [Tam, Abbas A.; Seyrek, Neslihan cuhaci; Topaloglu, Oya; Ersoy, Reyhan; Cakir, Bekir] Ankara Yildirim Beyazit Univ, Endocrinol &amp; Metab, Sch Med, Ankara, Turkiye</t>
  </si>
  <si>
    <t>City Hospital Ankara; Ankara Yildirim Beyazit University</t>
  </si>
  <si>
    <t>Koeroglu, EY (corresponding author), Ankara City Hosp, Endocrinol &amp; Metab, Ankara, Turkiye.</t>
  </si>
  <si>
    <t>eyigitkoroglu@hotmail.com</t>
  </si>
  <si>
    <t>OCT 24</t>
  </si>
  <si>
    <t>e47576</t>
  </si>
  <si>
    <t>10.7759/cureus.47576</t>
  </si>
  <si>
    <t>Z2GU6</t>
  </si>
  <si>
    <t>WOS:001110322200012</t>
  </si>
  <si>
    <t>Pu, G; Men, Y; Mao, YM; Jiang, YN; Ma, WY; Lian, ZH</t>
  </si>
  <si>
    <t>Pu, Guo; Men, Yifang; Mao, Yiming; Jiang, Yuning; Ma, Wei-Ying; Lian, Zhouhui</t>
  </si>
  <si>
    <t>Controllable Image Synthesis With Attribute-Decomposed GAN</t>
  </si>
  <si>
    <t>Image Synthesis; generative adversarial networks (GAN); attribute control; style transfer</t>
  </si>
  <si>
    <t>This paper proposes Attribute-Decomposed GAN (ADGAN) and its enhanced version (ADGAN++) for controllable image synthesis, which can produce realistic images with desired attributes provided in various source inputs. The core ideas of the proposed ADGAN and ADGAN++ are both to embed component attributes into the latent space as independent codes and thus achieve flexible and continuous control of attributes via mixing and interpolation operations in explicit style representations. The major difference between them is that ADGAN processes all component attributes simultaneously while ADGAN++ utilizes a serial encoding strategy. More specifically, ADGAN consists of two encoding pathways with style block connections and is capable of decomposing the original hard mapping into multiple more accessible subtasks. In the source pathway, component layouts are extracted via a semantic parser and the segmented components are fed into a shared global texture encoder to obtain decomposed latent codes. This strategy allows for the synthesis of more realistic output images and the automatic separation of un-annotated component attributes. Although the original ADGAN works in a delicate and efficient manner, intrinsically it fails to handle the semantic image synthesizing task when the number of attribute categories is huge. To address this problem, ADGAN++ employs the serial encoding of different component attributes to synthesize each part of the target real-world image, and adopts several residual blocks with segmentation guided instance normalization to assemble the synthesized component images and refine the original synthesis result. The two-stage ADGAN++ is designed to alleviate the massive computational costs required when synthesizing real-world images with numerous attributes while maintaining the disentanglement of different attributes to enable flexible control of arbitrary component attributes of the synthesized images. Experimental results demonstrate the proposed methods' superiority over the state of the art in pose transfer, face style transfer, and semantic image synthesis, as well as their effectiveness in the task of component attribute transfer. Our code and data are publicly available at https://github.com/menyifang/ADGAN.</t>
  </si>
  <si>
    <t>[Pu, Guo; Lian, Zhouhui] Peking Univ, Wangxuan Inst Comp Technol, Beijing, Peoples R China; [Men, Yifang] DAMO Acad, Alibaba Grp, Beijing, Peoples R China; [Mao, Yiming] ByteDance Inc, AI Lab, Beijing, Peoples R China; [Jiang, Yuning] Alibaba Grp, Ads Engn Business Unit, Hangzhou, Peoples R China; [Ma, Wei-Ying] Tsinghua Univ, Inst AI Ind Res, Beijing, Peoples R China</t>
  </si>
  <si>
    <t>Peking University; Alibaba Group; Alibaba Group; Tsinghua University</t>
  </si>
  <si>
    <t>Pu, G (corresponding author), Peking Univ, Wangxuan Inst Comp Technol, Beijing, Peoples R China.</t>
  </si>
  <si>
    <t>guopu@pku.edu.cn; myf272609@alibaba-inc.com; maoym.tony@gmail.com; mengzhu.jyn@alibabainc.com; wyma@microsoft.com; lianzhouhui@pku.edu.cn</t>
  </si>
  <si>
    <t>Lian, Zhouhui/D-8432-2012</t>
  </si>
  <si>
    <t>Pu, Guo/0000-0001-7833-907X</t>
  </si>
  <si>
    <t>Beijing Nova Program of Science and Technology [Z191100001119077]; PKU-Baidu Fund [2020BD020]; National Language Committee of China [ZDI135-130]; Center For Chinese Font Design and Research; Key Laboratory of Science, Technology and Standard in Press Industry (Key Laboratory of Intelligent Press Media Technology); State Key Laboratory of Media Convergence Production Technology and Systems</t>
  </si>
  <si>
    <t>Beijing Nova Program of Science and Technology; PKU-Baidu Fund; National Language Committee of China; Center For Chinese Font Design and Research; Key Laboratory of Science, Technology and Standard in Press Industry (Key Laboratory of Intelligent Press Media Technology); State Key Laboratory of Media Convergence Production Technology and Systems</t>
  </si>
  <si>
    <t>This work was supported in part by the Beijing Nova Program of Science and Technology under Grant Z191100001119077, in part by the PKU-Baidu Fund underGrant 2020BD020, in part by the National Language Committee of China underGrant ZDI135-130, in part by the Center For Chinese Font Design and Research,in part by the Key Laboratory of Science, Technology and Standard in Press Industry (Key Laboratory of Intelligent Press Media Technology), and in part by the State Key Laboratory of Media Convergence Production Technology and Systems.</t>
  </si>
  <si>
    <t>10.1109/TPAMI.2022.3161985</t>
  </si>
  <si>
    <t>7U8OK</t>
  </si>
  <si>
    <t>WOS:000912386000012</t>
  </si>
  <si>
    <t>Zawiah, M; Al-Ashwal, FY; Gharaibeh, L; Abu Farha, R; Alzoubi, KH; Abu Hammour, K; Qasim, QA; Abrah, F</t>
  </si>
  <si>
    <t>Zawiah, Mohammed; Al-Ashwal, Fahmi Y.; Gharaibeh, Lobna; Abu Farha, Rana; Alzoubi, Karem H.; Abu Hammour, Khawla; Qasim, Qutaiba A.; Abrah, Fahd</t>
  </si>
  <si>
    <t>ChatGPT and Clinical Training: Perception, Concerns, and Practice of Pharm-D Students</t>
  </si>
  <si>
    <t>JOURNAL OF MULTIDISCIPLINARY HEALTHCARE</t>
  </si>
  <si>
    <t>ChatGPT; perception; clinical training; Pharm-D</t>
  </si>
  <si>
    <t>Background: The emergence of Chat-Generative Pre-trained Transformer (ChatGPT) by OpenAI has revolutionized AI technology, demonstrating significant potential in healthcare and pharmaceutical education, yet its real-world applicability in clinical training warrants further investigation.Methods: A cross-sectional study was conducted between April and May 2023 to assess PharmD students' perceptions, concerns, and experiences regarding the integration of ChatGPT into clinical pharmacy education. The study utilized a convenient sampling method through online platforms and involved a questionnaire with sections on demographics, perceived benefits, concerns, and experience with ChatGPT. Statistical analysis was performed using SPSS, including descriptive and inferential analyses. Results: The findings of the study involving 211 PharmD students revealed that the majority of participants were male (77.3%), and had prior experience with artificial intelligence (68.2%). Over two-thirds were aware of ChatGPT. Most students (n= 139, 65.9%) perceived potential benefits in using ChatGPT for various clinical tasks, with concerns including over-reliance, accuracy, and ethical considerations. Adoption of ChatGPT in clinical training varied, with some students not using it at all, while others utilized it for tasks like evaluating drug-drug interactions and developing care plans. Previous users tended to have higher perceived benefits and lower concerns, but the differences were not statistically significant. Conclusion: Utilizing ChatGPT in clinical training offers opportunities, but students' lack of trust in it for clinical decisions highlights the need for collaborative human-ChatGPT decision-making. It should complement healthcare professionals' expertise and be used strategically to compensate for human limitations. Further research is essential to optimize ChatGPT's effective integration.</t>
  </si>
  <si>
    <t>[Zawiah, Mohammed] Northern Border Univ, Coll Pharm, Dept Clin Pharm, Rafha 91911, Saudi Arabia; [Zawiah, Mohammed] Hodeidah Univ, Coll Clin Pharm, Dept Pharm Practice, Al Hodeidah, Yemen; [Al-Ashwal, Fahmi Y.; Qasim, Qutaiba A.] Al Ayen Univ, Coll Pharm, Dept Clin Pharm, Thi Qar, Iraq; [Gharaibeh, Lobna] Al Ahliyya Amman Univ, Fac Pharm, Pharmacol &amp; Diagnost Res Ctr, Amman, Jordan; [Abu Farha, Rana] Appl Sci Private Univ, Fac Pharm, Clin Pharm &amp; Therapeut Dept, Amman, Jordan; [Alzoubi, Karem H.] Univ Sharjah, Dept Pharm Practice &amp; Pharmacotherapeut, Sharjah 27272, U Arab Emirates; [Alzoubi, Karem H.] Jordan Univ Sci &amp; Technol, Fac Pharm, Dept Clin Pharm, Irbid 22110, Jordan; [Abu Hammour, Khawla] Univ Jordan, Fac Pharm, Dept Clin Pharm &amp; Biopharmaceut, Amman, Jordan; [Abrah, Fahd] Univ Sains Malaysia, Sch Pharmaceut Sci, Discipline Social &amp; Adm Pharm, George Town, Malaysia</t>
  </si>
  <si>
    <t>Northern Border University; Hodeidah University; Al-Ayen University; Al-Ahliyya Amman University; University of Sharjah; Jordan University of Science &amp; Technology; University of Jordan; Universiti Sains Malaysia</t>
  </si>
  <si>
    <t>Zawiah, M (corresponding author), Hodeidah Univ, Coll Clin Pharm, Dept Pharm Practice, Al Hodeidah, Yemen.</t>
  </si>
  <si>
    <t>mhzawiah@gmail.com</t>
  </si>
  <si>
    <t>Zawiah, Mohammed/AAE-7309-2020; Al-Ashwal, Fahmi/AAX-5385-2021; Alzoubi, Karem/E-6285-2014; Abu hammour, khawla/I-1077-2016</t>
  </si>
  <si>
    <t>Zawiah, Mohammed/0000-0002-3325-1442; Al-Ashwal, Fahmi/0000-0003-2076-0771; Alzoubi, Karem/0000-0002-2808-5099; Abu hammour, khawla/0000-0002-7861-1958; Abu Farha, Rana/0000-0001-8298-4071</t>
  </si>
  <si>
    <t>Deanship of Scientific Research at Northern Border University, Arar, KSA [NBU-FFR-2023-1069]</t>
  </si>
  <si>
    <t>Deanship of Scientific Research at Northern Border University, Arar, KSA</t>
  </si>
  <si>
    <t>Acknowledgments The authors extend their appreciation to the Deanship of Scientific Research at Northern Border University, Arar, KSA for funding this research work through the project number NBU-FFR-2023-1069.</t>
  </si>
  <si>
    <t>1178-2390</t>
  </si>
  <si>
    <t>J MULTIDISCIP HEALTH</t>
  </si>
  <si>
    <t>J. Multidiscip. Healthc.</t>
  </si>
  <si>
    <t>10.2147/JMDH.S439223</t>
  </si>
  <si>
    <t>CQ0I2</t>
  </si>
  <si>
    <t>WOS:001126588200001</t>
  </si>
  <si>
    <t>A computational building block approach towards multiscale architected materials analysis and design with application to hierarchical metal metamaterials</t>
  </si>
  <si>
    <t>MODELLING AND SIMULATION IN MATERIALS SCIENCE AND ENGINEERING</t>
  </si>
  <si>
    <t>hierarchical materials; bioinspired; deep learning; generative diffusion model; multiscale modeling; materials by design</t>
  </si>
  <si>
    <t>NATURES</t>
  </si>
  <si>
    <t>In this study we report a computational approach towards multiscale architected materials analysis and design. A particular challenge in modeling and simulation of materials, and especially the development of hierarchical design approaches, has been to identify ways by which complex multi-level material structures can be effectively modeled. One way to achieve this is to use coarse-graining approaches, where physical relationships can be effectively described with reduced dimensionality. In this paper we report an integrated deep neural network architecture that first learns coarse-grained representations of complex hierarchical microstructure data via a discrete variational autoencoder and then utilizes an attention-based diffusion model solve both forward and inverse problems, including a capacity to solve degenerate design problems. As an application, we demonstrate the method in the analysis and design of hierarchical highly porous metamaterials within the context of nonlinear stress-strain responses to compressive deformation. We validate the mechanical behavior and mechanisms of deformation using embedded-atom molecular dynamics simulations carried out for copper and nickel, showing good agreement with the design objectives.</t>
  </si>
  <si>
    <t>NIH [5R01AR077793-03]; Office of Naval Research [N000141612333, N000141912375]; AFOSR-MURI [FA9550-15-1-0514]; Army Research Office [W911NF1920098]; MIT-IBM Watson AI Lab, MIT Quest; Google Cloud Computing; U.S. Department of Defense (DOD) [N000141912375] Funding Source: U.S. Department of Defense (DOD)</t>
  </si>
  <si>
    <t>NIH(United States Department of Health &amp; Human ServicesNational Institutes of Health (NIH) - USA); Office of Naval Research(Office of Naval Research); AFOSR-MURI(United States Department of DefenseAir Force Office of Scientific Research (AFOSR)MURI); Army Research Office; MIT-IBM Watson AI Lab, MIT Quest; Google Cloud Computing; U.S. Department of Defense (DOD)(United States Department of Defense)</t>
  </si>
  <si>
    <t>We acknowledge support by NIH (5R01AR077793-03), the Office of Naval Research (N000141612333 and N000141912375), AFOSR-MURI (FA9550-15-1-0514) and the Army Research Office (W911NF1920098). Related support from the MIT-IBM Watson AI Lab, MIT Quest, and Google Cloud Computing, is acknowledged.</t>
  </si>
  <si>
    <t>0965-0393</t>
  </si>
  <si>
    <t>1361-651X</t>
  </si>
  <si>
    <t>MODEL SIMUL MATER SC</t>
  </si>
  <si>
    <t>Model. Simul. Mater. Sci. Eng.</t>
  </si>
  <si>
    <t>10.1088/1361-651X/accfb5</t>
  </si>
  <si>
    <t>Materials Science, Multidisciplinary; Physics, Applied</t>
  </si>
  <si>
    <t>G3ND1</t>
  </si>
  <si>
    <t>WOS:000988255100001</t>
  </si>
  <si>
    <t>Li, JN; Fragemann, J; Ahmadi, SA; Kleesiek, J; Egger, J</t>
  </si>
  <si>
    <t>Li, Jianning; Fragemann, Jana; Ahmadi, Seyed-Ahmad; Kleesiek, Jens; Egger, Jan</t>
  </si>
  <si>
    <t>Training β-VAE by Aggregating a Learned Gaussian Posterior with a Decoupled Decoder</t>
  </si>
  <si>
    <t>VAE; Disentanglement; Latent representation; Skull reconstruction; Shape completion</t>
  </si>
  <si>
    <t>The reconstruction loss and the Kullback-Leibler divergence (KLD) loss in a variational autoencoder (VAE) often play antagonistic roles, and tuning the weight of the KLD loss in beta-VAE to achieve a balance between the two losses is a tricky and dataset-specific task. As a result, current practices in VAE training often result in a trade-off between the reconstruction fidelity and the continuity/disentanglement of the latent space, if the weight beta is not carefully tuned. In this paper, we present intuitions and a careful analysis of the antagonistic mechanism of the two losses, and propose, based on the insights, a simple yet effective two-stage method for training a VAE. Specifically, the method aggregates a learned Gaussian posterior z similar to q.(z| x) with a decoder decoupled from the KLD loss, which is trained to learn a new conditional distribution pf(x|z) of the input data x. Experimentally, we show that the aggregated VAE maximally satisfies the Gaussian assumption about the latent space, while still achieves a reconstruction error comparable to when the latent space is only loosely regularized by N(0, I). The proposed approach does not require hyperparameter (i.e., the KLD weight beta) tuning given a specific dataset as required in common VAE training practices. We evaluate the method using a medical dataset intended for 3D skull reconstruction and shape completion, and the results indicate promising generative capabilities of the VAE trained using the proposed method. Besides, through guided manipulation of the latent variables, we establish a connection between existing autoencoder (AE)-based approaches and generative approaches, such as VAE, for the shape completion problem. Codes and pre-trained weights are available at https://github.com/ Jianningli/skullVAE.</t>
  </si>
  <si>
    <t>[Li, Jianning; Fragemann, Jana; Kleesiek, Jens; Egger, Jan] Univ Med Essen, Inst AI Med, Essen, Germany; [Li, Jianning; Egger, Jan] Graz Univ Technol, Inst Comp Graph &amp; Vis, Graz, Austria; [Ahmadi, Seyed-Ahmad] NVIDIA, Munich, Germany</t>
  </si>
  <si>
    <t>Graz University of Technology</t>
  </si>
  <si>
    <t>Li, JN (corresponding author), Univ Med Essen, Inst AI Med, Essen, Germany.;Li, JN (corresponding author), Graz Univ Technol, Inst Comp Graph &amp; Vis, Graz, Austria.</t>
  </si>
  <si>
    <t>Jianning.Li@uk-essen.de</t>
  </si>
  <si>
    <t>Ahmadi, Seyed-Ahmad/AAC-4932-2019</t>
  </si>
  <si>
    <t>Ahmadi, Seyed-Ahmad/0000-0002-7082-0739</t>
  </si>
  <si>
    <t>REACT-EU project KITE (Plattform fur KITranslation Essen)</t>
  </si>
  <si>
    <t>This work was supported by the REACT-EU project KITE (Plattform fur KITranslation Essen).</t>
  </si>
  <si>
    <t>10.1007/978-3-031-25046-0_7</t>
  </si>
  <si>
    <t>WOS:000968077300007</t>
  </si>
  <si>
    <t>Algaraady, J; Mahyoob, M</t>
  </si>
  <si>
    <t>Algaraady, Jeehaan; Mahyoob, Mohammad</t>
  </si>
  <si>
    <t>ChatGPT's Capabilities in Spotting and Analyzing Writing Errors Experienced by EFL Learners</t>
  </si>
  <si>
    <t>ARAB WORLD ENGLISH JOURNAL</t>
  </si>
  <si>
    <t>Artificial Intelligence; ChatGPT; EFL writing; EFL learners; LLMs; error analysis</t>
  </si>
  <si>
    <t>The recent Large Language Models (LLMs) use advanced algorithms to identify areas where sentence structure and word choice can be improved and to detect grammar, syntax, and spelling mistakes in sentences. This study aimed to investigate the effectiveness of the Chat Generative Pre-trained Transformer (ChatGPT) in detecting English as a foreign language (EFL) learners' writing errors compared to human instructors. This study examines the ChatGPT as a recent and advanced LLM in analyzing and processing EFL learners' writing issues. This paper provides valuable insights into the potential benefits and challenges of integrating Artificial Intelligence (AI) into EFL writing education. Our results revealed that ChatGPT successfully identified most surface-level errors but could not detect writing errors related to deep structure and pragmatics. Conversely, human teachers could spot most of these issues. These findings suggest that while ChatGPT can be a valuable tool in identifying surface-level errors, it cannot replace human instructors' expertise and nuanced understanding in detecting errors related to the more complex aspects of writing. The writing error types (data) are statistically analyzed. The descriptive analysis displays valuable insights into the reliability of the data and its potential implications, where the F-score, which measures the statistical model accuracy, is found to be 1.5. In the meantime, the p-value score, which shows the probability of obtaining results as extreme as the detected data, is calculated to be 0.23. The results suggest that the collected data is statistically significant, and further analysis may yield valuable insights.</t>
  </si>
  <si>
    <t>[Algaraady, Jeehaan] Taiz Univ, Fac Educ, English Dept, Taizi, Yemen; [Mahyoob, Mohammad] Taibah Univ, Languages &amp; Translat Dept, Madina, Saudi Arabia; [Mahyoob, Mohammad] Tech Community Coll Taiz, Computat Linguist, Taizi, Yemen</t>
  </si>
  <si>
    <t>Taiz University; Taibah University</t>
  </si>
  <si>
    <t>Mahyoob, M (corresponding author), Taibah Univ, Languages &amp; Translat Dept, Madina, Saudi Arabia.;Mahyoob, M (corresponding author), Tech Community Coll Taiz, Computat Linguist, Taizi, Yemen.</t>
  </si>
  <si>
    <t>mqassem@taibahu.edu</t>
  </si>
  <si>
    <t>Mahyoob, Mohammad/AAG-1598-2021</t>
  </si>
  <si>
    <t>Mahyoob, Mohammad/0000-0002-6664-1017; Algaraady, Jeehaan/0000-0003-3901-4648</t>
  </si>
  <si>
    <t>Arab World English Journal (AWEJ)</t>
  </si>
  <si>
    <t>This paper has been funded by Arab World English Journal (AWEJ)</t>
  </si>
  <si>
    <t>KUALA LUMPUR</t>
  </si>
  <si>
    <t>JALAN 34-24 WANGSA MAJU, KUALA LUMPUR, 53300, MALAYSIA</t>
  </si>
  <si>
    <t>2229-9327</t>
  </si>
  <si>
    <t>ARAB WORLD ENGL J</t>
  </si>
  <si>
    <t>Arab World Engl. J.</t>
  </si>
  <si>
    <t>10.24093/awej/call9.1</t>
  </si>
  <si>
    <t>Q4OU2</t>
  </si>
  <si>
    <t>WOS:001057338300001</t>
  </si>
  <si>
    <t>Savelka, J; Ashley, KD</t>
  </si>
  <si>
    <t>Savelka, Jaromir; Ashley, Kevin D.</t>
  </si>
  <si>
    <t>The unreasonable effectiveness of large language models in zero-shot semantic annotation of legal texts</t>
  </si>
  <si>
    <t>legal text analytics; large language models (LLM); zero-shot classification; semantic annotation; text annotation</t>
  </si>
  <si>
    <t>CLASSIFICATION; EXTRACTION; DECISIONS; SEARCH</t>
  </si>
  <si>
    <t>The emergence of ChatGPT has sensitized the general public, including the legal profession, to large language models' (LLMs) potential uses (e.g., document drafting, question answering, and summarization). Although recent studies have shown how well the technology performs in diverse semantic annotation tasks focused on legal texts, an influx of newer, more capable (GPT-4) or cost-effective (GPT-3.5-turbo) models requires another analysis. This paper addresses recent developments in the ability of LLMs to semantically annotate legal texts in zero-shot learning settings. Given the transition to mature generative AI systems, we examine the performance of GPT-4 and GPT-3.5-turbo(-16k), comparing it to the previous generation of GPT models, on three legal text annotation tasks involving diverse documents such as adjudicatory opinions, contractual clauses, or statutory provisions. We also compare the models' performance and cost to better understand the trade-offs. We found that the GPT-4 model clearly outperforms the GPT-3.5 models on two of the three tasks. The cost-effective GPT-3.5-turbo matches the performance of the 20x more expensive text-davinci-003 model. While one can annotate multiple data points within a single prompt, the performance degrades as the size of the batch increases. This work provides valuable information relevant for many practical applications (e.g., in contract review) and research projects (e.g., in empirical legal studies). Legal scholars and practicing lawyers alike can leverage these findings to guide their decisions in integrating LLMs in a wide range of workflows involving semantic annotation of legal texts.</t>
  </si>
  <si>
    <t>[Savelka, Jaromir] Carnegie Mellon Univ, Sch Comp Sci, Pittsburgh, PA 15213 USA; [Ashley, Kevin D.] Univ Pittsburgh, Sch Law, Pittsburgh, PA 15260 USA</t>
  </si>
  <si>
    <t>Carnegie Mellon University; Pennsylvania Commonwealth System of Higher Education (PCSHE); University of Pittsburgh</t>
  </si>
  <si>
    <t>Savelka, J (corresponding author), Carnegie Mellon Univ, Sch Comp Sci, Pittsburgh, PA 15213 USA.</t>
  </si>
  <si>
    <t>jsavelka@cs.cmu.edu</t>
  </si>
  <si>
    <t>Šavelka, Jaromír/JUU-2183-2023; Savelka, Jaromir/GOK-0488-2022</t>
  </si>
  <si>
    <t>Šavelka, Jaromír/0000-0002-3674-5456;</t>
  </si>
  <si>
    <t>NOV 17</t>
  </si>
  <si>
    <t>10.3389/frai.2023.1279794</t>
  </si>
  <si>
    <t>Z3QC5</t>
  </si>
  <si>
    <t>WOS:001111242200001</t>
  </si>
  <si>
    <t>Chen, WX; Song, D; Li, B</t>
  </si>
  <si>
    <t>Chen, Weixin; Song, Dawn; Li, Bo</t>
  </si>
  <si>
    <t>TrojDiff: Trojan Attacks on Diffusion Models with Diverse Targets</t>
  </si>
  <si>
    <t>Diffusion models have achieved great success in a range of tasks, such as image synthesis and molecule design. As such successes hinge on large-scale training data collected from diverse sources, the trustworthiness of these collected data is hard to control or audit. In this work, we aim to explore the vulnerabilities of diffusion models under potential training data manipulations and try to answer: How hard is it to perform Trojan attacks on well-trained diffusion models? What are the adversarial targets that such Trojan attacks can achieve? To answer these questions, we propose an effective Trojan attack against diffusion models, TrojDiff, which optimizes the Trojan diffusion and generative processes during training. In particular, we design novel transitions during the Trojan diffusion process to diffuse adversarial targets into a biased Gaussian distribution and propose a new parameterization of the Trojan generative process that leads to an effective training objective for the attack. In addition, we consider three types of adversarial targets: the Trojaned diffusion models will always output instances belonging to a certain class from the in-domain distribution (In-D2D attack), out-of-domain distribution (Out-D2D-attack), and one specific instance (D2I attack). We evaluate TrojDiff on CIFAR-10 and CelebA datasets against both DDPM and DDIM diffusion models. We show that TrojDiff always achieves high attack performance under different adversarial targets using different types of triggers, while the performance in benign environments is preserved. The code is available at https://github.com/chenweixin107/TrojDiff.</t>
  </si>
  <si>
    <t>[Chen, Weixin; Li, Bo] UIUC, Champaign, IL 61820 USA; [Song, Dawn] Univ Calif Berkeley, Berkeley, CA USA</t>
  </si>
  <si>
    <t>University of Illinois System; University of Illinois Urbana-Champaign; University of California System; University of California Berkeley</t>
  </si>
  <si>
    <t>Chen, WX (corresponding author), UIUC, Champaign, IL 61820 USA.</t>
  </si>
  <si>
    <t>weixinc2@illinois.edu; dawnsong@cs.berkelev.edu; lbo@illinois.edu</t>
  </si>
  <si>
    <t>wang, wenxin/JOZ-3291-2023</t>
  </si>
  <si>
    <t>NSF CCF [1910100]; NSF CNS [2046726]; NASA ULI; Alfred P. Sloan Foundation</t>
  </si>
  <si>
    <t>NSF CCF; NSF CNS(National Science Foundation (NSF)); NASA ULI; Alfred P. Sloan Foundation(Alfred P. Sloan Foundation)</t>
  </si>
  <si>
    <t>This project is partially supported by NSF CCF 1910100, NSF CNS 2046726, C3 AI, NASA ULI, and the Alfred P. Sloan Foundation.</t>
  </si>
  <si>
    <t>10.1109/CVPR52729.2023.00393</t>
  </si>
  <si>
    <t>WOS:001058542604036</t>
  </si>
  <si>
    <t>Deveci, CD; Baker, JJ; Sikander, B; Rosenberg, J</t>
  </si>
  <si>
    <t>Deveci, Can Deniz; Baker, Jason Joe; Sikander, Binyamin; Rosenberg, Jacob</t>
  </si>
  <si>
    <t>A comparison of cover letters written by ChatGPT-4 or humans</t>
  </si>
  <si>
    <t>DANISH MEDICAL JOURNAL</t>
  </si>
  <si>
    <t>INTRODUCTION. Artificial intelligence has started to become a part of scientific studies and may help researchers with a wide range of tasks. However, no scientific studies have been published on its ussefulness in writing cover letters for scientific articles. This study aimed to determine whether Generative Pre-Trained Transformer (GPT)-4 is as good as humans in writing cover letters for scientific papers. METHODS. In this randomised non-inferiority study, we included two parallel arms consisting of cover letters written by humans and by GPT-4. Each arm had 18 cover letters, which were assessed by three different blinded assessors. The assessors completed a questionnaire in which they had to assess the cover letters with respect to impression, readability, criteria satisfaction, and degree of detail. Subsequently, we performed readability tests with Lix score and Flesch Kincaid grade level. RESULTS. No significant or relevant difference was found on any parameter. A total of 61% of the blinded assessors guessed correctly as to whether the cover letter was written by GPT-4 or a human. GPT-4 had a higher score according to our objective readability tests. Nevertheless, it performed better than human writing on readability in the subjective assessments. CONCLUSION. We found that GPT-4 was non-inferior at writing cover letters compared to humans. This may be used to streamline cover letters for researchers, providing an equal chance to all researchers for advancement to peer-review. FUNDING. This study received no financial support from external sources.</t>
  </si>
  <si>
    <t>[Deveci, Can Deniz; Baker, Jason Joe; Sikander, Binyamin; Rosenberg, Jacob] Copenhagen Univ Hosp, Ctr Perioperat Optimizat, Dept Surg, Herlev Hosp, Copenhagen, Denmark</t>
  </si>
  <si>
    <t>University of Copenhagen; Herlev &amp; Gentofte Hospital</t>
  </si>
  <si>
    <t>Deveci, CD (corresponding author), Copenhagen Univ Hosp, Ctr Perioperat Optimizat, Dept Surg, Herlev Hosp, Copenhagen, Denmark.</t>
  </si>
  <si>
    <t>can.d.deveci@gmail.com</t>
  </si>
  <si>
    <t>DANISH MEDICAL ASSOC</t>
  </si>
  <si>
    <t>COPENHAGEN</t>
  </si>
  <si>
    <t>TRONDHJEMSGADE 9, DK-2100 COPENHAGEN, DENMARK</t>
  </si>
  <si>
    <t>2245-1919</t>
  </si>
  <si>
    <t>DAN MED J</t>
  </si>
  <si>
    <t>Dan. Med. J.</t>
  </si>
  <si>
    <t>A06230412</t>
  </si>
  <si>
    <t>IL3L0</t>
  </si>
  <si>
    <t>WOS:001166440200006</t>
  </si>
  <si>
    <t>Vangala, SR; Krishnan, SR; Bung, N; Srinivasan, R; Roy, A</t>
  </si>
  <si>
    <t>Vangala, Sarveswara Rao; Krishnan, Sowmya Ramaswamy; Bung, Navneet; Srinivasan, Rajgopal; Roy, Arijit</t>
  </si>
  <si>
    <t>pBRICS: A Novel Fragmentation Method for Explainable Property Prediction of Drug-Like Small Molecules</t>
  </si>
  <si>
    <t>DISCOVERY; ATTRITION</t>
  </si>
  <si>
    <t>Generative artificial intelligence algorithms have shownto besuccessful in exploring large chemical spaces and designing noveland diverse molecules. There has been considerable interest in developingpredictive models using artificial intelligence for drug-like properties,which can potentially reduce the late-stage attrition of drug candidatesor predict the properties of novel AI-designed molecules. Concurrently,it is important to understand the contribution of functional groupstoward these properties and modify them to obtain property-optimizedlead compounds. As a result, there is an increasing interest in thedevelopment of explainable property prediction models. However, currentexplainable approaches are mostly atom-based, where, often, only afraction of a fragment is shown to be significant. To address theabove challenges, we have developed a novel domain-aware molecularfragmentation approach termed post-processing of BRICS (pBRICS), whichcan fragment small molecules into their functional groups. Multitaskmodels were developed to predict various properties, including theabsorption, distribution, metabolism, excretion, and toxicity (ADMET)properties. The fragment importance was explained using the gradient-weightedclass activation mapping (Grad-CAM) approach. The method was validatedon data sets of experimentally available matched molecular pairs (MMPs).The explanations from the model can be useful for medicinal chemiststo identify the fragments responsible for poor drug-like propertiesand optimize the molecule. The explainability approach was also usedto identify the reason behind false positive and false negative MMPpredictions. Based on evidence from the existing literature and ouranalysis, some of these mispredictions were justified. We proposethat the quantity, quality, and diversity of the training data willimprove the accuracy of property prediction algorithms for novel molecules.</t>
  </si>
  <si>
    <t>[Vangala, Sarveswara Rao; Krishnan, Sowmya Ramaswamy; Bung, Navneet; Srinivasan, Rajgopal; Roy, Arijit] Tata Consultancy Serv Ltd, TCS Res Life Sci Div, Hyderabad 500081, India</t>
  </si>
  <si>
    <t>Tata Sons; Tata Consultancy Services Limited (TCS)</t>
  </si>
  <si>
    <t>Roy, A (corresponding author), Tata Consultancy Serv Ltd, TCS Res Life Sci Div, Hyderabad 500081, India.</t>
  </si>
  <si>
    <t>roy.arijit3@tcs.com</t>
  </si>
  <si>
    <t>Krishnan, Sowmya Ramaswamy/ERL-8576-2022; Roy, Arijit/G-9516-2011</t>
  </si>
  <si>
    <t>Krishnan, Sowmya Ramaswamy/0000-0001-5404-3266; Bung, Navneet/0000-0002-6376-277X; Roy, Arijit/0000-0002-1961-2483</t>
  </si>
  <si>
    <t>AUG 16</t>
  </si>
  <si>
    <t>10.1021/acs.jcim.3c00689</t>
  </si>
  <si>
    <t>FV1Q6</t>
  </si>
  <si>
    <t>WOS:001048771400001</t>
  </si>
  <si>
    <t>Kuo, WC; Chen, YT; Huang, YC; Wang, CC</t>
  </si>
  <si>
    <t>Kuo, Wen-Chung; Chen, Yu-Ting; Huang, Yu-Chih; Wang, Chun-Cheng</t>
  </si>
  <si>
    <t>Malware Detection Based on Image Conversion</t>
  </si>
  <si>
    <t>Malware classification; Discrete cosine transform; Discrete wavelet transform</t>
  </si>
  <si>
    <t>Due to different malware and their variants appear every year, it is difficult to identify the virus. In traditional malware analysis methods, both static analysis methods and dynamic analysis methods may be limited due to related detection methods. The rise of artificial intelligence has allowed the classification of malware to be detected by artificial intelligence. Therefore, this paper uses artificial intelligence to create a classification model for malware images. We first use Discrete Cosine Transform (DCT) and Discrete Wavelet Transform (DWT) to further feature extraction of the visualized malware image, and use Generative Adversarial Network (GAN) to generate malware of the same family, which can increase the number of samples. Finally, a convolutional neural network (CNN) is used to create a classification model of malware images to achieve the purpose of classifying malware. The results show that the accuracy of the classification results after discrete cosine transform (DCT) can reach 99.46%. After the discrete wavelet transform (DWT), the accuracy of the classification results can reach up to 99.84%.</t>
  </si>
  <si>
    <t>[Kuo, Wen-Chung; Chen, Yu-Ting; Wang, Chun-Cheng] Natl Yunlin Univ Sci &amp; Technol, Dept Informat Engn, Touliu, Yunlin, Taiwan; [Huang, Yu-Chih] Tainan Univ Technol, Dept Informat Management, Tainan, Taiwan</t>
  </si>
  <si>
    <t>National Yunlin University Science &amp; Technology</t>
  </si>
  <si>
    <t>Wang, CC (corresponding author), Natl Yunlin Univ Sci &amp; Technol, Dept Informat Engn, Touliu, Yunlin, Taiwan.</t>
  </si>
  <si>
    <t>simonkuo@yuntech.edu.tw; skyjoy112233@gmail.com; t00232@mail.tut.edu.tw; ccwang720903@gmail.com</t>
  </si>
  <si>
    <t>Huang, Yu-Chih/U-4140-2019</t>
  </si>
  <si>
    <t>Huang, Yu-Chih/0000-0003-2135-1232</t>
  </si>
  <si>
    <t>10.1007/978-3-031-05491-4_19</t>
  </si>
  <si>
    <t>WOS:000945919300019</t>
  </si>
  <si>
    <t>Moro, G; Ragazzi, L</t>
  </si>
  <si>
    <t>Moro, Gianluca; Ragazzi, Luca</t>
  </si>
  <si>
    <t>Align-then-abstract representation learning for low-resource summarization</t>
  </si>
  <si>
    <t>Long document summarization; Abstractive summarization; Low-resource; Representation learning; NLP</t>
  </si>
  <si>
    <t>Generative transformer-based models have achieved state-of-the-art performance in text summariza-tion. Nevertheless, they still struggle in real-world scenarios with long documents when trained in low-resource settings of a few dozen labeled training instances, namely in low-resource summarization (LRS). This paper bridges the gap by addressing two key research challenges when summarizing long doc-uments, i.e., long-input processing and document representation, in one coherent model trained for LRS. Specifically, our novel align-then-abstract representation learning model (ATHENA) jointly trains a seg-menter and a summarizer by maximizing the alignment between the chunk-target pairs in output from the text segmentation. Extensive experiments reveal that ATHENA outperforms the current state-of-the-art approaches in LRS on multiple long document summarization datasets from different domains.&amp; COPY; 2023 Elsevier B.V. All rights reserved.</t>
  </si>
  <si>
    <t>[Moro, Gianluca; Ragazzi, Luca] Univ Bologna, Dept Comp Sci &amp; Engn DISI, Via Univ 50, I-47522 Cesena, Italy</t>
  </si>
  <si>
    <t>Moro, G (corresponding author), Univ Bologna, Dept Comp Sci &amp; Engn DISI, Via Univ 50, I-47522 Cesena, Italy.</t>
  </si>
  <si>
    <t>gianluca.moro@unibo.it; l.ragazzi@unibo.it</t>
  </si>
  <si>
    <t>Ragazzi, Luca/JQW-9786-2023</t>
  </si>
  <si>
    <t>Complementary National Plan PNC-I.1 [D.D. 931 of]; DARE-DigitAl lifelong pRevEntion initiative [PNC0000002, CUP B53C22006450001]; PNRR, M4C2, FAIR-Future Artificial Intelligence Research, Spoke 8 Pervasive AI, - European Commission under the Next Generation EU program</t>
  </si>
  <si>
    <t>Complementary National Plan PNC-I.1; DARE-DigitAl lifelong pRevEntion initiative; PNRR, M4C2, FAIR-Future Artificial Intelligence Research, Spoke 8 Pervasive AI, - European Commission under the Next Generation EU program</t>
  </si>
  <si>
    <t>&amp; nbsp;This research is partially supported by (i) the Complementary National Plan PNC-I.1, Research initiatives for innovative technologies and pathways in the health and welfare sector D.D. 931 of 06/06/2022, DARE-DigitAl lifelong pRevEntion initiative, code PNC0000002, CUP B53C22006450001, (ii) the PNRR, M4C2, FAIR-Future Artificial Intelligence Research, Spoke 8 Pervasive AI, funded by the European Commission under the Next Generation EU program. We thank the Maggioli Group8 for granting the Ph.D. scholarship to Luca Ragazzi.</t>
  </si>
  <si>
    <t>10.1016/j.neucom.2023.126356</t>
  </si>
  <si>
    <t>M3AQ1</t>
  </si>
  <si>
    <t>WOS:001028942600001</t>
  </si>
  <si>
    <t>Zhao, K; Farrell, K; Mashiku, M; Abay, D; Tang, K; Oberste, MS; Burns, CC</t>
  </si>
  <si>
    <t>Zhao, Kun; Farrell, Katie; Mashiku, Melchizedek; Abay, Dawit; Tang, Kevin; Oberste, M. Steven; Burns, Cara C.</t>
  </si>
  <si>
    <t>A search-based geographic metadata curation pipeline to refine sequencing institution information and support public health</t>
  </si>
  <si>
    <t>FRONTIERS IN PUBLIC HEALTH</t>
  </si>
  <si>
    <t>ChatGPT; cloud computing; geographic locations; disparity of global sequencing capability; poliovirus; surveillance; sequence read archive</t>
  </si>
  <si>
    <t>ERADICATION; WORLDWIDE; PROGRESS; ARCHIVE</t>
  </si>
  <si>
    <t>BackgroundThe National Center for Biotechnology Information (NCBI) Sequence Read Archive (SRA) has amassed a vast reservoir of genetic data since its inception in 2007. These public data hold immense potential for supporting pathogen surveillance and control. However, the lack of standardized metadata and inconsistent submission practices in SRA may impede the data's utility in public health.MethodsTo address this issue, we introduce the Search-based Geographic Metadata Curation (SGMC) pipeline. SGMC utilized Python and web scraping to extract geographic data of sequencing institutions from NCBI SRA in the Cloud and its website. It then harnessed ChatGPT to refine the sequencing institution and location assignments. To illustrate the pipeline's utility, we examined the geographic distribution of the sequencing institutions and their countries relevant to polio eradication and categorized them.ResultsSGMC successfully identified 7,649 sequencing institutions and their global locations from a random selection of 2,321,044 SRA accessions. These institutions were distributed across 97 countries, with strong representation in the United States, the United Kingdom and China. However, there was a lack of data from African, Central Asian, and Central American countries, indicating potential disparities in sequencing capabilities. Comparison with manually curated data for U.S. institutions reveals SGMC's accuracy rates of 94.8% for institutions, 93.1% for countries, and 74.5% for geographic coordinates.ConclusionSGMC may represent a novel approach using a generative AI model to enhance geographic data (country and institution assignments) for large numbers of samples within SRA datasets. This information can be utilized to bolster public health endeavors.</t>
  </si>
  <si>
    <t>[Zhao, Kun; Oberste, M. Steven; Burns, Cara C.] CDCP, Div Viral Dis, Natl Ctr Immunizat &amp; Resp Dis, Atlanta 30322, GA USA; [Farrell, Katie; Mashiku, Melchizedek; Abay, Dawit] CDCP, Cherokee Nation Businesses, Contracting Agcy Div Viral Dis, Catoosa, OK USA; [Tang, Kevin] CDCP, Div Sci Resources, Natl Ctr Emerging &amp; Zoonot Infect Dis, Atlanta, GA USA</t>
  </si>
  <si>
    <t>Centers for Disease Control &amp; Prevention - USA; Centers for Disease Control &amp; Prevention - USA</t>
  </si>
  <si>
    <t>Zhao, K (corresponding author), CDCP, Div Viral Dis, Natl Ctr Immunizat &amp; Resp Dis, Atlanta 30322, GA USA.</t>
  </si>
  <si>
    <t>kzhao@cdc.gov</t>
  </si>
  <si>
    <t>CDC Office of Advanced Molecular Detection incubator project [FY23-AMD-195inc]; CDC program funds for Immunizations; Global Polio Eradication Initiative</t>
  </si>
  <si>
    <t>CDC Office of Advanced Molecular Detection incubator project; CDC program funds for Immunizations(United States Department of Health &amp; Human ServicesCenters for Disease Control &amp; Prevention - USA); Global Polio Eradication Initiative</t>
  </si>
  <si>
    <t>The study was supported by CDC Office of Advanced Molecular Detection incubator project FY23-AMD-195inc and CDC program funds for Immunizations and the Global Polio Eradication Initiative.</t>
  </si>
  <si>
    <t>2296-2565</t>
  </si>
  <si>
    <t>FRONT PUBLIC HEALTH</t>
  </si>
  <si>
    <t>Front. Public Health</t>
  </si>
  <si>
    <t>10.3389/fpubh.2023.1254976</t>
  </si>
  <si>
    <t>Z3CO1</t>
  </si>
  <si>
    <t>WOS:001110888200001</t>
  </si>
  <si>
    <t>Flores-Cohaila, JA; Garcia-Vicente, A; Vizcarra-Jiménez, SF; de la Cruz-Galán, J; Gutiérrez-Arratia, J; Torres, BGQ; Taype-Rondan, A</t>
  </si>
  <si>
    <t>Flores-Cohaila, Javier A.; Garcia-Vicente, Abigail; Vizcarra-Jimenez, Sonia F.; De la Cruz-Galan, Janith; Gutierrez-Arratia, Jesus; Torres, Blanca Geraldine Quiroga; Taype-Rondan, Alvaro</t>
  </si>
  <si>
    <t>Original Paper Performance of ChatGPT on the Peruvian National Licensing Medical Examination: Cross-Sectional Study</t>
  </si>
  <si>
    <t>medical education; generative pre-trained transformer; ChatGPT; licensing examination; assessment; Peru; Examen Nacional de Medicina; ENAM; learning model; artificial intelligence; AI; medical examination</t>
  </si>
  <si>
    <t>Background: ChatGPT has shown impressive performance in national medical licensing examinations, such as the United States Medical Licensing Examination (USMLE), even passing it with expert-level performance. However, there is a lack of research on its performance in low-income countries' national licensing medical examinations. In Peru, where almost one out of three examinees fails the national licensing medical examination, ChatGPT has the potential to enhance medical education.Objective: We aimed to assess the accuracy of ChatGPT using GPT-3.5 and GPT-4 on the Peruvian National Licensing Medical Examination (Examen Nacional de Medicina [ENAM]). Additionally, we sought to identify factors associated with incorrect answers provided by ChatGPT.Methods: We used the ENAM 2022 data set, which consisted of 180 multiple-choice questions, to evaluate the performance of ChatGPT. Various prompts were used, and accuracy was evaluated. The performance of ChatGPT was compared to that of a sample of 1025 examinees. Factors such as question type, Peruvian-specific knowledge, discrimination, difficulty, quality of questions, and subject were analyzed to determine their influence on incorrect answers. Questions that received incorrect answers underwent a three-step process involving different prompts to explore the potential impact of adding roles and context on ChatGPT's accuracy.Results: GPT-4 achieved an accuracy of 86% on the ENAM, followed by GPT-3.5 with 77%. The accuracy obtained by the 1025 examinees was 55%. There was a fair agreement (kappa=0.38) between GPT-3.5 and GPT-4. Moderate-to-high-difficulty questions were associated with incorrect answers in the crude and adjusted model for GPT-3.5 (odds ratio [OR] 6.6, 95% CI 2.73-15.95) and GPT-4 (OR 33.23, 95% CI 4.3-257.12). After reinputting questions that received incorrect answers, GPT-3.5 went from 41 (100%) to 12 (29%) incorrect answers, and GPT-4 from 25 (100%) to 4 (16%).Conclusions: Our study found that ChatGPT (GPT-3.5 and GPT-4) can achieve expert-level performance on the ENAM, outperforming most of our examinees. We found fair agreement between both GPT-3.5 and GPT-4. Incorrect answers were associated with the difficulty of questions, which may resemble human performance. Furthermore, by reinputting questions that initially received incorrect answers with different prompts containing additional roles and context, ChatGPT achieved improved accuracy.</t>
  </si>
  <si>
    <t>[Flores-Cohaila, Javier A.; Gutierrez-Arratia, Jesus] USAMEDIC, Acad Dept, Jiron Leon Velarde 171 Lince, Lima 15073, Peru; [Flores-Cohaila, Javier A.] Univ Cient Sur, Fac Ciencias Salud, Lima, Peru; [Garcia-Vicente, Abigail] Univ Nacl Piura, Sch Med, Piura, Peru; [Vizcarra-Jimenez, Sonia F.; De la Cruz-Galan, Janith; Torres, Blanca Geraldine Quiroga] Com Permanente Acad, Soc Cient Med Estudiantil Peruana, Lima, Peru; [Vizcarra-Jimenez, Sonia F.] Ctr Invest Estudiantes Med, Tacna, Peru; [De la Cruz-Galan, Janith] Univ San Martin Porres Filial Norte, Sch Med, Chiclayo, Peru; [Taype-Rondan, Alvaro] Univ San Ignacio Loyola, Unidad Invest Generac &amp; Sintesis Evidencias Salud, Lima, Peru; [Taype-Rondan, Alvaro] EviSalud Evidencias Salud, Lima, Peru</t>
  </si>
  <si>
    <t>Universidad Cientifica del Sur (CIENTIFICA); Universidad Nacional de Piura; Universidad de San Martin de Porres; Universidad San Ignacio de Loyola</t>
  </si>
  <si>
    <t>Flores-Cohaila, JA (corresponding author), USAMEDIC, Acad Dept, Jiron Leon Velarde 171 Lince, Lima 15073, Peru.</t>
  </si>
  <si>
    <t>javierfloresmed@gmail.com</t>
  </si>
  <si>
    <t>Garcia Vicente, Angie Abigail/0000-0003-3679-4239; Vizcarra Jimenez, Sonia Fernanda/0000-0002-8030-4092; Gutierrez Arratia, Jesus Daniel/0000-0003-4082-5966; De la Cruz Galan, Janith Paola/0000-0001-7261-9038; Flores-Cohaila, Javier A./0000-0002-9169-2094</t>
  </si>
  <si>
    <t>e48039</t>
  </si>
  <si>
    <t>10.2196/48039</t>
  </si>
  <si>
    <t>U6BA9</t>
  </si>
  <si>
    <t>WOS:001085624000001</t>
  </si>
  <si>
    <t>Wang, C; Tang, F; Zhang, Y; Wu, TR; Dong, WM</t>
  </si>
  <si>
    <t>Wang, Cong; Tang, Fan; Zhang, Yong; Wu, Tieru; Dong, Weiming</t>
  </si>
  <si>
    <t>Towards harmonized regional style transfer and manipulation for facial images</t>
  </si>
  <si>
    <t>face manipulation; style transfer; generative models; facial harmonization</t>
  </si>
  <si>
    <t>Regional facial image synthesis conditioned on a semantic mask has achieved great attention in the field of computational visual media. However, the appearances of different regions may be inconsistent with each other after performing regional editing. In this paper, we focus on harmonized regional style transfer for facial images. A multi-scale encoder is proposed for accurate style code extraction. The key part of our work is a multi-region style attention module. It adapts multiple regional style embeddings from a reference image to a target image, to generate a harmonious result. We also propose style mapping networks for multi-modal style synthesis. We further employ an invertible flow model which can serve as mapping network to fine-tune the style code by inverting the code to latent space. Experiments on three widely used face datasets were used to evaluate our model by transferring regional facial appearance between datasets. The results show that our model can reliably perform style transfer and multi-modal manipulation, generating output comparable to the state of the art.</t>
  </si>
  <si>
    <t>[Wang, Cong; Wu, Tieru] Jilin Univ, Sch Math, Changchun 130012, Peoples R China; [Tang, Fan; Wu, Tieru] Jilin Univ, Sch Artificial Intelligence, Changchun 130012, Peoples R China; [Zhang, Yong] Tencent, AI Lab, Shenzhen 518054, Peoples R China; [Dong, Weiming] Chinese Acad Sci, Inst Automation, Beijing 100190, Peoples R China</t>
  </si>
  <si>
    <t>Jilin University; Jilin University; Tencent; Chinese Academy of Sciences; Institute of Automation, CAS</t>
  </si>
  <si>
    <t>Wu, TR (corresponding author), Jilin Univ, Sch Math, Changchun 130012, Peoples R China.;Tang, F; Wu, TR (corresponding author), Jilin Univ, Sch Artificial Intelligence, Changchun 130012, Peoples R China.</t>
  </si>
  <si>
    <t>wang16@mails.jlu.edu.cn; tanhgfan@jlu.edu.cn; zhangyong201303@gmail.com; wutr@jlu.edu.cn; wmlake@gmail.com</t>
  </si>
  <si>
    <t>Tang, Fan/O-3923-2018; DONG, Weiming/AAG-7678-2020</t>
  </si>
  <si>
    <t>Tang, Fan/0000-0002-3975-2483; DONG, Weiming/0000-0001-6502-145X</t>
  </si>
  <si>
    <t>National Key R&amp;D Program of China; National Natural Science Foundation of China; [2020YFA0714100]; [61872162]; [62102162]; [61832016]; [U20B2070]</t>
  </si>
  <si>
    <t>National Key R&amp;D Program of China; National Natural Science Foundation of China(National Natural Science Foundation of China (NSFC)); ; ; ; ;</t>
  </si>
  <si>
    <t>AcknowledgementsThis work was partly supported by the National Key R&amp;D Program of China (No. 2020YFA0714100) and the National Natural Science Foundation of China (Nos. 61872162, 62102162, 61832016, U20B2070).</t>
  </si>
  <si>
    <t>10.1007/s41095-022-0284-6</t>
  </si>
  <si>
    <t>7N8FL</t>
  </si>
  <si>
    <t>WOS:000907570700009</t>
  </si>
  <si>
    <t>Liu, SP; Ning, DJ; Ma, J</t>
  </si>
  <si>
    <t>Liu, Shipeng; Ning, Dejun; Ma, Jue</t>
  </si>
  <si>
    <t>TCNformer Model for Photovoltaic Power Prediction</t>
  </si>
  <si>
    <t>transformer; SkipGRU; TCN; photovoltaic power prediction; time series data prediction</t>
  </si>
  <si>
    <t>Despite the growing capabilities of the short-term prediction of photovoltaic power, we still face two challenges to longer time-range predictions: error accumulation and long-term time series feature extraction. In order to improve the longer time range prediction accuracy of photovoltaic power, this paper proposes a seq2seq prediction model TCNformer, which outperforms other state-of-the-art (SOTA) algorithms by introducing variable selection (VS), long- and short-term time series feature extraction (LSTFE), and one-step temporal convolutional network (TCN) decoding. A VS module employs correlation analysis and periodic analysis to separate the time series correlation information, LSTFE extracts multiple time series features from time series data, and one-step TCN decoding realizes generative predictions. We demonstrate here that TCNformer has the lowest mean squared error (MSE), mean absolute error (MAE) and mean absolute percentage error (MAPE) in contrast to the other algorithms in the field of the short-term prediction of photovoltaic power, and furthermore, the effectiveness of each module has been verified through ablation experiments.</t>
  </si>
  <si>
    <t>[Liu, Shipeng; Ning, Dejun; Ma, Jue] Chinese Acad Sci, Shanghai Adv Res Inst, Shanghai 200120, Peoples R China; [Liu, Shipeng; Ma, Jue] Univ Chinese Acad Sci, Beijing 100049, Peoples R China</t>
  </si>
  <si>
    <t>Chinese Academy of Sciences; Shanghai Advanced Research Institute, CAS; Chinese Academy of Sciences; University of Chinese Academy of Sciences, CAS</t>
  </si>
  <si>
    <t>Ning, DJ (corresponding author), Chinese Acad Sci, Shanghai Adv Res Inst, Shanghai 200120, Peoples R China.</t>
  </si>
  <si>
    <t>ningdj@sari.ac.cn</t>
  </si>
  <si>
    <t>Research and development of large dispatching level data acquisition and monitoring control system [E212641B01]; AI assisted optimization of hybrid energy system and techno-enviro-economic analysis of green hydrogen supply chain [PT19797]</t>
  </si>
  <si>
    <t>Research and development of large dispatching level data acquisition and monitoring control system; AI assisted optimization of hybrid energy system and techno-enviro-economic analysis of green hydrogen supply chain</t>
  </si>
  <si>
    <t>This research was funded by Research and development of large dispatching level data acquisition and monitoring control system grant number E212641B01 and AI assisted optimization of hybrid energy system and techno-enviro-economic analysis of green hydrogen supply chain grant number PT19797.</t>
  </si>
  <si>
    <t>10.3390/app13042593</t>
  </si>
  <si>
    <t>9H4OB</t>
  </si>
  <si>
    <t>WOS:000938811400001</t>
  </si>
  <si>
    <t>He, S; Peng, X; Yuan, ZQ; Du, WL</t>
  </si>
  <si>
    <t>He, Song; Peng, Xin; Yuan, Zhiqing; Du, Wenli</t>
  </si>
  <si>
    <t>Contour-Context Joint Blind Image Inpainting Network for Molecular Sieve Particle Size Measurement of SEM Images</t>
  </si>
  <si>
    <t>Blind image inpainting; edge information; generative adversarial network; molecular sieves catalysts; particle size</t>
  </si>
  <si>
    <t>Scanning electron microscopy (SEM) images generated in the experiment of high-throughput molecular sieves catalysts contain particle size information of various molecular sieves. However, a certain proportion of molecular sieves in SEM images are occluded due to their characteristics of cluster distribution, which cause difficulties to measure the particle size of these occluded molecular sieves. In this article, we leverage the image inpainting technique to reconstruct missing regions and then calculate the particle size. Aiming at the problem that the generated regions of recent image inpainting methods exist blurriness in contour and context, we propose a contour-context joint blind image inpainting (CCBII) network, which is specifically a two-stage model with full utilization of edge information to reconstruct the contour and context of these occluded molecular sieve images. In the first stage, the edge of occluded region is reconstructed. In the second stage, the reconstructed edge is introduced through downsampling (DS) and skip connection (SN) to generate images with complete contour. Meanwhile, a novel encoder loss (EL) is proposed to motivate the encoder to extract more reasonable features. Compared with the existing methods, our model achieved more integral results visually and higher quantitative metrics. Thus, our approach can accurately predict the particle size from reconstructed molecular sieve images.</t>
  </si>
  <si>
    <t>[He, Song; Peng, Xin; Du, Wenli] East China Univ Sci &amp; Technol, Key Lab Smart Mfg Energy Chem Proc, Minist Educ, Shanghai 200237, Peoples R China; [Yuan, Zhiqing] INOPEC Shanghai Res Inst Petrochem Technol, Shanghai 201208, Peoples R China</t>
  </si>
  <si>
    <t>East China University of Science &amp; Technology</t>
  </si>
  <si>
    <t>Du, WL (corresponding author), East China Univ Sci &amp; Technol, Key Lab Smart Mfg Energy Chem Proc, Minist Educ, Shanghai 200237, Peoples R China.</t>
  </si>
  <si>
    <t>songhe@mail.ecust.edu.cn; xinpeng@ecust.edu.cn; yuanzq.sshy@sinopec.com; wldu@ecust.edu.cn</t>
  </si>
  <si>
    <t>He, Song/0000-0003-2411-2317; yuan, Zhiqing/0000-0002-9789-7082; Du, Wenli/0000-0002-2676-6341</t>
  </si>
  <si>
    <t>National Natural Science Fund for Distinguished Young Scholars [61725301]; National Natural Science Foundation of China [62136003, 62173145]; Fundamental Research Funds for the Central Universities [222202217006]; Shanghai AI Laboratory</t>
  </si>
  <si>
    <t>National Natural Science Fund for Distinguished Young Scholars(National Natural Science Foundation of China (NSFC)National Science Fund for Distinguished Young Scholars); National Natural Science Foundation of China(National Natural Science Foundation of China (NSFC)); Fundamental Research Funds for the Central Universities(Fundamental Research Funds for the Central Universities); Shanghai AI Laboratory</t>
  </si>
  <si>
    <t>This work was supported in part by the National Natural Science Fund for Distinguished Young Scholars under Grant 61725301, in part by the National Natural Science Foundation of China under Grant 62136003 and Grant 62173145, in part by the Fundamental Research Funds for the Central Universities under Grant 222202217006, and in part by the Shanghai AI Laboratory. The Associate Editor coordinating the review process was Dr. Xun Chen.(Corresponding author: Wenli Du.)</t>
  </si>
  <si>
    <t>10.1109/TIM.2023.3279451</t>
  </si>
  <si>
    <t>M5LR5</t>
  </si>
  <si>
    <t>WOS:001030636000010</t>
  </si>
  <si>
    <t>Kassab, M; Jehanzaib, M; Basak, K; Demir, D; Keles, GE; Turan, M</t>
  </si>
  <si>
    <t>Kassab, Mohamad; Jehanzaib, Muhammad; Basak, Kayhan; Demir, Derya; Keles, G. Evren; Turan, Mehmet</t>
  </si>
  <si>
    <t>FFPE plus plus : Improving the quality of formalin-fixed paraffin-embedded tissue imaging via contrastive unpaired image-to-image translation</t>
  </si>
  <si>
    <t>Deep learning; Digital pathology; Histopathology image analysis; Unpaired image-to-image translation; Formalin-fixed paraffin-embedded; Artifacts in histopathological slides; Generative adversarial networks</t>
  </si>
  <si>
    <t>Formalin-fixation and paraffin-embedding (FFPE) is a technique for preparing and preserving tissue specimens that has been utilized in histopathology since the late 19th century. This process is further complicated by FFPE preparation steps such as fixation, processing, embedding, microtomy, staining, and coverslipping, which often results in artifacts due to the complex histological and cytological characteristics of a tissue specimen. The term artifactsincludes, but is not limited to, staining inconsistencies, tissue folds, chattering, pen marks, blurring, air bubbles, and contamination. The presence of artifacts may interfere with pathological diagnosis in disease detection, subtyping, grading, and choice of therapy. In this study, we propose FFPE++, an unpaired image to-image translation method based on contrastive learning with a mixed channel-spatial attention module and self-regularization loss that drastically corrects the aforementioned artifacts in FFPE tissue sections. Turing tests were performed by 10 board-certified pathologists with more than 10 years of experience. These tests which were performed for ovarian carcinoma, lung adenocarcinoma, lung squamous cell carcinoma, and papillary thyroid carcinoma, demonstrate the clear superiority of the proposed method in many clinical aspects compared with standard FFPE images. Based on the qualitative experiments and feedback from the Turing tests, we believe that FFPE++ can contribute to substantial diagnostic and prognostic accuracy in clinical pathology in the future and can also improve the performance of AI tools in digital pathology. The code and dataset are publicly available at https://github.com/DeepMIALab/FFPEPlus.</t>
  </si>
  <si>
    <t>[Kassab, Mohamad; Jehanzaib, Muhammad; Turan, Mehmet] Bogazici Univ, Dept Comp Engn, Istanbul, Turkiye; [Basak, Kayhan] Saglik Bilimleri Univ, Kartal Dr Lutfi Kırdar City Hosp, Dept Pathol, Istanbul, Turkiye; [Demir, Derya] Ege Univ, Fac Med, Dept Pathol, Izmir, Turkiye; [Keles, G. Evren] Virasoft Corp, New York, NY USA</t>
  </si>
  <si>
    <t>Bogazici University; University of Health Sciences Turkey; Ege University</t>
  </si>
  <si>
    <t>Turan, M (corresponding author), Bogazici Univ, Dept Comp Engn, Istanbul, Turkiye.</t>
  </si>
  <si>
    <t>mehmet.turan@boun.edu.tr</t>
  </si>
  <si>
    <t>Turan, Mehmet/AGZ-7356-2022; Basak, Kayhan/E-1823-2012</t>
  </si>
  <si>
    <t>Basak, Kayhan/0000-0003-1960-8924; Kassab, Mohamad/0000-0003-3925-1168; DEMIR, DERYA/0000-0002-6333-8856; Keles, G. Evren/0009-0003-3406-2736; Turan, Mehmet/0000-0002-0913-2531</t>
  </si>
  <si>
    <t>Scientific and Technological Research Council of Turkey (TUBITAK) [2232]</t>
  </si>
  <si>
    <t>Scientific and Technological Research Council of Turkey (TUBITAK)(Turkiye Bilimsel ve Teknolojik Arastirma Kurumu (TUBITAK))</t>
  </si>
  <si>
    <t>This work was supported by the Scientific and Technological Research Council of Turkey (TUBITAK) with grant 2232-The International Fellowship for Outstanding Researchers.</t>
  </si>
  <si>
    <t>10.1016/j.media.2023.102992</t>
  </si>
  <si>
    <t>Y3CW6</t>
  </si>
  <si>
    <t>WOS:001104093100001</t>
  </si>
  <si>
    <t>Pippi, V; Cascianelli, S; Cucchiara, R</t>
  </si>
  <si>
    <t>Pippi, Vittorio; Cascianelli, Silvia; Cucchiara, Rita</t>
  </si>
  <si>
    <t>Handwritten Text Generation from Visual Archetypes</t>
  </si>
  <si>
    <t>Generating synthetic images of handwritten text in a writer-specific style is a challenging task, especially in the case of unseen styles and new words, and even more when these latter contain characters that are rarely encountered during training. While emulating a writer's style has been recently addressed by generative models, the generalization towards rare characters has been disregarded. In this work, we devise a Transformer-based model for Few-Shot styled handwritten text generation and focus on obtaining a robust and informative representation of both the text and the style. In particular, we propose a novel representation of the textual content as a sequence of dense vectors obtained from images of symbols written as standard GNU Unifont glyphs, which can be considered their visual archetypes. This strategy is more suitable for generating characters that, despite having been seen rarely during training, possibly share visual details with the frequently observed ones. As for the style, we obtain a robust representation of unseen writers' calligraphy by exploiting specific pre-training on a large synthetic dataset. Quantitative and qualitative results demonstrate the effectiveness of our proposal in generating words in unseen styles and with rare characters more faithfully than existing approaches relying on independent one-hot encodings of the characters.</t>
  </si>
  <si>
    <t>[Pippi, Vittorio; Cascianelli, Silvia; Cucchiara, Rita] Univ Modena &amp; Reggio Emilia, Via Pietro Vivarelli 10, Modena, Italy</t>
  </si>
  <si>
    <t>Universita di Modena e Reggio Emilia</t>
  </si>
  <si>
    <t>Pippi, V (corresponding author), Univ Modena &amp; Reggio Emilia, Via Pietro Vivarelli 10, Modena, Italy.</t>
  </si>
  <si>
    <t>vittorio.pippi@unimore.it; silvia.cascianelli@unimore.it; rita.cucchiara@unimore.it</t>
  </si>
  <si>
    <t>AI for Digital Humanities project - Fondazione di Modena [2018.0390]; PNRR project Italian Strengthening of Esfri RI Resilience (ITSERR) - European Union -NextGenerationEU [CUP: B53C22001770006]</t>
  </si>
  <si>
    <t>AI for Digital Humanities project - Fondazione di Modena; PNRR project Italian Strengthening of Esfri RI Resilience (ITSERR) - European Union -NextGenerationEU</t>
  </si>
  <si>
    <t>This work was supported by the AI for Digital Humanities project (Pratica Sime n.2018.0390), funded by Fondazione di Modena and the PNRR project Italian Strengthening of Esfri RI Resilience (ITSERR) funded by the European Union -NextGenerationEU (CUP: B53C22001770006).</t>
  </si>
  <si>
    <t>10.1109/CVPR52729.2023.02151</t>
  </si>
  <si>
    <t>WOS:001062531306076</t>
  </si>
  <si>
    <t>Sun, YT; Huang, HZ; Wang, X; Lai, YK; Liu, W; Gao, L</t>
  </si>
  <si>
    <t>Sun, Yang-Tian; Huang, Hao-Zhi; Wang, Xuan; Lai, Yu-Kun; Liu, Wei; Gao, Lin</t>
  </si>
  <si>
    <t>Robust Pose Transfer With Dynamic Details Using Neural Video Rendering</t>
  </si>
  <si>
    <t>Deep generative model; dynamic details generation; human video synthesis; neural rendering; pose transfer</t>
  </si>
  <si>
    <t>Pose transfer of human videos aims to generate a high-fidelity video of a target person imitating actions of a source person. A few studies have made great progress either through image translation with deep latent features or neural rendering with explicit 3D features. However, both of them rely on large amounts of training data to generate realistic results, and the performance degrades on more accessible Internet videos due to insufficient training frames. In this paper, we demonstrate that the dynamic details can be preserved even when trained from short monocular videos. Overall, we propose a neural video rendering framework coupled with an image-translation-based dynamic details generation network (D-2 G-Net), which fully utilizes both the stability of explicit 3D features and the capacity of learning components. To be specific, a novel hybrid texture representation is presented to encode both the static and pose-varying appearance characteristics, which is then mapped to the image space and rendered as a detail-rich frame in the neural rendering stage. Through extensive comparisons, we demonstrate that our neural human video renderer is capable of achieving both clearer dynamic details and more robust performance even on accessible short videos with only 2 k similar to 4 k frames, as illustrated in Fig. 1.</t>
  </si>
  <si>
    <t>[Sun, Yang-Tian; Gao, Lin] Chinese Acad Sci, Inst Comp Technol, Beijing Key Lab Mobile Comp &amp; Pervas Device, Beijing 100045, Peoples R China; [Sun, Yang-Tian; Gao, Lin] Univ Chinese Acad Sci, Beijing 101408, Peoples R China; [Huang, Hao-Zhi] Xverse, Shenzhen 518100, Guangdong, Peoples R China; [Wang, Xuan; Liu, Wei] Tencent, Shenzhen 518054, Guangdong, Peoples R China; [Lai, Yu-Kun] Cardiff Univ, Sch Comp Sci &amp; Informat, Cardiff CF10 3AT, Wales</t>
  </si>
  <si>
    <t>Chinese Academy of Sciences; Institute of Computing Technology, CAS; Chinese Academy of Sciences; University of Chinese Academy of Sciences, CAS; Tencent; Cardiff University</t>
  </si>
  <si>
    <t>Gao, L (corresponding author), Chinese Acad Sci, Inst Comp Technol, Beijing Key Lab Mobile Comp &amp; Pervas Device, Beijing 100045, Peoples R China.;Gao, L (corresponding author), Univ Chinese Acad Sci, Beijing 101408, Peoples R China.</t>
  </si>
  <si>
    <t>sunyangtian@ict.ac.cn; huanghz08@gmail.com; xwang.cv@gmail.com; LaiY4@cardiff.ac.uk; wl2223@columbia.edu; gaolin@ict.ac.cn</t>
  </si>
  <si>
    <t>Liu, Wei/L-1951-2019; Gao, Lin/JNF-0375-2023; Lai, Yu-Kun/D-2343-2010; Huang, Haozhi/GZK-2529-2022</t>
  </si>
  <si>
    <t>Lai, Yukun/0000-0002-2094-5680; Liu, Wei/0000-0002-3865-8145; Sun, Yang-Tian/0000-0001-6370-1603</t>
  </si>
  <si>
    <t>Beijing Municipal Natural Science Foundation for Distinguished Young Scholars [JQ21013]; National Natural Science Foundation of China [62061136007, 61872440]; Royal Society Newton Advanced Fellowship [NAF\R2\192151]; Tencent AI Lab Rhino-Bird Focused Research Program; Youth Innovation Promotion Association CAS</t>
  </si>
  <si>
    <t>Beijing Municipal Natural Science Foundation for Distinguished Young Scholars; National Natural Science Foundation of China(National Natural Science Foundation of China (NSFC)); Royal Society Newton Advanced Fellowship(Royal Society); Tencent AI Lab Rhino-Bird Focused Research Program; Youth Innovation Promotion Association CAS</t>
  </si>
  <si>
    <t>This work was supported in part by the Beijing Municipal Natural Science Foundation for Distinguished Young Scholars under Grant JQ21013, in part by the National Natural Science Foundation of China under Grants 62061136007 and 61872440, in part by Royal Society Newton Advanced Fellowship under Grant NAF\R2\192151, in part by Tencent AI Lab Rhino-Bird Focused Research Program, and in part by the Youth Innovation Promotion Association CAS.</t>
  </si>
  <si>
    <t>10.1109/TPAMI.2022.3166989</t>
  </si>
  <si>
    <t>WOS:000912386000086</t>
  </si>
  <si>
    <t>Björklund, J; Drewes, F; Jonsson, A</t>
  </si>
  <si>
    <t>Bjorklund, Johanna; Drewes, Frank; Jonsson, Anna</t>
  </si>
  <si>
    <t>Generation and Polynomial Parsing of Graph Languages with Non-Structural Reentrancies</t>
  </si>
  <si>
    <t>COMPUTATIONAL LINGUISTICS</t>
  </si>
  <si>
    <t>HYPEREDGE; AUTOMATA; GRAMMARS</t>
  </si>
  <si>
    <t>Graph-based semantic representations are popular in natural language processing, where it is often convenient to model linguistic concepts as nodes and relations as edges between them. Several attempts have been made to find a generative device that is sufficiently powerful to describe languages of semantic graphs, while at the same allowing efficient parsing. We contribute to this line of work by introducing graph extension grammar, a variant of the contextual hyperedge replacement grammars proposed by Hoffmann et al. Contextual hyperedge replacement can generate graphs with non-structural reentrancies, a type of node-sharing that is very common in formalisms such as abstract meaning representation, but that context-free types of graph grammars cannot model. To provide our formalism with a way to place reentrancies in a linguistically meaningful way, we endow rules with logical formulas in counting monadic second-order logic. We then present a parsing algorithm and show as our main result that this algorithm runs in polynomial time on graph languages generated by a subclass of our grammars, the so-called local graph extension grammars.</t>
  </si>
  <si>
    <t>[Bjorklund, Johanna; Drewes, Frank; Jonsson, Anna] Umea Univ, Dept Comp Sci, Umea, Sweden</t>
  </si>
  <si>
    <t>Umea University</t>
  </si>
  <si>
    <t>Björklund, J (corresponding author), Umea Univ, Dept Comp Sci, Umea, Sweden.</t>
  </si>
  <si>
    <t>johanna@cs.umu.se; drewes@cs.umu.se; aj@cs.umu.se</t>
  </si>
  <si>
    <t>Swedish Research Council [2020-03852]; Wallenberg AI, Autonomous Systems and Software Program; Transducers and Invertible Neural Generators</t>
  </si>
  <si>
    <t>Swedish Research Council(Swedish Research Council); Wallenberg AI, Autonomous Systems and Software Program; Transducers and Invertible Neural Generators</t>
  </si>
  <si>
    <t>We are immensely grateful to the reviewers for all the effort they put into their reports, which made a tremendous difference for the final manuscript. We also want to thank Yannick Stade for providing us with help ful comments on a draft of this article, and Valentin Gledel who prompted us to prove that the general membership problem for graph extension grammars is NP-complete. This work has been supported by the Swedish Research Council under grant no. 2020-03852, and by the Wallenberg AI, Autonomous Systems and Software Program through the NEST project STING-Syn thes is and analysis with Transducers and Invertible Neural Generators.</t>
  </si>
  <si>
    <t>0891-2017</t>
  </si>
  <si>
    <t>1530-9312</t>
  </si>
  <si>
    <t>COMPUT LINGUIST</t>
  </si>
  <si>
    <t>Comput. Linguist.</t>
  </si>
  <si>
    <t>10.1162/coli_a_00488</t>
  </si>
  <si>
    <t>Computer Science, Artificial Intelligence; Computer Science, Interdisciplinary Applications; Linguistics; Language &amp; Linguistics</t>
  </si>
  <si>
    <t>GM0U2</t>
  </si>
  <si>
    <t>WOS:001152974700005</t>
  </si>
  <si>
    <t>Stefan, LD; Stanciu, DC; Dogariu, M; Constantin, MG; Jitaru, AC; Ionescu, B</t>
  </si>
  <si>
    <t>Stefan, Liviu-Daniel; Stanciu, Dan-Cristian; Dogariu, Mihai; Constantin, Mihai Gabriel; Jitaru, Andrei Cosmin; Ionescu, Bogdan</t>
  </si>
  <si>
    <t>DEEPFAKE SENTRY: HARNESSING ENSEMBLE INTELLIGENCE FOR RESILIENT DETECTION AND GENERALISATION</t>
  </si>
  <si>
    <t>UNIVERSITY POLITEHNICA OF BUCHAREST SCIENTIFIC BULLETIN SERIES C-ELECTRICAL ENGINEERING AND COMPUTER SCIENCE</t>
  </si>
  <si>
    <t>Deepfake detection; deepfake generalisation; video or image manipulation; digital media forensics; perturbation attacks</t>
  </si>
  <si>
    <t>Recent advancements in Generative Adversarial Networks (GANs) have enabled photorealistic image generation with high quality. However, the malicious use of such generated media has raised concerns regarding visual misinformation. Although deepfake detection research has demonstrated high accuracy, it is vulnerable to advances in generation techniques and adversarial iterations on detection countermeasures. To address this, we propose a proactive and sustainable deepfake training augmentation solution that introduces artificial fingerprints into models. We achieve this by employing an ensemble learning approach that incorporates a pool of autoencoders that mimic the effect of the artefacts introduced by the deepfake generator models. Experiments on three datasets reveal that our proposed ensemble in terms of generalisation, resistance against basic data perturbations such as noise, blurring, sharpness enhancement, and affine transforms, resilience to commonly used lossy compression algorithms such as JPEG, and enhanced resistance against adversarial attacks.</t>
  </si>
  <si>
    <t>[Stefan, Liviu-Daniel; Stanciu, Dan-Cristian; Constantin, Mihai Gabriel; Jitaru, Andrei Cosmin] Univ Politehn Bucuresti, AI Multimedia Lab, Bucharest, Romania; [Dogariu, Mihai; Ionescu, Bogdan] Univ Politehn Bucuresti, Dept Appl Elect &amp; Informat Engn, Bucharest, Romania</t>
  </si>
  <si>
    <t>National University of Science &amp; Technology POLITEHNICA Bucharest; National University of Science &amp; Technology POLITEHNICA Bucharest</t>
  </si>
  <si>
    <t>Stefan, LD (corresponding author), Univ Politehn Bucuresti, AI Multimedia Lab, Bucharest, Romania.</t>
  </si>
  <si>
    <t>daniel.stefan@upb.ro</t>
  </si>
  <si>
    <t>Dogariu, Mihai/ABA-9200-2021</t>
  </si>
  <si>
    <t>Dogariu, Mihai/0000-0002-8189-8566</t>
  </si>
  <si>
    <t>Ministry of Research, Innovation, and Digitization UEFISCDI [28SOL/2021, PN-III-P2-2.1-SOL-2021-0114, 27SOL/2021, PN-III-P2-2.1-SOL-2021- 0063]; Identifying People in Video Streams using Silhouette Biometrics, Solutions Axis [28SOL/2021, PN-III-P2-2.1-SOL-2021-0114]; Ministry of Investments and European Projects through the Human Capital Sectoral Operational Program [62461/ 03.06.2022, 153735]</t>
  </si>
  <si>
    <t>Ministry of Research, Innovation, and Digitization UEFISCDI; Identifying People in Video Streams using Silhouette Biometrics, Solutions Axis; Ministry of Investments and European Projects through the Human Capital Sectoral Operational Program</t>
  </si>
  <si>
    <t>Liviu-Daniel S , tefan and Bogdan Ionescu's work has been funded by the Ministry of Research, Innovation, and Digitization UEFISCDI, project DeepVisionRomania, Identifying People in Video Streams using Silhouette Biometrics, Solutions Axis, grant 28SOL/2021, PN-III-P2-2.1-SOL-2021-0114. Mihai Gabriel Constantin's work has been funded by the Ministry of Research, Innovation, and Digitization UEFISCDI, project PIMS-IAT, Platform Specialized in Identifying and Evaluating Early Warning Indices for Crisis Management, Solutions Axis, grant 27SOL/2021, PN-III-P2-2.1-SOL-2021- 0063. Mihai Dogariu and Andrei Jitaru's work has been funded by the Ministry of Investments and European Projects through the Human Capital Sectoral Operational Program 2014-2020, Contract no. 62461/ 03.06.2022, SMIS code 153735.</t>
  </si>
  <si>
    <t>POLYTECHNIC UNIV BUCHAREST</t>
  </si>
  <si>
    <t>BUCH</t>
  </si>
  <si>
    <t>SPLAIUL INDEPENDENTEI 313, SECTOR 6, BUCH, 060042, ROMANIA</t>
  </si>
  <si>
    <t>2286-3540</t>
  </si>
  <si>
    <t>2286-3559</t>
  </si>
  <si>
    <t>U POLITEH BUCH SER C</t>
  </si>
  <si>
    <t>Univ. Politeh. Buchar. Sci. Bull. Ser. C-Electr. Eng. Comput. Sci.</t>
  </si>
  <si>
    <t>CQ3O8</t>
  </si>
  <si>
    <t>WOS:001126672900017</t>
  </si>
  <si>
    <t>Cuartielles, R; Ramon-Vegas, X; Pont-Sorribes, C</t>
  </si>
  <si>
    <t>Cuartielles, Roger; Ramon-Vegas, Xavier; Pont-Sorribes, Carles</t>
  </si>
  <si>
    <t>Retraining fact-checkers: The emergence of ChatGPT in information verification</t>
  </si>
  <si>
    <t>Fact-checking; Fact-checking platforms; Digital verification; Journalism; Computational fact-checking; Fact-checkers; Di-sinformation; Misinformation; Artificial Intelligence; AI; Generative artificial intelligence; ChatGPT; Chatbots</t>
  </si>
  <si>
    <t>JOURNALISM; CHECKING; ALGORITHMS; NEWS</t>
  </si>
  <si>
    <t>The open launch of new artificial intelligence tools such as ChatGPT-3.5 (Generated Pre-trained Transformer) in November 2022 by the company OpenAI-and then its update to version GPT-4 in March 2023-poses new opportunities and challenges for journalism, and especially for professionals specifically focused on information verification. This research aims to understand and analyze the perceptions generated by the irruption of ChatGPT among fact-checking professionals in Spain with the aim of identifying disadvantages and advantages in its use, professional implications and desired functionalities. The study uses qualitative methodology with in-depth interviews with professionals from all Spanish fact-checking platforms belonging to the International Factchecking Network (IFCN) and the European Digital Media Observatory (EDMO). The results conclude that the use of ChatGPT presents notable ambivalences. On the one hand, there are perceived drawbacks in issues such as the transparency and reliability of sources, the scope of the data, and the format of the responses generated. However, fact-checkers also point to a possible auxiliary use of the chatbot in the tasks of gathering information, detecting falsehoods, and producing denials. The irruption of ChatGPT has a direct impact on the work routines of the fact-checkers, which can be made more difficult, reinforced or extended. Fact-checking professionals perceive themselves as context agents in a new ecosystem that also obliges them to further diversify their fields of action in the fight against disinformation and to accelerate the implementation of media education actions that empower citizens in the responsible use of artificial intelligence.</t>
  </si>
  <si>
    <t>[Cuartielles, Roger; Ramon-Vegas, Xavier; Pont-Sorribes, Carles] Univ Pompeu Fabra, UPF Barcelona Sch Management, Dept Comunicacio, Roc Boronat,138, Barcelona 08018, Spain</t>
  </si>
  <si>
    <t>Cuartielles, R (corresponding author), Univ Pompeu Fabra, UPF Barcelona Sch Management, Dept Comunicacio, Roc Boronat,138, Barcelona 08018, Spain.</t>
  </si>
  <si>
    <t>roger.cuartielles@upf.edu; xavier.ramon@upf.edu; carles.pont@upf.edu</t>
  </si>
  <si>
    <t>Ramon, Xavier/0000-0002-4478-5626; Cuartielles, Roger/0000-0001-6226-6697</t>
  </si>
  <si>
    <t>Instruments of accountability in the face of disinformation: impact of fact-checking platforms as accountability tools and curricular proposal project [PID2019-106367GB-I00/AEI]; Spanish Ministry of Science and Innovation; Government of Catalonia</t>
  </si>
  <si>
    <t>Instruments of accountability in the face of disinformation: impact of fact-checking platforms as accountability tools and curricular proposal project; Spanish Ministry of Science and Innovation(Spanish Government); Government of Catalonia(Generalitat de Catalunya)</t>
  </si>
  <si>
    <t>This research was funded by the Instruments of accountability in the face of disinformation: impact of fact-checking platforms as accountability tools and curricular proposal project (PID2019-106367GB-I00/AEI/10.13039/501100011033) (FACCTMedia) , Spanish Ministry of Science and Innovation (2020-2024) , in collabo-ration with the research group on Political Communication, Journalism, and Democracy of Pompeu Fabra Univer-sity (Polcom-GRP) , and Agaur grants (2021 SGR 00486) , and supported byJoan Oro grants to hire research staff in training (FI 2023) , awarded by the Government of Catalonia.</t>
  </si>
  <si>
    <t>E320515</t>
  </si>
  <si>
    <t>10.3145/epi.2023.sep.15</t>
  </si>
  <si>
    <t>DH1Q7</t>
  </si>
  <si>
    <t>WOS:001131050900014</t>
  </si>
  <si>
    <t>Sprangers, B; Vannieuwenhoven, N</t>
  </si>
  <si>
    <t>Sprangers, Brent; Vannieuwenhoven, Nick</t>
  </si>
  <si>
    <t>Group-Invariant Tensor Train Networks for Supervised Learning</t>
  </si>
  <si>
    <t>tensor networks; tensor trains; group equivariance; group invariance; supervised learning; representation theory</t>
  </si>
  <si>
    <t>Invariance has recently proven to be a powerful inductive bias in machine learning models. One such class of predictive or generative models are tensor networks. We introduce a new numerical algorithm to construct a basis of tensors that are invariant under the action of normal matrix representations of an arbitrary finite group. This method can be up to several orders of magnitude faster than previous approaches. The group-invariant tensors are then combined into a group-invariant tensor train network, which can be used as a supervised machine learning model. We applied this model to a protein binding classification problem, taking into account problem-specific invariances, and obtained prediction accuracy in line with state-of-the-art deep learning approaches.</t>
  </si>
  <si>
    <t>[Sprangers, Brent; Vannieuwenhoven, Nick] Katholieke Univ Leuven, Dept Comp Sci, NUMA Div, B-3000 Leuven, Belgium; [Vannieuwenhoven, Nick] Katholieke Univ Leuven, Leuven AI, Inst AI, B-3000 Leuven, Belgium</t>
  </si>
  <si>
    <t>KU Leuven; KU Leuven</t>
  </si>
  <si>
    <t>Sprangers, B (corresponding author), Katholieke Univ Leuven, Dept Comp Sci, NUMA Div, B-3000 Leuven, Belgium.</t>
  </si>
  <si>
    <t>brent_sprangers@outlook.com; nick.vannieuwenhoven@kuleuven.be</t>
  </si>
  <si>
    <t>Vannieuwenhoven, Nick/0000-0001-5692-4163</t>
  </si>
  <si>
    <t>Research Foundation-Flanders (FWO); Flemish Government; KU Leuven Internal Funds grant [STG/19/002]</t>
  </si>
  <si>
    <t>Research Foundation-Flanders (FWO)(FWO); Flemish Government; KU Leuven Internal Funds grant</t>
  </si>
  <si>
    <t>Part of the resources and services used in this work were provided by the VSC (Flemish Supercomputer Center), funded by the Research Foundation-Flanders (FWO) and the Flemish Government. This work was partially supported by KU Leuven Internal Funds grant STG/19/002.</t>
  </si>
  <si>
    <t>10.1137/22M1506857</t>
  </si>
  <si>
    <t>JJ8M0</t>
  </si>
  <si>
    <t>gold, Green Submitted, Green Accepted</t>
  </si>
  <si>
    <t>WOS:001172890400001</t>
  </si>
  <si>
    <t>Heller-Kaikov, B; Pail, R; Werner, M</t>
  </si>
  <si>
    <t>Heller-Kaikov, Betty; Pail, Roland; Werner, Martin</t>
  </si>
  <si>
    <t>Signal Separation in Global, Temporal Gravity Data</t>
  </si>
  <si>
    <t>satellite gravimetry; signal separation; spatial-temporal data; neural networks</t>
  </si>
  <si>
    <t>WATER STORAGE; MASS CHANGE; GRACE; PATTERNS; FIELD; FO</t>
  </si>
  <si>
    <t>Satellite gravity data such as provided by the Gravity Recovery and Climate Experiment (GRACE) and its follow-up mission contain valuable information on all geophysical processes that involve a mass redistribution in the Earth system. However, as gravity is an integral quantity, only the sum of all signal components can be measured. In order to exploit gravity data for improving the geophysical understanding of the underlying mass redistribution processes, an algorithm to separate the superimposed signals is needed. We present two methods that solve the signal separation problem in global, spatial-temporal gravity data based on prior knowledge on the characteristic behavior of the individual signal components: A principal component analysis-based method is compared to a conditional generative adversarial network that has been originally developed for image-to-image translation tasks. Both methods are tested on synthetic model data in a closed-loop setup, and are shown to successfully accomplish the task of separating gravity signals related to atmospheric and oceanic processes from signals caused by processes in the continental hydrosphere. The two methods show a comparable level of prediction errors. For both methods, the preprocessing of the gravity signals before the signal separation step, more precisely, the choice of the gravity field functional, has a considerable impact on the predictive performance. All in all, we emphasize the potential of neural network algorithms for signal separation in spatial-temporal geodetic data, and suggest a more specific tuning of the algorithm to the task of interest.</t>
  </si>
  <si>
    <t>[Heller-Kaikov, Betty; Pail, Roland; Werner, Martin] Tech Univ Munich, Munich, Germany</t>
  </si>
  <si>
    <t>Heller-Kaikov, B (corresponding author), Tech Univ Munich, Munich, Germany.</t>
  </si>
  <si>
    <t>betty.heller@tum.de; roland.pail@tum.de; martin.werner@tum.de</t>
  </si>
  <si>
    <t>Pail, Roland/H-5621-2011</t>
  </si>
  <si>
    <t>Heller-Kaikov, Betty/0000-0003-3056-9508</t>
  </si>
  <si>
    <t>German Research Foundation (DFG) research training group [UPLIFT 440512084 (GRK 2698)]</t>
  </si>
  <si>
    <t>German Research Foundation (DFG) research training group(German Research Foundation (DFG))</t>
  </si>
  <si>
    <t>Funding was provided by the German Research Foundation (DFG) research training group UPLIFT 440512084 (GRK 2698). We also acknowledge the provision of supercomputing resources by the Leibniz Supercomputing Centre (LRZ; Address: Boltzmannstra beta e 1, 85748 Garching bei Munchen, Germany).</t>
  </si>
  <si>
    <t>10.1145/3615886.3627743</t>
  </si>
  <si>
    <t>WOS:001152316700013</t>
  </si>
  <si>
    <t>Maalek, S; Maalek, R; Maalek, B</t>
  </si>
  <si>
    <t>Maalek, Shahrokh; Maalek, Reza; Maalek, Bahareh</t>
  </si>
  <si>
    <t>Intrinsic Properties of Composite Double Layer Grid Superstructures</t>
  </si>
  <si>
    <t>INFRASTRUCTURES</t>
  </si>
  <si>
    <t>space structure systems; composite structures; double- and single-layer grid structures; Artificial Intelligence (AI) in construction; sustainability in design; mass customization; kit-of-parts; digital engineering and construction</t>
  </si>
  <si>
    <t>This paper examined the opportunities of composite double-layer grid superstructures in short-to-medium span bridge decks. It was empirically shown here that a double-layer grid deck system in composite action with a thin layer of two-way reinforced concrete slab introduced several structural advantages over the conventional composite plate-girder superstructure system. These advantages included improved seismic performance, increased structural rigidity, reduced deck vibration, increased failure capacity, and so on. Optimally proportioned space grid superstructures were found to be less prone to progressive collapse, increasing structural reliability and resilience, while reducing the risk of sudden failure. Through a set of dynamic time-series experiments, considerable enhancement in load transfer efficiency in the transverse direction under dynamic truck loading was gained. Furthermore, the multi-objective generative optimization of the proposed spatial grid bridge (with integral variable depth) using evolutionary optimization methods was examined. Finally, comprehensive discussions were given on: (i) mechanical properties, such as fatigue behavior, corrosion, durability, and behavior in cold environments; (ii) health monitoring aspects, such as ease of inspection, maintenance, and access for the installation of remote monitoring devices; (iii) sustainability considerations, such as reduction of embodied Carbon and energy due to reduced material waste, along with ease of demolition, deconstruction and reuse after lifecycle design; and (iv) lean management aspects, such as support for industrialized construction and mass customization. It was concluded that the proposed spatial grid system shows promise for building essential and sustainable infrastructures of the future.</t>
  </si>
  <si>
    <t>[Maalek, Shahrokh; Maalek, Bahareh] Digital Innovat Construction Engn DICE Technol, Calgary, AB T3N 0B3, Canada; [Maalek, Reza] Karlsruhe Inst Technol, Dept Digital Engn &amp; Construct, D-76131 Karlsruhe, Germany</t>
  </si>
  <si>
    <t>Maalek, R (corresponding author), Karlsruhe Inst Technol, Dept Digital Engn &amp; Construct, D-76131 Karlsruhe, Germany.</t>
  </si>
  <si>
    <t>Maalek, Reza/0000-0001-6825-2691</t>
  </si>
  <si>
    <t>KIT Publication Fund of the Karlsruhe Institute of Technology</t>
  </si>
  <si>
    <t>The author wishes to acknowledge the support provided by the KIT Publication Fund of the Karlsruhe Institute of Technology in supplying the APC. This research received no additional external funding.</t>
  </si>
  <si>
    <t>2412-3811</t>
  </si>
  <si>
    <t>INFRASTRUCTURES-BASE</t>
  </si>
  <si>
    <t>Infrastructures-Basel</t>
  </si>
  <si>
    <t>10.3390/infrastructures8090129</t>
  </si>
  <si>
    <t>Construction &amp; Building Technology; Engineering, Civil; Transportation Science &amp; Technology</t>
  </si>
  <si>
    <t>Construction &amp; Building Technology; Engineering; Transportation</t>
  </si>
  <si>
    <t>S9BH9</t>
  </si>
  <si>
    <t>WOS:001074043000001</t>
  </si>
  <si>
    <t>An, J; Kim, T; Ko, D; Lee, S; Woo, SS</t>
  </si>
  <si>
    <t>An, Jaeju; Kim, Taejune; Ko, Donggeun; Lee, Sangyup; Woo, Simon S.</t>
  </si>
  <si>
    <t>A2: Adaptive Augmentation for Effectively Mitigating Dataset Bias</t>
  </si>
  <si>
    <t>Computer vision; Debiasing; Image translation</t>
  </si>
  <si>
    <t>Recently, deep neural networks (DNNs) have become the de facto standard to achieve outstanding performances and demonstrate significant impact on various computer vision tasks for real-world scenarios. However, the trained networks can often suffer from overfitting issues due to the unintended bias in a dataset causing inaccurate, unreliable, and untrustworthy results. Thus, recent studies have attempted to remove bias by augmenting the bias-conflict samples to address this challenge. Yet, it still remains a challenge since generating bias-conflict samples without human supervision is generally difficult. To tackle this problem, we propose a novel augmentation framework, Adaptive Augmentation (A(2)), based on a generative model that help classifiers learn debiased representations. Our framework consists of three steps: 1) extracting bias-conflict samples from a biased dataset in an unsupervised manner, 2) training a generative model with the biased dataset and adapting the learned biased distribution to the extracted bias-conflict samples' distribution, and 3) augmenting bias-conflict samples by translating bias-align samples. Therefore, our classifier can effectively learn the debiased representation without human supervision. Our extensive experimental results demonstrate that A(2) effectively augments bias-conflict samples, mitigating widespread bias issues. The code is available in here (https://github.com/anjaeju/A(2)- AdaptiveAugmentation-for-Effectively-Mitigating-Dataset-Bias).</t>
  </si>
  <si>
    <t>[An, Jaeju; Kim, Taejune; Lee, Sangyup; Woo, Simon S.] Sungkyunkwan Univ, Dept Comp Sci &amp; Engn, Seoul, South Korea; [Woo, Simon S.] Sungkyunkwan Univ, Dept Artificial Intelligence, Seoul, South Korea; [Woo, Simon S.] Sungkyunkwan Univ, Dept Appl Artificial Intelligence, Seoul, South Korea; [Ko, Donggeun] Sungkyunkwan Univ, Dept Appl Data Sci, Seoul, South Korea</t>
  </si>
  <si>
    <t>Sungkyunkwan University (SKKU); Sungkyunkwan University (SKKU); Sungkyunkwan University (SKKU); Sungkyunkwan University (SKKU)</t>
  </si>
  <si>
    <t>Woo, SS (corresponding author), Sungkyunkwan Univ, Dept Comp Sci &amp; Engn, Seoul, South Korea.;Woo, SS (corresponding author), Sungkyunkwan Univ, Dept Artificial Intelligence, Seoul, South Korea.;Woo, SS (corresponding author), Sungkyunkwan Univ, Dept Appl Artificial Intelligence, Seoul, South Korea.</t>
  </si>
  <si>
    <t>anjaeju@g.skku.edu; taemo@g.skku.edu; seanko@g.skku.edu; sangyup.lee@g.skku.edu; swoo@g.skku.edu</t>
  </si>
  <si>
    <t>We thank members of DASH Lab. for the helpful feedback. This work was partially supported by the Basic Science Research Program through National Research Foundation of Korea (NRF) grant funded by the Korean Ministry of Science and ICT (MSIT) under No. 2020R1C1C1006004 and Institute for Information &amp; communication Technology Planning &amp; evaluation (IITP) grants funded by the Korean MSIT: (No. 2022-0-01199, Graduate School of Convergence Security at Sungkyunkwan University), (No. 2022-0-01045, Self-directed Multi-Modal Intelligence for solving unknown, open domain problems), (No. 2022-0-00688, AI Platform to Fully Adapt and Reflect Privacy-Policy Changes), (No. 2021-0-02068, Artificial Intelligence Innovation Hub), (No. 2019-0-00421, AI Graduate School Support Program at Sungkyunkwan University), and (No. 2021-0-02309, Object Detection Research under Low Quality Video Condition).</t>
  </si>
  <si>
    <t>10.1007/978-3-031-26293-7_41</t>
  </si>
  <si>
    <t>WOS:001000816900041</t>
  </si>
  <si>
    <t>Hu, XK; Zhang, PZ; Ban, YF; Rahnemoonfar, M</t>
  </si>
  <si>
    <t>Hu, Xikun; Zhang, Puzhao; Ban, Yifang; Rahnemoonfar, Maryam</t>
  </si>
  <si>
    <t>GAN-based SAR and optical image translation for wildfire impact assessment using multi-source remote sensing data</t>
  </si>
  <si>
    <t>REMOTE SENSING OF ENVIRONMENT</t>
  </si>
  <si>
    <t>Wildfire; Burned area; Burn severity; Deep learning; Image translation; Generative adversarial networks (GAN); Sentinel-1; Sentinel-2</t>
  </si>
  <si>
    <t>QUANTIFYING BURN SEVERITY; FORESTS; AREA; NETWORK; LANDSAT; LEVEL; RATIO; MSI</t>
  </si>
  <si>
    <t>Despite the popularity and success in burned area detection and assessment, multispectral satellite images are often affected by poor sunlight-illumination conditions, particularly at high latitudes. Given that Synthetic Aperture Radar (SAR) can effectively penetrate clouds and collect images in all-weather conditions during day and night, the complementary use of optical and SAR data can be helpful for remote-sensing measurements and assessments of burned sites. Nevertheless, the widely used burn-sensitive spectral indices hardly help analyze SAR data due to the inherent difference between optical and SAR sensors in physical imaging mechanisms. In this study, we aim to leverage multi-source data for burned area mapping and burn severity assessment by translating SAR images into optical images using ResNet-based Pix2Pix model. Experiments were performed on 8669 pairs of bitemporal Sentinel-1 SAR and Sentinel-2 optical patches over 304 large wildfire events in Canada with a wide range of land covers. The translated optical images from SAR data occupied similar spectral properties to real optical observations and the corresponding generated spectral indices (i.e., delta Normalized Burn Ratio (dNBR), relative dNBR, and Relativized Burn Ratio) also showed high agreement with real optical indices. In terms of burned area detection using the generated indices, their medium values of the area under the receiver operating characteristics curve (AUC) were over 85%, achieving promising performance that outperformed the SAR-based index. Burn severity maps derived from multi-source data achieved a relatively high Kappa coefficient of 0.77. Results showed the feasibility and effectiveness of GAN-based SAR-to-optical translation for wildfire impact assessment, paving the way for the combined use of optical and SAR data.</t>
  </si>
  <si>
    <t>[Hu, Xikun; Zhang, Puzhao; Ban, Yifang] KTH Royal Inst Technol, Div Geoinformat, Stockholm, Sweden; [Rahnemoonfar, Maryam] Lehigh Univ, Dept Comp Sci &amp; Engn, Bethlehem, PA 18015 USA; [Rahnemoonfar, Maryam] Lehigh Univ, Dept Civil &amp; Environm Engn, Bethlehem, PA 18015 USA</t>
  </si>
  <si>
    <t>Royal Institute of Technology; Lehigh University; Lehigh University</t>
  </si>
  <si>
    <t>Ban, YF (corresponding author), KTH Royal Inst Technol, Div Geoinformat, Stockholm, Sweden.</t>
  </si>
  <si>
    <t>yifang@kth.se</t>
  </si>
  <si>
    <t>li, yang/IQV-3559-2023</t>
  </si>
  <si>
    <t>Hu, Xikun/0000-0002-1077-2560</t>
  </si>
  <si>
    <t>Digital Futures; Climate Change AI (CCAI) - Swedish Research Council [2018-05973]</t>
  </si>
  <si>
    <t>Digital Futures; Climate Change AI (CCAI) - Swedish Research Council(Swedish Research Council)</t>
  </si>
  <si>
    <t>This research is part of the EO-AI4GlobalChange project funded by Digital Futures. Puzhao Zhang would like to thank Digital Futures for the postdoctoral Fellowship. Xikun Hu would like to thank the Climate Change AI (CCAI) mentorship program. We acknowledge the use of data from Sentinel-1 and Sentinel-2 missions within the Copernicus Programme. The computations were enabled by resources provided by the Swedish National Infrastructure for Computing (SNIC) at C3SE Centre partially funded by the Swedish Research Council through grant agreement no. 2018-05973. We thank anonymous reviewers for their helpful comments and suggestions.</t>
  </si>
  <si>
    <t>0034-4257</t>
  </si>
  <si>
    <t>1879-0704</t>
  </si>
  <si>
    <t>REMOTE SENS ENVIRON</t>
  </si>
  <si>
    <t>Remote Sens. Environ.</t>
  </si>
  <si>
    <t>MAY 1</t>
  </si>
  <si>
    <t>10.1016/j.rse.2023.113522</t>
  </si>
  <si>
    <t>A2CT2</t>
  </si>
  <si>
    <t>WOS:000953270300001</t>
  </si>
  <si>
    <t>Assran, M; Duval, Q; Misra, I; Bojanowski, P; Vincent, P; Rabbat, M; Lecun, Y; Ballas, N</t>
  </si>
  <si>
    <t>Assran, Mahmoud; Duval, Quentin; Misra, Ishan; Bojanowski, Piotr; Vincent, Pascal; Rabbat, Michael; Lecun, Yann; Ballas, Nicolas</t>
  </si>
  <si>
    <t>Self-Supervised Learning from Images with a Joint-Embedding Predictive Architecture</t>
  </si>
  <si>
    <t>This paper demonstrates an approach for learning highly semantic image representations without relying on hand-crafted data-augmentations. We introduce the Image-based Joint-Embedding Predictive Architecture (I-JEPA), a non-generative approach for self-supervised learning from images. The idea behind I-JEPA is simple: from a single context block, predict the representations of various target blocks in the same image. A core design choice to guide I-JEPA towards producing semantic representations is the masking strategy; specifically, it is crucial to (a) sample target blocks with sufficiently large scale (semantic), and to (b) use a sufficiently informative (spatially distributed) context block. Empirically, when combined with Vision Transformers, we find I-JEPA to be highly scalable. For instance, we train a ViT-Huge/14 on ImageNet using 16 A100 GPUs in under 72 hours to achieve strong downstream performance across a wide range of tasks, from linear classification to object counting and depth prediction.</t>
  </si>
  <si>
    <t>[Assran, Mahmoud; Duval, Quentin; Misra, Ishan; Bojanowski, Piotr; Vincent, Pascal; Rabbat, Michael; Lecun, Yann; Ballas, Nicolas] Meta AI FAIR, Menlo Pk, CA 94025 USA; [Assran, Mahmoud] McGill Univ, Montreal, PQ H3A 2T5, Canada; [Assran, Mahmoud; Rabbat, Michael] Mila, Quebec AI Inst, Montreal, PQ, Canada; [Lecun, Yann] NYU, New York, NY 10003 USA</t>
  </si>
  <si>
    <t>McGill University; New York University</t>
  </si>
  <si>
    <t>Assran, M (corresponding author), Meta AI FAIR, Menlo Pk, CA 94025 USA.;Assran, M (corresponding author), McGill Univ, Montreal, PQ H3A 2T5, Canada.;Assran, M (corresponding author), Mila, Quebec AI Inst, Montreal, PQ, Canada.</t>
  </si>
  <si>
    <t>massran@meta.com</t>
  </si>
  <si>
    <t>10.1109/CVPR52729.2023.01499</t>
  </si>
  <si>
    <t>WOS:001062522107090</t>
  </si>
  <si>
    <t>Wang, DS; Yan, YC; Qiu, RZ; Zhu, YD; Guan, KY; Margenot, A; Tong, HH</t>
  </si>
  <si>
    <t>Wang, Dingsu; Yan, Yuchen; Qiu, Ruizhong; Zhu, Yada; Guan, Kaiyu; Margenot, Andrew; Tong, Hanghang</t>
  </si>
  <si>
    <t>Networked Time Series Imputation via Position-aware Graph Enhanced Variational Autoencoders</t>
  </si>
  <si>
    <t>Networked time series; imputation; variational autoencoders; random walk with restart; node positional embeddings</t>
  </si>
  <si>
    <t>Multivariate time series (MTS) imputation is a widely studied problem in recent years. Existing methods can be divided into two main groups, including (1) deep recurrent or generative models that primarily focus on time series features, and (2) graph neural networks (GNNs) based models that utilize the topological information from the inherent graph structure of MTS as relational inductive bias for imputation. Nevertheless, these methods either neglect topological information or assume the graph structure is fixed and accurately known. Thus, they fail to fully utilize the graph dynamics for precise imputation in more challenging MTS data such as networked time series (NTS), where the underlying graph is constantly changing and might have missing edges. In this paper, we propose a novel approach to overcome these limitations. First, we define the problem of imputation over NTS which contains missing values in both node time series features and graph structures. Then, we design a new model named PoGeVon which leverages variational autoencoder (VAE) to predict missing values over both node time series features and graph structures. In particular, we propose a new node position embedding based on random walk with restart (RWR) in the encoder with provable higher expressive power compared with message-passing based graph neural networks (GNNs). We further design a decoder with 3-stage predictions from the perspective of multi-task learning to impute missing values in both time series and graph structures reciprocally. Experiment results demonstrate the effectiveness of our model over baselines.</t>
  </si>
  <si>
    <t>[Wang, Dingsu; Yan, Yuchen; Qiu, Ruizhong; Guan, Kaiyu; Margenot, Andrew; Tong, Hanghang] Univ Illinois, Champaign, IL 61820 USA; [Zhu, Yada] IBM Res, Yorktown Hts, NY USA</t>
  </si>
  <si>
    <t>University of Illinois System; University of Illinois Urbana-Champaign; International Business Machines (IBM)</t>
  </si>
  <si>
    <t>Wang, DS (corresponding author), Univ Illinois, Champaign, IL 61820 USA.</t>
  </si>
  <si>
    <t>dingsuw2@illinois.edu; yucheny5@illinois.edu; rq5@illinois.edu; yzhu@us.ibm.com; kaiyug@illinois.edu; margenot@illinois.edu; htong@illinois.edu</t>
  </si>
  <si>
    <t>; Margenot, Andrew/C-9869-2016</t>
  </si>
  <si>
    <t>Tong, Hanghang/0000-0003-4405-3887; Margenot, Andrew/0000-0003-0185-8650</t>
  </si>
  <si>
    <t>NSF [1947135, 2134079]; Amazon [1939725]; DARPA [HR001121C0165]; NIFA [2020-67021-32799]; DHS [17STQ AC00001-06-00]; ARO [W911NF2110088]; C3.ai Digital Transformation Institute; MIT-IBM Watson AI Lab; IBM-Illinois Discovery Accelerator Institute</t>
  </si>
  <si>
    <t>NSF(National Science Foundation (NSF)); Amazon; DARPA(United States Department of DefenseDefense Advanced Research Projects Agency (DARPA)); NIFA(United States Department of Agriculture (USDA)National Institute of Food and Agriculture); DHS(United States Department of Homeland Security (DHS)); ARO; C3.ai Digital Transformation Institute; MIT-IBM Watson AI Lab(International Business Machines (IBM)); IBM-Illinois Discovery Accelerator Institute</t>
  </si>
  <si>
    <t>This work is supported by NSF (1947135, and 2134079), the NSF Program on Fairness in AI in collaboration with Amazon (1939725), DARPA (HR001121C0165), NIFA (2020-67021-32799), DHS (17STQ AC00001-06-00), ARO (W911NF2110088), the C3.ai Digital Transformation Institute, MIT-IBM Watson AI Lab, and IBM-Illinois Discovery Accelerator Institute. The content of the information in this document does not necessarily reflect the position or the policy of the Government or Amazon, and no official endorsement should be inferred. The U.S. Government is authorized to reproduce and distribute reprints for Government purposes notwithstanding any copyright notation here on.</t>
  </si>
  <si>
    <t>10.1145/3580305.3599444</t>
  </si>
  <si>
    <t>WOS:001118896302028</t>
  </si>
  <si>
    <t>Balki, E; Holland, C; Hayes, N</t>
  </si>
  <si>
    <t>Balki, Eric; Holland, Carol; Hayes, Niall</t>
  </si>
  <si>
    <t>Use and Acceptance of Digital Communication Technology by Older Adults for Social Connectedness During the COVID-19 Pandemic: Mixed Methods Study</t>
  </si>
  <si>
    <t>aging in place; technology acceptance; technology adoption; information and communication technologies; qualitative research; COVID-19 pandemic, Facebook, Meta; WhatsApp; Zoom, generative artificial intelligence, AI</t>
  </si>
  <si>
    <t>PRIVACY CALCULUS MODEL; E-COMMERCE; FACEBOOK; LONELINESS; SUPPORT; ROLES; TRUST</t>
  </si>
  <si>
    <t>Background: Older adults are at higher risk for health issues, including mental health problems. This was especially apparent during the COVID-19 pandemic, where older adults were simultaneously more vulnerable to the disease and the mental health concerns created by social distancing. Subsequently, the use of digital communication technology (DCT) became a critical option for maintaining social connectedness in older adults. Prior to the pandemic, the low uptake and use of technology by older adults was an established problem, known as the digital divide. However, not much is known about how this may have changed as a result of the pandemic. Objective: This study aims to explore how older adults maintained social connectedness through DCT during the pandemic and to understand factors influencing the use and acceptance of DCT. Methods: A mixed methods explorative field study was set up, involving surveys and interviews of 25 community-dwelling older adults (65-88 years old) living in the United Kingdom. The surveys included the internet acceptance questionnaire (based on the Technology Acceptance Model [TAM]); COVID-19 dysfunctional anxiety was captured using the COVID-19 Anxiety Scale (CAS). Background information (demographics, use of technology) was gathered before conducting semistructured interviews. We hypothesized that CAS would affect constructs of TAM and that predictive constructs of TAM would have remained valid during the pandemic. We also posited that there would be unidentified themes outside TAM that impacted the acceptance and use of DCT. We used the quantitative data to guide the semistructured interviews, which were then analyzed through thematic analysis to identify additional themes. Results: Correlational analysis showed that CAS influences all constructs of TAM. We also saw that the predictive constructs of TAM, especially the perceived ease of use (PEU) and perceived usefulness (PU), remained valid during the pandemic. Common acceptance-influencing themes were encountered in both quantitative and qualitative analyses, with 3 matching the known constructs of TAM (PU, PEU, and behavioral intention). We identified 2 additional themes affecting acceptance, namely influence of the pandemic (situational context) and privacy and security concerns. DCT use (especially email and videoconferencing use) increased during the pandemic, but the results related to social networking sites were mixed. Conclusions: The COVID-19 pandemic impacted technology acceptance and use by older adults, encouraging their use of certain DCT apps (email and videoconferencing apps, such as WhatsApp). These apps helped insulate them from adverse effects (social isolation and loneliness). Other social networking apps, however, exerted a negative influence, increasing anxiety and a general feeling of negativity. Future studies should maximize older adult agency related to design, privacy, security, and user requirements for development. We also recommend that when studying DCT acceptance for older adults, our additional identified themes should be considered alongside the existing TAM constructs.</t>
  </si>
  <si>
    <t>[Balki, Eric; Holland, Carol] Univ Lancaster, Ctr Ageing &amp; Res, Div Hlth, Lancaster, England; [Hayes, Niall] Nottingham Trent Univ, Notthingham, England; [Balki, Eric] Univ Lancaster, Ctr Ageing &amp; Res, Div Hlth, Furness Bldg,Hazelrigg Ln, Lancaster LA1 4YG, England</t>
  </si>
  <si>
    <t>Lancaster University; Nottingham Trent University; Lancaster University</t>
  </si>
  <si>
    <t>Balki, E (corresponding author), Univ Lancaster, Ctr Ageing &amp; Res, Div Hlth, Furness Bldg,Hazelrigg Ln, Lancaster LA1 4YG, England.</t>
  </si>
  <si>
    <t>e.balkhi@lancaster.ac.uk</t>
  </si>
  <si>
    <t>Hayes, Niall/0000-0001-8718-4671; Balki, Eric/0000-0001-5404-7187; Holland, Carol/0000-0001-7109-6554</t>
  </si>
  <si>
    <t>AUG 2</t>
  </si>
  <si>
    <t>e41535</t>
  </si>
  <si>
    <t>10.2196/41535</t>
  </si>
  <si>
    <t>P2JS8</t>
  </si>
  <si>
    <t>WOS:001048960200006</t>
  </si>
  <si>
    <t>Magnani, M; Clindaniel, J</t>
  </si>
  <si>
    <t>Magnani, Matthew; Clindaniel, Jon</t>
  </si>
  <si>
    <t>Artificial Intelligence and Archaeological Illustration</t>
  </si>
  <si>
    <t>ADVANCES IN ARCHAEOLOGICAL PRACTICE</t>
  </si>
  <si>
    <t>artificial intelligence; archaeological illustration; DALL-E 2; inteligencia artificial; iIlustracion arqueologica</t>
  </si>
  <si>
    <t>LANGUAGE; EUROPE</t>
  </si>
  <si>
    <t>The reconstruction and representation of ancient artifacts and scenes through illustration is a cornerstone in the communication of archaeological findings. Sketches of the past have transformed over time, incorporating broader technological changes, from photography to the digital tools that have become prevalent through the twenty-first century. Most recently, developments in generative artificial intelligence (AI) promise to reshape the way we represent the past to professional and public audiences. This article shows how to use an accessible and inexpensive artificial intelligence platform to generate complex archaeological illustrations. As a case study, we create multiple scenes representing competing hypotheses about Neanderthal behavior. Using the images to visually communicate alternative hypotheses, we demonstrate how archaeological illustration using artificial intelligence promises to democratize the production of visual representations of the past. La reconstruccion y representacion de artefactos antiguos y escenas a traves de la ilustracion es un pilar fundamental en la comunicacion de hallazgos arqueologicos. Las ilustraciones del pasado han evolucionado con el tiempo, incorporando cambios tecnologicos mas amplios, desde la fotografia hasta las herramientas digitales que se han vuelto predominantes a lo largo del siglo XXI. Mas recientemente, los avances en la inteligencia artificial generativa prometen reconfigurar la forma en que representamos el pasado ante audiencias profesionales y publicas. En este articulo se muestra como utilizar una plataforma de inteligencia artificial accesible y economica para generar ilustraciones arqueologicas complejas. A traves de un estudio de caso, creamos multiples escenas que representan hipotesis competidoras sobre el comportamiento neandertal. Utilizado para comunicar visualmente hipotesis alternativas, demostramos como la ilustracion arqueologica utilizando inteligencia artificial promete democratizar las representaciones visuales del pasado.</t>
  </si>
  <si>
    <t>[Magnani, Matthew] Univ Maine, Dept Anthropol, Orono, ME 04469 USA; [Clindaniel, Jon] Univ Chicago, Computat Social Sci, Chicago, IL USA</t>
  </si>
  <si>
    <t>University of Maine System; University of Maine Orono; University of Chicago</t>
  </si>
  <si>
    <t>Magnani, M (corresponding author), Univ Maine, Dept Anthropol, Orono, ME 04469 USA.</t>
  </si>
  <si>
    <t>matthew.magnani@maine.edu</t>
  </si>
  <si>
    <t>Clindaniel, Jon/0000-0003-3947-3895</t>
  </si>
  <si>
    <t>The authors would like to offer thanks to the reviewers who improved this piece through their constructive criticism.</t>
  </si>
  <si>
    <t>2326-3768</t>
  </si>
  <si>
    <t>ADV ARCHAEOL PRACT</t>
  </si>
  <si>
    <t>Adv. Archaeol. Pract.</t>
  </si>
  <si>
    <t>10.1017/aap.2023.25</t>
  </si>
  <si>
    <t>Archaeology</t>
  </si>
  <si>
    <t>IT7T1</t>
  </si>
  <si>
    <t>WOS:001092777300001</t>
  </si>
  <si>
    <t>Ghannad, P; Lee, YC</t>
  </si>
  <si>
    <t>Ghannad, Pedram; Lee, Yong-Cheol</t>
  </si>
  <si>
    <t>Optimizing Modularization of Residential Housing Designs for Rapid Postdisaster Mass Production of Housing</t>
  </si>
  <si>
    <t>JOURNAL OF CONSTRUCTION ENGINEERING AND MANAGEMENT</t>
  </si>
  <si>
    <t>FAMILY DESIGN; CONSTRUCTION; PLATFORM; CONFIGURATION; EVOLUTIONARY; COMMONALITY; FRAMEWORK; MANUFACTURE; EFFICIENCY; ALGORITHM</t>
  </si>
  <si>
    <t>Postdisaster housing reconstruction (PDHR) is a highly complex process because of the large number of recovery projects for affected communities and the shortage of resources after a disastrous event. PDHR also needs a strategy that reconsiders it as a large-scale integrated portfolio of projects instead of individual building reconstruction projects. However, this complexity and the lack of a holistic, systematic approach for planning frequently lead to an ad-hoc or case-by-case decision-making process. To resolve this critical challenge in postdisaster housing mass production, this study investigates and develops a systematic approach that optimizes the design modularization of housing recovery projects considering manufacturing, transportation, and assembly factors for a cost-efficient and sustainable implication of modular construction (MC) in PDHR. Using the genetic algorithm-based optimization method, the proposed method addresses the possible trade-offs between the commonality and suitability of the module configurations for PDHR projects. In addition, the authors used a set of feasible configurations of a variety of modular housing designs created from the AI-based generative design system and conducted the mass production scenarios after a disaster to validate the accuracy and robustness of the proposed methodology. The results clearly show that the proposed method significantly improved optimization and decision-making of MC design and construction processes and considerably enhanced rapid and logical responses to the demands of the postdisaster recovery process. The newly developed method is expected to assist the planners in formalizing the commonality concept in the PDHR process and achieving an optimal level of modularity and commonality that meet the required variation while maintaining the advantages of mass production.</t>
  </si>
  <si>
    <t>[Ghannad, Pedram] Bradley Univ, Dept Civil Engn &amp; Construction, Peoria, IL 61614 USA; [Lee, Yong-Cheol] Louisiana State Univ, Dept Construct Management, Baton Rouge, LA 70803 USA</t>
  </si>
  <si>
    <t>Bradley University; Louisiana State University System; Louisiana State University</t>
  </si>
  <si>
    <t>Lee, YC (corresponding author), Louisiana State Univ, Dept Construct Management, Baton Rouge, LA 70803 USA.</t>
  </si>
  <si>
    <t>pghannad@bradley.edu; yclee@lsu.edu</t>
  </si>
  <si>
    <t>Lee, Yongcheol/0000-0002-0040-0894</t>
  </si>
  <si>
    <t>Louisiana Economic Development Assistantship (EDA)</t>
  </si>
  <si>
    <t>The authors acknowledge the research support of the Louisiana Economic Development Assistantship (EDA).</t>
  </si>
  <si>
    <t>0733-9364</t>
  </si>
  <si>
    <t>1943-7862</t>
  </si>
  <si>
    <t>J CONSTR ENG M</t>
  </si>
  <si>
    <t>J. Constr. Eng. Manage.</t>
  </si>
  <si>
    <t>10.1061/(ASCE)CO.1943-7862.0002390</t>
  </si>
  <si>
    <t>Construction &amp; Building Technology; Engineering, Industrial; Engineering, Civil</t>
  </si>
  <si>
    <t>G4KD3</t>
  </si>
  <si>
    <t>WOS:000988854500008</t>
  </si>
  <si>
    <t>Sikander, B; Baker, JJ; Deveci, CD; Lund, L; Rosenberg, J</t>
  </si>
  <si>
    <t>Sikander, Binyamin; Baker, Jason J.; Deveci, Can D.; Lund, Lars; Rosenberg, Jacob</t>
  </si>
  <si>
    <t>ChatGPT-4 and Human Researchers Are Equal in Writing Scientific Introduction Sections: A Blinded, Randomized, Non-inferiority Controlled Study</t>
  </si>
  <si>
    <t>natural language processing; chatbot; artificial intelligence and writing; artificial intelligence in medicine; gpt-4; chatgpt</t>
  </si>
  <si>
    <t>Background Natural language processing models are increasingly used in scientific research, and their ability to perform various tasks in the research process is rapidly advancing. This study aims to investigate whether Generative Pre-trained Transformer 4 (GPT-4) is equal to humans in writing introduction sections for scientific articles.Methods This randomized non-inferiority study was reported according to the Consolidated Standards of Reporting Trials for non-inferiority trials and artificial intelligence (AI) guidelines. GPT-4 was instructed to synthesize 18 introduction sections based on the aim of previously published studies, and these sections were compared to the human-written introductions already published in a medical journal. Eight blinded assessors randomly evaluated the introduction sections using 1-10 Likert scales.Results There was no significant difference between GPT-4 and human introductions regarding publishability and content quality. GPT-4 had one point significantly better scores in readability, which was considered a non -relevant difference. The majority of assessors (59%) preferred GPT-4, while 33% preferred human-written introductions. Based on Lix and Flesch-Kincaid scores, GPT-4 introductions were 10 and two points higher, respectively, indicating that the sentences were longer and had longer words.Conclusion GPT-4 was found to be equal to humans in writing introductions regarding publishability, readability, and content quality. The majority of assessors preferred GPT-4 introductions and less than half could determine which were written by GPT-4 or humans. These findings suggest that GPT-4 can be a useful tool for writing introduction sections, and further studies should evaluate its ability to write other parts of scientific articles.</t>
  </si>
  <si>
    <t>[Sikander, Binyamin; Baker, Jason J.; Deveci, Can D.; Rosenberg, Jacob] Herlev Hosp, Surg, Herlev, Denmark; [Lund, Lars] Odense Univ Hosp, Urol, Odense, Denmark</t>
  </si>
  <si>
    <t>University of Copenhagen; Herlev &amp; Gentofte Hospital; University of Southern Denmark; Odense University Hospital</t>
  </si>
  <si>
    <t>Sikander, B (corresponding author), Herlev Hosp, Surg, Herlev, Denmark.</t>
  </si>
  <si>
    <t>binyamin2200@gmail.com</t>
  </si>
  <si>
    <t>Baker, Jason Joe/0000-0002-9272-9637; Rosenberg, Jacob/0000-0002-0063-1086</t>
  </si>
  <si>
    <t>NOV 18</t>
  </si>
  <si>
    <t>e49019</t>
  </si>
  <si>
    <t>10.7759/cureus.49019</t>
  </si>
  <si>
    <t>Z1MO8</t>
  </si>
  <si>
    <t>WOS:001109796100007</t>
  </si>
  <si>
    <t>Zhang, YZ; Wu, SZ; Snavely, N; Wu, JJ</t>
  </si>
  <si>
    <t>Zhang, Yunzhi; Wu, Shangzhe; Snavely, Noah; Wu, Jiajun</t>
  </si>
  <si>
    <t>Seeing a Rose in Five Thousand Ways</t>
  </si>
  <si>
    <t>What is a rose, visually? A rose comprises its intrinsics, including the distribution of geometry, texture, and material specific to its object category. With knowledge of these intrinsic properties, we may render roses of different sizes and shapes, in different poses, and under different lighting conditions. In this work, we build a generative model that learns to capture such object intrinsics from a single image, such as a photo of a bouquet. Such an image includes multiple instances of an object type. These instances all share the same intrinsics, but appear different due to a combination of variance within these intrinsics and differences in extrinsic factors, such as pose and illumination. Experiments show that our model successfully learns object intrinsics (distribution of geometry, texture, and material) for a wide range of objects, each from a single Internet image. Our method achieves superior results on multiple downstream tasks, including intrinsic image decomposition, shape and image generation, view synthesis, and relighting.</t>
  </si>
  <si>
    <t>[Zhang, Yunzhi; Wu, Jiajun] Stanford Univ, Stanford, CA 94305 USA; [Wu, Shangzhe] Univ Oxford, Oxford, England; [Snavely, Noah] Cornell Tech, New York, NY USA</t>
  </si>
  <si>
    <t>Stanford University; University of Oxford</t>
  </si>
  <si>
    <t>Zhang, YZ (corresponding author), Stanford Univ, Stanford, CA 94305 USA.</t>
  </si>
  <si>
    <t>li, chunyuan/IQW-1618-2023</t>
  </si>
  <si>
    <t>Stanford Institute for Human-Centered AI (HAI); NSF CCRI [2120095]; NSF RI [2211258]; ONR MURI [N00014-22-1-2740]; Ford; Google; Samsung; Amazon; Bosch; AFOSR [YIP FA9550-23-1-0127]</t>
  </si>
  <si>
    <t>Stanford Institute for Human-Centered AI (HAI); NSF CCRI; NSF RI(National Science Foundation (NSF)); ONR MURI(MURIOffice of Naval Research); Ford; Google(Google Incorporated); Samsung(Samsung); Amazon; Bosch; AFOSR(United States Department of DefenseAir Force Office of Scientific Research (AFOSR))</t>
  </si>
  <si>
    <t>We thank Angjoo Kanazawa, Josh Tenenbaum, Ruocheng Wang, Kai Zhang, Yiming Dou, and Koven Yu for their feedback. This work is in part supported by the Stanford Institute for Human-Centered AI (HAI), NSF CCRI #2120095, NSF RI #2211258, ONR MURI N00014-22-1-2740, AFOSR YIP FA9550-23-1-0127, Amazon, Bosch, Ford, Google, and Samsung.</t>
  </si>
  <si>
    <t>10.1109/CVPR52729.2023.00099</t>
  </si>
  <si>
    <t>WOS:001058542601026</t>
  </si>
  <si>
    <t>Romano, JD; Mei, L; Senn, J; Moore, JH; Mortensen, HM</t>
  </si>
  <si>
    <t>Romano, Joseph D.; Mei, Liang; Senn, Jonathan; Moore, Jason H.; Mortensen, Holly M.</t>
  </si>
  <si>
    <t>Exploring genetic influences on adverse outcome pathways using heuristic simulation and graph data science</t>
  </si>
  <si>
    <t>COMPUTATIONAL TOXICOLOGY</t>
  </si>
  <si>
    <t>Adverse outcome pathway; Liver cancer,genetic programming; Graph data science</t>
  </si>
  <si>
    <t>Adverse outcome pathways provide a powerful tool for understanding the biological signaling cascades that lead to disease outcomes following toxicity. The framework outlines downstream responses known as key events, culminating in a clinically significant adverse outcome as a final result of the toxic exposure. Here we use the AOP framework combined with artificial intelligence methods to gain novel insights into genetic mechanisms that underlie toxicity-mediated adverse health outcomes. Specifically, we focus on liver cancer as a case study with diverse underlying mechanisms that are clinically significant. Our approach uses two complementary AI techniques: Generative modeling via automated machine learning and genetic algorithms, and graph machine learning. We used data from the US Environmental Protection Agency's Adverse Outcome Pathway Database (AOP-DB; aopdb.epa.gov) and the UK Biobank's genetic data repository. We use the AOP-DB to extract disease-specific AOPs and build graph neural networks used in our final analyses. We use the UK Biobank to retrieve real-world genotype and phenotype data, where genotypes are based on single nucleotide polymorphism data extracted from the AOP-DB, and phenotypes are case/control cohorts for the disease of interest (liver cancer) corresponding to those adverse outcome pathways. We also use propensity score matching to appropriately sample based on important covariates (demographics, comorbidities, and social deprivation indices) and to balance the case and control populations in our machine language training/testing datasets. Finally, we describe a novel putative risk factor for LC that depends on genetic variation in both the aryl-hydrocarbon receptor (AHR) and ATP binding cassette subfamily B member 11 (ABCB11) genes.</t>
  </si>
  <si>
    <t>[Romano, Joseph D.] Univ Penn, Inst Biomed Informat, Philadelphia, PA USA; [Romano, Joseph D.] Univ Penn, Ctr Excellence Environm Toxicol, Philadelphia, PA USA; [Romano, Joseph D.] Univ Penn, Dept Biostat Epidemiol &amp; Informat, Philadelphia, PA USA; [Mei, Liang; Senn, Jonathan] Oak Ridge Associated Univ, Oak Ridge, TN USA; [Moore, Jason H.] Cedars Sinai Med Ctr, Dept Computat Biomed, Los Angeles, CA USA; [Mortensen, Holly M.] United States Environm Protect Agcy, Ctr Publ Hlth &amp; Environm Assessment, Off Res &amp; Dev, Res Triangle Pk, NC 27709 USA</t>
  </si>
  <si>
    <t>University of Pennsylvania; University of Pennsylvania; University of Pennsylvania; United States Department of Energy (DOE); Oak Ridge National Laboratory; Cedars Sinai Medical Center; United States Environmental Protection Agency</t>
  </si>
  <si>
    <t>Mortensen, HM (corresponding author), United States Environm Protect Agcy, Ctr Publ Hlth &amp; Environm Assessment, Off Res &amp; Dev, Res Triangle Pk, NC 27709 USA.</t>
  </si>
  <si>
    <t>mortensen.holly@epa.gov</t>
  </si>
  <si>
    <t>Rasga, Celia Maria/IZE-6627-2023</t>
  </si>
  <si>
    <t>Rasga, Celia Maria/0000-0002-9969-6241</t>
  </si>
  <si>
    <t>Environmental Protection Agency ' s National Research Program in Chemical Safety and Sustainability, Adverse Outcome Pathway Discovery and Development [FY22 CSS AOPDD 4.3.2.2]; UK Biobank; US National Institutes of Health [K99- LM013646, R01-AG066833, R01-LM010098, R01- LM013463, P30-ES013508]; Environmental Protection Agency ' s National Research Program in Chemical Safety and Sustainability, Adverse Outcome Pathway Discovery and Development [FY22 CSS AOPDD 4.3.2.2]; UK Biobank; US National Institutes of Health [K99- LM013646, R01-AG066833, R01-LM010098, R01- LM013463, P30-ES013508]</t>
  </si>
  <si>
    <t>Environmental Protection Agency ' s National Research Program in Chemical Safety and Sustainability, Adverse Outcome Pathway Discovery and Development; UK Biobank; US National Institutes of Health(United States Department of Health &amp; Human ServicesNational Institutes of Health (NIH) - USA); Environmental Protection Agency ' s National Research Program in Chemical Safety and Sustainability, Adverse Outcome Pathway Discovery and Development; UK Biobank; US National Institutes of Health(United States Department of Health &amp; Human ServicesNational Institutes of Health (NIH) - USA)</t>
  </si>
  <si>
    <t>This work is supported by the Environmental Protection Agency ' s National Research Program in Chemical Safety and Sustainability, Adverse Outcome Pathway Discovery and Development (FY22 CSS AOPDD 4.3.2.2) . This research has been conducted using data from UK Biobank, a major biomedical database. The work was additionally funded using grant support from the US National Institutes of Health: K99- LM013646 (PI: Romano) , R01-AG066833, R01-LM010098, R01- LM013463 (PI: Moore) , and P30-ES013508 (PI: Trevor Penning) . We would like to thank Dr. Nisha Sipes and Dr. Brian Chorley for providing editorial review of the manuscript prior to submission.</t>
  </si>
  <si>
    <t>2468-1113</t>
  </si>
  <si>
    <t>COMPUT TOXICOL</t>
  </si>
  <si>
    <t>Comput. Toxicol.</t>
  </si>
  <si>
    <t>10.1016/j.comtox.2023.100261</t>
  </si>
  <si>
    <t>Toxicology</t>
  </si>
  <si>
    <t>U4IT8</t>
  </si>
  <si>
    <t>Green Accepted, hybrid</t>
  </si>
  <si>
    <t>WOS:001084459000001</t>
  </si>
  <si>
    <t>Heins, C; Klein, B; Demekas, D; Aguilera, M; Buckley, CL</t>
  </si>
  <si>
    <t>Heins, Conor; Klein, Brennan; Demekas, Daphne; Aguilera, Miguel; Buckley, Christopher L.</t>
  </si>
  <si>
    <t>Spin Glass Systems as Collective Active Inference</t>
  </si>
  <si>
    <t>Active inference; Boltzmann machines; Spin glass models</t>
  </si>
  <si>
    <t>An open question in the study of emergent behaviour in multi-agent Bayesian systems is the relationship, if any, between individual and collective inference. In this paper we explore the correspondence between generative models that exist at two distinct scales, using spin glass models as a sandbox system to investigate this question. We show that the collective dynamics of a specific type of active inference agent is equivalent to sampling from the stationary distribution of a spin glass system. A collective of specifically-designed active inference agents can thus be described as implementing a form of sampling-based inference (namely, from a Boltzmann machine) at the higher level. However, this equivalence is very fragile, breaking upon simple modifications to the generative models of the individual agents or the nature of their interactions. We discuss the implications of this correspondence and its fragility for the study of multiscale systems composed of Bayesian agents.</t>
  </si>
  <si>
    <t>[Heins, Conor; Klein, Brennan; Buckley, Christopher L.] VERSES Res Lab, Los Angeles, CA 94545 USA; [Heins, Conor] Max Planck Inst Anim Behav, Dept Collect Behav, Constance, Germany; [Heins, Conor] Ctr Adv Study Collect Behav, Constance, Germany; [Heins, Conor] Univ Konstanz, Dept Biol, D-78457 Constance, Germany; [Demekas, Daphne] Birkbeck Dept Film Media &amp; Cultural Studies, London, England; [Klein, Brennan; Demekas, Daphne] Northeastern Univ, Network Sci Inst, Boston, MA USA; [Klein, Brennan] Northeastern Univ, Lab Modeling Biol &amp; Socio Tech Syst, Boston, MA USA; [Aguilera, Miguel; Buckley, Christopher L.] Univ Sussex, Dept Informat, Sussex AI Grp, Brighton, E Sussex, England; [Aguilera, Miguel; Buckley, Christopher L.] Univ Sussex, Sackler Ctr Consciousness Sci, Brighton, E Sussex, England</t>
  </si>
  <si>
    <t>Max Planck Society; University of Konstanz; Northeastern University; Northeastern University; University of Sussex; University of Sussex</t>
  </si>
  <si>
    <t>Heins, C (corresponding author), VERSES Res Lab, Los Angeles, CA 94545 USA.;Heins, C (corresponding author), Max Planck Inst Anim Behav, Dept Collect Behav, Constance, Germany.;Heins, C (corresponding author), Ctr Adv Study Collect Behav, Constance, Germany.;Heins, C (corresponding author), Univ Konstanz, Dept Biol, D-78457 Constance, Germany.</t>
  </si>
  <si>
    <t>conor.heins@verses.io</t>
  </si>
  <si>
    <t>10.1007/978-3-031-28719-0_6</t>
  </si>
  <si>
    <t>WOS:001000556300006</t>
  </si>
  <si>
    <t>Smyth, HK; Nyhan, J; Flinn, A</t>
  </si>
  <si>
    <t>Smyth, Hannah K.; Nyhan, Julianne; Flinn, Andrew</t>
  </si>
  <si>
    <t>Exploring the possibilities of Thomson's fourth paradigm transformation-The case for a multimodal approach to digital oral history?</t>
  </si>
  <si>
    <t>DIGITAL SCHOLARSHIP IN THE HUMANITIES</t>
  </si>
  <si>
    <t>ACCESS; NETWORKS; AGE</t>
  </si>
  <si>
    <t>This article seeks to reorientate 'digital oral history' towards a new research paradigm, Multimodal Digital Oral History (MDOH), and in so doing it seeks to build upon Alistair Thomson's (Thomson, A., 2007, Four paradigm transformations in oral history. Oral History Review, 34(1): 49-70.) characterization of a 'dizzying digital revolution' and paradigmatic transformation in oral history (OH). Calling for a recalibration of the current dominance of the textual transcript, and for active engagement with the oral, aural, and sonic affordances of both retro-digitized and born digital OH (DOH) collections, we call for a re-orientation of the digital from passive to generative and self-reflexive in the human-machine study of spoken word recordings. First, we take stock of the field of DOH as it is currently conceived and the ways in which it has or has not answered calls for a return to the orality of the interview by digital means. Secondly, we address the predominant trend of working with transcriptions in digital analysis of spoken word recordings and the tools being used by oral historians. Thirdly, we ask about the emerging possibilities-tools and experimental methodologies-for sonic analysis of spoken word collections within and beyond OH, looking to intersections with digital humanities, sociolinguistics, and sound studies. Lastly, we consider ethical questions and practicalities concomitant with data-driven methods, analyses and technologies like AI for the study of sonic research artefacts, reflections that dovetail with digital hermeneutics and digital tool criticism and point towards a new MDOH departure, a sub-field that has potential to inform the many fields that seek patterns in audio, audio-visual, and post-textual materials, serially and at scale.</t>
  </si>
  <si>
    <t>[Smyth, Hannah K.; Nyhan, Julianne; Flinn, Andrew] UCL, London, England; [Nyhan, Julianne] Tech Univ, Darmstadt, Germany</t>
  </si>
  <si>
    <t>University of London; University College London; Technical University of Darmstadt</t>
  </si>
  <si>
    <t>Nyhan, J (corresponding author), UCL, London, England.;Nyhan, J (corresponding author), Tech Univ, Darmstadt, Germany.</t>
  </si>
  <si>
    <t>j.nyhan@ucl.ac.uk</t>
  </si>
  <si>
    <t>Smyth, Hannah Katherine/HMV-1347-2023</t>
  </si>
  <si>
    <t>Smyth, Hannah Katherine/0000-0002-3607-5165; Flinn, Andrew/0000-0002-5356-7460</t>
  </si>
  <si>
    <t>2055-7671</t>
  </si>
  <si>
    <t>2055-768X</t>
  </si>
  <si>
    <t>DIGIT SCHOLARSH HUM</t>
  </si>
  <si>
    <t>Digit. Scholarsh. Humanit.</t>
  </si>
  <si>
    <t>10.1093/llc/fqac094</t>
  </si>
  <si>
    <t>Humanities, Multidisciplinary; Linguistics</t>
  </si>
  <si>
    <t>Arts &amp; Humanities - Other Topics; Linguistics</t>
  </si>
  <si>
    <t>I0XJ0</t>
  </si>
  <si>
    <t>WOS:000905659800001</t>
  </si>
  <si>
    <t>Papaioannidis, C; Mademlis, I; Pitas, I</t>
  </si>
  <si>
    <t>Papaioannidis, Christos; Mademlis, Ioannis; Pitas, Ioannis</t>
  </si>
  <si>
    <t>Fast CNN-Based Single-Person 2D Human Pose Estimation for Autonomous Systems</t>
  </si>
  <si>
    <t>IEEE TRANSACTIONS ON CIRCUITS AND SYSTEMS FOR VIDEO TECHNOLOGY</t>
  </si>
  <si>
    <t>Pose estimation; Head; Task analysis; Feature extraction; Computer architecture; Training; Biological system modeling; 2D human pose estimation; convolutional neural networks; generative adversarial networks; self-driving cars; autonomous systems</t>
  </si>
  <si>
    <t>This paper presents a novel Convolutional Neural Network (CNN) architecture for 2D human pose estimation from RGB images that balances between high 2D human pose/skeleton estimation accuracy and rapid inference. Thus, it is suitable for safety-critical embedded AI scenarios in autonomous systems, where computational resources are typically limited and fast execution is often required, but accuracy cannot be sacrificed. The architecture is composed of a shared feature extraction backbone and two parallel heads attached on top of it: one for 2D human body joint regression and one for global human body structure modelling through Image-to-Image Translation (I2I). A corresponding multitask loss function allows training of the unified network for both tasks, through combining a typical 2D body joint regression with a novel I2I term. Along with enhanced information flow between the parallel neural heads via skip synapses, this strategy is able to extract both ample semantic and rich spatial information, while using a less complex CNN; thus it permits fast execution. The proposed architecture is evaluated on public 2D human pose estimation datasets, achieving the best accuracy-speed ratio compared to the state-of-the-art. Additionally, it is evaluated on a pedestrian intention recognition task for self-driving cars, leading to increased accuracy and speed in comparison to competing approaches.</t>
  </si>
  <si>
    <t>[Papaioannidis, Christos; Mademlis, Ioannis; Pitas, Ioannis] Aristotle Univ Thessaloniki, Dept Informat, Thessaloniki 54124, Greece</t>
  </si>
  <si>
    <t>Papaioannidis, C (corresponding author), Aristotle Univ Thessaloniki, Dept Informat, Thessaloniki 54124, Greece.</t>
  </si>
  <si>
    <t>cpapaionn@csd.auth.gr; imademlis@csd.auth.gr; pitas@csd.auth.gr</t>
  </si>
  <si>
    <t>Mademlis, Ioannis/K-3673-2019</t>
  </si>
  <si>
    <t>Mademlis, Ioannis/0000-0001-5479-0632; Papaioannidis, Christos/0000-0002-3839-4514</t>
  </si>
  <si>
    <t>European Union [871479]</t>
  </si>
  <si>
    <t>This work was supported by the European Union's Seventh Horizon 2020 Research and Innovation Programme, AERIAL COgnitive integrated multi-task Robotic system withExtended operation range and safety (CORE), under Agreement 871479.</t>
  </si>
  <si>
    <t>1051-8215</t>
  </si>
  <si>
    <t>1558-2205</t>
  </si>
  <si>
    <t>IEEE T CIRC SYST VID</t>
  </si>
  <si>
    <t>IEEE Trans. Circuits Syst. Video Technol.</t>
  </si>
  <si>
    <t>10.1109/TCSVT.2022.3209160</t>
  </si>
  <si>
    <t>C9TX7</t>
  </si>
  <si>
    <t>WOS:000965270200001</t>
  </si>
  <si>
    <t>Cai, C; Kang, HC; Hashemi, A; Chen, D; Diwakar, M; Haufe, S; Sekihara, K; Wu, W; Nagarajan, SS</t>
  </si>
  <si>
    <t>Cai, Chang; Kang, Huicong; Hashemi, Ali; Chen, Dan; Diwakar, Mithun; Haufe, Stefan; Sekihara, Kensuke; Wu, Wei; Nagarajan, Srikantan S. S.</t>
  </si>
  <si>
    <t>Bayesian Algorithms for Joint Estimation of Brain Activity and Noise in Electromagnetic Imaging</t>
  </si>
  <si>
    <t>Sensors; Brain modeling; Estimation; Interference; Bayes methods; Neuroimaging; Image sensors; Electromagnetic brain imaging; noise estimation; Bayesian inference; augmented leadfield; inverse problem; MEG; EEG</t>
  </si>
  <si>
    <t>RECONSTRUCTION; MEG; BEAMFORMER</t>
  </si>
  <si>
    <t>Simultaneously estimating brain source activity and noise has long been a challenging task in electromagnetic brain imaging using magneto- and electroencephalography. The problem is challenging not only in terms of solving the NP-hard inverse problem of reconstructing unknown brain activity across thousands of voxels from a limited number of sensors, but also for the need to simultaneously estimate the noise and interference. We present a generative model with an augmented leadfield matrix to simultaneously estimate brain source activity and sensor noise statistics in electromagnetic brain imaging (EBI). We then derive three Bayesian inference algorithms for this generative model (expectation-maximization (EBI-EM), convex bounding (EBI-Convex) and fixed-point (EBI-Mackay)) to simultaneously estimate the hyperparameters of the prior distribution for brain source activity and sensor noise. A comprehensive performance evaluation for these three algorithms is performed. Simulations consistently show that the performance of EBI-Convex and EBI-Mackay updates is superior to that of EBI-EM. In contrast to the EBI-EM algorithm, both EBI-Convex and EBI-Mackay updates are quite robust to initialization, and are computationally efficient with fast convergence in the presence of both Gaussian and real brain noise. We also demonstrate that EBI-Convex and EBI-Mackay update algorithms can reconstruct complex brain activity with only a few trials of sensor data, and for resting-state data, achieving significant improvement in source reconstruction and noise learning for electromagnetic brain imaging.</t>
  </si>
  <si>
    <t>[Cai, Chang] Cent China Normal Univ, Natl Engn Res Ctr E Learning, Wuhan 430079, Peoples R China; [Kang, Huicong] Huazhong Univ Sci &amp; Technol, Tongji Hosp, Tongji Med Coll, Dept Neurol, Wuhan 430079, Hubei, Peoples R China; [Hashemi, Ali] Tech Univ Berlin, Uncertainty Inverse Modeling &amp; Machine Learning Gr, D-10587 Berlin, Germany; [Hashemi, Ali] Tech Univ Berlin, Inst Software Engn &amp; Theoret Comp Sci, Fac Elect Engn &amp; Comp Sci 4, Machine Learning Grp, D-10587 Berlin, Germany; [Chen, Dan] Wuhan Univ, Sch Comp Sci, Wuhan 430079, Peoples R China; [Diwakar, Mithun] Univ Colorado, Dept Radiol, Anschutz Med Campus, Aurora, CO 80045 USA; [Haufe, Stefan] Tech Univ Berlin, Uncertainty Inverse Modeling &amp; MachineLearning Grp, D-10623 Berlin, Germany; [Haufe, Stefan] Phys Tech Bundesanstalt Braunschweig &amp; Berlin, D-10587 Berlin, Germany; [Haufe, Stefan] Charite Univ Med Berlin, D-10117 Berlin, Germany; [Sekihara, Kensuke] Tokyo Med &amp; Dent Univ, Dept Adv Technol Med, Tokyo 1138519, Japan; [Sekihara, Kensuke] Signal Anal Inc, Hachioji, Tokyo 1138519, Japan; [Wu, Wei] Alto Neurosci Inc, Los Altos, CA 94022 USA; [Nagarajan, Srikantan S. S.] Univ Calif San Francisco, Dept Radiol &amp; Biomed Imaging, San Francisco, CA 94143 USA</t>
  </si>
  <si>
    <t>Central China Normal University; Huazhong University of Science &amp; Technology; Technical University of Berlin; Technical University of Berlin; Wuhan University; University of Colorado System; University of Colorado Anschutz Medical Campus; Technical University of Berlin; Physikalisch-Technische Bundesanstalt (PTB); Free University of Berlin; Humboldt University of Berlin; Charite Universitatsmedizin Berlin; Tokyo Medical &amp; Dental University (TMDU); University of California System; University of California San Francisco</t>
  </si>
  <si>
    <t>Cai, C (corresponding author), Cent China Normal Univ, Natl Engn Res Ctr E Learning, Wuhan 430079, Peoples R China.;Wu, W (corresponding author), Alto Neurosci Inc, Los Altos, CA 94022 USA.</t>
  </si>
  <si>
    <t>cchangenergy@gmail.com; kanghuicong@163.com; hashemi@tu-berlin.de; dan.chen@ieee.org; mithun.diwakar@gmail.com; haufe@tu-berlin.de; k-sekihara@nifty.com; weiwuneuro@gmail.com; sri@ucsf.edu</t>
  </si>
  <si>
    <t>Wu, Wei/GLU-1874-2022; Hashemi, Ali/AAB-2562-2019</t>
  </si>
  <si>
    <t>Hashemi, Ali/0000-0003-4957-4630; Haufe, Stefan/0000-0003-1470-9195; Nagarajan, Srikantan/0000-0001-7209-3857</t>
  </si>
  <si>
    <t>National Natural Science Foundation of China [62277023, 62007013, 61876063, 61977027]; Hubei Provincial Natural Science Foundation of China [2021CFB384]; Science and Technology Major Project of Hubei Province, China, Next-Generation Artificial Intelligence (AI) Technologies [2021BEA159]; Research Funds of CCNU from the Colleges' Basic Research and Operation of MOE [30106220491]; Technology Innovation [2030 2022ZD0211700]; NIH [R01NS092802, R01NS018341, R01EB022717, R01DC013979, R01NS100440, R01DC176960, R01DC017091, R01AG062196, UCOP-MRP- 17-454755]; Department of Defense (DOD) Congressionally Directed Medical Research Program (CDMRP) [W81XWH1810741]; Alzheimer's Association [AARFD-22-923931]; Industry Research Contract from Ricoh MEG USA Inc; U.S. Department of Defense (DOD) [W81XWH1810741] Funding Source: U.S. Department of Defense (DOD)</t>
  </si>
  <si>
    <t>National Natural Science Foundation of China(National Natural Science Foundation of China (NSFC)); Hubei Provincial Natural Science Foundation of China(National Natural Science Foundation of China (NSFC)); Science and Technology Major Project of Hubei Province, China, Next-Generation Artificial Intelligence (AI) Technologies; Research Funds of CCNU from the Colleges' Basic Research and Operation of MOE; Technology Innovation; NIH(United States Department of Health &amp; Human ServicesNational Institutes of Health (NIH) - USA); Department of Defense (DOD) Congressionally Directed Medical Research Program (CDMRP); Alzheimer's Association(Alzheimer's Association); Industry Research Contract from Ricoh MEG USA Inc; U.S. Department of Defense (DOD)</t>
  </si>
  <si>
    <t>This work was supported in part by the National Natural Science Foundation of China under Grant 62277023, Grant 62007013, Grant 61876063, and Grant 61977027; in part by the Hubei Provincial Natural Science Foundation of China under Grant 2021CFB384; in part by the Science and Technology Major Project of Hubei Province, China, Next-Generation Artificial Intelligence (AI) Technologies, under Grant 2021BEA159; in part by the Research Funds of CCNU from the Colleges' Basic Research and Operation of MOE under Grant 30106220491; in part by the Technology Innovation under Grant 2030 2022ZD0211700; in part by NIH under Grant R01NS092802, Grant R01NS018341, Grant R01EB022717, Grant R01DC013979, Grant R01NS100440, Grant R01DC176960, Grant R01DC017091, Grant R01AG062196, and Grant UCOP-MRP- 17-454755; in part by the Department of Defense (DOD) Congressionally Directed Medical Research Program (CDMRP) under Grant W81XWH1810741; in part by the Alzheimer's Association under Grant AARFD-22-923931; and in part by the Industry Research Contract from Ricoh MEG USA Inc.</t>
  </si>
  <si>
    <t>10.1109/TMI.2022.3218074</t>
  </si>
  <si>
    <t>D9CI6</t>
  </si>
  <si>
    <t>WOS:000971629600016</t>
  </si>
  <si>
    <t>Brigato, L; Mougiakakou, S</t>
  </si>
  <si>
    <t>Brigato, Lorenzo; Mougiakakou, Stavroula</t>
  </si>
  <si>
    <t>No Data Augmentation? Alternative Regularizations for Effective Training on Small Datasets</t>
  </si>
  <si>
    <t>Solving image classification tasks given small training datasets remains an open challenge for modern computer vision. Aggressive data augmentation and generative models are among the most straightforward approaches to overcoming the lack of data. However, the first fails to be agnostic to varying image domains, while the latter requires additional compute and careful design. In this work, we study alternative regularization strategies to push the limits of supervised learning on small image classification datasets. In particular, along with the model size and training schedule scaling, we employ a heuristic to select (semi) optimal learning rate and weight decay couples via the norm of model parameters. By training on only 1% of the original CIFAR-10 training set (i.e., 50 images per class) and testing on ciFAIR-10, a variant of the original CIFAR without duplicated images, we reach a test accuracy of 66.5%, on par with the best state-of-the-art methods.</t>
  </si>
  <si>
    <t>[Brigato, Lorenzo; Mougiakakou, Stavroula] Univ Bern, ARTORG Ctr Biomed Engn Res, AI Hlth &amp; Nutr, Bern, Switzerland</t>
  </si>
  <si>
    <t>University of Bern</t>
  </si>
  <si>
    <t>Brigato, L (corresponding author), Univ Bern, ARTORG Ctr Biomed Engn Res, AI Hlth &amp; Nutr, Bern, Switzerland.</t>
  </si>
  <si>
    <t>lorenzo.brigato@unibe.ch; stavroula.mougiakakou@unibe.ch</t>
  </si>
  <si>
    <t>10.1109/ICCVW60793.2023.00021</t>
  </si>
  <si>
    <t>WOS:001156680300015</t>
  </si>
  <si>
    <t>Wang, LQ; Dvornik, N; Dubeau, R; Mittal, M; Garg, A</t>
  </si>
  <si>
    <t>Wang, Liquan; Dvornik, Nikita; Dubeau, Rafael; Mittal, Mayank; Garg, Animesh</t>
  </si>
  <si>
    <t>Self-Supervised Learning of Action Affordances as Interaction Modes!</t>
  </si>
  <si>
    <t>2023 IEEE INTERNATIONAL CONFERENCE ON ROBOTICS AND AUTOMATION (ICRA 2023)</t>
  </si>
  <si>
    <t>When humans perform a task with an articulated object, they interact with the object only in a handful of ways, while the space of all possible interactions is nearly endless. This is because humans have prior knowledge about what interactions are likely to be successful, i.e., to open a new door we first try the handle. While learning such priors without supervision is easy for humans, it is notoriously hard for machines. In this work, we tackle unsupervised learning of priors of useful interactions with articulated objects, which we call interaction modes. In contrast to the prior art, we use no supervision or privileged information; we only assume access to the depth sensor in the simulator to learn the interaction modes. More precisely, we define a successful interaction as the one changing the visual environment substantially and learn a generative model of such interactions, that can be conditioned on the desired goal state of the object. In our experiments, we show that our model covers most of the human interaction modes, outperforms existing state-of-the-art methods for affordance learning, and can generalize to objects never seen during training. Additionally, we show promising results in the goal-conditional setup, where our model can be quickly fine-tuned to perform a given task. We show in the experiments that such affordance learning predicts interaction which covers most modes of interaction for the querying articulated object and can be fine-tuned to a goal-conditional model. For supplementary: https://actaim. github.io/.</t>
  </si>
  <si>
    <t>[Wang, Liquan; Dubeau, Rafael; Garg, Animesh] Univ Toronto, Toronto, ON, Canada; [Wang, Liquan; Dubeau, Rafael; Garg, Animesh] Vector Inst, Toronto, ON, Canada; [Mittal, Mayank] Swiss Fed Inst Technol, Zurich, Switzerland; [Dvornik, Nikita; Mittal, Mayank; Garg, Animesh] Nvidia, Zurich, Switzerland; [Dvornik, Nikita; Mittal, Mayank; Garg, Animesh] Samsung, Toronto, ON, Canada</t>
  </si>
  <si>
    <t>University of Toronto; Vector Institute for Artificial Intelligence; Swiss Federal Institutes of Technology Domain; ETH Zurich</t>
  </si>
  <si>
    <t>Garg, A (corresponding author), Univ Toronto, Toronto, ON, Canada.;Garg, A (corresponding author), Vector Inst, Toronto, ON, Canada.</t>
  </si>
  <si>
    <t>garg@cs.toronto.edu</t>
  </si>
  <si>
    <t>Wang, Liquan/ABF-3458-2021</t>
  </si>
  <si>
    <t>CIFAR AI Chair; UofT XSeed Grant; NSERC Discovery Grant</t>
  </si>
  <si>
    <t>CIFAR AI Chair; UofT XSeed Grant; NSERC Discovery Grant(Natural Sciences and Engineering Research Council of Canada (NSERC))</t>
  </si>
  <si>
    <t>We would like to thank Kaichun Mo for the helpful discussions and Vector Institute for providing computation resources. This work was supported in part by CIFAR AI Chair, NSERC Discovery Grant, and UofT XSeed Grant.</t>
  </si>
  <si>
    <t>10.1109/ICRA48891.2023.10161371</t>
  </si>
  <si>
    <t>BV5HG</t>
  </si>
  <si>
    <t>WOS:001048371100039</t>
  </si>
  <si>
    <t>Kartmann, R; Asfour, T</t>
  </si>
  <si>
    <t>Kartmann, Rainer; Asfour, Tamim</t>
  </si>
  <si>
    <t>Interactive and incremental learning of spatial object relations from human demonstrations</t>
  </si>
  <si>
    <t>FRONTIERS IN ROBOTICS AND AI</t>
  </si>
  <si>
    <t>cognitive robotics; learning spatial object relations; semantic scene manipulation; incremental learning; interactive learning</t>
  </si>
  <si>
    <t>Humans use semantic concepts such as spatial relations between objects to describe scenes and communicate tasks such as Put the tea to the right of the cup or Move the plate between the fork and the spoon. Just as children, assistive robots must be able to learn the sub-symbolic meaning of such concepts from human demonstrations and instructions. We address the problem of incrementally learning geometric models of spatial relations from few demonstrations collected online during interaction with a human. Such models enable a robot to manipulate objects in order to fulfill desired spatial relations specified by verbal instructions. At the start, we assume the robot has no geometric model of spatial relations. Given a task as above, the robot requests the user to demonstrate the task once in order to create a model from a single demonstration, leveraging cylindrical probability distribution as generative representation of spatial relations. We show how this model can be updated incrementally with each new demonstration without access to past examples in a sample-efficient way using incremental maximum likelihood estimation, and demonstrate the approach on a real humanoid robot.</t>
  </si>
  <si>
    <t>[Kartmann, Rainer; Asfour, Tamim] Karlsruhe Inst Technol KIT, Inst Anthropomat &amp; Robot, Dept Informat, High Performance Humanoid Technol Lab, Karlsruhe, Germany</t>
  </si>
  <si>
    <t>Kartmann, R (corresponding author), Karlsruhe Inst Technol KIT, Inst Anthropomat &amp; Robot, Dept Informat, High Performance Humanoid Technol Lab, Karlsruhe, Germany.</t>
  </si>
  <si>
    <t>rainer.kartmann@kit.edu</t>
  </si>
  <si>
    <t>Carl Zeiss Foundation through the JuBot project; German Federal Ministry of Education and Research (BMBF) [01IS18040A]</t>
  </si>
  <si>
    <t>Carl Zeiss Foundation through the JuBot project; German Federal Ministry of Education and Research (BMBF)(Federal Ministry of Education &amp; Research (BMBF))</t>
  </si>
  <si>
    <t>Funding This work has been supported by the Carl Zeiss Foundation through the JuBot project and by the German Federal Ministry of Education and Research (BMBF) through the OML project (01IS18040A).</t>
  </si>
  <si>
    <t>2296-9144</t>
  </si>
  <si>
    <t>FRONT ROBOT AI</t>
  </si>
  <si>
    <t>Front. Robot. AI</t>
  </si>
  <si>
    <t>10.3389/frobt.2023.1151303</t>
  </si>
  <si>
    <t>K0UX6</t>
  </si>
  <si>
    <t>WOS:001013695800001</t>
  </si>
  <si>
    <t>Shao, CY; Li, H; Liu, XL; Li, C; Yang, LQ; Zhang, YJ; Luo, J; Zhao, J</t>
  </si>
  <si>
    <t>Shao, Chen-ye; Li, Hui; Liu, Xiao-long; Li, Chang; Yang, Li-qin; Zhang, Yue-juan; Luo, Jing; Zhao, Jun</t>
  </si>
  <si>
    <t>Appropriateness and Comprehensiveness of Using ChatGPT for Perioperative Patient Education in Thoracic Surgery in Different Language Contexts: Survey Study</t>
  </si>
  <si>
    <t>INTERACTIVE JOURNAL OF MEDICAL RESEARCH</t>
  </si>
  <si>
    <t>patient education; ChatGPT; Generative Pre-trained Transformer; thoracic surgery; evaluation; patient; education; surgery; thoracic; language; language model; clinical workflow; artificial intelligence; AI; workflow; communication; feasibility</t>
  </si>
  <si>
    <t>\Background: ChatGPT, a dialogue-based artificial intelligence language model, has shown promise in assisting clinical workflows and patient-clinician communication. However, there is a lack of feasibility assessments regarding its use for perioperative patient education in thoracic surgery. Objective: This study aimed to assess the appropriateness and comprehensiveness of using ChatGPT for perioperative patient education in thoracic surgery in both English and Chinese contexts. Methods: This pilot study was conducted in February 2023. A total of 37 questions focused on perioperative patient education in thoracic surgery were created based on guidelines and clinical experience. Two sets of inquiries were made to ChatGPT for each question, one in English and the other in Chinese. The responses generated by ChatGPT were evaluated separately by experienced thoracic surgical clinicians for appropriateness and comprehensiveness based on a hypothetical draft response to a patient's question on the electronic information platform. For a response to be qualified, it required at least 80% of reviewers to deem it appropriate and 50% to deem it comprehensive. Statistical analyses were performed using the unpaired chi-square test or Fisher exact test, with a significance level set at P&lt;.05. Results: The set of 37 commonly asked questions covered topics such as disease information, diagnostic procedures, perioperative complications, treatment measures, disease prevention, and perioperative care considerations. In both the English and Chinese contexts, 34 (92%) out of 37 responses were qualified in terms of both appropriateness and comprehensiveness. The remaining 3 (8%) responses were unqualified in these 2 contexts. The unqualified responses primarily involved the diagnosis of disease symptoms and surgical-related complications symptoms. The reasons for determining the responses as unqualified were similar in both contexts. There was no statistically significant difference (34/37, 92% vs 34/37, 92%; P=.99) in the qualification rate between the 2 language sets. Conclusions: This pilot study demonstrates the potential feasibility of using ChatGPT for perioperative patient education in thoracic surgery in both English and Chinese contexts. ChatGPT is expected to enhance patient satisfaction, reduce anxiety, and improve compliance during the perioperative period. In the future, there will be remarkable potential application for using artificial intelligence, in conjunction with human review, for patient education and health consultation after patients have provided their informed consent.</t>
  </si>
  <si>
    <t>[Li, Hui] Soochow Univ, Dept Thorac Surg, Affiliated Hosp 1, Suzhou, Peoples R China; [Li, Hui] Soochow Univ, Dept Obstet &amp; Gynecol, Affiliated Hosp 1, Suzhou, Peoples R China; [Liu, Xiao-long] Nanjing Univ, Jinling Hosp, Dept Cardiothorac Surg, Med Sch, Nanjing, Peoples R China; [Zhao, Jun] Soochow Univ, Affiliated Hosp 1, Dept Thorac Surg, 899 Pinghai Rd, Suzhou 215006, Peoples R China</t>
  </si>
  <si>
    <t>Soochow University - China; Soochow University - China; Nanjing University; Soochow University - China</t>
  </si>
  <si>
    <t>Zhao, J (corresponding author), Soochow Univ, Affiliated Hosp 1, Dept Thorac Surg, 899 Pinghai Rd, Suzhou 215006, Peoples R China.</t>
  </si>
  <si>
    <t>zhaojia0327@126.com</t>
  </si>
  <si>
    <t>Zhang, Shiwei/JIY-4344-2023</t>
  </si>
  <si>
    <t>li, hui/0000-0002-6190-6266</t>
  </si>
  <si>
    <t>1929-073X</t>
  </si>
  <si>
    <t>INTERACT J MED RES</t>
  </si>
  <si>
    <t>Interact. J. Med. Res.</t>
  </si>
  <si>
    <t>e46900</t>
  </si>
  <si>
    <t>10.2196/46900</t>
  </si>
  <si>
    <t>Medicine, Research &amp; Experimental</t>
  </si>
  <si>
    <t>Research &amp; Experimental Medicine</t>
  </si>
  <si>
    <t>R5IQ9</t>
  </si>
  <si>
    <t>WOS:001064691000001</t>
  </si>
  <si>
    <t>Wang, SY; Henter, GE; Gustafson, J; Szekely, E</t>
  </si>
  <si>
    <t>Wang, Siyang; Henter, Gustav Eje; Gustafson, Joakim; Szekely, Eva</t>
  </si>
  <si>
    <t>A COMPARATIVE STUDY OF SELF-SUPERVISED SPEECH REPRESENTATIONS IN READ AND SPONTANEOUS TTS</t>
  </si>
  <si>
    <t>2023 IEEE INTERNATIONAL CONFERENCE ON ACOUSTICS, SPEECH, AND SIGNAL PROCESSING WORKSHOPS, ICASSPW</t>
  </si>
  <si>
    <t>IEEE International Conference on Acoustics, Speech, and Signal Processing (ICASSP)</t>
  </si>
  <si>
    <t>JUN 04-10, 2023</t>
  </si>
  <si>
    <t>GREECE</t>
  </si>
  <si>
    <t>IEEE,IEEE Signal Proc Soc</t>
  </si>
  <si>
    <t>speech synthesis; self-supervised speech representation; spontaneous speech</t>
  </si>
  <si>
    <t>Recent work has explored using self-supervised learning (SSL) speech representations such as wav2vec2.0 as the representation medium in standard two-stage TTS, in place of conventionally used mel-spectrograms. It is however unclear which speech SSL is the better fit for TTS, and whether or not the performance differs between read and spontaneous TTS, the later of which is arguably more challenging. This study aims at addressing these questions by testing several speech SSLs, including different layers of the same SSL, in two-stage TTS on both read and spontaneous corpora, while maintaining constant TTS model architecture and training settings. Results from listening tests show that the 9th layer of 12-layer wav2vec2.0 (ASR finetuned) outperforms other tested SSLs and mel-spectrogram, in both read and spontaneous TTS. Our work sheds light on both how speech SSL can readily improve current TTS systems, and how SSLs compare in the challenging generative task of TTS. Audio examples can be found at https://www.speech.kth.se/tts-demos/ssr_tts</t>
  </si>
  <si>
    <t>[Wang, Siyang; Henter, Gustav Eje; Gustafson, Joakim; Szekely, Eva] KTH Royal Inst Technol, Div Speech Mus &amp; Hearing, Stockholm, Sweden</t>
  </si>
  <si>
    <t>Wang, SY (corresponding author), KTH Royal Inst Technol, Div Speech Mus &amp; Hearing, Stockholm, Sweden.</t>
  </si>
  <si>
    <t>Wang, Siyang/GZH-2473-2022</t>
  </si>
  <si>
    <t>Digital Futures project Advanced Adaptive Intelligent Systems (AAIS); Swedish Research Council [VR-2019-05003]; Perception of speaker stance [VR-2020-02396]; Riksbankens Jubileumsfond project CAPTivating [P20-0298]; Wallenberg AI, Autonomous Systems and Software Program (WASP) - Knut and Alice Wallenberg Foundation; Vinnova [2019-05003] Funding Source: Vinnova; Swedish Research Council [2019-05003] Funding Source: Swedish Research Council</t>
  </si>
  <si>
    <t>Digital Futures project Advanced Adaptive Intelligent Systems (AAIS); Swedish Research Council(Swedish Research Council); Perception of speaker stance; Riksbankens Jubileumsfond project CAPTivating(Swedish Foundation for Humanities &amp; Social Sciences); Wallenberg AI, Autonomous Systems and Software Program (WASP) - Knut and Alice Wallenberg Foundation; Vinnova(Vinnova); Swedish Research Council(Swedish Research Council)</t>
  </si>
  <si>
    <t>This research was supported by the Digital Futures project Advanced Adaptive Intelligent Systems (AAIS), the Swedish Research Council projects Connected (VR-2019-05003), Perception of speaker stance (VR-2020-02396), the Riksbankens Jubileumsfond project CAPTivating (P20-0298), and by the Wallenberg AI, Autonomous Systems and Software Program (WASP) funded by the Knut and Alice Wallenberg Foundation.</t>
  </si>
  <si>
    <t>979-8-3503-0261-5</t>
  </si>
  <si>
    <t>10.1109/ICASSPW59220.2023.10193157</t>
  </si>
  <si>
    <t>Acoustics; Computer Science, Interdisciplinary Applications; Engineering, Electrical &amp; Electronic; Imaging Science &amp; Photographic Technology</t>
  </si>
  <si>
    <t>Acoustics; Computer Science; Engineering; Imaging Science &amp; Photographic Technology</t>
  </si>
  <si>
    <t>BV5DK</t>
  </si>
  <si>
    <t>WOS:001046933700056</t>
  </si>
  <si>
    <t>Xiao, CR; Xu, SX; Zhang, KP</t>
  </si>
  <si>
    <t>Xiao, Changrong; Xu, Sean Xin; Zhang, Kunpeng</t>
  </si>
  <si>
    <t>Multimodal Data Augmentation for Image Captioning using Diffusion Models</t>
  </si>
  <si>
    <t>data synthesis; image captioning; multimodal applications</t>
  </si>
  <si>
    <t>Image captioning, an important vision-language task, often requires a tremendous number of finely labeled image-caption pairs for learning the underlying alignment between images and texts. In this paper, we proposed a multimodal data augmentation method, leveraging a recent text-to-image model called Stable Diffusion, to expand the training set via high-quality generation of image-caption pairs. Extensive experiments on the MS COCO dataset demonstrate the advantages of our approach over several benchmark methods, and particularly a significant boost when having fewer training instances. In addition, models trained on our augmented datasets also outperform prior unpaired image captioning methods by a large margin. Finally, further improvement regarding the training efficiency and effectiveness can be obtained after intentionally filtering the generated data based on quality assessment.</t>
  </si>
  <si>
    <t>[Xiao, Changrong; Xu, Sean Xin] Tsinghua Univ, Sch Econ &amp; Management, Ctr AI &amp; Management AIM, Beijing, Peoples R China; [Zhang, Kunpeng] Univ Maryland, Dept Decis Operat &amp; Informat Technol, College Pk, MD 20742 USA</t>
  </si>
  <si>
    <t>Tsinghua University; University System of Maryland; University of Maryland College Park</t>
  </si>
  <si>
    <t>Xiao, CR (corresponding author), Tsinghua Univ, Sch Econ &amp; Management, Ctr AI &amp; Management AIM, Beijing, Peoples R China.</t>
  </si>
  <si>
    <t>xcr21@mails.tsinghua.edu.cn; xuxin@sem.tsinghua.edu.cn; kpzhang@umd.edu</t>
  </si>
  <si>
    <t>10.1145/3607827.3616839</t>
  </si>
  <si>
    <t>WOS:001150367900006</t>
  </si>
  <si>
    <t>Kim, D; Song, K; Kim, YY; Shin, Y; Kang, W; Moon, IC; Joo, W</t>
  </si>
  <si>
    <t>Kim, Dongjun; Song, Kyungwoo; Kim, Yoon-Yeong; Shin, Yongjin; Kang, Wanmo; Moon, Il-Chul; Joo, Weonyoung</t>
  </si>
  <si>
    <t>Sequential Likelihood-Free Inference with Neural Proposal</t>
  </si>
  <si>
    <t>Likelihood-Free inference; Simulation parameter calibration; MCMC; Generative models</t>
  </si>
  <si>
    <t>MONTE-CARLO; MODEL</t>
  </si>
  <si>
    <t>Bayesian inference without the likelihood evaluation, or likelihood-free inference , has been a key research topic in simulation studies for gaining quantitatively validated simulation models on real-world datasets. As the likelihood evaluation is inaccessible, previous papers train the amortized neural network to esti-mate the ground-truth posterior for the simulation of interest. Training the network and accumulating the dataset alternatively in a sequential manner could save the total simulation budget by orders of mag-nitude. In the data accumulation phase, the new simulation inputs are chosen within a portion of the total simulation budget to accumulate upon the collected dataset so far. This newly accumulated data degenerates because the set of simulation inputs is hardly mixed, and this degenerated data collection process ruins the posterior inference. This paper introduces a new sampling approach, called Neural Pro-posal (NP), of the simulation input that resolves the biased data collection as it guarantees the i.i.d. sam-pling. The experiments show the improved performance of our sampler, especially for the simulations with multi-modal posteriors. (c) 2023 Elsevier B.V. All rights reserved.</t>
  </si>
  <si>
    <t>[Kim, Dongjun; Moon, Il-Chul] Korea Adv Inst Sci &amp; Technol, Dept Ind &amp; Syst Engn, Daejeon, South Korea; [Song, Kyungwoo] Yonsei Univ, Dept Appl Stat, Seoul, South Korea; [Kim, Yoon-Yeong] AI Autonomy Technol Ctr, Agcy Def Dev, Seoul, South Korea; [Shin, Yongjin] ioCrops, Seoul, South Korea; [Kang, Wanmo] Korea Adv Inst Sci &amp; Technol, Dept Math Sci, Daejeon, South Korea; [Joo, Weonyoung] EWHA Womans Univ, Dept Stat, Seoul, South Korea</t>
  </si>
  <si>
    <t>Korea Advanced Institute of Science &amp; Technology (KAIST); Yonsei University; Agency of Defense Development (ADD), Republic of Korea; Korea Advanced Institute of Science &amp; Technology (KAIST); Ewha Womans University</t>
  </si>
  <si>
    <t>Joo, W (corresponding author), EWHA Womans Univ, Dept Stat, Seoul, South Korea.</t>
  </si>
  <si>
    <t>dongjoun57@kaist.ac.kr; kyungwoo.song@yonsei.ac.kr; yoonyeong_kim@add.re.kr; yj.shin@iocrops.com; wanmo.kang@kaist.ac.kr; icmoon@kaist.ac.kr; weonyoungjoo@ewha.ac.kr</t>
  </si>
  <si>
    <t>Kim, Dongjun/0000-0002-1117-5848</t>
  </si>
  <si>
    <t>10.1016/j.patrec.2023.03.021</t>
  </si>
  <si>
    <t>M6WZ5</t>
  </si>
  <si>
    <t>WOS:001031613300001</t>
  </si>
  <si>
    <t>Pedersen, EM; Agerbo, E; Plana-Ripoll, O; Steinbach, J; Krebs, MD; Hougaard, DM; Werge, T; Nordentoft, M; Borglum, AD; Musliner, KL; Ganna, A; Schork, AJ; Mortensen, PB; Mcgrath, JJ; Privé, F; Vilhjálmsson, BJ</t>
  </si>
  <si>
    <t>Pedersen, Emil M.; Agerbo, Esben; Plana-Ripoll, Oleguer; Steinbach, Jette; Krebs, Morten D.; Hougaard, David M.; Werge, Thomas; Nordentoft, Merete; Borglum, Anders D.; Musliner, Katherine L.; Ganna, Andrea; Schork, Andrew J.; Mortensen, Preben B.; Mcgrath, John J.; Prive, Florian; Vilhjalmsson, Bjarni J.</t>
  </si>
  <si>
    <t>ADuLT: An efficient and robust time-to-event GWAS</t>
  </si>
  <si>
    <t>GENOME-WIDE ASSOCIATION; MODEL; POWER; COX; RESOURCE; SAMPLE; COHORT</t>
  </si>
  <si>
    <t>Proportional hazards models have been proposed to analyse time-to-event phenotypes in genome-wide association studies (GWAS). However, little is known about the ability of proportional hazards models to identify genetic associations under different generative models and when ascertainment is present. Here we propose the age-dependent liability threshold (ADuLT) model as an alternative to a Cox regression based GWAS, here represented by SPACox. We compare ADuLT, SPACox, and standard case-control GWAS in simulations under two generative models and with varying degrees of ascertainment as well as in the iPSYCH cohort. We find Cox regression GWAS to be underpowered when cases are strongly ascertained (cases are oversampled by a factor 5), regardless of the generative model used. ADuLT is robust to ascertainment in all simulated scenarios. Then, we analyse four psychiatric disorders in iPSYCH, ADHD, Autism, Depression, and Schizophrenia, with a strong case-ascertainment. Across these psychiatric disorders, ADuLT identifies 20 independent genome-wide significant associations, case-control GWAS finds 17, and SPACox finds 8, which is consistent with simulation results. As more genetic data are being linked to electronic health records, robust GWAS methods that can make use of age-of-onset information will help increase power in analyses for common health outcomes. Robust genome-wide association study (GWAS) methods that can utilise time-to-event information such as age-of-onset will help increase power in analyses for common health outcomes. Here, the authors propose a computationally efficient time-to-event model for GWAS.</t>
  </si>
  <si>
    <t>[Pedersen, Emil M.; Agerbo, Esben; Plana-Ripoll, Oleguer; Steinbach, Jette; Musliner, Katherine L.; Mortensen, Preben B.; Mcgrath, John J.; Prive, Florian; Vilhjalmsson, Bjarni J.] Aarhus Univ, Natl Ctr Register Based Res, Aarhus, Denmark; [Pedersen, Emil M.; Agerbo, Esben; Nordentoft, Merete; Borglum, Anders D.; Mortensen, Preben B.; Prive, Florian; Vilhjalmsson, Bjarni J.] Lundbeck Fdn Initiat Integrat Psychiat Res iPSYCH, Aarhus, Denmark; [Agerbo, Esben] Aarhus Univ, Ctr Integrated Register Based Res, Aarhus, Denmark; [Plana-Ripoll, Oleguer] Aarhus Univ Hosp, Dept Clin Epidemiol, Aarhus, Denmark; [Plana-Ripoll, Oleguer] Aarhus Univ Hosp, Aarhus, Denmark; [Krebs, Morten D.; Werge, Thomas; Schork, Andrew J.] Copenhagen Univ Hosp, Mental Hlth Serv CPH, Mental Hlth Ctr Sct Hans, Inst Biol Psychiat, Copenhagen, Denmark; [Hougaard, David M.] Statens Serum Inst, Dept Congenital Disorders, Copenhagen, Denmark; [Werge, Thomas] Univ Copenhagen, Dept Clin Sci, Copenhagen, Denmark; [Werge, Thomas; Schork, Andrew J.] Univ Copenhagen, GLOBE Inst, Fac Hlth &amp; Med Sci, Sect Geogenet, Copenhagen, Denmark; [Nordentoft, Merete] Copenhagen Univ Hosp, Mental Hlth Ctr Copenhagen, CORE Copenhagen Ctr Res Mental Hlth, Mental Hlth Serv CPH, Copenhagen, Denmark; [Borglum, Anders D.] Aarhus Univ, Dept Biomed, Aarhus, Denmark; [Borglum, Anders D.] Aarhus Univ, iSEQ Ctr, Aarhus, Denmark; [Borglum, Anders D.] Aarhus Univ, Ctr Genom &amp; Personalized Med, CGPM, Aarhus, Denmark; [Musliner, Katherine L.] Aarhus Univ Hosp Psychiat, Dept Affect Disorders, Aarhus, Denmark; [Musliner, Katherine L.] Aarhus Univ, Dept Clin Med, Aarhus, Denmark; [Ganna, Andrea] Univ Helsinki, Inst Mol Med Finland, Helsinki, Finland; [Schork, Andrew J.] Translat Genom Res Inst TGEN, Neurogenom Div, Phoenix, AZ USA; [Mcgrath, John J.] Univ Queensland, Queensland Brain Inst, St Lucia, Qld, Australia; [Mcgrath, John J.] Queensland Ctr Mental Hlth Res, Pk Ctr Mental Hlth, Wacol, Qld, Australia; [Vilhjalmsson, Bjarni J.] Aarhus Univ, Bioinformat Res Ctr, Aarhus, Denmark; [Vilhjalmsson, Bjarni J.] Broad Inst MIT &amp; Harvard, Novo Nordisk Fdn, Ctr Genom Mech Dis, Cambridge, MA 02142 USA</t>
  </si>
  <si>
    <t>Aarhus University; Lundbeck Foundation Initiative for Integrative Psychiatric Research (iPSYCH); Aarhus University; Lundbeck Foundation Initiative for Integrative Psychiatric Research (iPSYCH); Aarhus University; Aarhus University; University of Copenhagen; Statens Serum Institut; University of Copenhagen; University of Copenhagen; University of Copenhagen; Aarhus University; Aarhus University; Aarhus University; Aarhus University; University of Helsinki; Translational Genomics Research Institute; University of Queensland; Queensland Centre for Mental Health Research; Aarhus University; Harvard University; Massachusetts Institute of Technology (MIT); Broad Institute</t>
  </si>
  <si>
    <t>Pedersen, EM; Vilhjálmsson, BJ (corresponding author), Aarhus Univ, Natl Ctr Register Based Res, Aarhus, Denmark.;Pedersen, EM; Vilhjálmsson, BJ (corresponding author), Lundbeck Fdn Initiat Integrat Psychiat Res iPSYCH, Aarhus, Denmark.;Vilhjálmsson, BJ (corresponding author), Aarhus Univ, Bioinformat Res Ctr, Aarhus, Denmark.;Vilhjálmsson, BJ (corresponding author), Broad Inst MIT &amp; Harvard, Novo Nordisk Fdn, Ctr Genom Mech Dis, Cambridge, MA 02142 USA.</t>
  </si>
  <si>
    <t>emp@ncrr.au.dk</t>
  </si>
  <si>
    <t>McGrath, John Joseph/G-5493-2010; Mortensen, Preben B/F-6758-2015; Agerbo, Esben/A-2645-2012; Plana-Ripoll, Oleguer/E-1448-2015; Vilhjalmsson, Bjarni Johann/K-3971-2014</t>
  </si>
  <si>
    <t>McGrath, John Joseph/0000-0002-4792-6068; Agerbo, Esben/0000-0002-2849-524X; Plana-Ripoll, Oleguer/0000-0002-6470-7465; Vilhjalmsson, Bjarni Johann/0000-0003-2277-9249; Ganna, Andrea/0000-0002-8147-240X; Michael Pedersen, Emil/0000-0002-3257-5269; Musliner, Katherine/0000-0001-6198-4953; Borglum, Anders/0000-0001-8627-7219</t>
  </si>
  <si>
    <t>Lundbeck Foundation Initiative for Integrative Psychiatric Research, iPSYCH [R102-A9118, R155-2014-1724, R248-2017-2003]; Lundbeck Foundation Fellowship [R335-2019-2339, R345-2020-1588]; Danish National Research Foundation; Lundbeckfonden Fellowship [R335-2019-2318]; Lundbeck Foundation [R303-2018-3551]; Brain &amp; Behavior Research Foundation; European Research Council (ERC) under the European Union [945733]; Aarhus University, Denmark; Independent Research Fund [2034-00241B]; European Research Council (ERC) [945733] Funding Source: European Research Council (ERC)</t>
  </si>
  <si>
    <t>Lundbeck Foundation Initiative for Integrative Psychiatric Research, iPSYCH(Lundbeck Corporation); Lundbeck Foundation Fellowship; Danish National Research Foundation(Danmarks Grundforskningsfond); Lundbeckfonden Fellowship; Lundbeck Foundation(Lundbeckfonden); Brain &amp; Behavior Research Foundation(NARSAD); European Research Council (ERC) under the European Union(European Research Council (ERC)); Aarhus University, Denmark; Independent Research Fund; European Research Council (ERC)(European Research Council (ERC)Spanish Government)</t>
  </si>
  <si>
    <t>We would like to thank Jakob Grove, Doug Speed, Matthew Robinson, and Sven ErikOjavee for valuable discussions. Parts of Fig. 1 were created with BioRender.com. E.M.P, B.J.V. and F.P. were supported by the Lundbeck Foundation Initiative for Integrative Psychiatric Research, iPSYCH (R102-A9118, R155-2014-1724 and R248-2017-2003), and a Lundbeck Foundation Fellowship (R335-2019-2339). J.M., B.J.V. and F.P. were also supported the Danish National Research Foundation (Niels Bohr Professorship to Prof. John McGrath). A.J.S. is supported by a Lundbeckfonden Fellowship (R335-2019-2318), and O.P.-R. is supported by a Lundbeck Foundation Fellowship (R345-2020-1588). K.L.M. is supported by grants from The Lundbeck Foundation (R303-2018-3551) and the Brain &amp; Behavior Research Foundation (Young Investigator Award 2021). A.G. has received funding from the European Research Council (ERC) under the European Union's Horizon 2020 research and innovation programme (grant agreement No 945733), starting grant AI-Prevent. Highperformance computer capacity for handling and statistical analysis of iPSYCH data on the GenomeDK HPC facility was provided by the Center for Genomics and Personalised Medicine and the Centre for Integrative Sequencing, iSEQ, Aarhus University, Denmark (grant to A.D.B.). B.J.V. is also supported by Independent Research Fund (2034-00241B).</t>
  </si>
  <si>
    <t>SEP 9</t>
  </si>
  <si>
    <t>10.1038/s41467-023-41210-z</t>
  </si>
  <si>
    <t>R8GF8</t>
  </si>
  <si>
    <t>WOS:001066679400017</t>
  </si>
  <si>
    <t>Li, KD; Zhang, J; Forsyth, D</t>
  </si>
  <si>
    <t>Li, Kedan; Zhang, Jeffrey; Forsyth, David</t>
  </si>
  <si>
    <t>POVNet: Image-Based Virtual Try-On Through Accurate Warping and Residual</t>
  </si>
  <si>
    <t>Virtual try-on; image generation; generative adversarial networks; positional encoding; warping; image in-painting; application</t>
  </si>
  <si>
    <t>Virtual dressing room applications help online shoppers visualize outfits. Such a system, to be commercially viable, must satisfy a set of performance criteria. The system must produce high quality images that faithfully preserve garment properties, allow users to mix and match garments of various types and support human models varying in skin tone, hair color, body shape, and so on. This paper describes POVNet, a framework that meets all these requirements (except body shapes variations). Our system uses warping methods together with residual data to preserve garment texture at fine scales and high resolution. Our warping procedure adapts to a wide range of garments and allows swapping in and out of individual garments. A learned rendering procedure using an adversarial loss ensures that fine shading, etc. is accurately reflected. A distance transform representation ensures that hems, cuffs, stripes, and so on are correctly placed. We demonstrate improvements in garment rendering over state of the art resulting from these procedures. We demonstrate that the framework is scalable, responds in real-time, and works robustly with a variety of garment categories. Finally, we demonstrate that using this system as a virtual dressing room interface for fashion e-commerce websites has significantly boosted user-engagement rates.</t>
  </si>
  <si>
    <t>[Li, Kedan; Zhang, Jeffrey] Revery AI Inc, Champaign, IL 61820 USA; [Forsyth, David] Univ Illinois, Dept Comp Sci, Champaign, IL 61820 USA</t>
  </si>
  <si>
    <t>University of Illinois System; University of Illinois Urbana-Champaign</t>
  </si>
  <si>
    <t>Li, KD (corresponding author), Revery AI Inc, Champaign, IL 61820 USA.</t>
  </si>
  <si>
    <t>kedan@revery.ai; jeff@revery.ai; daf@illinois.edu</t>
  </si>
  <si>
    <t>Forsyth, David/0000-0002-2278-0752</t>
  </si>
  <si>
    <t>National Science Foundation; Office of Naval Research [2106825]; [N000014-16-1-2007]</t>
  </si>
  <si>
    <t>National Science Foundation(National Science Foundation (NSF)); Office of Naval Research(Office of Naval Research);</t>
  </si>
  <si>
    <t>This work was supported in part by the National Science Foundation under Grant 2106825, in part by the Office of Naval Research under Grant N000014-16-1-2007, and in part by gifts from Amazon and from Boeing. Recommended for acceptance by T.M. Hospedales.(Corresponding author: Kedan Li.)</t>
  </si>
  <si>
    <t>10.1109/TPAMI.2023.3283302</t>
  </si>
  <si>
    <t>WOS:001068816800045</t>
  </si>
  <si>
    <t>Zhang, HT; Li, SM; Zhang, JT; Wang, Z; Wang, JK; Jiang, DJ; Bian, ZW; Zhang, YX; Deng, YF; Song, JF; Kang, Y; Hou, TJ</t>
  </si>
  <si>
    <t>Zhang, Haotian; Li, Shengming; Zhang, Jintu; Wang, Zhe; Wang, Jike; Jiang, Dejun; Bian, Zhiwen; Zhang, Yixue; Deng, Yafeng; Song, Jianfei; Kang, Yu; Hou, Tingjun</t>
  </si>
  <si>
    <t>SDEGen: learning to evolve molecular conformations from thermodynamic noise for conformation generation</t>
  </si>
  <si>
    <t>Generation of representative conformations for small molecules is a fundamental task in cheminformatics and computer-aided drug discovery, but capturing the complex distribution of conformations that contains multiple low energy minima is still a great challenge. Deep generative modeling, aiming to learn complex data distributions, is a promising approach to tackle the conformation generation problem. Here, inspired by stochastic dynamics and recent advances in generative modeling, we developed SDEGen, a novel conformation generation model based on stochastic differential equations. Compared with existing conformation generation methods, it enjoys the following advantages: (1) high model capacity to capture multimodal conformation distribution, thereby searching for multiple low-energy conformations of a molecule quickly, (2) higher conformation generation efficiency, almost ten times faster than the state-of-the-art score-based model, ConfGF, and (3) a clear physical interpretation to learn how a molecule evolves in a stochastic dynamics system starting from noise and eventually relaxing to the conformation that falls in low energy minima. Extensive experiments demonstrate that SDEGen has surpassed existing methods in different tasks for conformation generation, interatomic distance distribution prediction, and thermodynamic property estimation, showing great potential for real-world applications.</t>
  </si>
  <si>
    <t>[Zhang, Haotian; Zhang, Jintu; Wang, Zhe; Wang, Jike; Jiang, Dejun; Bian, Zhiwen; Zhang, Yixue; Kang, Yu; Hou, Tingjun] Zhejiang Univ, Coll Pharmaceut Sci, Innovat Inst Artificial Intelligence Med, Hangzhou 310058, Zhejiang, Peoples R China; [Li, Shengming] Zhejiang Univ, Coll Comp Sci &amp; Technol, Hangzhou 310058, Zhejiang, Peoples R China; [Zhang, Jintu; Hou, Tingjun] Zhejiang Univ, State Key Lab CAD&amp;CG, Hangzhou 310058, Zhejiang, Peoples R China; [Wang, Jike] Wuhan Univ, Sch Comp Sci, Wuhan 430072, Hubei, Peoples R China; [Deng, Yafeng; Song, Jianfei] Hangzhou Carbonsilicon AI Technol Co Ltd, Hangzhou 310018, Zhejiang, Peoples R China</t>
  </si>
  <si>
    <t>Zhejiang University; Zhejiang University; Zhejiang University; Wuhan University</t>
  </si>
  <si>
    <t>Kang, Y; Hou, TJ (corresponding author), Zhejiang Univ, Coll Pharmaceut Sci, Innovat Inst Artificial Intelligence Med, Hangzhou 310058, Zhejiang, Peoples R China.;Hou, TJ (corresponding author), Zhejiang Univ, State Key Lab CAD&amp;CG, Hangzhou 310058, Zhejiang, Peoples R China.</t>
  </si>
  <si>
    <t>yukang@zju.edu.cn; tingjunhou@zju.edu.cn</t>
  </si>
  <si>
    <t>Hou, Tingjun/C-7492-2011; zheng, xin/JNS-5523-2023; Li, Chun/KBC-9591-2024; Haotian, Zhang/IVV-3942-2023; Wang, Zejun/KBB-8454-2024; Lu, Jia/JVO-6891-2024; yang, rui/JHI-3328-2023; Zhang, Xiaofeng/JMC-6060-2023; Kang, Yu/L-2912-2013; Yang, Mei/JNS-2225-2023; wang, qiang/IZW-1751-2023; cheng, chen/JHS-9462-2023; WU, LINXIN/KEI-8742-2024; Zhang, Lijun/JEZ-7925-2023; Lv, Xianliang/JFS-9152-2023; Liu, Chenyu/KBQ-8899-2024; lei, lei/JSL-3106-2023; song, jianfei/KFA-4214-2024</t>
  </si>
  <si>
    <t>Zhang, Xiaofeng/0000-0003-2738-3286; Kang, Yu/0000-0002-0999-8802; jike, wang/0000-0002-8118-8572; Zhang, Jintu/0000-0001-9580-3241; wang, zhe/0000-0003-4102-1353</t>
  </si>
  <si>
    <t>National Key Research and Development Program of China [2021YFF1201400]; National Natural Science Foundation of China [22220102001, 81973281]</t>
  </si>
  <si>
    <t>This work was financially supported by National Key Research and Development Program of China (2021YFF1201400), and National Natural Science Foundation of China (22220102001, 81973281).</t>
  </si>
  <si>
    <t>10.1039/d2sc04429c</t>
  </si>
  <si>
    <t>8N9YY</t>
  </si>
  <si>
    <t>WOS:000914442000001</t>
  </si>
  <si>
    <t>Rao, A; Pang, M; Kim, J; Kamineni, M; Lie, W; Prasad, AK; Landman, A; Dreyer, K; Succi, MD</t>
  </si>
  <si>
    <t>Rao, Arya; Pang, Michael; Kim, John; Kamineni, Meghana; Lie, Winston; Prasad, Anoop K.; Landman, Adam; Dreyer, Keith; Succi, Marc D.</t>
  </si>
  <si>
    <t>Assessing the Utility of ChatGPT Throughout the Entire Clinical Workflow: Development and Usability Study</t>
  </si>
  <si>
    <t>large language models; LLMs; artificial intelligence; AI; clinical decision support; clinical vignettes; ChatGPT; Generative Pre-trained Transformer; GPT; utility; development; usability; chatbot; accuracy; decision-making</t>
  </si>
  <si>
    <t>Background: Large language model (LLM)-based artificial intelligence chatbots direct the power of large training data sets toward successive, related tasks as opposed to single-ask tasks, for which artificial intelligence already achieves impressive performance. The capacity of LLMs to assist in the full scope of iterative clinical reasoning via successive prompting, in effect acting as artificial physicians, has not yet been evaluated. Objective: This study aimed to evaluate ChatGPT's capacity for ongoing clinical decision support via its performance on standardized clinical vignettes. Methods: We inputted all 36 published clinical vignettes from the Merck Sharpe &amp; Dohme (MSD) Clinical Manual into ChatGPT and compared its accuracy on differential diagnoses, diagnostic testing, final diagnosis, and management based on patient age, gender, and case acuity. Accuracy was measured by the proportion of correct responses to the questions posed within the clinical vignettes tested, as calculated by human scorers. We further conducted linear regression to assess the contributing factors toward ChatGPT's performance on clinical tasks. Results: ChatGPT achieved an overall accuracy of 71.7% (95% CI 69.3%-74.1%) across all 36 clinical vignettes. The LLM demonstrated the highest performance in making a final diagnosis with an accuracy of 76.9% (95% CI 67.8%-86.1%) and the lowest performance in generating an initial differential diagnosis with an accuracy of 60.3% (95% CI 54.2%-66.6%). Compared to answering questions about general medical knowledge, ChatGPT demonstrated inferior performance on differential diagnosis (beta=-15.8%; P&lt;.001) and clinical management (beta=-7.4%; P=.02) question types. Conclusions: ChatGPT achieves impressive accuracy in clinical decision-making, with increasing strength as it gains more clinical information at its disposal. In particular, ChatGPT demonstrates the greatest accuracy in tasks of final diagnosis as compared to initial diagnosis. Limitations include possible model hallucinations and the unclear composition of ChatGPT's training data set.</t>
  </si>
  <si>
    <t>[Rao, Arya; Pang, Michael; Kim, John; Kamineni, Meghana; Lie, Winston; Prasad, Anoop K.; Succi, Marc D.] Massachusetts Gen Hosp, Innovat Operat Res Ctr MESH IO, Medically Engn Solut Healthcare Incubator, Boston, MA USA; [Rao, Arya; Pang, Michael; Kim, John; Kamineni, Meghana; Lie, Winston; Prasad, Anoop K.; Landman, Adam; Dreyer, Keith; Succi, Marc D.] Harvard Med Sch, Boston, MA USA; [Rao, Arya; Pang, Michael; Kim, John; Kamineni, Meghana; Lie, Winston; Prasad, Anoop K.; Succi, Marc D.] Massachusetts Gen Hosp, Dept Radiol, 55 Fruit St, Boston, MA 02114 USA; [Landman, Adam] Brigham &amp; Womens Hosp, Dept Radiol, Boston, MA USA; [Dreyer, Keith] Mass Gen Brigham, Data Sci Off, Boston, MA USA; [Succi, Marc D.] Mass Gen Brigham, Mass Gen Brigham Innovat, Boston, MA USA</t>
  </si>
  <si>
    <t>Harvard University; Massachusetts General Hospital; Harvard University; Harvard Medical School; Harvard University; Massachusetts General Hospital; Harvard University; Brigham &amp; Women's Hospital</t>
  </si>
  <si>
    <t>msucci@partners.org</t>
  </si>
  <si>
    <t>Kamineni, Meghana/0000-0002-6698-5151; Kim, John/0000-0003-4252-5916; Lie, Winston/0009-0002-0939-7449; Rao, Arya/0000-0003-3007-4812; Pang, Michael/0000-0001-5619-9344</t>
  </si>
  <si>
    <t>This project was supported in part by award T32GM144273 from the National Institute of General Medical Sciences. The content is solely the responsibility of the authors and does not necessarily represent the official views of the National Institute of General Medical Sciences or the National Institutes of Health.</t>
  </si>
  <si>
    <t>e48659</t>
  </si>
  <si>
    <t>10.2196/48659</t>
  </si>
  <si>
    <t>HN7L2</t>
  </si>
  <si>
    <t>WOS:001160247000005</t>
  </si>
  <si>
    <t>Chamberlin, DE</t>
  </si>
  <si>
    <t>Chamberlin, D. Eric</t>
  </si>
  <si>
    <t>The Active Inference Model of Coherence Therapy</t>
  </si>
  <si>
    <t>FRONTIERS IN HUMAN NEUROSCIENCE</t>
  </si>
  <si>
    <t>Coherence Therapy; memory control and access; Bayesian Brain; Free Energy Principle and Active Inference (FEP-AI) framework; post-freudian psychology; psychotherapy; memory representation; conscious access</t>
  </si>
  <si>
    <t>FREE-ENERGY; MEMORY SUPPRESSION; INTRUSIVE MEMORIES; FUTURE; BRAIN; NETWORK; PSYCHOLOGY</t>
  </si>
  <si>
    <t>Coherence Therapy is an empirically derived experiential psychotherapy based on Psychological Constructivism. Symptoms are viewed as necessary output from an implicit model of the world. The therapist curates experiences and directs attention toward discovering the model. Rendered explicit, the model is juxtaposed with contradictory knowledge driving memory re-consolidation with resolution of the symptom. The Bayesian Brain views perception and action as inferential processes. Prior beliefs are combined in a generative model to explain the hidden causes of sensations through a process of Active Inference. Prior beliefs that are poor fits to the real world are suboptimal. Suboptimal priors with optimal inference produce Bayes Optimal Pathology with behavioral symptoms. The Active Inference Model of Coherence Therapy posits that Coherence Therapy is a dyadic act of therapist guided Active Inference that renders the (probable) hidden causes of a client's behavior conscious. The therapist's sustained attention on the goal of inference helps to overcome memory control bias against retrieval of the affectively charged suboptimal prior. Serial experiences cue memory retrieval and re-instantiation of the physiological/affective state that necessitates production of the symptom in a particular context. As this process continues there is a break in modularity with assimilation into broader networks of experience. Typically, the symptom produced by optimal inference with the suboptimal prior is experienced as unnecessary/inappropriate when taken out of the particular context. The implicit construct has been re-represented and rendered consciously accessible, by a more complex but more accurate model in which the symptom is necessary in some contexts but not others. There is an experience of agency and control in symptom creation, accompanied by the spontaneous production of context appropriate behavior. The capacity for inference has been restored. The Active Inference Model of Coherence Therapy provides a framework for Coherence Therapy as a computational process which can serve as the basis for new therapeutic interventions and experimental designs integrating biological, cognitive, behavioral, and environmental factors.</t>
  </si>
  <si>
    <t>[Chamberlin, D. Eric] Chamberlin Appl Neurosci, Glastonbury, CT 06033 USA</t>
  </si>
  <si>
    <t>Chamberlin, DE (corresponding author), Chamberlin Appl Neurosci, Glastonbury, CT 06033 USA.</t>
  </si>
  <si>
    <t>Eric@ChamberlinNeuroscience.com</t>
  </si>
  <si>
    <t>1662-5161</t>
  </si>
  <si>
    <t>FRONT HUM NEUROSCI</t>
  </si>
  <si>
    <t>Front. Hum. Neurosci.</t>
  </si>
  <si>
    <t>10.3389/fnhum.2022.955558</t>
  </si>
  <si>
    <t>Neurosciences; Psychology</t>
  </si>
  <si>
    <t>Neurosciences &amp; Neurology; Psychology</t>
  </si>
  <si>
    <t>7Y3SE</t>
  </si>
  <si>
    <t>WOS:000914802600001</t>
  </si>
  <si>
    <t>Bagherjeiran, A; Djuric, N; Lee, KC; Pang, L; Radosavljevic, V; Rajan, S</t>
  </si>
  <si>
    <t>Bagherjeiran, Abraham; Djuric, Nemanja; Lee, Kuang-Chih; Pang, Linsey; Radosavljevic, Vladan; Rajan, Suju</t>
  </si>
  <si>
    <t>AdKDD 2023</t>
  </si>
  <si>
    <t>Computational advertising; Ad targeting; User modeling</t>
  </si>
  <si>
    <t>The digital advertising field has always had challenging ML problems, learning from petabytes of data that is highly imbalanced, reactivity times in the milliseconds, and more recently compounded with the complex user's path to purchase across devices, across platforms, and even online/real-world behavior. The AdKDD workshop continues to be a forum for researchers in advertising, during and after KDD. Our website which hosts slides and abstracts receives approximately 2,000 monthly visits and 1,800 active users during the KDD 2021. In surveys during AdKDD 2019 and 2020, over 60% agreed that AdKDD is the reason they attended KDD, and over 90% indicated they would attend next year. The 2023 edition is particularly timely because of the increasing application of Graph-based NN and Generative AI models in advertising. Coupled with privacy-preserving initiatives enforced by GDPR, CCPA the future of computational advertising is at an interesting crossroads. For this edition, we plan to solicit papers that span the spectrum of deep user understanding while remaining privacy-preserving. In addition, we will seek papers that discuss fairness in the context of advertising, to what extent does hyper-personalization work, and whether the ad industry as a whole needs to think through more effective business models such as incrementality. We have hosted several academic and industry luminaries as keynote speakers and have found our invited speaker series hosting expert practitioners to be an audience favorite. We will continue fielding a diverse set of keynote speakers and invited talks for this edition as well. As with past editions, we hope to motivate researchers in this space to think not only about the ML aspects but also to spark conversations about the societal impact of online advertising.</t>
  </si>
  <si>
    <t>[Bagherjeiran, Abraham] eBay Inc, San Jose, CA 94105 USA; [Djuric, Nemanja] Aurora Innovat Inc, Pittsburgh, PA USA; [Lee, Kuang-Chih] Walmart, Sunnyvale, CA USA; [Pang, Linsey] Salesforce, San Francisco, CA USA; [Radosavljevic, Vladan] Spotify, New York, NY USA; [Rajan, Suju] Amazon, Palo Alto, CA USA</t>
  </si>
  <si>
    <t>eBay Inc.; Aurora Innovation Inc.; Salesforce; Spotify; Amazon.com</t>
  </si>
  <si>
    <t>Bagherjeiran, A (corresponding author), eBay Inc, San Jose, CA 94105 USA.</t>
  </si>
  <si>
    <t>abagherjeiran@ebay.com; nemanja@temple.edu; leekc307@gmail.com; xpang@salesforce.com; vladan@temple.edu; rsuju@amazon.com</t>
  </si>
  <si>
    <t>Djuric, Nemanja/0000-0002-6502-7891</t>
  </si>
  <si>
    <t>10.1145/3580305.3599582</t>
  </si>
  <si>
    <t>WOS:001118896305108</t>
  </si>
  <si>
    <t>Sahu, HP; Kashyap, R</t>
  </si>
  <si>
    <t>Sahu, Hemlata P.; Kashyap, Ramgopal</t>
  </si>
  <si>
    <t>Fine_Denseiganet: Automatic Medical Image Classification in Chest CT Scan Using Hybrid Deep Learning Framework</t>
  </si>
  <si>
    <t>INTERNATIONAL JOURNAL OF IMAGE AND GRAPHICS</t>
  </si>
  <si>
    <t>Medical image classification; computer-aided diagnosis; computed tomography images; COVID-19; deep learning; artificial hummingbird optimization</t>
  </si>
  <si>
    <t>COVID-19</t>
  </si>
  <si>
    <t>Medical image classification is one of the most significant tasks in computer-aided diagnosis. In the era of modern healthcare, the progress of digitalized medical images has led to a crucial role in analyzing medical image analysis. Recently, accurate disease recognition from medical Computed Tomography (CT) images remains a challenging scenario which is important in rendering effective treatment to patients. The infectious COVID-19 disease is highly contagious and leads to a rapid increase in infected individuals. Some drawbacks noticed with RT-PCR kits are high false negative rate (FNR) and a shortage in the number of test kits. Hence, a Chest CT scan is introduced instead of RT-PCR which plays an important role in diagnosing and screening COVID-19 infections. However, manual examination of CT scans performed by radiologists can be time-consuming, and a manual review of each individual CT image may not be feasible in emergencies. Therefore, there is a need to perform automated COVID-19 detection with the advances in AI-based models. This work presents effective and automatic Deep Learning (DL)-based COVID-19 detection using Chest CT images. Initially, the data is gathered and pre-processed through Spatial Weighted Bilateral Filter (SWBF) to eradicate unwanted distortions. The extraction of deep features is processed using Fine_Dense Convolutional Network (Fine_DenseNet). For classification, the Softmax layer of Fine_DenseNet is replaced using Improved Generative Adversarial Network_Artificial Hummingbird (IGAN_AHb) model in order to train the data on the labeled and unlabeled dataset. The loss in the network model is optimized using Artificial Hummingbird (AHb) optimization algorithm. Here, the proposed DL model (Fine_DenseIGANet) is used to perform automated multi-class classification of COVID-19 using CT scan images and attained a superior classification accuracy of 95.73% over other DL models.</t>
  </si>
  <si>
    <t>[Sahu, Hemlata P.; Kashyap, Ramgopal] Amity Univ Chhattisgarh, Dept Comp Sci &amp; Engn, Raipur 493225, Chhattisgarh, India</t>
  </si>
  <si>
    <t>Sahu, HP (corresponding author), Amity Univ Chhattisgarh, Dept Comp Sci &amp; Engn, Raipur 493225, Chhattisgarh, India.</t>
  </si>
  <si>
    <t>hema.sahu88@gmail.com; rkashyap@rpr.amity.edu</t>
  </si>
  <si>
    <t>Kashyap, Ramgopal/O-5825-2014</t>
  </si>
  <si>
    <t>Kashyap, Ramgopal/0000-0002-5352-1286</t>
  </si>
  <si>
    <t>0219-4678</t>
  </si>
  <si>
    <t>1793-6756</t>
  </si>
  <si>
    <t>INT J IMAGE GRAPH</t>
  </si>
  <si>
    <t>Int. J. Image Graph.</t>
  </si>
  <si>
    <t>2023 JUL 22</t>
  </si>
  <si>
    <t>10.1142/S0219467825500044</t>
  </si>
  <si>
    <t>N1NY6</t>
  </si>
  <si>
    <t>WOS:001034776000001</t>
  </si>
  <si>
    <t>Reeves, B; Sarsa, S; Prather, J; Denny, P; Becker, BA; Hellas, A; Kimmel, B; Powell, G; Leinonen, J</t>
  </si>
  <si>
    <t>Reeves, Brent; Sarsa, Sami; Prather, James; Denny, Paul; Becker, Brett A.; Hellas, Arto; Kimmel, Bailey; Powell, Garrett; Leinonen, Juho</t>
  </si>
  <si>
    <t>Evaluating the Performance of Code Generation Models for Solving Parsons Problems With Small Prompt Variations</t>
  </si>
  <si>
    <t>academic integrity; AI; artificial intelligence; ChatGPT; code generation; code writing; Codex; computer programming; Copilot; CS1; deep learning; generative AI; introductory programming; GitHub; GPT-3; large language models; machine learning; ML; neural networks; natural language processing; novice programming; OpenAI</t>
  </si>
  <si>
    <t>The recent emergence of code generation tools powered by large language models has attracted wide attention. Models such as OpenAI Codex can take natural language problem descriptions as input and generate highly accurate source code solutions, with potentially significant implications for computing education. Given the many complexities that students face when learning to write code, they may quickly become reliant on such tools without properly understanding the underlying concepts. One popular approach for scaffolding the code writing process is to use Parsons problems, which present solution lines of code in a scrambled order. These remove the complexities of low-level syntax, and allow students to focus on algorithmic and design-level problem solving. It is unclear how well code generation models can be applied to solve Parsons problems, given the mechanics of these models and prior evidence that they underperform when problems include specific restrictions. In this paper, we explore the performance of the Codex model for solving Parsons problems over various prompt variations. Using a corpus of Parsons problems we sourced from the computing education literature, we find that Codex successfully reorders the problem blocks about half of the time, a much lower rate of success when compared to prior work on more free-form programming tasks. Regarding prompts, we find that small variations in prompting have a noticeable effect on model performance, although the effect is not as pronounced as between different problems.</t>
  </si>
  <si>
    <t>[Reeves, Brent; Prather, James; Kimmel, Bailey; Powell, Garrett] Abilene Christian Univ, Abilene, TX 79699 USA; [Sarsa, Sami; Hellas, Arto] Aalto Univ, Espoo, Finland; [Denny, Paul; Leinonen, Juho] Univ Auckland, Auckland, New Zealand; [Becker, Brett A.] Univ Coll Dublin, Dublin, Ireland</t>
  </si>
  <si>
    <t>Abilene Christian University; Aalto University; University of Auckland; University College Dublin</t>
  </si>
  <si>
    <t>Reeves, B (corresponding author), Abilene Christian Univ, Abilene, TX 79699 USA.</t>
  </si>
  <si>
    <t>brent.reeves@acu.edu; sami.sarsa@aalto.fi; james.prather@acu.edu; paul@cs.auckland.ac.nz; brett.becker@ucd.ie; arto.hellas@aalto.fi; blk20c@acu.edu; gbp18a@acu.edu; juho.leinonen@auckland.ac.nz</t>
  </si>
  <si>
    <t>Leinonen, Juho/0000-0001-6829-9449; Reeves, Brent/0000-0001-5781-1136; Kimmel, Bailey/0009-0000-6655-0564; Denny, Paul/0000-0002-5150-9806; Powell, Garrett/0000-0002-3221-7015; Prather, James/0000-0003-2807-6042</t>
  </si>
  <si>
    <t>10.1145/3587102.3588805</t>
  </si>
  <si>
    <t>WOS:001051691300045</t>
  </si>
  <si>
    <t>Lew, AJ; Buehler, MJ</t>
  </si>
  <si>
    <t>Lew, Andrew J.; Buehler, Markus J.</t>
  </si>
  <si>
    <t>Single-shot forward and inverse hierarchical architected materials design for nonlinear mechanical properties using an Attention-Diffusion model</t>
  </si>
  <si>
    <t>MATERIALS TODAY</t>
  </si>
  <si>
    <t>Hierarchical materials; Bioinspired; Deep Learning; Generative Diffusion Model; Multiscale Modeling</t>
  </si>
  <si>
    <t>Inspired by natural materials, hierarchical architected materials can achieve enhanced properties including achieving tailored mechanical responses. However, the design space for such materials is often exceedingly large, and both predicting mechanical properties of complex hierarchically organized materials and designing such materials for specific target properties can be extremely difficult. In this paper we report a deep learning approach using an attention-based diffusion model, capable of providing both, forward predictions of nonlinear mechanical properties as a function of the hierarchical material structure as well as solving inverse design problems in order to discover hierarchical microstructure candidates for a specified nonlinear mechanical response. We exemplify the method for a system of compressively loaded four-hierarchy level materials derived from a family of honeycomb structures, where patterns of distributed buckling events are unitary deformation events that control small-and large-scale deformation behavior. Our model offers exquisite single-shot end -to-end performance in both forward and inverse directions across the entire range of deformation regime, and is capable of rapidly discovering multiple solutions that satisfy a design objective in accordance with the known physical behavior elucidated by, and validated with, coarse-grained simulations. The model provides an effective way towards biologically inspired materials design for high-throughput discovery in order to achieve diverse nonlinear constitutive relationships.</t>
  </si>
  <si>
    <t>[Lew, Andrew J.; Buehler, Markus J.] MIT, Lab Atomist &amp; Mol Mech LAMM, 77 Massachusetts Ave, Cambridge, MA 02139 USA; [Lew, Andrew J.] MIT, Dept Chem, 77 Massachusetts Ave, Cambridge, MA 02139 USA; [Buehler, Markus J.] MIT, Schwarzman Coll Comp, Ctr Computat Sci &amp; Engn, 77 Massachusetts Ave, Cambridge, MA 02139 USA</t>
  </si>
  <si>
    <t>Lew, Andrew/HRC-3700-2023</t>
  </si>
  <si>
    <t>Lew, Andrew/0000-0002-4072-114X</t>
  </si>
  <si>
    <t>NIH [5R01AR077793-03]; Office of Naval Research [N000141612333, N000141912375]; AFOSR-MURI [FA9550-15-1-0514]; Army Research Office [W911NF1920098]; MIT Quest; Google Cloud Computing; NSF GRFP [1122374]; U.S. Department of Defense (DOD) [N000141912375] Funding Source: U.S. Department of Defense (DOD)</t>
  </si>
  <si>
    <t>NIH(United States Department of Health &amp; Human ServicesNational Institutes of Health (NIH) - USA); Office of Naval Research(Office of Naval Research); AFOSR-MURI(United States Department of DefenseAir Force Office of Scientific Research (AFOSR)MURI); Army Research Office; MIT Quest; Google Cloud Computing; NSF GRFP(National Science Foundation (NSF)NSF - Office of the Director (OD)); U.S. Department of Defense (DOD)(United States Department of Defense)</t>
  </si>
  <si>
    <t>We acknowledge support by NIH (5R01AR077793-03) , the Office of Naval Research (N000141612333 and N000141912375) , AFOSR-MURI (FA9550-15-1-0514) and the Army Research Office (W911NF1920098) . Related support from the MIT-IBM Watson AI Lab, MIT Quest, and Google Cloud Computing, is acknowledged. The work was partially supported by the NSF GRFP under Grant No. 1122374.</t>
  </si>
  <si>
    <t>1369-7021</t>
  </si>
  <si>
    <t>1873-4103</t>
  </si>
  <si>
    <t>MATER TODAY</t>
  </si>
  <si>
    <t>Mater. Today</t>
  </si>
  <si>
    <t>10.1016/j.mattod.2023.03.007</t>
  </si>
  <si>
    <t>I3QJ6</t>
  </si>
  <si>
    <t>WOS:001001955300001</t>
  </si>
  <si>
    <t>Isomura, T; Kotani, K; Jimbo, Y; Friston, KJ</t>
  </si>
  <si>
    <t>Isomura, Takuya; Kotani, Kiyoshi; Jimbo, Yasuhiko; Friston, Karl J.</t>
  </si>
  <si>
    <t>Experimental validation of the free-energy principle with in vitro neural networks</t>
  </si>
  <si>
    <t>ACTIVE INFERENCE; MODEL; TRANSMISSION; POTENTIATION; NEURONS; BRAIN</t>
  </si>
  <si>
    <t>Empirical applications of the free-energy principle are not straightforward because they entail a commitment to a particular process theory, especially at the cellular and synaptic levels. Using a recently established reverse engineering technique, we confirm the quantitative predictions of the free-energy principle using in vitro networks of rat cortical neurons that perform causal inference. Upon receiving electrical stimuli-generated by mixing two hidden sources-neurons self-organised to selectively encode the two sources. Pharmacological up- and downregulation of network excitability disrupted the ensuing inference, consistent with changes in prior beliefs about hidden sources. As predicted, changes in effective synaptic connectivity reduced variational free energy, where the connection strengths encoded parameters of the generative model. In short, we show that variational free energy minimisation can quantitatively predict the self-organisation of neuronal networks, in terms of their responses and plasticity. These results demonstrate the applicability of the free-energy principle to in vitro neural networks and establish its predictive validity in this setting. Empirical applications of the free-energy principle entail a commitment to a particular process theory. Here, the authors reverse engineered generative models from neural responses of in vitro networks and demonstrated that the free-energy principle could predict how neural networks reorganized in response to external stimulation.</t>
  </si>
  <si>
    <t>[Isomura, Takuya] RIKEN Ctr Brain Sci, Brain Intelligence Theory Unit, 2-1 Hirosawa, Saitama 3510198, Japan; [Kotani, Kiyoshi] Univ Tokyo, Res Ctr Adv Sci &amp; Technol, 4-6-1 Komaba,Meguro Ku, Tokyo 1538904, Japan; [Jimbo, Yasuhiko] Univ Tokyo, Sch Engn, Dept Precis Engn, 7-3-1 Hongo,Bunkyo ku, Tokyo 1138656, Japan; [Friston, Karl J.] UCL, Queen Sq Inst Neurol, Wellcome Ctr Human Neuroimaging, London WC1N 3AR, England; [Friston, Karl J.] VERSES AI Res Lab, Los Angeles, CA 90016 USA</t>
  </si>
  <si>
    <t>RIKEN; University of Tokyo; University of Tokyo; University of London; University College London</t>
  </si>
  <si>
    <t>Isomura, T (corresponding author), RIKEN Ctr Brain Sci, Brain Intelligence Theory Unit, 2-1 Hirosawa, Saitama 3510198, Japan.</t>
  </si>
  <si>
    <t>takuya.isomura@riken.jp</t>
  </si>
  <si>
    <t>Isomura, Takuya/ABB-2859-2021; Friston, Karl/D-9230-2011</t>
  </si>
  <si>
    <t>Isomura, Takuya/0000-0003-2960-4919; Friston, Karl/0000-0001-7984-8909</t>
  </si>
  <si>
    <t>Japan Society for the Promotion of Science (JSPS) KAKENHI [JP23H04973, JP23H03465]; Japan Science and Technology Agency (JST) CREST [JPMJCR22P1]; Wellcome Centre for Human Neuroimaging [205103/Z/16/Z]; European Union's Horizon 2020 Framework Programme for Research and Innovation under the Specific Grant [SGA3, ES/T01279X/1]; Canada-UK Artificial Intelligence Initiative; [945539]</t>
  </si>
  <si>
    <t>Japan Society for the Promotion of Science (JSPS) KAKENHI(Ministry of Education, Culture, Sports, Science and Technology, Japan (MEXT)Japan Society for the Promotion of ScienceGrants-in-Aid for Scientific Research (KAKENHI)); Japan Science and Technology Agency (JST) CREST(Japan Science &amp; Technology Agency (JST)Core Research for Evolutional Science and Technology (CREST)); Wellcome Centre for Human Neuroimaging(Wellcome Trust); European Union's Horizon 2020 Framework Programme for Research and Innovation under the Specific Grant; Canada-UK Artificial Intelligence Initiative;</t>
  </si>
  <si>
    <t>We are grateful to Masafumi Oizumi, Asaki Kataoka, Daiki Sekizawa, and other members of the Oizumi laboratory for discussions. T.I. is supported by the Japan Society for the Promotion of Science (JSPS) KAKENHI Grant Numbers JP23H04973 and JP23H03465 and the Japan Science and Technology Agency (JST) CREST Grant Number JPMJCR22P1. K.J.F. is supported by funding for the Wellcome Centre for Human Neuroimaging (Ref: 205103/Z/16/Z), a Canada-UK Artificial Intelligence Initiative (Ref: ES/T01279X/1) and the European Union's Horizon 2020 Framework Programme for Research and Innovation under the Specific Grant Agreement No. 945539 (Human Brain Project SGA3). The funders had no role in study design, data collection and analysis, decision to publish, or preparation of the manuscript.</t>
  </si>
  <si>
    <t>10.1038/s41467-023-40141-z</t>
  </si>
  <si>
    <t>O6UF5</t>
  </si>
  <si>
    <t>WOS:001045127700014</t>
  </si>
  <si>
    <t>Chan, R; Penquitt, S; Gottschalk, H</t>
  </si>
  <si>
    <t>Chan, Robin; Penquitt, Sarina; Gottschalk, Hanno</t>
  </si>
  <si>
    <t>LU-Net: Invertible Neural Networks Based on Matrix Factorization</t>
  </si>
  <si>
    <t>LU-Net is a simple and fast architecture for invertible neural networks (INN) that is based on the factorization of quadratic weight matrices A=LU, where L is a lower triangular matrix with ones on the diagonal and U an upper triangular matrix. Instead of learning a fully occupied matrix A, we learn L and U separately. If combined with an invertible activation function, such layers can easily be inverted whenever the diagonal entries of U are different from zero. Also, the computation of the determinant of the Jacobian matrix of such layers is cheap. Consequently, the LU architecture allows for cheap computation of the likelihood via the change of variables formula and can be trained according to the maximum likelihood principle. In our numerical experiments, we test the LU-Net architecture as generative model on several academic datasets. We also provide a detailed comparison with conventional invertible neural networks in terms of performance, training as well as run time.</t>
  </si>
  <si>
    <t>[Chan, Robin] Bielefeld Univ, Machine Learning Grp, Bielefeld, Germany; [Penquitt, Sarina] Univ Wuppertal, IZMD, Wuppertal, Germany; [Gottschalk, Hanno] Tech Univ Berlin, Inst Math, Berlin, Germany</t>
  </si>
  <si>
    <t>University of Bielefeld; University of Wuppertal; Technical University of Berlin</t>
  </si>
  <si>
    <t>Chan, R (corresponding author), Bielefeld Univ, Machine Learning Grp, Bielefeld, Germany.</t>
  </si>
  <si>
    <t>rchan@techfak.uni-bielefeld.de; penquitt@uni-wuppertal.de; gottschalk@math.tu-berlin.de</t>
  </si>
  <si>
    <t>German Federal Ministry for Economic Affairs and Climate Action (BMWK) via the research consortium AI Delta Learning [19A19013Q]; Ministry of Culture and Science of the German state of North Rhine-Westphalia as part of the KI-Starter research funding program [005-2204-0023]; German Federal Ministry of Education and Research [01IS22069]</t>
  </si>
  <si>
    <t>German Federal Ministry for Economic Affairs and Climate Action (BMWK) via the research consortium AI Delta Learning; Ministry of Culture and Science of the German state of North Rhine-Westphalia as part of the KI-Starter research funding program; German Federal Ministry of Education and Research(Federal Ministry of Education &amp; Research (BMBF))</t>
  </si>
  <si>
    <t>This work has been funded by the German Federal Ministry for Economic Affairs and Climate Action (BMWK) via the research consortium AI Delta Learning (grant no. 19A19013Q) and the Ministry of Culture and Science of the German state of North Rhine-Westphalia as part of the KI-Starter research funding program (grant no. 005-2204-0023). Moreover, this work has been supported by the German Federal Ministry of Education and Research (grant no. 01IS22069).</t>
  </si>
  <si>
    <t>10.1109/IJCNN54540.2023.10191440</t>
  </si>
  <si>
    <t>WOS:001046198703022</t>
  </si>
  <si>
    <t>Duarte, MM; Azevedo, L</t>
  </si>
  <si>
    <t>Duarte, Miguel M. M.; Azevedo, Leonardo</t>
  </si>
  <si>
    <t>Automatic Detection and Identification of Floating Marine Debris Using Multispectral Satellite Imagery</t>
  </si>
  <si>
    <t>IEEE TRANSACTIONS ON GEOSCIENCE AND REMOTE SENSING</t>
  </si>
  <si>
    <t>Plastics; Satellites; Spatial resolution; Indexes; Synthetic data; Sea surface; Reflectivity; Floating plastic debris; marine pollution; remote sensing; Sentinel-2</t>
  </si>
  <si>
    <t>Floating plastic debris represent an environmental threat to the maritime environment as they drift the oceans. Developing tools to detect and remove them from our oceans is critical. We present an approach to detect and distinguish suspect plastic debris from other floating materials (i.e., driftwood, seaweed, sea snot, sea foam, and pumice) using Sentinel-2 data. We use extreme gradient boosting trained with data compiled from published works complemented by manual interpretation of satellite images. The method is trained with two spectral bands and seven spectral indices computed from the Sentinel-2 spectral bands. We consider three application scenarios. The first uses the database created under the scope of this work. While the classification achieved a 98% accuracy rate for suspect plastic debris, we acknowledge the need for ground-truth validation. The second, to enlarge the training dataset, uses synthetic data generated through a Wasserstein generative adversarial network. A supervised model trained exclusively with synthetic data successfully classified suspect plastic pixels with an accuracy of 83%. The third comprises an ensemble model that quantifies uncertainty about the predictions obtained with the classifier. We correctly classified 75% of the suspect plastic pixels. However, while the classification accuracy decreased, with the integration of uncertainty in the predictions, the number of misclassifications also significantly decreased when compared to the model with the highest accuracy of the previous scenarios. Due to the mixed band nature of the sensor and subpixel coverage of debris within a pixel, the application to other datasets might not be straightforward.</t>
  </si>
  <si>
    <t>[Duarte, Miguel M. M.] Univ Lisbon, Inst Super Tecn, Dept Elect &amp; Comp Engn, P-1049001 Lisbon, Portugal; [Azevedo, Leonardo] Univ Lisbon, CERENA DER, Inst Super Tecn, P-1049001 Lisbon, Portugal</t>
  </si>
  <si>
    <t>Universidade de Lisboa; Instituto Superior Tecnico; Universidade de Lisboa; Instituto Superior Tecnico</t>
  </si>
  <si>
    <t>Azevedo, L (corresponding author), Univ Lisbon, CERENA DER, Inst Super Tecn, P-1049001 Lisbon, Portugal.</t>
  </si>
  <si>
    <t>miguel.mendes.duarte@tecnico.ulisboa.pt; leonardo.azevedo@tecnico.ulisboa.pt</t>
  </si>
  <si>
    <t>Azevedo, Leonardo/G-9111-2015</t>
  </si>
  <si>
    <t>Azevedo, Leonardo/0000-0002-0677-079X</t>
  </si>
  <si>
    <t>Project diStributed AI systEM for mArine plastic debRis moniToring (SMART): the first edition's winner of the AI Moonshot Challenge - Portuguese Space Agency (PTSpace); Fundacao para a Ciencia e Tecnologia (FCT); Unbabel; European Space Agency (ESA); Agencia Nacional de Inovacao (ANI); Web Summit; Centro de Recursos Naturais e Ambiente (CERENA) [FCT-UIDB/04028/2020]</t>
  </si>
  <si>
    <t>Project diStributed AI systEM for mArine plastic debRis moniToring (SMART): the first edition's winner of the AI Moonshot Challenge - Portuguese Space Agency (PTSpace); Fundacao para a Ciencia e Tecnologia (FCT)(Fundacao para a Ciencia e a Tecnologia (FCT)); Unbabel; European Space Agency (ESA)(European Space Agency); Agencia Nacional de Inovacao (ANI); Web Summit; Centro de Recursos Naturais e Ambiente (CERENA)</t>
  </si>
  <si>
    <t>This work was supported by Project diStributed AI systEM for mArine plastic debRis moniToring (SMART): the first edition's winner of the AI Moonshot Challenge, sponsored by the Portuguese Space Agency (PTSpace), in cooperation with Fundacao para a Ciencia e Tecnologia (FCT), Unbabel, European Space Agency (ESA), Agencia Nacional de Inovacao (ANI), and Web Summit. The work of Leonardo Azevedo was supported by Centro de Recursos Naturais e Ambiente (CERENA) under Project FCT-UIDB/04028/2020.&amp; nbsp;</t>
  </si>
  <si>
    <t>0196-2892</t>
  </si>
  <si>
    <t>1558-0644</t>
  </si>
  <si>
    <t>IEEE T GEOSCI REMOTE</t>
  </si>
  <si>
    <t>IEEE Trans. Geosci. Remote Sensing</t>
  </si>
  <si>
    <t>10.1109/TGRS.2023.3283607</t>
  </si>
  <si>
    <t>Geochemistry &amp; Geophysics; Engineering, Electrical &amp; Electronic; Remote Sensing; Imaging Science &amp; Photographic Technology</t>
  </si>
  <si>
    <t>Geochemistry &amp; Geophysics; Engineering; Remote Sensing; Imaging Science &amp; Photographic Technology</t>
  </si>
  <si>
    <t>K8DM3</t>
  </si>
  <si>
    <t>WOS:001018689000003</t>
  </si>
  <si>
    <t>Lee, D; Lee, JY; Kim, D; Choi, J; Yoo, J; Kim, J</t>
  </si>
  <si>
    <t>Lee, Dongyeun; Lee, Jae Young; Kim, Doyeon; Choi, Jaehyun; Yoo, Jaejun; Kim, Junmo</t>
  </si>
  <si>
    <t>Fix the Noise: Disentangling Source Feature for Controllable Domain Translation</t>
  </si>
  <si>
    <t>Recent studies show strong generative performance in domain translation especially by using transfer learning techniques on the unconditional generator. However, the control between different domain features using a single model is still challenging. Existing methods often require additional models, which is computationally demanding and leads to unsatisfactory visual quality. In addition, they have restricted control steps, which prevents a smooth transition. In this paper, we propose a new approach for high-quality domain translation with better controllability. The key idea is to preserve source features within a disentangled subspace of a target feature space. This allows our method to smoothly control the degree to which it preserves source features while generating images from an entirely new domain using only a single model. Our extensive experiments show that the proposed method can produce more consistent and realistic images than previous works and maintain precise controllability over different levels of transformation. The code is available at LeeDongYeun/FixNoise.</t>
  </si>
  <si>
    <t>[Lee, Dongyeun; Lee, Jae Young; Kim, Doyeon; Choi, Jaehyun; Kim, Junmo] Korea Adv Inst Sci &amp; Technol, Seoul, South Korea; [Lee, Dongyeun] Klleon AI Res, Seoul, South Korea; [Yoo, Jaejun] UNIST, Ulsan, South Korea</t>
  </si>
  <si>
    <t>Korea Advanced Institute of Science &amp; Technology (KAIST); Ulsan National Institute of Science &amp; Technology (UNIST)</t>
  </si>
  <si>
    <t>Lee, D (corresponding author), Korea Adv Inst Sci &amp; Technol, Seoul, South Korea.;Lee, D (corresponding author), Klleon AI Res, Seoul, South Korea.</t>
  </si>
  <si>
    <t>10.1109/CVPR52729.2023.01367</t>
  </si>
  <si>
    <t>WOS:001062522106053</t>
  </si>
  <si>
    <t>Tang, H; Sun, GL; Sebe, N; Van Gool, L</t>
  </si>
  <si>
    <t>Tang, Hao; Sun, Guolei; Sebe, Nicu; Van Gool, Luc</t>
  </si>
  <si>
    <t>Edge Guided GANs With Multi-Scale Contrastive Learning for Semantic Image Synthesis</t>
  </si>
  <si>
    <t>Contrastive learning; edge guided; GANs; multi-scale; semantic image synthesis</t>
  </si>
  <si>
    <t>TRANSLATION</t>
  </si>
  <si>
    <t>We propose a novel edge guided generative adversarial network with contrastive learning (ECGAN) for the challenging semantic image synthesis task. Although considerable improvements have been achieved by the community in the recent period, the quality of synthesized images is far from satisfactory due to three largely unresolved challenges. 1) The semantic labels do not provide detailed structural information, making it challenging to synthesize local details and structures; 2) The widely adopted CNN operations such as convolution, down-sampling, and normalization usually cause spatial resolution loss and thus cannot fully preserve the original semantic information, leading to semantically inconsistent results (e.g., missing small objects); 3) Existing semantic image synthesis methods focus on modeling local semantic information from a single input semantic layout. However, they ignore global semantic information of multiple input semantic layouts, i.e., semantic cross-relations between pixels across different input layouts. To tackle 1), we propose to use the edge as an intermediate representation which is further adopted to guide image generation via a proposed attention guided edge transfer module. Edge information is produced by a convolutional generator and introduces detailed structure information. To tackle 2), we design an effective module to selectively highlight class-dependent feature maps according to the original semantic layout to preserve the semantic information. To tackle 3), inspired by current methods in contrastive learning, we propose a novel contrastive learning method, which aims to enforce pixel embeddings belonging to the same semantic class to generate more similar image content than those from different classes. We further propose a novel multi-scale contrastive learning method that aims to push same-class features from different scales closer together being able to capture more semantic relations by explicitly exploring the structures of labeled pixels from multiple input semantic layouts from different scales. Experiments on three challenging datasets show that our methods achieve significantly better results than state-of-the-art approaches.</t>
  </si>
  <si>
    <t>[Tang, Hao; Sun, Guolei; Van Gool, Luc] Swiss Fed Inst Technol, Dept Informat Technol &amp; Elect Engn, CH-8092 Zurich, Switzerland; [Sebe, Nicu] Univ Trento, Dept Informat Engn &amp; Comp Sci DISI, I-38123 Trento, Italy</t>
  </si>
  <si>
    <t>Swiss Federal Institutes of Technology Domain; ETH Zurich; University of Trento</t>
  </si>
  <si>
    <t>Tang, H (corresponding author), Swiss Fed Inst Technol, Dept Informat Technol &amp; Elect Engn, CH-8092 Zurich, Switzerland.</t>
  </si>
  <si>
    <t>hao.tang@vision.ee.ethz.ch; guolei.sun@vision.ee.ethz.ch; sebe@disi.unitn.it; vangool@vision.ee.ethz.ch</t>
  </si>
  <si>
    <t>Sebe, Niculae/0000-0002-6597-7248; Sun, Guolei/0000-0001-8667-9656; Tang, Hao/0000-0002-2077-1246</t>
  </si>
  <si>
    <t>MUR PNRR Project FAIR-Future AI Research - NextGenerationEU [PE00000013]; EU H2020 Project AI4Media [951911]</t>
  </si>
  <si>
    <t>MUR PNRR Project FAIR-Future AI Research - NextGenerationEU; EU H2020 Project AI4Media</t>
  </si>
  <si>
    <t>This work was supported in pary by the MUR PNRR Project FAIR-Future AI Research under Grant PE00000013 funded by the NextGenerationEU and in part by the EU H2020 Project AI4Media under Grant 951911.</t>
  </si>
  <si>
    <t>10.1109/TPAMI.2023.3298721</t>
  </si>
  <si>
    <t>WOS:001104973300024</t>
  </si>
  <si>
    <t>Xu, XJ; Wang, HZ; Lal, A; Gunter, CA; Li, B</t>
  </si>
  <si>
    <t>Xu, Xiaojun; Wang, Hanzhang; Lal, Alok; Gunter, Carl A.; Li, Bo</t>
  </si>
  <si>
    <t>EDoG: Adversarial Edge Detection For Graph Neural Networks</t>
  </si>
  <si>
    <t>2023 IEEE CONFERENCE ON SECURE AND TRUSTWORTHY MACHINE LEARNING, SATML</t>
  </si>
  <si>
    <t>1st IEEE Conference on Secure and Trustworthy Machine Learning (SaTML)</t>
  </si>
  <si>
    <t>FEB 08-10, 2023</t>
  </si>
  <si>
    <t>Raleigh, NC</t>
  </si>
  <si>
    <t>IEEE,IEEE Comp Soc,Microsoft,CIFAR,MITRE,Natl Sci Fdn,Schwartz Reisman Inst Technol &amp; Soc,Vector Inst</t>
  </si>
  <si>
    <t>Graph Neural Networks (GNNs) have been widely applied to different tasks such as bioinformatics, drug design, and social networks. However, recent studies have shown that GNNs are vulnerable to adversarial attacks which aim to mislead the node (or subgraph) classification prediction by adding subtle perturbations. In particular, several attacks against GNNs have been proposed by adding/deleting a small amount of edges, which have caused serious security concerns. Detecting these attacks is challenging due to the small magnitude of perturbation and the discrete nature of graph data. In this paper, we propose a general adversarial edge detection pipeline EDoG without requiring knowledge of the attack strategies based on graph generation. Specifically, we propose a novel graph generation approach combined with link prediction to detect suspicious adversarial edges. To effectively train the graph generative model, we sample several sub-graphs from the given graph data. We show that since the number of adversarial edges is usually low in practice, with low probability the sampled sub-graphs will contain adversarial edges based on the union bound. In addition, considering the strong attacks which perturb a large number of edges, we propose a set of novel features to perform outlier detection as the preprocessing for our detection. Extensive experimental results on three real-world graph datasets including a private transaction rule dataset from a major company and two types of synthetic graphs with controlled properties (e.g., Erdos-Renyi and scale-free graphs) show that EDoG can achieve above 0.8 AUC against four state-of-the-art unseen attack strategies without requiring any knowledge about the attack type (e.g., degree of the target victim node); and around 0.85 with knowledge of the attack type. EDoG significantly outperforms traditional malicious edge detection baselines. We also show that an adaptive attack with full knowledge of our detection pipeline is difficult to bypass it. Our results shed light on several principles to improve the robustness of GNNs.</t>
  </si>
  <si>
    <t>[Xu, Xiaojun; Gunter, Carl A.; Li, Bo] Univ Illinois, Champaign, IL 60680 USA; [Wang, Hanzhang; Lal, Alok] eBay, San Jose, CA USA</t>
  </si>
  <si>
    <t>University of Illinois System; University of Illinois Urbana-Champaign; eBay Inc.</t>
  </si>
  <si>
    <t>Xu, XJ (corresponding author), Univ Illinois, Champaign, IL 60680 USA.</t>
  </si>
  <si>
    <t>xiaojun3@illinois.edu; hanzwang@ebay.com; allal@ebay.com; cgunter@illinois.edu; lbo@illinois.edu</t>
  </si>
  <si>
    <t>Xu, Xiaojun/KAL-6882-2024</t>
  </si>
  <si>
    <t>NSF [1910100]; NSF CNS [2046726]; Alfred P. Sloan Foundation; C3.ai DTI Award</t>
  </si>
  <si>
    <t>NSF(National Science Foundation (NSF)); NSF CNS(National Science Foundation (NSF)); Alfred P. Sloan Foundation(Alfred P. Sloan Foundation); C3.ai DTI Award</t>
  </si>
  <si>
    <t>This work is partially supported by NSF grant No.1910100, NSF CNS No.2046726, a C3.ai DTI Award, and the Alfred P. Sloan Foundation.</t>
  </si>
  <si>
    <t>978-1-6654-6299-0</t>
  </si>
  <si>
    <t>10.1109/SaTML54575.2023.00027</t>
  </si>
  <si>
    <t>BV2XO</t>
  </si>
  <si>
    <t>WOS:001012311500017</t>
  </si>
  <si>
    <t>Huang, F; Kwak, H; An, JS</t>
  </si>
  <si>
    <t>Huang, Fan; Kwak, Haewoon; An, Jisun</t>
  </si>
  <si>
    <t>Chain of Explanation: New Prompting Method to Generate Quality Natural Language Explanation for Implicit Hate Speech</t>
  </si>
  <si>
    <t>Hate Speech Detection; Toxicity Detection; Natural Language Explanation; Natural Language Generation</t>
  </si>
  <si>
    <t>Recent studies have exploited advanced generative language models to generate Natural Language Explanations (NLE) for why a certain text could be hateful. We propose the Chain of Explanation (CoE) Prompting method, using the heuristic words and target group, to generate high-quality NLE for implicit hate speech. We improved the BLUE score from 44.0 to 62.3 for NLE generation by providing accurate target information. We then evaluate the quality of generated NLE using various automatic metrics and human annotations of informativeness and clarity scores.</t>
  </si>
  <si>
    <t>[Huang, Fan; Kwak, Haewoon; An, Jisun] Indiana Univ Bloomington, Bloomington, PA 47405 USA</t>
  </si>
  <si>
    <t>Huang, F (corresponding author), Indiana Univ Bloomington, Bloomington, PA 47405 USA.</t>
  </si>
  <si>
    <t>huangfan@acm.org; haewoon@acm.org; jisun.an@acm.org</t>
  </si>
  <si>
    <t>10.1145/3543873.3587320</t>
  </si>
  <si>
    <t>WOS:001124276300022</t>
  </si>
  <si>
    <t>Xu, YH; He, FX; Du, B; Tao, DC; Zhang, LP</t>
  </si>
  <si>
    <t>Xu, Yonghao; He, Fengxiang; Du, Bo; Tao, Dacheng; Zhang, Liangpei</t>
  </si>
  <si>
    <t>Self-Ensembling GAN for Cross-Domain Semantic Segmentation</t>
  </si>
  <si>
    <t>Deep learning; domain adaptation; semantic segmentation; adversarial learning</t>
  </si>
  <si>
    <t>DEEP NEURAL-NETWORK</t>
  </si>
  <si>
    <t>Deep neural networks (DNNs) have greatly contributed to the performance gains in semantic segmentation. Nevertheless, training DNNs generally requires large amounts of pixel-level labeled data, which is expensive and time-consuming to collect in practice. To mitigate the annotation burden, this paper proposes a self-ensembling generative adversarial network (SE-GAN) exploiting cross-domain data for semantic segmentation. In SE-GAN, a teacher network and a student network constitute a self-ensembling model for generating semantic segmentation maps, which together with a discriminator, forms a GAN. Despite its simplicity, we find SE-GAN can significantly boost the performance of adversarial training and enhance the stability of the model, the latter of which is a common barrier shared by most adversarial training-based methods. We theoretically analyze SE-GAN and provide an O(1/root N) generalization bound (N is the training sample size), which suggests controlling the discriminator's hypothesis complexity to enhance the generalizability. Accordingly, we choose a simple network as the discriminator. Extensive and systematic experiments in two standard settings demonstrate that the proposed method significantly outperforms current state-of-the-art approaches.</t>
  </si>
  <si>
    <t>[Xu, Yonghao; Zhang, Liangpei] Wuhan Univ, State Key Lab Informat Engn Surveying Mapping &amp; R, Wuhan 430079, Peoples R China; [Xu, Yonghao] Inst Adv Res Artificial Intelligence IARAI, A-1030 Vienna, Austria; [He, Fengxiang; Tao, Dacheng] JDcom Inc, JD Explore Acad, Beijing, Peoples R China; [Du, Bo] Wuhan Univ, Sch Comp Sci, Natl Engn Res Ctr Multimedia Software, Inst Artificial Intelligence, Wuhan 430079, Peoples R China; [Du, Bo] Wuhan Univ, Hubei Key Lab Multimedia &amp; Network Commun Engn, Wuhan 430079, Peoples R China</t>
  </si>
  <si>
    <t>Wuhan University; Wuhan University; Wuhan University</t>
  </si>
  <si>
    <t>Zhang, LP (corresponding author), Wuhan Univ, State Key Lab Informat Engn Surveying Mapping &amp; R, Wuhan 430079, Peoples R China.;Du, B (corresponding author), Wuhan Univ, Sch Comp Sci, Natl Engn Res Ctr Multimedia Software, Inst Artificial Intelligence, Wuhan 430079, Peoples R China.;Du, B (corresponding author), Wuhan Univ, Hubei Key Lab Multimedia &amp; Network Commun Engn, Wuhan 430079, Peoples R China.</t>
  </si>
  <si>
    <t>yonghaoxu@ieee.org; hefengxiang@jd.com; gunspace@163.com; taodacheng@jd.com; zlp62@whu.edu.cn</t>
  </si>
  <si>
    <t>Xu, Yonghao/0000-0002-6857-0152</t>
  </si>
  <si>
    <t>National Key Research and Development Program of China [41871243, 62225113, 41820104006, 61871299, 2018AAA0101100]; Major Science and Technology Innovation 2030 Key Projects, New Generation Artificial Intelligence [2021ZD0111700]; Science and Technology Major Project of Hubei Province Next-Generation AI Technologies [2019AEA170]</t>
  </si>
  <si>
    <t>National Key Research and Development Program of China; Major Science and Technology Innovation 2030 Key Projects, New Generation Artificial Intelligence; Science and Technology Major Project of Hubei Province Next-Generation AI Technologies</t>
  </si>
  <si>
    <t>This work was supported in part by theNationalNatural Science Foundation of China, under Grants 41871243, 62225113, 41820104006, and 61871299, in part by the Major Science and Technology Innovation 2030 Key Projects, New Generation Artificial Intelligence under Grant 2021ZD0111700, in part by the National Key Research and Development Program of China, under Grant 2018AAA0101100, and in part by the Science and Technology Major Project of Hubei Province Next-Generation AI Technologies, under Grant 2019AEA170.</t>
  </si>
  <si>
    <t>10.1109/TMM.2022.3229976</t>
  </si>
  <si>
    <t>AV4K5</t>
  </si>
  <si>
    <t>WOS:001121212400018</t>
  </si>
  <si>
    <t>Yamada, J; Hung, CM; Collins, J; Havoutis, I; Posner, I</t>
  </si>
  <si>
    <t>Yamada, Jun; Hung, Chia-Man; Collins, Jack; Havoutis, Ioannis; Posner, Ingmar</t>
  </si>
  <si>
    <t>Leveraging Scene Embeddings for Gradient-Based Motion Planning in Latent Space</t>
  </si>
  <si>
    <t>Motion planning framed as optimisation in structured latent spaces has recently emerged as competitive with traditional methods in terms of planning success while significantly outperforming them in terms of computational speed. However, the real-world applicability of recent work in this domain remains limited by the need to express obstacle information directly in state-space, involving simple geometric primitives. In this work we address this challenge by leveraging learned scene embeddings together with a generative model of the robot manipulator to drive the optimisation process. In addition, we introduce an approach for efficient collision checking which directly regularises the optimisation undertaken for planning. Using simulated as well as real-world experiments, we demonstrate that our approach, AMP-LS, is able to successfully plan in novel, complex scenes while outperforming traditional planning baselines in terms of computation speed by an order of magnitude. We show that the resulting system is fast enough to enable closed-loop planning in real-world dynamic scenes.</t>
  </si>
  <si>
    <t>[Yamada, Jun; Hung, Chia-Man; Collins, Jack; Posner, Ingmar] Univ Oxford, Oxford Robot Inst ORI, Appl AI Lab A2I, Oxford, England; [Hung, Chia-Man; Havoutis, Ioannis] Univ Oxford, Oxford Robot Inst ORI, Dynam Robot Syst DRS, Oxford, England</t>
  </si>
  <si>
    <t>University of Oxford; University of Oxford</t>
  </si>
  <si>
    <t>Yamada, J (corresponding author), Univ Oxford, Oxford Robot Inst ORI, Appl AI Lab A2I, Oxford, England.</t>
  </si>
  <si>
    <t>jyamada@robots.ox.ac.uk</t>
  </si>
  <si>
    <t>UKRI/EPSRC Programme Grant [EP/V000748/1]</t>
  </si>
  <si>
    <t>UKRI/EPSRC Programme Grant</t>
  </si>
  <si>
    <t>This work was supported by a UKRI/EPSRC Programme Grant [EP/V000748/1], we would also like to thank the University of Oxford for providing Advanced Research Computing (ARC) facility in carrying out this work (http://dx.doi.org/10.5281/zenodo.22558).</t>
  </si>
  <si>
    <t>10.1109/ICRA48891.2023.10161427</t>
  </si>
  <si>
    <t>WOS:001036713004093</t>
  </si>
  <si>
    <t>Lan, YS; Loy, CC; Dai, B</t>
  </si>
  <si>
    <t>Lan, Yushi; Loy, Chen Change; Dai, Bo</t>
  </si>
  <si>
    <t>Correspondence Distillation from NeRF-Based GAN</t>
  </si>
  <si>
    <t>Neural radiance field; Dense correspondence; Generative modeling; Shape analysis; Computer vision; Computer graphics</t>
  </si>
  <si>
    <t>The neural radiance field (NeRF) has shown promising results in preserving the fine details of objects and scenes. However, unlike explicit shape representations e.g., mesh, it remains an open problem to build dense correspondences across different NeRFs of the same category, which is essential in many downstream tasks. The main difficulties of this problem lie in the implicit nature of NeRF and the lack of ground-truth correspondence annotations. In this paper, we show it is possible to bypass these challenges by leveraging the rich semantics and structural priors encapsulated in a pre-trained NeRF-based GAN. Specifically, we exploit such priors from three aspects, namely (1) a dual deformation field that takes latent codes as global structural indicators, (2) a learning objective that regards generator features as geometric-aware local descriptors, and (3) a source of infinite object-specific NeRF samples. Our experiments demonstrate that such priors lead to 3D dense correspondence that is accurate, smooth, and robust. We also show that established dense correspondence across NeRFs can effectively enable many NeRF-based downstream applications such as texture transfer.</t>
  </si>
  <si>
    <t>[Lan, Yushi; Loy, Chen Change] Nanyang Technol Univ, S Lab, Singapore, Singapore; [Dai, Bo] Shanghai AI Lab, Shanghai, Peoples R China</t>
  </si>
  <si>
    <t>Loy, CC (corresponding author), Nanyang Technol Univ, S Lab, Singapore, Singapore.</t>
  </si>
  <si>
    <t>yushi001@e.ntu.edu.sg; ccloy@ntu.edu.sg; daibo@pjlab.org.cn</t>
  </si>
  <si>
    <t>Loy, Chen Change/0000-0001-5345-1591</t>
  </si>
  <si>
    <t>This study is supported under the RIE2020 Industry Alignment Fund Industry Collaboration Projects (IAF-ICP) Funding Initiative, as well as cash and in-kind contribution from the industry partner(s). It is also supported by Singapore MOE AcRF Tier 2 (MOE-T2; RIE2020 Industry Alignment Fund Industry Collaboration Projects (IAF-ICP) Funding Initiative [MOE-T2EP20221-0011]; Singapore MOE AcRF Tier 2</t>
  </si>
  <si>
    <t>This study is supported under the RIE2020 Industry Alignment Fund Industry Collaboration Projects (IAF-ICP) Funding Initiative, as well as cash and in-kind contribution from the industry partner(s). It is also supported by Singapore MOE AcRF Tier 2 (MOE-T2; RIE2020 Industry Alignment Fund Industry Collaboration Projects (IAF-ICP) Funding Initiative; Singapore MOE AcRF Tier 2(Ministry of Education, Singapore)</t>
  </si>
  <si>
    <t>This study is supported under the RIE2020 Industry Alignment Fund Industry Collaboration Projects (IAF-ICP) Funding Initiative, as well as cash and in-kind contribution from the industry partner(s). It is also supported by Singapore MOE AcRF Tier 2 (MOE-T2EP20221-0011).</t>
  </si>
  <si>
    <t>10.1007/s11263-023-01903-w</t>
  </si>
  <si>
    <t>S8EB6</t>
  </si>
  <si>
    <t>WOS:001073433200002</t>
  </si>
  <si>
    <t>Wang, YD; Chen, K; Tan, HS; Guo, K</t>
  </si>
  <si>
    <t>Wang, Yiding; Chen, Kai; Tan, Haisheng; Guo, Kun</t>
  </si>
  <si>
    <t>Tabi: An Efficient Multi-Level Inference System for Large Language Models</t>
  </si>
  <si>
    <t>PROCEEDINGS OF THE EIGHTEENTH EUROPEAN CONFERENCE ON COMPUTER SYSTEMS, EUROSYS 2023</t>
  </si>
  <si>
    <t>18th European Conference on Computer Systems (EuroSys)</t>
  </si>
  <si>
    <t>Sapienza Univ Rome, Rome, ITALY</t>
  </si>
  <si>
    <t>KAUST,Huawei,Meta,Ant Grp Res,Google,Oracle,Red Hat,VMWare</t>
  </si>
  <si>
    <t>Sapienza Univ Rome</t>
  </si>
  <si>
    <t>machine learning inference; attention-based transformer</t>
  </si>
  <si>
    <t>Today's trend of building ever larger language models (LLMs), while pushing the performance of natural language processing, adds significant latency to the inference stage. We observe that due to the diminishing returns of adding parameters to LLMs, a smaller model could make the same prediction as a costly LLM for a majority of queries. Based on this observation, we design Tabi, an inference system with a multi-level inference engine that serves queries using small models and optional LLMs for demanding applications. Tabi is optimized for discriminative models (i.e., not generative LLMs) in a serving framework. Tabi uses the calibrated confidence score to decide whether to return the accurate results of small models extremely fast or re-route them to LLMs. For re-routed queries, it uses attention-based word pruning and weighted ensemble techniques to offset the system overhead and accuracy loss. We implement and evaluate Tabi with multiple tasks and models. Our result shows that Tabi achieves 21%-40% average latency reduction (with comparable tail latency) over the state-of-the-art while meeting LLM-grade high accuracy targets.</t>
  </si>
  <si>
    <t>[Wang, Yiding; Chen, Kai] Hong Kong Univ Sci &amp; Technol, iSING Lab, Hong Kong, Peoples R China; [Tan, Haisheng] Univ Sci &amp; Technol China, Hefei, Peoples R China; [Guo, Kun] Fuzhou Univ, Fuzhou, Peoples R China</t>
  </si>
  <si>
    <t>Hong Kong University of Science &amp; Technology; Chinese Academy of Sciences; University of Science &amp; Technology of China, CAS; Fuzhou University</t>
  </si>
  <si>
    <t>Wang, YD (corresponding author), Hong Kong Univ Sci &amp; Technol, iSING Lab, Hong Kong, Peoples R China.</t>
  </si>
  <si>
    <t>Chen, Kai/0000-0003-2587-6028</t>
  </si>
  <si>
    <t>Key-Area R&amp;D Program of Guangdong Province [2021B0101400001]; Hong Kong RGC TRS [T41-603/20-R, GRF-16213621]; ITF-ACCESS; NSFC [62062005, 62132009]; Turing AI Computing Cloud (TACC); Natural Science Foundation of Fujian Province [2022J01118]</t>
  </si>
  <si>
    <t>Key-Area R&amp;D Program of Guangdong Province; Hong Kong RGC TRS; ITF-ACCESS; NSFC(National Natural Science Foundation of China (NSFC)); Turing AI Computing Cloud (TACC); Natural Science Foundation of Fujian Province(Natural Science Foundation of Fujian Province)</t>
  </si>
  <si>
    <t>We thank the anonymous EuroSys reviewers and our shepherd Dr. Somali Chaterji for their constructive feedback and suggestions. This work is supported in part by the Key-Area R&amp;D Program of Guangdong Province (2021B0101400001), the Hong Kong RGC TRS T41-603/20-R, GRF-16213621, ITF-ACCESS, the NSFC Grant 62062005, and the Turing AI Computing Cloud (TACC) [82]. Haisheng Tan is partly supported by the NSFC Grant 62132009, and Kun Guo is partly supported by the Natural Science Foundation of Fujian Province Grant No.2022J01118. We thank Yilun Jin and Han Tian for providing valuable feedback regarding the early idea. Kai Chen is the corresponding author.</t>
  </si>
  <si>
    <t>978-1-4503-9487-1</t>
  </si>
  <si>
    <t>10.1145/3552326.3587438</t>
  </si>
  <si>
    <t>BV6RN</t>
  </si>
  <si>
    <t>WOS:001062106700015</t>
  </si>
  <si>
    <t>Li, HF</t>
  </si>
  <si>
    <t>Li, Hai-Feng</t>
  </si>
  <si>
    <t>Effects of a ChatGPT-based flipped learning guiding approach on learners' courseware project performances and perceptions</t>
  </si>
  <si>
    <t>flipped learning; ChatGPT in education; improving classroom teaching; artificial intelligence learning environments; teaching or learning strategies</t>
  </si>
  <si>
    <t>ACADEMIC SELF-EFFICACY; STUDENTS; ACCEPTANCE; TEACHERS; ACHIEVEMENT; CHATBOT; AI</t>
  </si>
  <si>
    <t>In recent decades, flipped learning has been adopted by teachers to improve learning achievement. However, it is challenging to provide all students with instant personalised guidance at the same time. To address this gap, based on Chat Generative Pre-trained Transformer (ChatGPT) and the learning scaffolding theory, I developed a ChatGPT-based flipped learning guiding approach (ChatGPT-FLGA) according to the analysis, design, development, implementation and evaluation model. To investigate the effectiveness of ChatGPT-FLGA, a quasi-experiment was conducted in the learning activities of a courseware project. One of two classes was randomly assigned to the experimental group, while the other was assigned to the control group. The students in both classes received flipped classroom instruction and conducted discussions through Tencent QQ applications, but only those in the experimental group learned with ChatGPT-FLGA. The results revealed that the ChatGPT-FLGA significantly improved students' performance, self-efficacy, learning attitudes, intrinsic motivation and creative thinking. The research findings enrich the literature on ChatGPT in flipped classrooms by addressing the influence of ChatGPT-FLGA on students' performance and perceptions.</t>
  </si>
  <si>
    <t>[Li, Hai-Feng] Xinjiang Normal Univ, Coll Educ Sci, Urumqi, Peoples R China</t>
  </si>
  <si>
    <t>Xinjiang Normal University</t>
  </si>
  <si>
    <t>Li, HF (corresponding author), Xinjiang Normal Univ, Coll Educ Sci, Urumqi, Peoples R China.</t>
  </si>
  <si>
    <t>tangshanlhf@163.com</t>
  </si>
  <si>
    <t>Ministry of Education, China [DCA180324]</t>
  </si>
  <si>
    <t>Ministry of Education, China(Ministry of Education, China)</t>
  </si>
  <si>
    <t>The author would like to than k the students who participated in this study for their support. This research was funded by the Ministry of Education, China (grant number: DCA180324) .</t>
  </si>
  <si>
    <t>10.14742/ajet.8923</t>
  </si>
  <si>
    <t>WOS:001132966400003</t>
  </si>
  <si>
    <t>Liu, T; Li, J; Wu, J; Du, B; Wan, J; Chang, J</t>
  </si>
  <si>
    <t>Liu, Tong; Li, Jing; Wu, Jia; Du, Bo; Wan, Jun; Chang, Jun</t>
  </si>
  <si>
    <t>Confusable facial expression recognition with geometry-aware conditional network</t>
  </si>
  <si>
    <t>Confusable facial expression recognition; Facial image synthesis; Long-range dependencies; Geometry-aware conditional network</t>
  </si>
  <si>
    <t>Many facial expression recognition (FER) methods have now achieved satisfactory results. However, some facial expressions have similar muscle deformation, making them easy to confuse. These confusable facial expressions are a key challenge to accurately recognizing facial expressions. In addition, most current FER methods rely on the convolution operation, but convolution is a building block that processes one local neighborhood at a time; thus, it fails to capture the geometric patterns that are important for facial muscle deformation. To address this issue, considering the problems of pose variations and insufficient training data, this paper proposes a geometry-aware conditional network (GACN) that captures long-range dependencies for simultaneous pose-invariant facial expression editing and geometry-aware FER. Specifically, the GACN can complete a pose-invariant image editing task with long-range dependency by introducing conditional self attention operations to a generative adversarial network. Moreover, the GACN presents non-local operations as building blocks of the classifier to capture the texture and geometry patterns simultaneously. Finally, these two tasks can further boost each other's performances through our GACN, and confusable facial expressions can be effectively distinguished. And we overcome the effect of pose variations while expanding and enriching the training set. Our proposed algorithm is evaluated on both the in-the-lab and in-the-wild datasets and outperforms the state-of-the-art methods.</t>
  </si>
  <si>
    <t>[Liu, Tong; Li, Jing; Du, Bo; Chang, Jun] Wuhan Univ, Natl Engn Res Ctr Multimedia Software, Sch Comp Sci, Inst Artificial Intelligence, Wuhan 430072, Peoples R China; [Liu, Tong; Li, Jing; Du, Bo; Chang, Jun] Wuhan Univ, Hubei Key Lab Multimedia &amp; Network Commun Engn, Wuhan 430072, Peoples R China; [Wu, Jia] Macquarie Univ, Fac Sci &amp; Engn, Dept Comp, Sydney, NSW 2019, Australia; [Wan, Jun] Zhongnan Univ Econ &amp; Law, Sch Informat &amp; Safety Engn, Wuhan 430073, Peoples R China</t>
  </si>
  <si>
    <t>Wuhan University; Wuhan University; Macquarie University; Zhongnan University of Economics &amp; Law</t>
  </si>
  <si>
    <t>Li, J (corresponding author), Wuhan Univ, Natl Engn Res Ctr Multimedia Software, Sch Comp Sci, Inst Artificial Intelligence, Wuhan 430072, Peoples R China.;Li, J (corresponding author), Wuhan Univ, Hubei Key Lab Multimedia &amp; Network Commun Engn, Wuhan 430072, Peoples R China.</t>
  </si>
  <si>
    <t>tong.liu@whu.edu.cn; leejingcn@whu.edu.cn; jia.wu@mq.edu.au; remoteking@whu.edu.cn; junwan2014@whu.edu.cn; chang.jun@whu.edu.cn</t>
  </si>
  <si>
    <t>National Natural Science Foundation of China [62372335, 62225113, 61822113]; Science and Technology Major Project of Hubei Province (Next-Generation AI Technologies) [2019AEA170]; Natural Science Foundation of Hubei Province [2018CFA050]</t>
  </si>
  <si>
    <t>National Natural Science Foundation of China(National Natural Science Foundation of China (NSFC)); Science and Technology Major Project of Hubei Province (Next-Generation AI Technologies); Natural Science Foundation of Hubei Province(Natural Science Foundation of Hubei Province)</t>
  </si>
  <si>
    <t>This work was supported in part by the National Natural Science Foundation of China under Grants 62372335, 62225113, 61822113, in part by the Science and Technology Major Project of Hubei Province (Next-Generation AI Technologies) under Grant 2019AEA170, and in part by the Natural Science Foundation of Hubei Province under Grant 2018CFA050.</t>
  </si>
  <si>
    <t>10.1016/j.patcog.2023.110174</t>
  </si>
  <si>
    <t>DX0W4</t>
  </si>
  <si>
    <t>WOS:001135273400001</t>
  </si>
  <si>
    <t>Qiang, B; Zhou, YR; Ding, YH; Liu, NF; Song, S; Zhang, LR; Huang, B; Liu, ZM</t>
  </si>
  <si>
    <t>Qiang, Bo; Zhou, Yiran; Ding, Yuheng; Liu, Ningfeng; Song, Song; Zhang, Liangren; Huang, Bo; Liu, Zhenming</t>
  </si>
  <si>
    <t>Bridging the gap between chemical reaction pretraining and conditional molecule generation with a unified model</t>
  </si>
  <si>
    <t>Chemical reactions are the fundamental building blocks of drug design and organic chemistry research. In recent years, there has been a growing need for a large-scale deep-learning framework that can efficiently capture the basic rules of chemical reactions. In this paper, we have proposed a unified framework that addresses both the reaction-representation learning and molecule generation tasks, which allows for a more holistic approach. Inspired by the organic chemistry mechanism, we develop a new pretraining framework that enables us to incorporate inductive biases into the model. Our framework achieves state-of-the-art results in performance of challenging downstream tasks. By possessing chemical knowledge, our generative framework overcomes the limitations of current molecule generation models that rely on a small number of reaction templates. In extensive experiments, our model generates synthesizable drug-like structures of high quality. Overall, our work presents a noteworthy step toward a large-scale deep-learning framework for a variety of reaction-based applications. Virtual drug design has seen recent progress in methods that can generate new molecules with specific properties. Separately, methods have also improved in the task of computationally predicting the outcome of chemical reactions. Qiang and colleagues use the close relation of the two problems to train a model that aims at solving both tasks.</t>
  </si>
  <si>
    <t>[Qiang, Bo; Zhou, Yiran; Ding, Yuheng; Liu, Ningfeng; Song, Song; Zhang, Liangren; Liu, Zhenming] Peking Univ, Sch Pharmaceut Sci, State Key Lab Nat &amp; Biomimet Drugs, Beijing, Peoples R China; [Huang, Bo] Beijing StoneWise Technol Co Ltd, Beijing, Peoples R China</t>
  </si>
  <si>
    <t>Liu, ZM (corresponding author), Peking Univ, Sch Pharmaceut Sci, State Key Lab Nat &amp; Biomimet Drugs, Beijing, Peoples R China.;Huang, B (corresponding author), Beijing StoneWise Technol Co Ltd, Beijing, Peoples R China.</t>
  </si>
  <si>
    <t>huangbo@stonewise.cn; zmliu@bjmu.edu.cn</t>
  </si>
  <si>
    <t>Huang, Bo/0000-0003-3822-9110</t>
  </si>
  <si>
    <t>National Key RD Program of China (grant no.2022YFF1203003), Beijing AI Health Cultivation Project (grant no.Z221100003522022), Peking University Health Science-StoneWise Technology Joint Laboratory Project (grant no.L202107), The Open Fund of State Key La [2022YFF1203003, 2022YFC2303700]; National Key R&amp;D Programme of China [Z221100003522022]; Beijing AI Health Cultivation Project [L202107]; Peking University Health Science and StoneWise Technology Joint Laboratory Project [KF-202304]; Open Fund of State Key Laboratory of Pharmaceutical Biotechnology, Nanjing University, China</t>
  </si>
  <si>
    <t>National Key RD Program of China (grant no.2022YFF1203003), Beijing AI Health Cultivation Project (grant no.Z221100003522022), Peking University Health Science-StoneWise Technology Joint Laboratory Project (grant no.L202107), The Open Fund of State Key La; National Key R&amp;D Programme of China; Beijing AI Health Cultivation Project; Peking University Health Science and StoneWise Technology Joint Laboratory Project; Open Fund of State Key Laboratory of Pharmaceutical Biotechnology, Nanjing University, China</t>
  </si>
  <si>
    <t>This work was financially supported by National Key R&amp;D Programme of China (grant no. 2022YFF1203003 (Z.L.) and grant no. 2022YFC2303700 (L.Z.)), Beijing AI Health Cultivation Project (grant no. Z221100003522022 (Z.L.)), Peking University Health Science and StoneWise Technology Joint Laboratory Project (grant no. L202107 (Z.L.)) and the Open Fund of State Key Laboratory of Pharmaceutical Biotechnology, Nanjing University, China (grant no. KF-202304 (Z.L.)).</t>
  </si>
  <si>
    <t>2023 DEC 5</t>
  </si>
  <si>
    <t>10.1038/s42256-023-00764-9</t>
  </si>
  <si>
    <t>Z6ML8</t>
  </si>
  <si>
    <t>WOS:001113197500001</t>
  </si>
  <si>
    <t>Loft, M; Ladefoged, CN; Johnbeck, CB; Carlsen, EA; Oturai, P; Langer, SW; Knigge, U; Andersen, FL; Kjaer, A</t>
  </si>
  <si>
    <t>Loft, Mathias; Ladefoged, Claes N.; Johnbeck, Camilla B.; Carlsen, Esben A.; Oturai, Peter; Langer, Seppo W.; Knigge, Ulrich; Andersen, Flemming L.; Kjaer, Andreas</t>
  </si>
  <si>
    <t>An Investigation of Lesion Detection Accuracy for Artificial Intelligence-Based Denoising of Low-Dose 64Cu-DOTATATE PET Imaging in Patients with Neuroendocrine Neoplasms</t>
  </si>
  <si>
    <t>JOURNAL OF NUCLEAR MEDICINE</t>
  </si>
  <si>
    <t>64Cu-DOTATATE; somatostatin receptor imaging; PET; CT; neuroendocrine neoplasms; artificial intelligence</t>
  </si>
  <si>
    <t>CU-64-DOTATATE PET; TUMORS</t>
  </si>
  <si>
    <t>Frequent somatostatin receptor PET, for example, 64Cu-DOTATATE PET, is part of the diagnostic work-up of patients with neuroendocrine neoplasms (NENs), resulting in high accumulated radiation doses. Scan -related radiation exposure should be minimized in accordance with the as-low-as-reasonably achievable principle, for example, by reducing injected radiotracer activity. Previous investigations found that reducing 64Cu-DOTATATE activity to below 50 MBq results in inadequate image quality and lesion detection. We therefore investigated whether image quality and lesion detection of less than 50 MBq of 64Cu-DOTATATE PET could be restored using artificial intelligence (AI). Methods: We implemented a parameter-transferred Wasserstein generative adversar-ial network for patients with NENs on simulated low-dose 64Cu-DOTA-TATE PET images corresponding to 25% (PET25%), or about 48 MBq, of the injected activity of the reference full dose (PET100%), or about 191 MBq, to generate denoised PET images (PETAI). We included 38 patients in the training sets for network optimization. We analyzed PET intensity correlation, peak signal-to-noise ratio (PSNR), structural similar-ity index (SSIM), and mean-square error (MSE) of PETAI/PET100% versus PET25%/PET100%. Two readers assessed Likert scale-defined image quality (1, very poor; 2, poor; 3, moderate; 4, good; 5, excellent) and identified lesion-suspicious foci on PETAI and PET100% in a subset of the patients with no more than 20 lesions per organ (n 5 33) to allow com-parison of all foci on a 1:1 basis. Detected foci were scored (C1, definite lesion; C0, lesion-suspicious focus) and matched with PET100% as the reference. True-positive (TP), false-positive (FP), and false-negative (FN) lesions were assessed. Results: For PETAI/PET100% versus PET25%/PET100%, PET intensity correlation had a goodness-of-fit value of 0.94 versus 0.81, PSNR was 58.1 versus 53.0, SSIM was 0.908 versus 0.899, and MSE was 2.6 versus 4.7. Likert scale-defined image quality was rated good or excellent in 33 of 33 and 32 of 33 patients on PET100% and PETAI, respectively. Total number of detected lesions was 118 on PET100% and 115 on PETAI. Only 78 PETAI lesions were TP, 40 were FN, and 37 were FP, yielding detection sensitivity (TP/(TP+FN)) and a false discovery rate (FP/(TP+FP)) of 66% (78/118) and 32% (37/115), respec-tively. In 62% (23/37) of cases, the FP lesion was scored C1, suggesting a definite lesion. Conclusion: PETAI improved visual similarity with PET100% compared with PET25%, and PETAI and PET100% had similar Likert scale- defined image quality. However, lesion detection analysis performed by physicians showed high proportions of FP and FN lesions on PETAI, highlighting the need for clinical validation of AI algorithms.</t>
  </si>
  <si>
    <t>[Loft, Mathias; Ladefoged, Claes N.; Johnbeck, Camilla B.; Carlsen, Esben A.; Oturai, Peter; Andersen, Flemming L.; Kjaer, Andreas] Copenhagen Univ Hosp, Rigshosp, Dept Clin Physiol &amp; Nucl Med &amp; Cluster Mol Imaging, Copenhagen, Denmark; [Loft, Mathias; Ladefoged, Claes N.; Johnbeck, Camilla B.; Carlsen, Esben A.; Oturai, Peter; Andersen, Flemming L.; Kjaer, Andreas] Univ Copenhagen, Rigshospitalet &amp; Dept Biomed Sci, Copenhagen, Denmark; [Loft, Mathias; Johnbeck, Camilla B.; Carlsen, Esben A.; Oturai, Peter; Langer, Seppo W.; Knigge, Ulrich; Kjaer, Andreas] Copenhagen Univ Hosp, Rigshosp, ENETS Neuroendocrine Tumor Ctr Excellence, Copenhagen, Denmark; [Langer, Seppo W.] Copenhagen Univ Hosp, Rigshosp, Dept Oncol, Copenhagen, Denmark; [Langer, Seppo W.] Univ Copenhagen, Dept Clin Med, Copenhagen, Denmark; [Knigge, Ulrich] Copenhagen Univ Hosp, Rigshosp, Dept Clin Endocrinol &amp; Surg Gastroenterol, Copenhagen, Denmark</t>
  </si>
  <si>
    <t>Rigshospitalet; University of Copenhagen; University of Copenhagen; University of Copenhagen; Rigshospitalet; University of Copenhagen; Rigshospitalet; University of Copenhagen; Rigshospitalet; University of Copenhagen</t>
  </si>
  <si>
    <t>Kjaer, A (corresponding author), Copenhagen Univ Hosp, Rigshosp, Dept Clin Physiol &amp; Nucl Med &amp; Cluster Mol Imaging, Copenhagen, Denmark.;Kjaer, A (corresponding author), Copenhagen Univ Hosp, Rigshosp, ENETS Neuroendocrine Tumor Ctr Excellence, Copenhagen, Denmark.</t>
  </si>
  <si>
    <t>akjaer@sund.ku.dk</t>
  </si>
  <si>
    <t>; Kjaer, Andreas/E-8932-2015</t>
  </si>
  <si>
    <t>Langer, Seppo W./0000-0001-9732-9192; Kjaer, Andreas/0000-0002-2706-5547</t>
  </si>
  <si>
    <t>European Union [670261, 668532]; European Union; Lundbeck Foundation; Novo Nordisk Foundation; Innovation Fund Denmark; Neuroendocrine Tumor Research Foundation; Danish Cancer Society [670261, 668532]; Sygeforsikringen Danmark; Arvid Nilsson Foundation; Neye Foundation; Research Foundation of Rigshospitalet; PERSIMUNE through the Danish National Research Foundation; Research Council of the Capital Region of Denmark; Danish Health Authority; John and Birthe Meyer Foundation; Danish Agency for Digitization; Research Council for Independent Research [126]; [20196164]</t>
  </si>
  <si>
    <t>European Union(European Union (EU)); European Union(European Union (EU)); Lundbeck Foundation(Lundbeckfonden); Novo Nordisk Foundation(Novo Nordisk FoundationNovocure Limited); Innovation Fund Denmark; Neuroendocrine Tumor Research Foundation; Danish Cancer Society(Danish Cancer Society); Sygeforsikringen Danmark; Arvid Nilsson Foundation; Neye Foundation; Research Foundation of Rigshospitalet; PERSIMUNE through the Danish National Research Foundation; Research Council of the Capital Region of Denmark; Danish Health Authority; John and Birthe Meyer Foundation; Danish Agency for Digitization; Research Council for Independent Research;</t>
  </si>
  <si>
    <t>This project received funding from the European Union's Horizon 2020 research and innovation program under grant agreements 670261 (ERC Advanced Grant) and 668532 (Click-It) , the Lundbeck Foundation, the Novo Nordisk Foundation, the Innovation Fund Denmark, the Neuroendocrine Tumor Research Foundation, the Danish Cancer Society, Sygeforsikringen Danmark, the Arvid Nilsson Foundation, the Neye Foundation, the Research Foundation of Rigshospitalet, PERSIMUNE through the Danish National Research Foundation (grant 126) , the Research Council of the Capital Region of Denmark, the Danish Health Authority, the John and Birthe Meyer Foundation, the Danish Agency for Digitization (20196164) , and the Research Council for Independent Research. Andreas Kjaer is a Lundbeck Foundation Professor. Ulrich Knigge and Andreas Kjaer are inventors of or hold intellectual propertyrights on a patent covering 64Cu-DOTATATE. No other potential conflict of interest relevant to this article was reported.</t>
  </si>
  <si>
    <t>0161-5505</t>
  </si>
  <si>
    <t>1535-5667</t>
  </si>
  <si>
    <t>J NUCL MED</t>
  </si>
  <si>
    <t>J. Nucl. Med.</t>
  </si>
  <si>
    <t>10.2967/jnumed.122.264826</t>
  </si>
  <si>
    <t>M5SB1</t>
  </si>
  <si>
    <t>WOS:001030803100021</t>
  </si>
  <si>
    <t>Lakshmi, L; Kalyani, AN; Madhuri, DK; Potluri, S; Pandey, GS; Ali, S; Khan, MI; Awwad, FA; Ismail, EAA</t>
  </si>
  <si>
    <t>Lakshmi, L.; Kalyani, A. Naga; Madhuri, D. Krishna; Potluri, Sirisha; Pandey, Geetika Silakari; Ali, Shahid; Khan, Muhammad Ijaz; Awwad, Fuad A.; Ismail, Emad A. A.</t>
  </si>
  <si>
    <t>Performance Analysis of Cycle GAN in Photo to Portrait Transfiguration Using Deep Learning Optimizers</t>
  </si>
  <si>
    <t>Cycle-GAN; generator; discriminator; object transfiguration; unsupervised learning; generative adversarial networks; optimizers</t>
  </si>
  <si>
    <t>In the realm of computer vision, image transformations play a pivotal role across various domains such as healthcare, image enhancement, artist painting identification, genome sequencing, and more. While supervised learning demands a substantial volume of annotated images for training models, Cycle-GAN emerges as a potent solution for training models with fewer paired sources and target images in an unsupervised manner. This study introduces a novel system aimed at generating Monet-style paintings from realistic images, leveraging the Cycle-GAN methodology. Given the scarcity of Monet paintings, our system employs a combination of generator and discriminator neural networks to produce new Monet-style artworks. The model is trained using Cycle-GAN in conjunction with deep learning optimizers like RMSprop, ADAM, and SGD. The training dataset, Monet2Photo, comprises two distinct image categories: Monet paintings (300 samples) and natural photographs (7028 samples). The Monet-style images are utilized for training the model, while the raw photo images serve as the test set. Notably, the proposed model exhibits commendable performance, particularly when utilizing the SGD optimizer, as evidenced by favorable outcomes in terms of generator and discriminator losses.</t>
  </si>
  <si>
    <t>[Lakshmi, L.; Madhuri, D. Krishna] ICFAI Fdn Higher Educ, Fac Sci &amp; Technol IcfaiTech, Dept DS &amp; AI, Hyderabad 501203, India; [Kalyani, A. Naga; Pandey, Geetika Silakari] BVRIT HYDERABAD Coll Engn Women, Dept CSE AI &amp; ML, Hyderabad 500090, India; [Potluri, Sirisha] ICFAI Fdn Higher Educ, Fac Sci &amp; Technol IcfaiTech, Dept CSE, Hyderabad 501203, India; [Ali, Shahid] Peking Univ, Dept Elect Engn, Beijing 100871, Peoples R China; [Khan, Muhammad Ijaz] Riphah Int Univ, Dept Math &amp; Stat, Islamabad 44000, Pakistan; [Awwad, Fuad A.; Ismail, Emad A. A.] King Saud Univ, Coll Business Adm, Dept Quantitat Anal, Riyadh 11587, Saudi Arabia</t>
  </si>
  <si>
    <t>The ICFAI Foundation for Higher Education (IFHE); The ICFAI Foundation for Higher Education (IFHE); Peking University; King Saud University</t>
  </si>
  <si>
    <t>Ali, S (corresponding author), Peking Univ, Dept Elect Engn, Beijing 100871, Peoples R China.</t>
  </si>
  <si>
    <t>alikhan@pku.edu.cn</t>
  </si>
  <si>
    <t>Potluri, Sirisha/ADZ-9019-2022; Ali, Shahid/JJE-0139-2023; Ismail, Emad/IAR-0649-2023; Awwad, Fuad/HGA-8105-2022; Nagakalyani, A/AAZ-1536-2021</t>
  </si>
  <si>
    <t>Potluri, Sirisha/0000-0001-9106-9780; Ali, Shahid/0009-0007-0731-0799; Nagakalyani, A/0000-0002-1746-697X</t>
  </si>
  <si>
    <t>King Saud University, Riyadh, Saudi Arabia [RSPD2023R1060]</t>
  </si>
  <si>
    <t>This work was supported by King Saud University, Riyadh, Saudi Arabia, under Grant RSPD2023R1060</t>
  </si>
  <si>
    <t>10.1109/ACCESS.2023.3337430</t>
  </si>
  <si>
    <t>AQ1G2</t>
  </si>
  <si>
    <t>WOS:001119829600001</t>
  </si>
  <si>
    <t>Xie, H; Zhang, LF; Wang, L</t>
  </si>
  <si>
    <t>Xie, Hao; Zhang, Linfeng; Wang, Lei</t>
  </si>
  <si>
    <t>m* of two-dimensional electron gas: A neural canonical transformation study</t>
  </si>
  <si>
    <t>SCIPOST PHYSICS</t>
  </si>
  <si>
    <t>MONTE-CARLO; GROUND-STATE; POINTS; MASS</t>
  </si>
  <si>
    <t>The quasiparticle effective mass m* of interacting electrons is a fundamental quantity in the Fermi liquid theory. However, the precise value of the effective mass of uniform electron gas is still elusive after decades of research. The newly developed neural canonical transformation approach [Xie et al., J. Mach. Learn. 1, (2022)] offers a principled way to extract the effective mass of electron gas by directly calculating the thermal entropy at low temperature. The approach models a variational many-electron density matrix using two generative neural networks: an autoregressive model for momentum occupation and a normalizing flow for electron coordinates. Our calculation reveals a suppression of effective mass in the two-dimensional spin-polarized electron gas, which is more pronounced than previous reports in the low-density strong-coupling region. This prediction calls for verification in two-dimensional electron gas experiments.</t>
  </si>
  <si>
    <t>[Xie, Hao; Wang, Lei] Chinese Acad Sci, Inst Phys, Beijing 100190, Peoples R China; [Xie, Hao] Univ Chinese Acad Sci, Beijing 100049, Peoples R China; [Zhang, Linfeng] DP Technol, Beijing 100080, Peoples R China; [Zhang, Linfeng] AI Sci Inst, Beijing 100080, Peoples R China; [Wang, Lei] Songshan Lake Mat Lab, Dongguan 523808, Guangdong, Peoples R China</t>
  </si>
  <si>
    <t>Chinese Academy of Sciences; Institute of Physics, CAS; Chinese Academy of Sciences; University of Chinese Academy of Sciences, CAS; Songshan Lake Materials Laboratory</t>
  </si>
  <si>
    <t>Zhang, LF (corresponding author), DP Technol, Beijing 100080, Peoples R China.;Zhang, LF (corresponding author), AI Sci Inst, Beijing 100080, Peoples R China.</t>
  </si>
  <si>
    <t>linfeng.zhang.zlf@gmail.com; wanglei@iphy.ac.cn</t>
  </si>
  <si>
    <t>Xie, Hao/0000-0001-8415-0388</t>
  </si>
  <si>
    <t>Strategic Priority Research Program of the Chinese Academy of Sciences [XDB30000000]; National Natural Science Founda- tion of China [92270107, 12188101, T2225018, T2121001]</t>
  </si>
  <si>
    <t>Strategic Priority Research Program of the Chinese Academy of Sciences(Chinese Academy of Sciences); National Natural Science Founda- tion of China(National Natural Science Foundation of China (NSFC))</t>
  </si>
  <si>
    <t>We thank Yuan Wan, Pan Zhang, Kun Chen, Xinguo Ren, and Giuseppe Carleo for useful dis- cussions. This project is supported by the Strategic Priority Research Program of the Chinese Academy of Sciences under Grant No. XDB30000000 and National Natural Science Founda- tion of China under Grant Nos. 92270107, 12188101, T2225018, and T2121001.</t>
  </si>
  <si>
    <t>SCIPOST FOUNDATION</t>
  </si>
  <si>
    <t>C/O J S CAUX, INST PHYSICS, UNIV AMSTERDAM, AMSTERDAM, 1098 XH, NETHERLANDS</t>
  </si>
  <si>
    <t>2542-4653</t>
  </si>
  <si>
    <t>SCIPOST PHYS</t>
  </si>
  <si>
    <t>SciPost Phys.</t>
  </si>
  <si>
    <t>10.21468/SciPostPhys.14.6.154</t>
  </si>
  <si>
    <t>J7FL5</t>
  </si>
  <si>
    <t>WOS:001011238300001</t>
  </si>
  <si>
    <t>Hoshi, T; Shibayama, S; Jiang, XA</t>
  </si>
  <si>
    <t>Hoshi, Takuro; Shibayama, Seiya; Jiang, Xiaonan</t>
  </si>
  <si>
    <t>Employing a hybrid model based on texture-biased convolutional neural networks and edge-biased vision transformers for anomaly detection of signal bonds</t>
  </si>
  <si>
    <t>JOURNAL OF ELECTRONIC IMAGING</t>
  </si>
  <si>
    <t>computer vision; convolutional neural networks; fine tuning; signal bond defects; vision transformers</t>
  </si>
  <si>
    <t>PREDICTION</t>
  </si>
  <si>
    <t>The railway system of Japan plays a vital role in the national transportation network. A key issue in public transport safety is anomaly detection in railways. Lately, developing robust algorithms and methods for anomaly detection has become the premier task in this field. Recently introduced approaches based on convolutional neural networks, generative adversarial networks, and vision transformers (ViTs) have remarkably improved the research in anomaly detection. Our work proposes a high-performance module for the anomaly detection of signal bonds. First, we present an overview of the proposed module; then, the object detection model and the proposed hybrid classification model based on texture-biased convolutional neural networks and edge-biased ViTs are introduced. Finally, the proposed anomaly detection module is evaluated for accuracy using the dataset from the East Japan Railway Company and the receiver operating characteristic curve. The results show that our proposed module achieves a better performance on real-life data than the two methods that were combined to generate it, raising hope toward possible usage in other areas as well.</t>
  </si>
  <si>
    <t>[Hoshi, Takuro; Shibayama, Seiya] JR East Informat Syst Co, Tech Res Ctr, AI Technol Grp, Tokyo, Japan; [Jiang, Xiaonan] East Japan Railway Co, Technol Innovat Headquarters, Tokyo, Japan</t>
  </si>
  <si>
    <t>Hoshi, T (corresponding author), JR East Informat Syst Co, Tech Res Ctr, AI Technol Grp, Tokyo, Japan.</t>
  </si>
  <si>
    <t>houshi@inet.jeis.co.jp; sshibayama@inet.jeis.co.jp; jan@jreast.co.jp</t>
  </si>
  <si>
    <t>1017-9909</t>
  </si>
  <si>
    <t>1560-229X</t>
  </si>
  <si>
    <t>J ELECTRON IMAGING</t>
  </si>
  <si>
    <t>J. Electron. Imaging</t>
  </si>
  <si>
    <t>10.1117/1.JEI.32.2.023039</t>
  </si>
  <si>
    <t>Engineering, Electrical &amp; Electronic; Optics; Imaging Science &amp; Photographic Technology</t>
  </si>
  <si>
    <t>Engineering; Optics; Imaging Science &amp; Photographic Technology</t>
  </si>
  <si>
    <t>F3VC4</t>
  </si>
  <si>
    <t>WOS:000981645700057</t>
  </si>
  <si>
    <t>Hartung, F; Franks, BJ; Michels, T; Wagner, D; Liznerski, P; Reithermann, S; Fellenz, S; Jirasek, F; Rudolph, M; Neider, D; Leitte, H; Song, C; Kloepper, B; Mandt, S; Bortz, M; Burger, J; Hasse, H; Kloft, M</t>
  </si>
  <si>
    <t>Hartung, Fabian; Franks, Billy Joe; Michels, Tobias; Wagner, Dennis; Liznerski, Philipp; Reithermann, Steffen; Fellenz, Sophie; Jirasek, Fabian; Rudolph, Maja; Neider, Daniel; Leitte, Heike; Song, Chen; Kloepper, Benjamin; Mandt, Stephan; Bortz, Michael; Burger, Jakob; Hasse, Hans; Kloft, Marius</t>
  </si>
  <si>
    <t>Deep Anomaly Detection on Tennessee Eastman Process Data</t>
  </si>
  <si>
    <t>CHEMIE INGENIEUR TECHNIK</t>
  </si>
  <si>
    <t>Anomaly detection; Benchmark; Chemical process data; Tennessee Eastman process; Time series</t>
  </si>
  <si>
    <t>This paper provides the first comprehensive evaluation and analysis of modern (deep-learning-based) unsupervised anomaly detection methods for chemical process data. We focus on the Tennessee Eastman process dataset, a standard litmus test to benchmark anomaly detection methods for nearly three decades. Our extensive study will facilitate choosing appropriate anomaly detection methods in industrial applications. From the benchmark, we conclude that reconstruction-based methods are the methods of choice, followed by generative and forecasting-based methods.</t>
  </si>
  <si>
    <t>[Hartung, Fabian; Franks, Billy Joe; Michels, Tobias; Wagner, Dennis; Liznerski, Philipp; Reithermann, Steffen; Fellenz, Sophie; Jirasek, Fabian; Leitte, Heike; Hasse, Hans; Kloft, Marius] Tech Univ Kaiserslautern, Gottlieb Daimler Str 47, D-67663 Kaiserslautern, Germany; [Hartung, Fabian] BASF SE, Gas Treatment Technol, Carl Bosch Str 38, D-67063 Ludwigshafen, Germany; [Rudolph, Maja] Bosch AI, 2555 Smallman St, Pittsburgh, PA 15222 USA; [Neider, Daniel] Tech Univ Dortmund, August Schmidt Str 1, D-44227 Dortmund, Germany; [Song, Chen; Kloepper, Benjamin] ABB Corp Res Ctr Ladenburg, Wallstadter Str 59, D-68526 Ladenburg, Germany; [Mandt, Stephan] Univ Calif Irvine, 4228 Donald Bren Hall, Irvine, CA 92697 USA; [Bortz, Michael] Fraunhofer ITWM, Fraunhofer Pl 1, D-67663 Kaiserslautern, Germany; [Burger, Jakob] Tech Univ Munich, Campus Straubing,Uferstr 53, D-94315 Straubing, Germany</t>
  </si>
  <si>
    <t>University of Kaiserslautern; BASF; Dortmund University of Technology; University of California System; University of California Irvine; Technical University of Munich</t>
  </si>
  <si>
    <t>Kloft, M (corresponding author), Tech Univ Kaiserslautern, Gottlieb Daimler Str 47, D-67663 Kaiserslautern, Germany.</t>
  </si>
  <si>
    <t>kloft@cs.uni-kl.de</t>
  </si>
  <si>
    <t>Fellenz, Sophie/JXX-8769-2024; Zhang, Lijuan/KAM-0174-2024</t>
  </si>
  <si>
    <t>Fellenz, Sophie/0000-0002-5385-3926; Rudolph, Maja/0009-0007-3739-2203; Neider, Daniel/0000-0001-9276-6342</t>
  </si>
  <si>
    <t>BMWK project KEEN [01MK20014L]; Projekt DEAL; [01MK20014U]</t>
  </si>
  <si>
    <t>BMWK project KEEN; Projekt DEAL;</t>
  </si>
  <si>
    <t>Part of this work was conducted within the DFG research unit FOR 5359 on Deep Learning on Sparse Chemical Process Data and the BMWK project KEEN (01MK20014U, 01MK20014L). Open access funding enabled and organized by Projekt DEAL.</t>
  </si>
  <si>
    <t>0009-286X</t>
  </si>
  <si>
    <t>1522-2640</t>
  </si>
  <si>
    <t>CHEM-ING-TECH</t>
  </si>
  <si>
    <t>Chem. Ing. Tech.</t>
  </si>
  <si>
    <t>10.1002/cite.202200238</t>
  </si>
  <si>
    <t>K5DF7</t>
  </si>
  <si>
    <t>WOS:000970744500001</t>
  </si>
  <si>
    <t>Muthumanickam, NK; Duarte, JP; Simpson, TW</t>
  </si>
  <si>
    <t>Muthumanickam, Naveen Kumar; Duarte, Jose Pinto; Simpson, Timothy W.</t>
  </si>
  <si>
    <t>Multidisciplinary concurrent optimization framework for multi-phase building design process</t>
  </si>
  <si>
    <t>Building design optimization; building information modeling (BIM); concurrent engineering; daylighting; energy use; generative design; metamodels; multi-fidelity</t>
  </si>
  <si>
    <t>RELATIONAL DATABASE; PERFORMANCE; EFFICIENT</t>
  </si>
  <si>
    <t>Modern day building design projects require multidisciplinary expertise from architects and engineers across various phases of the design (conceptual, preliminary, and detailed) and construction processes. The Architecture Engineering and Construction (AEC) community has recently shifted gears toward leveraging design optimization techniques to make well-informed decisions in the design of buildings. However, most of the building design optimization efforts are either multidisciplinary optimization confined to just a specific design phase (conceptual/preliminary/detailed) or single disciplinary optimization (structural/thermal/daylighting/energy) spanning across multiple phases. Complexity in changing the optimization setup as the design progresses through subsequent phases, interoperability issues between modeling and physics-based analysis tools used at later stages, and the lack of an appropriate level of design detail to get meaningful results from these sophisticated analysis tools are few challenges that limit multi-phase multidisciplinary design optimization (MDO) in the AEC field. This paper proposes a computational building design platform leveraging concurrent engineering techniques such as interactive problem structuring, simulation-based optimization using meta models for energy and daylighting (machine learning based) and tradespace visualization. The proposed multi-phase concurrent MDO framework is demonstrated by using it to design and optimize a sample office building for energy and daylighting objectives across multiple phases. Furthermore, limitations of the proposed framework and future avenues of research are listed.</t>
  </si>
  <si>
    <t>[Muthumanickam, Naveen Kumar] Natl Renewable Energy Lab, 15013 Denver W Pkwy, Golden, CO 80401 USA; [Duarte, Jose Pinto] Penn State Univ, Stuckeman Sch Architecture &amp; Landscape Architectur, 150 Stuckeman Family Bldg, University Pk, PA 16803 USA; [Simpson, Timothy W.] Penn State Univ, Paul Morrow Professor Engn Design &amp; Mfg, 205 Leonhard Bldg, University Pk, PA 16803 USA</t>
  </si>
  <si>
    <t>United States Department of Energy (DOE); National Renewable Energy Laboratory - USA; Pennsylvania Commonwealth System of Higher Education (PCSHE); Pennsylvania State University; Pennsylvania State University - University Park; Pennsylvania Commonwealth System of Higher Education (PCSHE); Pennsylvania State University; Pennsylvania State University - University Park</t>
  </si>
  <si>
    <t>Duarte, JP (corresponding author), Penn State Univ, Stuckeman Sch Architecture &amp; Landscape Architectur, 150 Stuckeman Family Bldg, University Pk, PA 16803 USA.</t>
  </si>
  <si>
    <t>jxp400@psu.edu</t>
  </si>
  <si>
    <t>Duarte, Jose/KBR-2193-2024; Muthumanickam, Naveen Kumar/JOK-2942-2023</t>
  </si>
  <si>
    <t>Duarte, Jose/0000-0002-3826-3987; Muthumanickam, Naveen Kumar/0000-0003-0501-9504; Simpson, Timothy/0000-0002-6287-0461</t>
  </si>
  <si>
    <t>NSF grant [CMMI-1455424, CMMI-1455444]; RSB/Collaborative Research: A Sequential Decision Framework to Support Tradespace Exploration of Multi-Hazard Resilient and Sustainable Building Designs; National Aeronautics and Space Administration (NASA); Stuckeman Center for Design Computing (SCDC), Pennsylvania State University</t>
  </si>
  <si>
    <t>NSF grant(National Science Foundation (NSF)); RSB/Collaborative Research: A Sequential Decision Framework to Support Tradespace Exploration of Multi-Hazard Resilient and Sustainable Building Designs; National Aeronautics and Space Administration (NASA)(National Aeronautics &amp; Space Administration (NASA)); Stuckeman Center for Design Computing (SCDC), Pennsylvania State University</t>
  </si>
  <si>
    <t>This research was supported by NSF grant CMMI-1455424 and CMMI-1455444, RSB/Collaborative Research: A Sequential Decision Framework to Support Tradespace Exploration of Multi-Hazard Resilient and Sustainable Building Designs; the National Aeronautics and Space Administration (NASA); and the Stuckeman Center for Design Computing (SCDC), Pennsylvania State University. Any opinions, findings, and conclusions or recommendations expressed in this material are those of the author(s) and do not necessarily reflect the views of the National Science Foundation.</t>
  </si>
  <si>
    <t>32 AVENUE OF THE AMERICAS, NEW YORK, NY 10013-2473 USA</t>
  </si>
  <si>
    <t>JAN 13</t>
  </si>
  <si>
    <t>e3</t>
  </si>
  <si>
    <t>10.1017/S0890060422000191</t>
  </si>
  <si>
    <t>7V4BY</t>
  </si>
  <si>
    <t>WOS:000912762200001</t>
  </si>
  <si>
    <t>Careil, M; Verbeek, J; Lathuilière, S</t>
  </si>
  <si>
    <t>Careil, Marlene; Verbeek, Jakob; Lathuiliere, Stephane</t>
  </si>
  <si>
    <t>Few-shot Semantic Image Synthesis with Class Affinity Transfer</t>
  </si>
  <si>
    <t>Semantic image synthesis aims to generate photo realistic images given a semantic segmentation map. Despite much recent progress, training them still requires large datasets of images annotated with per-pixel label maps that are extremely tedious to obtain. To alleviate the high annotation cost, we propose a transfer method that leverages a model trained on a large source dataset to improve the learning ability on small target datasets via estimated pairwise relations between source and target classes. The class affinity matrix is introduced as a first layer to the source model to make it compatible with the target label maps, and the source model is then further finetuned for the target domain. To estimate the class affinities we consider different approaches to leverage prior knowledge: semantic segmentation on the source domain, textual label embeddings, and self-supervised vision features. We apply our approach to GAN-based and diffusion-based architectures for semantic synthesis. Our experiments show that the different ways to estimate class affinity can be effectively combined, and that our approach significantly improves over existing state-of-the-art transfer approaches for generative image models.</t>
  </si>
  <si>
    <t>[Careil, Marlene; Lathuiliere, Stephane] LTCI, Telecom Paris, IP Paris, Paris, France; [Careil, Marlene; Verbeek, Jakob] Meta AI, Menlo Pk, CA 94025 USA</t>
  </si>
  <si>
    <t>IMT - Institut Mines-Telecom; Institut Polytechnique de Paris</t>
  </si>
  <si>
    <t>Careil, M (corresponding author), LTCI, Telecom Paris, IP Paris, Paris, France.;Careil, M (corresponding author), Meta AI, Menlo Pk, CA 94025 USA.</t>
  </si>
  <si>
    <t>10.1109/CVPR52729.2023.02261</t>
  </si>
  <si>
    <t>WOS:001062531307090</t>
  </si>
  <si>
    <t>Zhang, OD; Zhang, JT; Jin, JY; Zhang, XJ; Hu, RL; Shen, C; Cao, HQ; Du, HY; Kang, Y; Deng, YF; Liu, FR; Chen, GY; Hsieh, CY; Hou, TJ</t>
  </si>
  <si>
    <t>Zhang, Odin; Zhang, Jintu; Jin, Jieyu; Zhang, Xujun; Hu, Renling; Shen, Chao; Cao, Hanqun; Du, Hongyan; Kang, Yu; Deng, Yafeng; Liu, Furui; Chen, Guangyong; Hsieh, Chang-Yu; Hou, Tingjun</t>
  </si>
  <si>
    <t>ResGen is a pocket-aware 3D molecular generation model based on parallel multiscale modelling</t>
  </si>
  <si>
    <t>DYNAMICS; INFORMATION; PREDICTION; NETWORKS; DATABASE; ATOM</t>
  </si>
  <si>
    <t>Most molecular generative models based on artificial intelligence for de novo drug design are ligand-centric and do not consider the detailed three-dimensional geometries of protein binding pockets. Pocket-aware three-dimensional molecular generation is challenging due to the need to impose physical equivariance and to evaluate protein-ligand interactions when incrementally growing partially built molecules. Inspired by multiscale modelling in condensed matter and statistical physics, we present a three-dimensional molecular generative model conditioned on protein pockets, termed ResGen, for designing organic molecules inside of a given target. ResGen is built on the principle of parallel multiscale modelling, which can capture higher-level interaction and achieve higher computational efficiency (about eight-times faster than the previous best art). The generation process is formulated as a hierarchical autoregression, that is, a global autoregression for learning protein-ligand interactions and atomic component autoregression for learning each atom's topology and geometry distributions. We demonstrate that ResGen has a higher success rate than existing state-of-the-art approaches in generating novel molecules that can bind to unseen targets more tightly than the original ligands. Moreover, retrospective computational experiments on de novo drug design in real-world scenarios show that ResGen successfully generates drug-like molecules with lower binding energy and higher diversity than state-of-the-art approaches. Generating novel molecules that bind to specific protein targets is a challenging but important task in computational drug design. Zhang and colleagues present a molecular generation method based on hierarchical auto-regression.</t>
  </si>
  <si>
    <t>[Zhang, Odin; Zhang, Jintu; Jin, Jieyu; Zhang, Xujun; Hu, Renling; Shen, Chao; Du, Hongyan; Kang, Yu; Hsieh, Chang-Yu; Hou, Tingjun] Zhejiang Univ, Innovat Inst Artificial Intelligence Med, Coll Pharmaceut Sci, Hangzhou, Zhejiang, Peoples R China; [Zhang, Odin; Deng, Yafeng] Hangzhou Carbonsilicon AI Technol Co Ltd, Hangzhou, Peoples R China; [Cao, Hanqun] Chinese Univ Hong Kong, Dept Math, Hong Kong, Peoples R China; [Liu, Furui; Chen, Guangyong] Zhejiang Univ, Zhejiang Lab, Hangzhou, Peoples R China</t>
  </si>
  <si>
    <t>Zhejiang University; Chinese University of Hong Kong; Zhejiang University; Zhejiang Laboratory</t>
  </si>
  <si>
    <t>Hsieh, CY; Hou, TJ (corresponding author), Zhejiang Univ, Innovat Inst Artificial Intelligence Med, Coll Pharmaceut Sci, Hangzhou, Zhejiang, Peoples R China.;Liu, FR; Chen, GY (corresponding author), Zhejiang Univ, Zhejiang Lab, Hangzhou, Peoples R China.</t>
  </si>
  <si>
    <t>liufurui@zhejianglab.com; gychen@zju.edu.cn; kimhsieh@zju.edu.cn; tingjunhou@zju.edu.cn</t>
  </si>
  <si>
    <t>ZHENG, YI/KAM-6536-2024; Liu, Liu/JXM-8208-2024; Chen, Bowen/KFB-3986-2024; Hongyan, Du/IZD-6618-2023; li, yan/KFQ-3850-2024; Hou, Tingjun/C-7492-2011; Wang, Yifan/KDO-8319-2024; Li, Yan/KFQ-9244-2024; yang, rui/JHI-3328-2023; Li, Yang/KFB-5350-2024; Sun, Jia/JXM-0311-2024; yang, yy/KBR-1536-2024; Kang, Yu/L-2912-2013; Shen, Chao/AAV-2938-2020; chen, bin/KBQ-8114-2024; Zhang, Wenkai/JWO-2030-2024; Chen, Zheng/KCY-2338-2024; li, xinyi/KEI-6391-2024; wang, wenjing/KEH-0575-2024</t>
  </si>
  <si>
    <t>Kang, Yu/0000-0002-0999-8802; Shen, Chao/0000-0003-2783-5529; chen, bin/0000-0002-3398-1314; Hu, Renling/0009-0004-8773-0635</t>
  </si>
  <si>
    <t>National Key Research and Development Program of China [2022YFF1203000]; National Natural Science Foundation of China [22220102001]; Fundamental Research Funds for the Central Universities [226-2022-00220]; Hong Kong Innovation and Technology Fund [ITS/241/21]</t>
  </si>
  <si>
    <t>National Key Research and Development Program of China; National Natural Science Foundation of China(National Natural Science Foundation of China (NSFC)); Fundamental Research Funds for the Central Universities(Fundamental Research Funds for the Central Universities); Hong Kong Innovation and Technology Fund</t>
  </si>
  <si>
    <t>This study was supported by the National Key Research and Development Program of China (grant no. 2022YFF1203000), the National Natural Science Foundation of China (grant no. 22220102001), the Fundamental Research Funds for the Central Universities (grant no. 226-2022-00220) and the Hong Kong Innovation and Technology Fund (project no. ITS/241/21).</t>
  </si>
  <si>
    <t>10.1038/s42256-023-00712-7</t>
  </si>
  <si>
    <t>U5JU2</t>
  </si>
  <si>
    <t>WOS:001060239200002</t>
  </si>
  <si>
    <t>Liu, H; Liu, YH; Li, KV; Zhao, ZJ; Schoenholz, SS; Cubuk, ED; Gupta, P; Bauchy, M</t>
  </si>
  <si>
    <t>Liu, Han; Liu, Yuhan; Li, Kevin; Zhao, Zhangji; Schoenholz, Samuel S. S.; Cubuk, Ekin D. D.; Gupta, Puneet; Bauchy, Mathieu</t>
  </si>
  <si>
    <t>End-to-end differentiability and tensor processing unit computing to accelerate materials' inverse design</t>
  </si>
  <si>
    <t>POROUS MATERIALS; DRUG-DELIVERY</t>
  </si>
  <si>
    <t>Numerical simulations have revolutionized material design. However, although simulations excel at mapping an input material to its output property, their direct application to inverse design has traditionally been limited by their high computing cost and lack of differentiability. Here, taking the example of the inverse design of a porous matrix featuring targeted sorption isotherm, we introduce a computational inverse design framework that addresses these challenges, by programming differentiable simulation on TensorFlow platform that leverages automated end-to-end differentiation. Thanks to its differentiability, the simulation is used to directly train a deep generative model, which outputs an optimal porous matrix based on an arbitrary input sorption isotherm curve. Importantly, this inverse design pipeline leverages the power of tensor processing units (TPU)-an emerging family of dedicated chips, which, although they are specialized in deep learning, are flexible enough for intensive scientific simulations. This approach holds promise to accelerate inverse materials design.</t>
  </si>
  <si>
    <t>[Liu, Han] Sichuan Univ, Coll Polymer Sci &amp; Engn, SOlids inFormaT AI Lab SOFT AI Lab, Chengdu 610065, Peoples R China; [Liu, Han] AIMSOLID Res, Wuhan 430223, Peoples R China; [Liu, Yuhan; Li, Kevin; Zhao, Zhangji; Bauchy, Mathieu] Univ Calif Los Angeles, Dept Civil &amp; Environm Engn, Phys AmoRphous &amp; Inorgan Solids Lab PARISlab, Los Angeles, CA 90095 USA; [Liu, Yuhan; Li, Kevin] Univ Calif Los Angeles, Dept Comp Sci, Los Angeles, CA 90095 USA; [Schoenholz, Samuel S. S.; Cubuk, Ekin D. D.] Google Res, Brain Team, Mountain View, CA USA; [Gupta, Puneet] Univ Calif Los Angeles, Dept Elect &amp; Comp Engn, Los Angeles, CA 90095 USA</t>
  </si>
  <si>
    <t>Sichuan University; University of California System; University of California Los Angeles; University of California System; University of California Los Angeles; Google Incorporated; University of California System; University of California Los Angeles</t>
  </si>
  <si>
    <t>Liu, H (corresponding author), Sichuan Univ, Coll Polymer Sci &amp; Engn, SOlids inFormaT AI Lab SOFT AI Lab, Chengdu 610065, Peoples R China.;Liu, H (corresponding author), AIMSOLID Res, Wuhan 430223, Peoples R China.;Bauchy, M (corresponding author), Univ Calif Los Angeles, Dept Civil &amp; Environm Engn, Phys AmoRphous &amp; Inorgan Solids Lab PARISlab, Los Angeles, CA 90095 USA.</t>
  </si>
  <si>
    <t>happylife@ucla.edu; bauchy@ucla.edu</t>
  </si>
  <si>
    <t>Bauchy, Mathieu/G-3675-2010; LIU, HAN/AAP-6704-2020</t>
  </si>
  <si>
    <t>LIU, HAN/0000-0002-4899-9998</t>
  </si>
  <si>
    <t>Fundamental Research Funds for the Central Universities [YJ202271]; National Science Foundation [DMREF-1922167]</t>
  </si>
  <si>
    <t>Fundamental Research Funds for the Central Universities(Fundamental Research Funds for the Central Universities); National Science Foundation(National Science Foundation (NSF))</t>
  </si>
  <si>
    <t>AcknowledgementsH.L. acknowledges funding from the Fundamental Research Funds for the Central Universities under the Grant No. YJ202271. M.B. acknowledges the National Science Foundation under the Grant No. DMREF-1922167. TPU computing time was provided by a grant allocation from Google's TensorFlow Research Cloud (TFRC) program.</t>
  </si>
  <si>
    <t>10.1038/s41524-023-01080-x</t>
  </si>
  <si>
    <t>L6KZ2</t>
  </si>
  <si>
    <t>WOS:001024344700001</t>
  </si>
  <si>
    <t>Borji, A</t>
  </si>
  <si>
    <t>Borji, Ali</t>
  </si>
  <si>
    <t>Qualitative failures of image generation models and their application in detecting deepfakes</t>
  </si>
  <si>
    <t>Generative models; Image and video generation; Qualitative failures; Deepfakes; Image forensics; Object and scene recognition; Neural networks; Deep learning</t>
  </si>
  <si>
    <t>FORENSICS</t>
  </si>
  <si>
    <t>The remarkable advancement of image and video generation models has led to the creation of exceptionally realistic content, posing challenges in differentiating between genuine and fabricated instances in numerous scenarios. However, despite this progress, a gap remains between the quality of generated images and those found in the real world. To address this, we have reviewed a vast body of literature from both academic publications and social media to identify qualitative shortcomings in image generation models, which we have classified into five categories. By understanding these failures, we can identify areas where these models need improvement, as well as develop strategies for detecting generated images and deepfakes. The prevalence of deepfakes in today's society is a serious concern, and our findings can help mitigate their negative impact. In order to support research in this field, a collection of instances where models have failed is made available at here.</t>
  </si>
  <si>
    <t>[Borji, Ali] Quintic AI, Los Angeles, CA 90089 USA</t>
  </si>
  <si>
    <t>Borji, A (corresponding author), Quintic AI, Los Angeles, CA 90089 USA.</t>
  </si>
  <si>
    <t>aliborji@gmail.com</t>
  </si>
  <si>
    <t>10.1016/j.imavis.2023.104771</t>
  </si>
  <si>
    <t>P6CE7</t>
  </si>
  <si>
    <t>WOS:001051527200001</t>
  </si>
  <si>
    <t>Nikolentzos, G; Vazirgiannis, M; Xypolopoulos, C; Lingman, M; Brandt, EG</t>
  </si>
  <si>
    <t>Nikolentzos, Giannis; Vazirgiannis, Michalis; Xypolopoulos, Christos; Lingman, Markus; Brandt, Erik G. G.</t>
  </si>
  <si>
    <t>Synthetic electronic health records generated with variational graph autoencoders</t>
  </si>
  <si>
    <t>Data-driven medical care delivery must always respect patient privacy-a requirement that is not easily met. This issue has impeded improvements to healthcare software and has delayed the long-predicted prevalence of artificial intelligence in healthcare. Until now, it has been very difficult to share data between healthcare organizations, resulting in poor statistical models due to unrepresentative patient cohorts. Synthetic data, i.e., artificial but realistic electronic health records, could overcome the drought that is troubling the healthcare sector. Deep neural network architectures, in particular, have shown an incredible ability to learn from complex data sets and generate large amounts of unseen data points with the same statistical properties as the training data. Here, we present a generative neural network model that can create synthetic health records with realistic timelines. These clinical trajectories are generated on a per-patient basis and are represented as linear-sequence graphs of clinical events over time. We use a variational graph autoencoder (VGAE) to generate synthetic samples from real-world electronic health records. Our approach generates health records not seen in the training data. We show that these artificial patient trajectories are realistic and preserve patient privacy and can therefore support the safe sharing of data across organizations.</t>
  </si>
  <si>
    <t>[Nikolentzos, Giannis; Vazirgiannis, Michalis; Xypolopoulos, Christos] Ecole Polytech, Inst Polytech Paris, LIX, Palaiseau, France; [Vazirgiannis, Michalis] KTH Royal Inst Technol, Dept Comp Sci, Stockholm, Sweden; [Lingman, Markus] Univ Gothenburg, Sahlgrenska Acad, Inst Med, Dept Mol &amp; Clin Med Cardiol, Gothenburg, Sweden; [Lingman, Markus] Halmstad Univ, Ctr Appl Intelligent Syst Res, Halmstad, Sweden; [Brandt, Erik G. G.] SHAARPEC, Stockholm, Sweden</t>
  </si>
  <si>
    <t>Institut Polytechnique de Paris; Royal Institute of Technology; University of Gothenburg; Halmstad University</t>
  </si>
  <si>
    <t>Nikolentzos, G (corresponding author), Ecole Polytech, Inst Polytech Paris, LIX, Palaiseau, France.</t>
  </si>
  <si>
    <t>nikolentzos@lix.polytechnique.fr</t>
  </si>
  <si>
    <t>Lingman, Markus/0000-0002-4068-0341; Xypolopoulos, Christos/0009-0006-2034-6756; Nikolentzos, Giannis/0000-0002-0336-5879</t>
  </si>
  <si>
    <t>Wallenberg AI, Autonomous Systems and Software Program (WASP); AIR Lund (Artificially Intelligent use of Registers at Lund University) research environment; Swedish Research Council (VR) [2019-00198]; French National research agency via the AML-HELAS [ANR-19-CHIA-0020]; Swedish Research Council [2019-00198] Funding Source: Swedish Research Council</t>
  </si>
  <si>
    <t>Wallenberg AI, Autonomous Systems and Software Program (WASP); AIR Lund (Artificially Intelligent use of Registers at Lund University) research environment; Swedish Research Council (VR)(Swedish Research Council); French National research agency via the AML-HELAS(Agence Nationale de la Recherche (ANR)); Swedish Research Council(Swedish Research Council)</t>
  </si>
  <si>
    <t>M.V. is partially supported by the Wallenberg AI, Autonomous Systems and Software Program (WASP). M.L. is partially supported by AIR Lund (Artificially Intelligent use of Registers at Lund University) research environment and received funding from the Swedish Research Council (VR; grant No. 2019-00198). G.N. is supported by the French National research agency via the AML-HELAS (ANR-19-CHIA-0020) project.</t>
  </si>
  <si>
    <t>10.1038/s41746-023-00822-x</t>
  </si>
  <si>
    <t>E9IP9</t>
  </si>
  <si>
    <t>WOS:000978596300002</t>
  </si>
  <si>
    <t>Li, YX; Ma, C; Yan, YC; Zhu, WH; Yang, XK</t>
  </si>
  <si>
    <t>Li, Yixuan; Ma, Chao; Yan, Yichao; Zhu, Wenhan; Yang, Xiaokang</t>
  </si>
  <si>
    <t>3D-Aware Face Swapping</t>
  </si>
  <si>
    <t>Face swapping is an important research topic in computer vision with wide applications in entertainment and privacy protection. Existing methods directly learn to swap 2D facial images, taking no account of the geometric information of human faces. In the presence of large pose variance between the source and the target faces, there always exist undesirable artifacts on the swapped face. In this paper, we present a novel 3D-aware face swapping method that generates high-fidelity and multi-view-consistent swapped faces from single-view source and target images. To achieve this, we take advantage of the strong geometry and texture prior of 3D human faces, where the 2D faces are projected into the latent space of a 3D generative model. By disentangling the identity and attribute features in the latent space, we succeed in swapping faces in a 3D-aware manner, being robust to pose variations while transferring fine-grained facial details. Extensive experiments demonstrate the superiority of our 3D-aware face swapping framework in terms of visual quality, identity similarity, and multi-view consistency. Code is available at https://lyx0208.github.io/3dSwap.</t>
  </si>
  <si>
    <t>[Li, Yixuan; Ma, Chao; Yan, Yichao; Zhu, Wenhan; Yang, Xiaokang] Shanghai Jiao Tong Univ, AI Inst, MoE Key Lab Artificial Intelligence, Shanghai, Peoples R China</t>
  </si>
  <si>
    <t>Ma, C; Yan, YC (corresponding author), Shanghai Jiao Tong Univ, AI Inst, MoE Key Lab Artificial Intelligence, Shanghai, Peoples R China.</t>
  </si>
  <si>
    <t>lyx0208@sjtu.edu.cn; chaoma@sjtu.edu.cn; yanyichao@sjtu.edu.cn; zhuwenhan823@sjtu.edu.cn; xkyang@sjtu.edu.cn</t>
  </si>
  <si>
    <t>Yan, Yichao/ADT-5511-2022</t>
  </si>
  <si>
    <t>Yan, Yichao/0000-0003-3209-8965</t>
  </si>
  <si>
    <t>NSFC [62201342]; Shanghai Municipal Science and Technology Major Project [2021SHZDZX0102]; Fundamental Research Funds for the Central Universities</t>
  </si>
  <si>
    <t>NSFC(National Natural Science Foundation of China (NSFC)); Shanghai Municipal Science and Technology Major Project; Fundamental Research Funds for the Central Universities(Fundamental Research Funds for the Central Universities)</t>
  </si>
  <si>
    <t>This work was supported by NSFC (62201342), Shanghai Municipal Science and Technology Major Project (2021SHZDZX0102), and the Fundamental Research Funds for the Central Universities.</t>
  </si>
  <si>
    <t>10.1109/CVPR52729.2023.01222</t>
  </si>
  <si>
    <t>WOS:001062522105003</t>
  </si>
  <si>
    <t>Zemni, M; Chen, M; Zablocki, E; Ben-Younes, H; Pérez, P; Cord, M</t>
  </si>
  <si>
    <t>Zemni, Mehdi; Chen, Mickael; Zablocki, Eloi; Ben-Younes, Hedi; Perez, Patrick; Cord, Matthieu</t>
  </si>
  <si>
    <t>OCTET: Object-aware Counterfactual Explanations</t>
  </si>
  <si>
    <t>Nowadays, deep vision models are being widely deployed in safety-critical applications, e.g., autonomous driving, and explainability of such models is becoming a pressing concern. Among explanation methods, counterfactual explanations aim to find minimal and interpretable changes to the input image that would also change the output of the model to be explained. Such explanations point end-users at the main factors that impact the decision of the model. However, previous methods struggle to explain decision models trained on images with many objects, e.g., urban scenes, which are more difficult to work with but also arguably more critical to explain. In this work, we propose to tackle this issue with an object-centric framework for counterfactual explanation generation. Our method, inspired by recent generative modeling works, encodes the query image into a latent space that is structured in a way to ease object-level manipulations. Doing so, it provides the end-user with control over which search directions (e.g., spatial displacement of objects, style modification, etc.) are to be explored during the counterfactual generation. We conduct a set of experiments on counterfactual explanation benchmarks for driving scenes, and we show that our method can be adapted beyond classification, e.g., to explain semantic segmentation models. To complete our analysis, we design and run a user study that measures the usefulness of counterfactual explanations in understanding a decision model. Code is available at https://github.com/valeoai/OCTET.</t>
  </si>
  <si>
    <t>[Zemni, Mehdi; Chen, Mickael; Zablocki, Eloi; Ben-Younes, Hedi; Perez, Patrick; Cord, Matthieu] Valeo Ai, Paris, France; [Cord, Matthieu] Sorbonne Univ, Paris, France</t>
  </si>
  <si>
    <t>Sorbonne Universite</t>
  </si>
  <si>
    <t>Zemni, M (corresponding author), Valeo Ai, Paris, France.</t>
  </si>
  <si>
    <t>ANR grants VISA DEEP [ANR-20-CHIA-0022, ANR21-CE23-0032]</t>
  </si>
  <si>
    <t>ANR grants VISA DEEP</t>
  </si>
  <si>
    <t>This work was supported in part by the ANR grants VISA DEEP (ANR-20-CHIA-0022) and MultiTrans (ANR21-CE23-0032). Authors would like to thank the voluntary participants of the user-study, as well as Remi Cadene, Julien Colin, Thomas Fel, and Guillaume Jeanneret for helpful discussions.</t>
  </si>
  <si>
    <t>10.1109/CVPR52729.2023.01446</t>
  </si>
  <si>
    <t>WOS:001062522107037</t>
  </si>
  <si>
    <t>Go, H; Lee, Y; Kim, J; Lee, S; Jeong, M; Lee, HS; Choi, S</t>
  </si>
  <si>
    <t>Go, Hyojun; Lee, Yunsung; Kim, JinYoung; Lee, Seunghyun; Jeong, Myeongho; Lee, Hyun Seung; Choi, Seungtaek</t>
  </si>
  <si>
    <t>Towards Practical Plug-and-Play Diffusion Models</t>
  </si>
  <si>
    <t>Diffusion-based generative models have achieved remarkable success in image generation. Their guidance formulation allows an external model to plug-and-play control the generation process for various tasks without fine-tuning the diffusion model. However, the direct use of publicly available off-the-shelf models for guidance fails due to their poor performance on noisy inputs. For that, the existing practice is to fine-tune the guidance models with labeled data corrupted with noises. In this paper, we argue that this practice has limitations in two aspects: (1) performing on inputs with extremely various noises is too hard for a single guidance model; (2) collecting labeled datasets hinders scaling up for various tasks. To tackle the limitations, we propose a novel strategy that leverages multiple experts where each expert is specialized in a particular noise range and guides the reverse process of the diffusion at its corresponding timesteps. However, as it is infeasible to manage multiple networks and utilize labeled data, we present a practical guidance framework termed Practical Plug-And-Play (PPAP), which leverages parameter-efficient fine-tuning and data-free knowledge transfer. We exhaustively conduct ImageNet class conditional generation experiments to show that our method can successfully guide diffusion with small trainable parameters and no labeled data. Finally, we show that image classifiers, depth estimators, and semantic segmentation models can guide publicly available GLIDE through our framework in a plug-and-play manner. Our code is available at https://github.com/riiid/PPAP.</t>
  </si>
  <si>
    <t>[Go, Hyojun; Lee, Yunsung; Kim, JinYoung; Lee, Seunghyun; Jeong, Myeongho; Lee, Hyun Seung; Choi, Seungtaek] Riiid AI Res, Seoul, South Korea</t>
  </si>
  <si>
    <t>Choi, S (corresponding author), Riiid AI Res, Seoul, South Korea.</t>
  </si>
  <si>
    <t>10.1109/CVPR52729.2023.00195</t>
  </si>
  <si>
    <t>WOS:001058542602028</t>
  </si>
  <si>
    <t>Butter, A; Heimel, T; Martini, T; Peitzsch, S; Plehn, T</t>
  </si>
  <si>
    <t>Butter, Anja; Heimel, Theo; Martini, Till; Peitzsch, Sascha; Plehn, Tilman</t>
  </si>
  <si>
    <t>Two invertible networks for the matrix element method</t>
  </si>
  <si>
    <t>LIKELIHOOD METHOD; MISSING MOMENTUM; COLLISIONS; RECONSTRUCTION; EVENTS; MASS</t>
  </si>
  <si>
    <t>The matrix element method is widely considered the ultimate LHC inference tool for small event numbers. We show how a combination of two conditional generative neural networks encodes the QCD radiation and detector effects without any simplifying assumptions, while keeping the computation of likelihoods for individual events numerically efficient. We illustrate our approach for the CP-violating phase of the top Yukawa coupling in associated Higgs and single-top production. Currently, the limiting factor for the precision of our approach is jet combinatorics.</t>
  </si>
  <si>
    <t>[Butter, Anja; Heimel, Theo; Plehn, Tilman] Heidelberg Univ, Inst Theoret Phys, Heidelberg, Germany; [Martini, Till] Fraunhofer Inst High Speed Dynam EMI, Fraunhofer Zentrum SIRIOS, Berlin, Germany; [Peitzsch, Sascha] Fraunhofer Inst Open Commun Syst FOKUS, Fraunhofer Zent SIRIOS, Berlin, Germany; [Martini, Till; Peitzsch, Sascha] Humboldt Univ, Inst Phys, Berlin, Germany</t>
  </si>
  <si>
    <t>Ruprecht Karls University Heidelberg; Fraunhofer Gesellschaft; Fraunhofer Gesellschaft; Fraunhofer Institute Center Schloss Birlinghoven; Humboldt University of Berlin</t>
  </si>
  <si>
    <t>Butter, A (corresponding author), Heidelberg Univ, Inst Theoret Phys, Heidelberg, Germany.</t>
  </si>
  <si>
    <t>Peitzsch, Sascha/0009-0009-2644-4199</t>
  </si>
  <si>
    <t>Baden-Wrttemberg-Stiftung [BWST_IF2020-010]; Baden-Wurttemberg-Stiftung through the program Internationale Spitzenforschung [BWST_IF2020-010]; DFG [396021762 - TRR 257]; DFG Research Training Group [GK-1940]; Baden-Wurttemberg through bwHPC; German Research Foundation (DFG) [INST 39/963-1 FUGG]; DFG under Germany's Excellence Strategy [EXC 2181/1-390900948]</t>
  </si>
  <si>
    <t>Baden-Wrttemberg-Stiftung; Baden-Wurttemberg-Stiftung through the program Internationale Spitzenforschung; DFG(German Research Foundation (DFG)); DFG Research Training Group(German Research Foundation (DFG)); Baden-Wurttemberg through bwHPC; German Research Foundation (DFG)(German Research Foundation (DFG)); DFG under Germany's Excellence Strategy(German Research Foundation (DFG))</t>
  </si>
  <si>
    <t>TP and AB would like to thank the Baden-Wurttemberg-Stiftung for support through the program Internationale Spitzenforschung, project Uncertainties - Teaching AI its Limits (BWST_IF2020-010) . AB and TP are supported by the DFG under grant 396021762 - TRR 257 Particle Physics Phenomenology after the Higgs Discovery. TH is supported by the DFG Research Training Group GK-1940, Particle Physics Beyond the Standard Model. The authors acknowledge support by the state of Baden-Wurttemberg through bwHPC and the German Research Foundation (DFG) through grant no INST 39/963-1 FUGG (bwFor-Cluster NEMO) . This work was supported by the DFG under Germany's Excellence Strategy EXC 2181/1-390900948 The Heidelberg STRUCTURES Excellence Cluster.</t>
  </si>
  <si>
    <t>10.21468/SciPostPhys.15.3.094</t>
  </si>
  <si>
    <t>T3BV6</t>
  </si>
  <si>
    <t>WOS:001076779200001</t>
  </si>
  <si>
    <t>Shao, C; Zhang, HR</t>
  </si>
  <si>
    <t>Shao, Chao; Zhang, Hairui</t>
  </si>
  <si>
    <t>Climate change characteristics and population health impact factors using deep neural network and hyperautomation mechanism</t>
  </si>
  <si>
    <t>Meteorological change characteristics; Population health; Deep learning; Artificial intelligence; Urticaria</t>
  </si>
  <si>
    <t>This work investigates the impact of climate change characteristics on population health and employs the deep neural network (DNN) and hyperautomation mechanisms to achieve this goal. It aims to rapidly analyze climate changes using DNN, establish accurate models, and apply these models to predict and diagnose human health conditions. Hence, this work introduces the role of artificial intelligence (AI) in the realms of climate change and human health, followed by a detailed description of the Back-Propagation Neural Network (BPNN) training process. Subsequently, with Shaanxi Province as the climate study area, this work discusses the relationship between climate change features and population health. Then, it selects meteorological change conditions that easily lead to urticaria, a skin condition triggered by climate changes, as predictive factors to develop a population disease prediction model. This model forecasts climate changes to validate the BPNN method's practicality. To be specific, this work utilizes the national climate assessment datasets of the Environmental Protection Agency and the national health and nutrition examination survey datasets to predict the occurrence of urticaria in the human body. These datasets encompass physiological parameters, lifestyles, and health status information of urban residents, aiming to evaluate the impact of climate change on people's health. The results show that the BPNN model has a 29.45% higher prediction accuracy than the Logistic regression model and a 30.27% higher accuracy than the SVM model. Compared to the Transformer and the Generative Adversarial Network, the BPNN model also outperforms, exhibiting higher prediction accuracy and lower prediction errors. This indicates that the BPNN model exhibits a high level of accuracy when predicting the relationship between meteorological characteristics and urticaria prevalence. The high predictive accuracy of the BPNN model in the study of the relationship between climate change and human health holds significant prospects for ensuring public health and enhancing the scientific and targeted nature of medical decision-making.</t>
  </si>
  <si>
    <t>[Shao, Chao] Xian Med Univ, Sch Publ Hlth, Dept Occupat &amp; Environm Hlth, Xian 710021, Peoples R China; [Zhang, Hairui] Xian Med Univ, Inst Res Hlth Informat &amp; Technol, Sch Publ Hlth, Xian 710021, Shaanxi, Peoples R China</t>
  </si>
  <si>
    <t>Xi'an Medical University; Xi'an Medical University</t>
  </si>
  <si>
    <t>Zhang, HR (corresponding author), Xian Med Univ, Inst Res Hlth Informat &amp; Technol, Sch Publ Hlth, Xian 710021, Shaanxi, Peoples R China.</t>
  </si>
  <si>
    <t>shaochao@xiyi.edu.cn; zhang_hairui@xiyi.edu.cn</t>
  </si>
  <si>
    <t>10.1007/s11227-023-05795-y</t>
  </si>
  <si>
    <t>Z6RO5</t>
  </si>
  <si>
    <t>WOS:001113330200001</t>
  </si>
  <si>
    <t>Lasala, A; Fiorentino, MC; Micera, S; Bandini, A; Moccia, S</t>
  </si>
  <si>
    <t>Lasala, Angelo; Fiorentino, Maria Chiara; Micera, Silvestro; Bandini, Andrea; Moccia, Sara</t>
  </si>
  <si>
    <t>Exploiting class activation mappings as prior to generate fetal brain ultrasound images with GANs</t>
  </si>
  <si>
    <t>The identification of fetal-head standard planes (FHSPs) from ultrasound (US) images is of fundamental importance to visualize cerebral structures and diagnose neural anomalies during gestation in a standardized way. To support the activity of healthcare operators, deep-learning algorithms have been proposed to classify these planes. To date, the translation of such algorithms in clinical practice is hampered by several factors, including the lack of large annotated datasets to train robust and generalizable algorithms. This paper proposes an approach to generate synthetic FHSP images with conditional generative adversarial network (cGAN), using class activation maps (CAMs) obtained from FHSP classification algorithms as cGAN conditional prior. Using the largest publicly available FHSP dataset, we generated realistic images of the three common FHSPs: trans-cerebellum, trans-thalamic and trans-ventricular. The evaluation through t-SNE shows the potential of the proposed approach to attenuate the problem of limited availability of annotated FHSP images.</t>
  </si>
  <si>
    <t>[Lasala, Angelo; Micera, Silvestro; Bandini, Andrea; Moccia, Sara] Scuola Super Sant Anna, BioRobot Inst, Pisa, Italy; [Lasala, Angelo; Micera, Silvestro; Bandini, Andrea; Moccia, Sara] Scuola Super Sant Ann, Dept Excellence Robot &amp; AI, Pisa, Italy; [Fiorentino, Maria Chiara] Univ Politecn Marche, Dept Informat Engn, Ancona, Italy; [Bandini, Andrea] Univ Hlth Network, KITE Res Inst Toronto Rehabil Inst, 550 Univ Ave, Toronto, ON M5G 2A2, Canada</t>
  </si>
  <si>
    <t>Scuola Superiore Sant'Anna; Marche Polytechnic University; University of Toronto; University Health Network Toronto</t>
  </si>
  <si>
    <t>Lasala, A (corresponding author), Scuola Super Sant Anna, BioRobot Inst, Pisa, Italy.;Lasala, A (corresponding author), Scuola Super Sant Ann, Dept Excellence Robot &amp; AI, Pisa, Italy.</t>
  </si>
  <si>
    <t>Angelo.Lasala@santannapisa.it</t>
  </si>
  <si>
    <t>Bandini, Andrea/AAP-3455-2020</t>
  </si>
  <si>
    <t>Bandini, Andrea/0000-0002-3509-2887</t>
  </si>
  <si>
    <t>Proximity Care Project aimed at, technological innovation for the social and health protection network of inland areas in the province of Lucca (Italy); Fondazione Cassa di Risparmio di Lucca; Azienda Usl Toscana Nord Ovest; Fondazione Monasterio; Unione dei Comuni della Garfagnana; Unione dei Comuni della Valle del Serchio; Conferenza dei Sindaci della Valle del Serchio</t>
  </si>
  <si>
    <t>The authors would like to acknowledge the funding support from Proximity Care Project aimed at, technological innovation for the social and health protection network of inland areas in the province of Lucca (Italy). A Project by Scuola Sant'Anna di Pisa -Interdisciplinary Center Health Science with the support of Fondazione Cassa di Risparmio di Lucca, in collaboration with: Azienda Usl Toscana Nord Ovest, Fondazione Monasterio, Unione dei Comuni della Garfagnana, Unione dei Comuni della Valle del Serchio, Conferenza dei Sindaci della Valle del Serchio.</t>
  </si>
  <si>
    <t>10.1109/EMBC40787.2023.10340469</t>
  </si>
  <si>
    <t>WOS:001133788302056</t>
  </si>
  <si>
    <t>Nguyen, C; Do, TT; Carneiro, G</t>
  </si>
  <si>
    <t>Nguyen, Cuong; Do, Thanh-Toan; Carneiro, Gustavo</t>
  </si>
  <si>
    <t>PAC-Bayes Meta-Learning With Implicit Task-Specific Posteriors</t>
  </si>
  <si>
    <t>PAC bayes; meta-lear ning; few-shot learning; transfer learning</t>
  </si>
  <si>
    <t>BOUNDS</t>
  </si>
  <si>
    <t>We introduce a new and rigorously-formulated PAC-Bayes meta-learning algorithm that solves few-shot learning. Our proposed method extends the PAC-Bayes framework from a single-task setting to the meta-learning multiple-task setting to upper-bound the error evaluated on any, even unseen, tasks and samples. We also propose a generative-based approach to estimate the posterior of task-specific model parameters more expressively compared to the usual assumption based on a multivariate normal distribution with a diagonal covariance matrix. We show that the models trained with our proposed meta-learning algorithm are well-calibrated and accurate, with state-of-the-art calibration errors while still being competitive on classification results on few-shot classification (mini-ImageNet and tiered-ImageNet) and regression (multi-modal task-distribution regression) benchmarks.</t>
  </si>
  <si>
    <t>[Nguyen, Cuong; Carneiro, Gustavo] Univ Adelaide, Australian Inst Machine Learning, Adelaide, SA 5005, Australia; [Do, Thanh-Toan] Monash Univ, Fac Informat Technol, Dept Data Sci &amp; AI, Clayton, Vic 3800, Australia</t>
  </si>
  <si>
    <t>University of Adelaide; Monash University</t>
  </si>
  <si>
    <t>Nguyen, C (corresponding author), Univ Adelaide, Australian Inst Machine Learning, Adelaide, SA 5005, Australia.</t>
  </si>
  <si>
    <t>cuong.nguyen@adelaide.edu.au; toan.do@monash.edu; gustavo.carneiro@adelaide.edu.au</t>
  </si>
  <si>
    <t>Nguyen, Cuong Cao/0000-0003-2672-6291; Carneiro, Gustavo/0000-0002-5571-6220</t>
  </si>
  <si>
    <t>Australian Research Council [DP180103232, CE140100016, FT190100525]; Australian Research Council [CE140100016] Funding Source: Australian Research Council</t>
  </si>
  <si>
    <t>Australian Research Council(Australian Research Council); Australian Research Council</t>
  </si>
  <si>
    <t>This work was supported by Australian Research Council under Grants DP180103232, CE140100016, and FT190100525.</t>
  </si>
  <si>
    <t>10.1109/TPAMI.2022.3147798</t>
  </si>
  <si>
    <t>7B9BG</t>
  </si>
  <si>
    <t>WOS:000899419900053</t>
  </si>
  <si>
    <t>Huang, YJ; Wei, WY; He, Y; Wu, QH; Xu, KM</t>
  </si>
  <si>
    <t>Huang, Yijing; Wei, Wanyue; He, Yang; Wu, Qihong; Xu, Kaiming</t>
  </si>
  <si>
    <t>Intelligent algorithms for incident detection and management in smart transportation systems</t>
  </si>
  <si>
    <t>COMPUTERS &amp; ELECTRICAL ENGINEERING</t>
  </si>
  <si>
    <t>Incident detection; Intelligent transport systems; Deep learning; TSSAE; GAN; Traffic congestion; Roadside infrastructure units; Vehicle-to-infrastructure communication</t>
  </si>
  <si>
    <t>Prior research on traffic event detection has encountered two problems: limited sample numbers and unbalanced datasets. Moreover, the real-time properties of event detection models must be enhanced to meet traffic management demands. To solve these issues, suitable measures must be implemented, like developing an intelligent algorithm for incident detection employing Artificial Intelligence (AI) and Machine Learning (ML). Automated Incident Detection (AID) methods are the focus of current Intelligent Transportation System (ITS) technology. Modern vehicles can connect with one other and with Roadside Infrastructure Units (RSUs) to improve road safety thanks to advancements in wireless connectivity and sensor technology. Deep Learning (DL)-based methods have recently demonstrated strong performance in computer vision issues involving complicated feature associations. This work proposes a Hybrid Deep Learning-based Automated Incident Detection and Management (HDL-AIDM) system to identify traffic in-cidents and improve traffic management. In the suggested model, a Temporal and Spatial Stacked Autoencoder (TSSAE) is used to collect temporal and spatial associations of traffic conditions and identify events. At the same time, a generative adversarial network (GAN) is employed to improve the number of samples and equalize datasets. The proposed model is assessed from many per-spectives using the dataset from real-world situations. Based on the HDL output for AID, an efficient and intelligent traffic management algorithm has been accomplished using Road Side Units (RSUs) to gather traffic information. The suggested incident management algorithm con-siders lane shifts and the fluctuation in vehicle speed over time, which are heavily influenced by traffic incidents. These developments in ITS enable traffic management systems to use informa-tion gathered from HDL-based AID methods using TSSAE and GAN. The proposed strategies have been devised to notify drivers about traffic issues and help them avoid congestion. The suggested method provides higher incident detection rates with an accuracy of 94.1%, a 3.9% false alarm rate, and an incident classification rate of 93.3%.</t>
  </si>
  <si>
    <t>[Huang, Yijing; He, Yang; Wu, Qihong] Chengdu Univ, Coll Architecture &amp; Civil Engn, Chengdu 610106, Peoples R China; [Huang, Yijing; Wu, Qihong] Chengdu Univ, Modern Ind Coll Intelligent Construct &amp; Civil Engn, Chengdu 610106, Peoples R China; [Wei, Wanyue] Chengdu Univ, Business Sch, Chengdu 610106, Peoples R China; [Xu, Kaiming] China Aerodynam Res &amp; Dev Ctr, Low Speed Aerodynam Inst, Mianyang 621000, Peoples R China</t>
  </si>
  <si>
    <t>Chengdu University; Chengdu University; Chengdu University</t>
  </si>
  <si>
    <t>Xu, KM (corresponding author), China Aerodynam Res &amp; Dev Ctr, Low Speed Aerodynam Inst, Mianyang 621000, Peoples R China.</t>
  </si>
  <si>
    <t>ming@pku.edu.cn</t>
  </si>
  <si>
    <t>0045-7906</t>
  </si>
  <si>
    <t>1879-0755</t>
  </si>
  <si>
    <t>COMPUT ELECTR ENG</t>
  </si>
  <si>
    <t>Comput. Electr. Eng.</t>
  </si>
  <si>
    <t>10.1016/j.compeleceng.2023.108839</t>
  </si>
  <si>
    <t>Computer Science, Hardware &amp; Architecture; Computer Science, Interdisciplinary Applications; Engineering, Electrical &amp; Electronic</t>
  </si>
  <si>
    <t>O5RM1</t>
  </si>
  <si>
    <t>WOS:001044379700001</t>
  </si>
  <si>
    <t>Kwon, G; Ye, JC</t>
  </si>
  <si>
    <t>Kwon, Gihyun; Ye, Jong Chul</t>
  </si>
  <si>
    <t>One-Shot Adaptation of GAN in Just One CLIP</t>
  </si>
  <si>
    <t>Adaptation models; Generators; Generative adversarial networks; Data models; Training; Semantics; Task analysis; GAN; CLIP; adaptation; StyleGAN</t>
  </si>
  <si>
    <t>There are many recent research efforts to fine-tune a pre-trained generator with a few target images to generate images of a novel domain. Unfortunately, these methods often suffer from overfitting or under-fitting when fine-tuned with a single target image. To address this, here we present a novel single-shot GAN adaptation method through unified CLIP space manipulations. Specifically, our model employs a two-step training strategy: reference image search in the source generator using a CLIP-guided latent optimization, followed by generator fine-tuning with a novel loss function that imposes CLIP space consistency between the source and adapted generators. To further improve the adapted model to produce spatially consistent samples with respect to the source generator, we also propose contrastive regularization for patchwise relationships in the CLIP space. Experimental results show that our model generates diverse outputs with the target texture and outperforms the baseline models both qualitatively and quantitatively. Furthermore, we show that our CLIP space manipulation strategy allows more effective attribute editing.</t>
  </si>
  <si>
    <t>[Kwon, Gihyun] KoreaAdvanced Inst Sci &amp; Technol KAIST, Dept Bio &amp; Brain Engn, Daejeon 34141, South Korea; [Ye, Jong Chul] Korea Adv Inst Sci &amp; Technol KAIST, Grad Sch AI, Daejeon 34141, South Korea</t>
  </si>
  <si>
    <t>Ye, JC (corresponding author), Korea Adv Inst Sci &amp; Technol KAIST, Grad Sch AI, Daejeon 34141, South Korea.</t>
  </si>
  <si>
    <t>cyclomon@kaist.ac.kr; jong.ye@kaist.ac.kr</t>
  </si>
  <si>
    <t>Ye, Jong Chul/0000-0001-9763-9609; Kwon, Gihyun/0000-0002-2398-5282</t>
  </si>
  <si>
    <t>National Research Foundation of Korea; Korea Medical Device Development Fund; Korea government (the Ministry of Science and ICT, the Ministry of Trade, Industry and Energy, the Ministry of Health and Welfare, the Ministry of Food and Drug Safety) [NRF-2020R1A2B5B03001980, 1711137899]; Field-oriented Technology Development Project for Customs Administration through National Research Foundation of Korea; Ministry of Science amp; ICT and Korea Customs Service [KMDF_PR_20200901_0015]; KAIST Key Research Institute (Interdisciplinary Research Group) Project; [NRF-2021M3I1A1097938]</t>
  </si>
  <si>
    <t>National Research Foundation of Korea(National Research Foundation of Korea); Korea Medical Device Development Fund; Korea government (the Ministry of Science and ICT, the Ministry of Trade, Industry and Energy, the Ministry of Health and Welfare, the Ministry of Food and Drug Safety); Field-oriented Technology Development Project for Customs Administration through National Research Foundation of Korea; Ministry of Science amp; ICT and Korea Customs Service; KAIST Key Research Institute (Interdisciplinary Research Group) Project;</t>
  </si>
  <si>
    <t>This work was supported in part by the National Research Foundation of Korea under Grant NRF-2020R1A2B5B03001980, in part by Korea Medical Device Development Fund grant funded, in part by the Korea government (the Ministry of Science and ICT, the Ministry of Trade, Industry and Energy, the Ministry of Health and Welfare, the Ministry of Food and Drug Safety) under Grants 1711137899 and KMDF_PR_20200901_0015, in part by the Field-oriented Technology Development Project for Customs Administration through National Research Foundation of Korea funded, in part by the Ministry of Science &amp; ICT and Korea Customs Service under Grant NRF-2021M3I1A1097938, and in part by the KAIST Key Research Institute (Interdisciplinary Research Group) Project.&amp; nbsp;</t>
  </si>
  <si>
    <t>10.1109/TPAMI.2023.3283551</t>
  </si>
  <si>
    <t>WOS:001068816800042</t>
  </si>
  <si>
    <t>Mondal, H; Mondal, S; Podder, I</t>
  </si>
  <si>
    <t>Mondal, Himel; Mondal, Shaikat; Podder, Indrashis</t>
  </si>
  <si>
    <t>Using ChatGPT for Writing Articles for Patients' Education for Dermatological Diseases: A Pilot Study</t>
  </si>
  <si>
    <t>INDIAN DERMATOLOGY ONLINE JOURNAL</t>
  </si>
  <si>
    <t>Article; artificial intelligence; ChatGPT; dermatologists; software</t>
  </si>
  <si>
    <t>Background: Patients' education is a vital strategy for understanding a disease by patients and proper management of the condition. Physicians and academicians frequently make customized education materials for their patients. An artificial intelligence (AI)-based writer can help them write an article. Chat Generative Pre-Trained Transformer (ChatGPT) is a conversational language model developed by OpenAI (openai.com). The model can generate human-like responses. Objective: We aimed to evaluate the generated text from ChatGPT for its suitability in patients' education. Materials and Methods: We asked the ChatGPT to list common dermatological diseases. It provided a list of 14 diseases. We used the disease names to converse with the application with disease-specific input (e.g., write a patient education guide on acne). The text was copied for checking the number of words, readability, and text similarity by software. The text's accuracy was checked by a dermatologist following the structure of observed learning outcomes (SOLO) taxonomy. For the readability ease score, we compared the observed value with a score of 30. For the similarity index, we compared the observed value with 15% and tested it with a one-sample t-test. Results: The ChatGPT generated a paragraph of text of 377.43 +/- 60.85 words for a patient education guide on skin diseases. The average text reading ease score was 46.94 +/- 8.23 (P &lt; 0.0001), and it indicates that this level of text can easily be understood by a high-school student to a newly joined college student. The text similarity index was higher (27.07 +/- 11.46%, P = 0.002) than the expected limit of 15%. The text had a relational level of accuracy according to the SOLO taxonomy. Conclusion: In its current form, ChatGPT can generate a paragraph of text for patients' educational purposes that can be easily understood. However, the similarity index is high. Hence, doctors should be cautious when using the text generated by ChatGPT and must check for text similarity before using it.</t>
  </si>
  <si>
    <t>[Mondal, Himel] All India Inst Med Sci, Dept Physiol, Deoghar, Jharkhand, India; [Mondal, Shaikat] Raiganj Govt Med Coll &amp; Hosp, Dept Physiol, Kolkata, West Bengal, India; [Podder, Indrashis] Coll Med, Dept Dermatol, Kolkata, West Bengal, India; [Podder, Indrashis] Sagore Dutta Hosp, Kolkata, West Bengal, India; [Mondal, Himel] All India Inst Med Sci, Dept Physiol, Deoghar 814152, Jharkhand, India</t>
  </si>
  <si>
    <t>Mondal, Himel/G-5111-2017</t>
  </si>
  <si>
    <t>Mondal, Himel/0000-0001-6950-5857; PODDER, INDRASHIS/0000-0002-9589-083X</t>
  </si>
  <si>
    <t>WOLTERS KLUWER MEDKNOW PUBLICATIONS</t>
  </si>
  <si>
    <t>MUMBAI</t>
  </si>
  <si>
    <t>WOLTERS KLUWER INDIA PVT LTD , A-202, 2ND FLR, QUBE, C T S NO 1498A-2 VILLAGE MAROL, ANDHERI EAST, MUMBAI, Maharashtra, INDIA</t>
  </si>
  <si>
    <t>2229-5178</t>
  </si>
  <si>
    <t>2249-5673</t>
  </si>
  <si>
    <t>INDIAN DERMATOL ONL</t>
  </si>
  <si>
    <t>Indian Dermatol. Online J.</t>
  </si>
  <si>
    <t>10.4103/idoj.idoj_72_23</t>
  </si>
  <si>
    <t>O8TI7</t>
  </si>
  <si>
    <t>WOS:001046483900005</t>
  </si>
  <si>
    <t>Urain, J; Funk, N; Peters, J; Chalvatzaki, G</t>
  </si>
  <si>
    <t>Urain, Julen; Funk, Niklas; Peters, Jan; Chalvatzaki, Georgia</t>
  </si>
  <si>
    <t>SE(3)-DiffusionFields: Learning smooth cost functions for joint grasp and motion optimization through diffusion</t>
  </si>
  <si>
    <t>Multi-objective optimization problems are ubiquitous in robotics, e.g., the optimization of a robot manipulation task requires a joint consideration of grasp pose configurations, collisions and joint limits. While some demands can be easily hand-designed, e.g., the smoothness of a trajectory, several task-specific objectives need to be learned from data. This work introduces a method for learning data-driven SE(3) cost functions as diffusion models. Diffusion models can represent highly-expressive multimodal distributions and exhibit proper gradients over the entire space due to their score-matching training objective. Learning costs as diffusion models allows their seamless integration with other costs into a single differentiable objective function, enabling joint gradient-based motion optimization. In this work, we focus on learning SE(3) diffusion models for 6DoF grasping, giving rise to a novel framework for joint grasp and motion optimization without needing to decouple grasp selection from trajectory generation. We evaluate the representation power of our SE(3) diffusion models w.r.t. classical generative models, and we showcase the superior performance of our proposed optimization framework in a series of simulated and real-world robotic manipulation tasks against representative baselines. Videos, code and additional details are available at: https://sites.google.com/view/se3dif</t>
  </si>
  <si>
    <t>[Urain, Julen; Funk, Niklas; Peters, Jan; Chalvatzaki, Georgia] Tech Univ Darmstadt, Darmstadt, Germany; [Peters, Jan] German Res Ctr AI DFKI, Kaiserslautern, Germany; [Peters, Jan] Hessian AI, Darmstadt, Germany; [Peters, Jan] Ctr Cognit Sci, Berlin, Germany</t>
  </si>
  <si>
    <t>Urain, J (corresponding author), Tech Univ Darmstadt, Darmstadt, Germany.</t>
  </si>
  <si>
    <t>julen.urain@tu-darmstadt.de; niklas.funk@tu-darmstadt.de; jan.peters@tu-darmstadt.de; georgia.chalvatzaki@tu-darmstadt.de</t>
  </si>
  <si>
    <t>DFG Emmy Noether Programme [CH 2676/1-1]; AICO grant by the Nexplore/Hochtief Collaboration with TU Darmstadt; EU project ShareWork</t>
  </si>
  <si>
    <t>DFG Emmy Noether Programme(German Research Foundation (DFG)); AICO grant by the Nexplore/Hochtief Collaboration with TU Darmstadt; EU project ShareWork</t>
  </si>
  <si>
    <t>This work received funding by the DFG Emmy Noether Programme (CH 2676/1-1), by the AICO grant by the Nexplore/Hochtief Collaboration with TU Darmstadt, and the EU project ShareWork.</t>
  </si>
  <si>
    <t>10.1109/ICRA48891.2023.10161569</t>
  </si>
  <si>
    <t>WOS:001036713004128</t>
  </si>
  <si>
    <t>Kang, SJ; Ryu, KB; Jeong, MS; Jeong, SI; Park, KR</t>
  </si>
  <si>
    <t>Kang, Seon Jong; Ryu, Kyung Bong; Jeong, Min Su; Jeong, Seong In; Park, Kang Ryoung</t>
  </si>
  <si>
    <t>CAM-FRN: Class Attention Map-Based Flare Removal Network in Frontal-Viewing Camera Images of Vehicles</t>
  </si>
  <si>
    <t>lens flare removal; frontal viewing camera; autonomous vehicle; semantic segmentation; CAM-FRN</t>
  </si>
  <si>
    <t>CONTEXT; VISION</t>
  </si>
  <si>
    <t>In recent years, active research has been conducted on computer vision and artificial intelligence (AI) for autonomous driving to increase the understanding of the importance of object detection technology using a frontal-viewing camera. However, using an RGB camera as a frontal-viewing camera can generate lens flare artifacts due to strong light sources, components of the camera lens, and foreign substances, which damage the images, making the shape of objects in the images unrecognizable. Furthermore, the object detection performance is significantly reduced owing to a lens flare during semantic segmentation performed for autonomous driving. Flare artifacts pose challenges in their removal, as they are caused by various scattering and reflection effects. The state-of-the-art methods using general scene image retain artifactual noises and fail to eliminate flare entirely when there exist severe levels of flare in the input image. In addition, no study has been conducted to solve these problems in the field of semantic segmentation for autonomous driving. Therefore, this study proposed a novel lens flare removal technique based on a class attention map-based flare removal network (CAM-FRN) and a semantic segmentation method using the images in which the lens flare is removed. CAM-FRN is a generative-based flare removal network that estimates flare regions, generates highlighted images as input, and incorporates the estimated regions into the loss function for successful artifact reconstruction and comprehensive flare removal. We synthesized a lens flare using the Cambridge-driving Labeled Video Database (CamVid) and Karlsruhe Institute of Technology and Toyota Technological Institute at Chicago (KITTI) datasets, which are road scene open datasets. The experimental results showed that semantic segmentation accuracy in images with lens flare was removed based on CAM-FRN, exhibiting 71.26% and 60.27% mean intersection over union (mIoU) in the CamVid and KITTI databases, respectively. This indicates that the proposed method is significantly better than state-of-the-art methods.</t>
  </si>
  <si>
    <t>[Kang, Seon Jong; Ryu, Kyung Bong; Jeong, Min Su; Jeong, Seong In; Park, Kang Ryoung] Dongguk Univ, Div Elect &amp; Elect Engn, 30 Pildong Ro,1 Gil, Seoul 04620, South Korea</t>
  </si>
  <si>
    <t>Park, KR (corresponding author), Dongguk Univ, Div Elect &amp; Elect Engn, 30 Pildong Ro,1 Gil, Seoul 04620, South Korea.</t>
  </si>
  <si>
    <t>sunjong5108@dongguk.edu; kbryu00@dgu.edu; wjdalstn9594@dgu.ac.kr; jsi5668@dgu.ac.kr; parkgr@dongguk.edu</t>
  </si>
  <si>
    <t>Kang, Seonjong/0009-0009-8839-6778</t>
  </si>
  <si>
    <t>National Research Foundation of Korea (NRF) - Ministry of Science and ICT (MSIT) [NRF-2021R1F1A1045587]; NRF - MSIT [NRF-2022R1F1A1064291]; MSIT, Korea, under the ITRC (Information Technology Research Center) support program [IITP-2023-2020-0-01789]; National Supercomputing Center [TS-2023-RE-0025]</t>
  </si>
  <si>
    <t>National Research Foundation of Korea (NRF) - Ministry of Science and ICT (MSIT)(National Research Foundation of KoreaMinistry of Science &amp; ICT (MSIT), Republic of KoreaMinistry of Science, ICT &amp; Future Planning, Republic of Korea); NRF - MSIT; MSIT, Korea, under the ITRC (Information Technology Research Center) support program(Ministry of Science &amp; ICT (MSIT), Republic of Korea); National Supercomputing Center</t>
  </si>
  <si>
    <t>&amp; nbsp;This research was supported in part by the National Research Foundation of Korea (NRF) funded by the Ministry of Science and ICT (MSIT) through the Basic Science Research Program (NRF-2021R1F1A1045587), in part by the NRF funded by the MSIT through the Basic Science Re-search Program (NRF-2022R1F1A1064291), in part by the MSIT, Korea, under the ITRC (Information Technology Research Center) support program (IITP-2023-2020-0-01789) supervised by the IITP (Institute for Information &amp; Communications Technology Planning &amp; Evaluation), and in part by the National Supercomputing Center with supercomputing resources including technical support (TS-2023-RE-0025).</t>
  </si>
  <si>
    <t>10.3390/math11173644</t>
  </si>
  <si>
    <t>R2CB8</t>
  </si>
  <si>
    <t>WOS:001062460400001</t>
  </si>
  <si>
    <t>Jiao, C; Edupuganti, NR; Patel, PA; Bui, T; Sheth, V</t>
  </si>
  <si>
    <t>Jiao, Cheng; Edupuganti, Neel R.; Patel, Parth A.; Bui, Tommy; Sheth, Veeral</t>
  </si>
  <si>
    <t>Evaluating the Artificial Intelligence Performance Growth in Ophthalmic Knowledge</t>
  </si>
  <si>
    <t>chatgpt; ophthalmology; medical education; natural language processing models; artificial intelligence</t>
  </si>
  <si>
    <t>Objective: We aim to compare the capabilities of Chat Generative Pre-Trained Transformer (ChatGPT)-3.5 and ChatGPT-4.0 (OpenAI, San Francisco, CA, USA) in addressing multiple-choice ophthalmic case challenges.Methods and analysis: Both models' accuracy was compared across different ophthalmology subspecialties using multiple-choice ophthalmic clinical cases provided by the American Academy of Ophthalmology (AAO) Diagnosis This questions. Additional analysis was based on image content, question difficulty, character length of models' responses, and model's alignment with responses from human respondents. chi 2 test, Fisher's exact test, Student's t-test, and one-way analysis of variance (ANOVA) were conducted where appropriate, with p&lt;0.05 considered significant.Results: GPT-4.0 significantly outperformed GPT-3.5 (75% versus 46%, p&lt;0.01), with the most noticeable improvement in neuro-ophthalmology (100% versus 38%, p=0.03). While both models struggled with uveitis and refractive questions, GPT-4.0 excelled in other areas, such as pediatric questions (82%). In image-related questions, GPT-4.0 also displayed superior accuracy that trended toward significance (73% versus 46%, p=0.07). GPT-4.0 performed better with easier questions (93.8% (least difficult) versus 76.2% (middle) versus 53.3% (most), p=0.03) and generated more concise answers than GPT-3.5 (651.7 +/- 342.9 versus 1,112.9 +/- 328.8 characters, p&lt;0.01). Moreover, GPT-4.0's answers were more in line with those of AAO respondents (57.3% versus 41.4%, p&lt;0.01), showing a strong correlation between its accuracy and the proportion of AAO respondents who selected GPT-4.0's answer (rho=0.713, p&lt;0.01). Conclusion and relevance: Our study demonstrated that GPT-4.0 significantly outperforms GPT-3.5 in addressing ophthalmic case challenges, especially in neuro-ophthalmology, with improved accuracy even in image-related questions. These findings underscore the potential of advancing artificial intelligence (AI) models in enhancing ophthalmic diagnostics and medical education.</t>
  </si>
  <si>
    <t>[Jiao, Cheng; Edupuganti, Neel R.; Bui, Tommy] Augusta Univ, Med Coll Georgia, Ophthalmol, Augusta, GA USA; [Patel, Parth A.] Augusta Univ, Med Coll Georgia, Neurol, Augusta, GA USA; [Sheth, Veeral] Univ Retina &amp; Macula Associates, Ophthalmol, Oak Forest, IL 60452 USA</t>
  </si>
  <si>
    <t>University System of Georgia; Augusta University; University System of Georgia; Augusta University</t>
  </si>
  <si>
    <t>Sheth, V (corresponding author), Univ Retina &amp; Macula Associates, Ophthalmol, Oak Forest, IL 60452 USA.</t>
  </si>
  <si>
    <t>vsheth@gmail.com</t>
  </si>
  <si>
    <t>Jiao, Cheng/0000-0002-4191-4656</t>
  </si>
  <si>
    <t>e45700</t>
  </si>
  <si>
    <t>10.7759/cureus.45700</t>
  </si>
  <si>
    <t>U9PS4</t>
  </si>
  <si>
    <t>WOS:001088059800036</t>
  </si>
  <si>
    <t>Kotei, E; Thirunavukarasu, R</t>
  </si>
  <si>
    <t>Kotei, Evans; Thirunavukarasu, Ramkumar</t>
  </si>
  <si>
    <t>Visual attention condenser model for multiple disease detection from heterogeneous medical image modalities</t>
  </si>
  <si>
    <t>Attention mechanism; Breast cancer; Deep learning; Medical image analysis; Tuberculosis; Visual attention condensers</t>
  </si>
  <si>
    <t>CHEST-X-RAY; TUBERCULOSIS; ARCHITECTURES; SEGMENTATION</t>
  </si>
  <si>
    <t>The World Health Organization (WHO) has identified breast cancer and tuberculosis (TB) as major global health issues. While breast cancer is a top killer of women, TB is an infectious disease caused by a single bacterium with a high mortality rate. Since both TB and breast cancer are curable, early screening ensures treatment. Medical imaging modalities, such as chest X-ray radiography and ultrasound, are widely used for diagnosing TB and breast cancer. Artificial intelligence (AI) techniques are applied to supplement the screening process for effective and early treatment due to the global shortage of radiologists and oncologists. These techniques fast-track the screening process leading to early detection and treatment. Deep learning (DL) is the most used technique producing outstanding results. Despite the success of these DL models in the automatic detection of TB and breast cancer, the suggested models are task-specific, meaning they are disease-oriented. Again, the complexity and weight of the DL applications make it difficult to apply the models on edge devices. Motivated by this, a Multi Disease Visual Attention Condenser Network (MD-VACNet) got proposed for multiple disease identification from different medical image modalities. The network architecture got designed automatically through a machine-driven design exploration with generative synthesis. The proposed MD-VACNet is a lightweight stand-alone visual recognition deep neural network based on VAC with a self-attention mechanism to run on edge devices. In the experiment, TB was identified based on chest X-ray images and breast cancer was based on ultrasound images. The suggested model achieved a 98.99% accuracy score, a 99.85% sensitivity score, and a 98.20% specificity score on the x-ray radiographs for TB diagnosis. The model also produced a cutting-edge performance on breast cancer classification into benign and malignant, with accuracy, sensitivity and specificity scores of 98.47%, 98.42%, and 98.31%, respectively. Regarding model architectural complexity, MD-VACNet is simple and lightweight for edge device implementation.</t>
  </si>
  <si>
    <t>[Kotei, Evans; Thirunavukarasu, Ramkumar] Vellore Inst Technol, Sch Comp Sci Engn &amp; Informat Syst, Vellore 632014, India</t>
  </si>
  <si>
    <t>Vellore Institute of Technology (VIT); VIT Vellore</t>
  </si>
  <si>
    <t>Thirunavukarasu, R (corresponding author), Vellore Inst Technol, Sch Comp Sci Engn &amp; Informat Syst, Vellore 632014, India.</t>
  </si>
  <si>
    <t>ramkumar.thirunavukarasu@vit.ac.in</t>
  </si>
  <si>
    <t>KOTEI, EVANS/0000-0003-0181-5247</t>
  </si>
  <si>
    <t>2023 SEP 7</t>
  </si>
  <si>
    <t>10.1007/s11042-023-16625-x</t>
  </si>
  <si>
    <t>Q9PM3</t>
  </si>
  <si>
    <t>WOS:001060763900008</t>
  </si>
  <si>
    <t>Johnson, EC; Robinson, BS; Vallabha, GK; Joyce, J; Matelsky, JK; Norman-Tenazas, R; Western, I; Villafañe-Delgado, M; Cervantes, M; Robinette, MS; Reddy, AV; Kitchell, L; Rivlin, PK; Reilly, EP; Drenkow, N; Roos, MJ; Wang, IJ; Wester, BA; Gray-Roncal, WR; Hoffmann, JA</t>
  </si>
  <si>
    <t>Solomon, L; Schwartz, PJ</t>
  </si>
  <si>
    <t>Johnson, Erik C.; Robinson, Brian S.; Vallabha, Gautam K.; Joyce, Justin; Matelsky, Jordan K.; Norman-Tenazas, Raphael; Western, Isaac; Villafane-Delgado, Marisel; Cervantes, Martha; Robinette, Michael S.; Reddy, Arun V.; Kitchell, Lindsey; Rivlin, Patricia K.; Reilly, Elizabeth P.; Drenkow, Nathan; Roos, Matthew J.; Wang, I-Jeng; Wester, Brock A.; Gray-Roncal, William R.; Hoffmann, Joan A.</t>
  </si>
  <si>
    <t>Exploiting Large Neuroimaging Datasets to Create Connectome-Constrained Approaches for more Robust, Efficient, and Adaptable Artificial Intelligence</t>
  </si>
  <si>
    <t>ARTIFICIAL INTELLIGENCE AND MACHINE LEARNING FOR MULTI-DOMAIN OPERATIONS APPLICATIONS V</t>
  </si>
  <si>
    <t>Conference on Artificial Intelligence and Machine Learning for Multi-Domain Operations Applications V</t>
  </si>
  <si>
    <t>SPIE,BAE Syst</t>
  </si>
  <si>
    <t>Machine learning; continual learning; SWaP; Computational Neuroscience; Connectomics</t>
  </si>
  <si>
    <t>NEURAL-NETWORKS; BIG DATA; RECONSTRUCTION; MODEL</t>
  </si>
  <si>
    <t>Despite the progress in deep learning networks, efficient learning at the edge (enabling adaptable, low-complexity machine learning solutions) remains a critical need for defense and commercial applications. We have pursued multiple neuroscience-inspired AI efforts which may overcome these data inefficiencies, power inefficiencies, and lack of generalization. We envision a pipeline to utilize large neuroimaging datasets, including maps of the brain which capture neuron and synapse connectivity, to improve machine learning approaches. We have pursued different approaches within this pipeline structure, including data-driven discovery in biological networks, augmenting existing computational neuroscience models, investigating the biological structure which enables behaviors, and modifying existing machine learning architectures with insight from biological structure. First, as a demonstration of data-driven discovery, the team has developed a technique for discovery of repeated subcircuits, or motifs. These were incorporated into a neural architecture search approach to evolve network architectures. Second, we have conducted analysis of the heading direction circuit in the fruit fly, which performs fusion of visual and angular velocity features, to explore augmenting existing computational models with new insight. Our team discovered a novel pattern of connectivity, implemented a new model, and demonstrated sensor fusion on a robotic platform. Third, the team analyzed circuitry for memory formation in the fruit fly connectome, enabling the design of a novel generative replay approach. This replay approach resulted in an over 20% accuracy improvement in an incremental class learning scenario, and also demonstrated the ability to utilize large neuroscience datasets to analyze the neural connectivity underlying behavior. Finally, the team has begun analysis of connectivity in mammalian cortex to explore potential improvements to transformer networks. These constraints increased network robustness on the most challenging examples in the CIFAR-10-C computer vision robustness benchmark task, while reducing learnable attention parameters by over an order of magnitude. Taken together, these results demonstrate multiple potential approaches to utilize insight from neural systems for developing robust and efficient machine learning techniques.</t>
  </si>
  <si>
    <t>[Johnson, Erik C.; Robinson, Brian S.; Vallabha, Gautam K.; Joyce, Justin; Matelsky, Jordan K.; Norman-Tenazas, Raphael; Western, Isaac; Villafane-Delgado, Marisel; Cervantes, Martha; Robinette, Michael S.; Reddy, Arun V.; Kitchell, Lindsey; Rivlin, Patricia K.; Reilly, Elizabeth P.; Drenkow, Nathan; Roos, Matthew J.; Wang, I-Jeng; Wester, Brock A.; Gray-Roncal, William R.; Hoffmann, Joan A.] Johns Hopkins Univ, Res &amp; Exploratory Dev Dept, Appl Phys Lab, Laurel, MD 20723 USA</t>
  </si>
  <si>
    <t>Johns Hopkins University; Johns Hopkins University Applied Physics Laboratory</t>
  </si>
  <si>
    <t>Johnson, EC (corresponding author), Johns Hopkins Univ, Res &amp; Exploratory Dev Dept, Appl Phys Lab, Laurel, MD 20723 USA.</t>
  </si>
  <si>
    <t>erik.c.johnson@jhuapl.edu</t>
  </si>
  <si>
    <t>Joyce, Justin/IYS-3868-2023; Roos, Matthew/JQG-2860-2023</t>
  </si>
  <si>
    <t>Joyce, Justin/0000-0003-4328-8983; Reddy, Arun/0009-0008-8325-1257; Vallabha, Gautam/0000-0001-6856-7968</t>
  </si>
  <si>
    <t>internal research and development funds from JHU/APL; NIH NIMH [R24MH114785]</t>
  </si>
  <si>
    <t>internal research and development funds from JHU/APL; NIH NIMH(United States Department of Health &amp; Human ServicesNational Institutes of Health (NIH) - USANIH National Institute of Mental Health (NIMH))</t>
  </si>
  <si>
    <t>This work was funded by internal research and development funds from JHU/APL. We would like to thank Meshach Hopkins, Danilo Symonette, and Caitlyn Bishop for their contributions to our team demonstrations. We would also like to thank Nicole Brown, Kechen Zhang, and Grace Hwang for their contributions to our theoretical approaches. Finally, we would like to thank the creators and maintainers of the Howard Hughes Medical Institute Janelia Campus FlyEM team and IARPA MICrONS team for their datasets. We also thank Brain Observatory Storage Service Database (BossDB, https://bossdb.org/, NIH NIMH R24MH114785) for storage of the MICrONS dataset and other datasets utilized in this work.</t>
  </si>
  <si>
    <t>978-1-5106-6192-9; 978-1-5106-6193-6</t>
  </si>
  <si>
    <t>125381F</t>
  </si>
  <si>
    <t>10.1117/12.2663901</t>
  </si>
  <si>
    <t>BV3QK</t>
  </si>
  <si>
    <t>WOS:001022151100036</t>
  </si>
  <si>
    <t>Rahman, T; Lee, HY; Ren, J; Tulyakov, S; Mahajan, S; Sigal, L</t>
  </si>
  <si>
    <t>Rahman, Tanzila; Lee, Hsin-Ying; Ren, Jian; Tulyakov, Sergey; Mahajan, Shweta; Sigal, Leonid</t>
  </si>
  <si>
    <t>Make-A-Story: Visual Memory Conditioned Consistent Story Generation</t>
  </si>
  <si>
    <t>There has been a recent explosion of impressive generative models that can produce high quality images (or videos) conditioned on text descriptions. However, all such approaches rely on conditional sentences that contain unambiguous descriptions of scenes and main actors in them. Therefore employing such models for more complex task of story visualization, where naturally references and co-references exist, and one requires to reason about when to maintain consistency of actors and backgrounds across frames/scenes, and when not to, based on story progression, remains a challenge. In this work, we address the afore-mentioned challenges and propose a novel autoregressive diffusion-based framework with a visual memory module that implicitly captures the actor and background context across the generated frames. Sentence-conditioned soft attention over the memories enables effective reference resolution and learns to maintain scene and actor consistency when needed. To validate the effectiveness of our approach, we extend the MUGEN dataset [19] and introduce additional characters, backgrounds and referencing in multi-sentence storylines. Our experiments for story generation on the MUGEN, the PororoSV [30] and the FlintstonesSV [16] dataset show that our method not only outperforms prior state-of-the-art in generating frames with high visual quality, which are consistent with the story, but also models appropriate correspondences between the characters and the background.</t>
  </si>
  <si>
    <t>[Rahman, Tanzila; Mahajan, Shweta; Sigal, Leonid] Univ British Columbia, Vancouver, BC, Canada; [Lee, Hsin-Ying; Ren, Jian; Tulyakov, Sergey] Snap Inc, Santa Monica, CA USA; [Rahman, Tanzila; Mahajan, Shweta] Vector Inst AI, Toronto, ON, Canada; [Sigal, Leonid] Canada CIFAR AI Chair, Toronto, ON, Canada</t>
  </si>
  <si>
    <t>University of British Columbia; Vector Institute for Artificial Intelligence</t>
  </si>
  <si>
    <t>Rahman, T (corresponding author), Univ British Columbia, Vancouver, BC, Canada.;Rahman, T (corresponding author), Vector Inst AI, Toronto, ON, Canada.</t>
  </si>
  <si>
    <t>10.1109/CVPR52729.2023.00246</t>
  </si>
  <si>
    <t>WOS:001058542602079</t>
  </si>
  <si>
    <t>Dharaniya, R; Indumathi, J; Kaliraj, V</t>
  </si>
  <si>
    <t>Dharaniya, R.; Indumathi, J.; Kaliraj, V.</t>
  </si>
  <si>
    <t>A design of movie script generation based on natural language processing by optimized ensemble deep learning with heuristic algorithm</t>
  </si>
  <si>
    <t>DATA &amp; KNOWLEDGE ENGINEERING</t>
  </si>
  <si>
    <t>Natural language processing; Movie script generation; Optimized ensemble deep learning; Term frequency-inverse document frequency; Wor2vec features; Deep belief network; Adaptively improved cat and mouse-based; optimizer; Bidirectional long short-term memory; GPT3; GPT neo X models</t>
  </si>
  <si>
    <t>SCENE</t>
  </si>
  <si>
    <t>Movies offer users a huge range of visual information like attractive stories. The traditional approaches have demonstrated that knowing about movie stories via only visual information is complicated. The natural data of graphical texts play a significant task in portraying information in various domains like entertainment, education, communication, etc. Similarly, script generation by considering the earlier dialogue is more complex owing to the inherent nature of the text. Text identification in natural data considers script identification that needs localization of text. Especially for natural scene data, script generation is a complicated task due to different background/foreground components. The texts comprise varied textures, variations in size, orientation, colors, and fonts. It is essential to have a system that produces scripts or stories from a storyline automatically. However, this research is not emerging nowadays. While considering the dialogue systems would also help drive dialogues through a dialogue plan. Hence, a new movie script generation model is suggested through processing the movie text data. Initially, the text data is collected related to a different movie that consists of characters, scenes, genre, location, etc. Secondly, the data pre-processing is carried out to enhance data quality. Further, the significant features are extracted from the pre-processed data through Term Frequency-Inverse Document Frequency (TFIDF) and word2vector. The deep features are extracted to get the noteworthy features using a Deep Belief Network (DBN) from RBN layers. Finally, the deep features are given to the Ensemble-based Movie Scrip Generation (EMCG), where the Optimized hybrid script generation process using ensemble learning is performed by Bidirectional Long Short-Term Memory (Bi-LSTM), Generative Pre-Trained Transformer version 3 (GPT3), and GPT Neo X models, where the parameters of deep learning algorithms are optimized using the Adaptively Improved Cat and Mouse-based Optimizer (AI-CMO) algorithm. Here, the outcomes are attained through taking averaging among the classified outcomes. The standard performance measures are used for evaluating the effectiveness of the proposed method.</t>
  </si>
  <si>
    <t>[Dharaniya, R.] Easwari Engn Coll, Comp Sci &amp; Engn, Chennai 600089, Tamil Nadu, India; [Indumathi, J.; Kaliraj, V.] Anna Univ, Dept IST, CEG Campus, Chennai 600025, Tamil Nadu, India; [Dharaniya, R.; Indumathi, J.; Kaliraj, V.] SA Engn Coll, Comp Sci &amp; Engn, Poonamallee Avadi Rd, Chennai 600077, Tamil Nadu, India</t>
  </si>
  <si>
    <t>Easwari Engineering College; Anna University; Anna University Chennai; College of Engineering Guindy; S.A. Engineering College</t>
  </si>
  <si>
    <t>Dharaniya, R (corresponding author), Easwari Engn Coll, Comp Sci &amp; Engn, Chennai 600089, Tamil Nadu, India.;Dharaniya, R (corresponding author), SA Engn Coll, Comp Sci &amp; Engn, Poonamallee Avadi Rd, Chennai 600077, Tamil Nadu, India.</t>
  </si>
  <si>
    <t>dharaniya.r@eec.srmrmp.edu.in</t>
  </si>
  <si>
    <t>0169-023X</t>
  </si>
  <si>
    <t>1872-6933</t>
  </si>
  <si>
    <t>DATA KNOWL ENG</t>
  </si>
  <si>
    <t>Data Knowl. Eng.</t>
  </si>
  <si>
    <t>10.1016/j.datak.2023.102150</t>
  </si>
  <si>
    <t>K0XF9</t>
  </si>
  <si>
    <t>WOS:001013756100001</t>
  </si>
  <si>
    <t>Supriyanto, C; Salam, A; Zeniarja, J; Wijaya, A</t>
  </si>
  <si>
    <t>Supriyanto, Catur; Salam, Abu; Zeniarja, Junta; Wijaya, Adi</t>
  </si>
  <si>
    <t>Two-Stage Input-Space Image Augmentation and Interpretable Technique for Accurate and Explainable Skin Cancer Diagnosis</t>
  </si>
  <si>
    <t>COMPUTATION</t>
  </si>
  <si>
    <t>deep learning; skin cancer; image augmentation; GAN; geometric augmentation; image classification; interpretable technique</t>
  </si>
  <si>
    <t>This research paper presents a deep-learning approach to early detection of skin cancer using image augmentation techniques. We introduce a two-stage image augmentation process utilizing geometric augmentation and a generative adversarial network (GAN) to differentiate skin cancer categories. The public HAM10000 dataset was used to test how well the proposed model worked. Various pre-trained convolutional neural network (CNN) models, including Xception, Inceptionv3, Resnet152v2, EfficientnetB7, InceptionresnetV2, and VGG19, were employed. Our approach demonstrates an accuracy of 96.90%, precision of 97.07%, recall of 96.87%, and F1-score of 96.97%, surpassing the performance of other state-of-the-art methods. The paper also discusses the use of Shapley Additive Explanations (SHAP), an interpretable technique for skin cancer diagnosis, which can help clinicians understand the reasoning behind the diagnosis and improve trust in the system. Overall, the proposed method presents a promising approach to automated skin cancer detection that could improve patient outcomes and reduce healthcare costs.</t>
  </si>
  <si>
    <t>[Supriyanto, Catur; Salam, Abu; Zeniarja, Junta] Univ Dian Nuswantoro, Fac Comp Sci, Semarang 50131, Indonesia; [Supriyanto, Catur; Salam, Abu; Zeniarja, Junta] Univ Dian Nuswantoro, Dinus Res Grp AI Med Sci DREAMS, Semarang 50131, Indonesia; [Wijaya, Adi] Univ Indonesia Maju, Dept Hlth Informat Management, Kota Jakarta Selatan 12610, Jakarta, Indonesia</t>
  </si>
  <si>
    <t>Dian Nuswantoro University; Dian Nuswantoro University</t>
  </si>
  <si>
    <t>Supriyanto, C (corresponding author), Univ Dian Nuswantoro, Fac Comp Sci, Semarang 50131, Indonesia.;Supriyanto, C (corresponding author), Univ Dian Nuswantoro, Dinus Res Grp AI Med Sci DREAMS, Semarang 50131, Indonesia.</t>
  </si>
  <si>
    <t>catur.supriyanto@dsn.dinus.ac.id; abu.salam@dsn.dinus.ac.id; junta@dsn.dinus.ac.id; adiwjj@uima.ac.id</t>
  </si>
  <si>
    <t>Supriyanto, Catur/GPT-1548-2022</t>
  </si>
  <si>
    <t>Supriyanto, Catur/0000-0002-8682-9295; Wijaya, Adi/0000-0001-5339-0231</t>
  </si>
  <si>
    <t>DRTPM-DIKTI</t>
  </si>
  <si>
    <t>2079-3197</t>
  </si>
  <si>
    <t>Computation</t>
  </si>
  <si>
    <t>10.3390/computation11120246</t>
  </si>
  <si>
    <t>Mathematics, Interdisciplinary Applications</t>
  </si>
  <si>
    <t>DH8Z1</t>
  </si>
  <si>
    <t>WOS:001131244200001</t>
  </si>
  <si>
    <t>Ororbia, AG; Kelly, MA</t>
  </si>
  <si>
    <t>Ororbia, Alexander G.; Kelly, M. Alex</t>
  </si>
  <si>
    <t>Maze Learning Using a Hyperdimensional Predictive Processing Cognitive Architecture</t>
  </si>
  <si>
    <t>Cognitive architectures; Predictive processing; Memory</t>
  </si>
  <si>
    <t>We present the COGnitive Neural GENerative system (CogNGen), a cognitive architecture that combines two neurobiologically-plausible, computational models: predictive processing and hyperdimensional/vector-symbolic models. We draw inspiration from architectures such as ACT-R and Spaun/Nengo. CogNGen is in broad agreement with these, providing a level of detail between ACT-R's highlevel symbolic description of human cognition and Spaun's low-level neurobiological description, furthermore creating the groundwork for designing agents that learn continually from diverse tasks and model human performance at larger scales than what is possible with current systems. We test CogNGen on four maze-learning tasks, including those that test memory and planning, and find that CogNGen matches performance of deep reinforcement learning models and exceeds on a task designed to test memory.</t>
  </si>
  <si>
    <t>[Ororbia, Alexander G.] Rochester Inst Technol, Rochester, NY 14623 USA; [Kelly, M. Alex] Carleton Univ, Ottawa, ON K1S 5B6, Canada</t>
  </si>
  <si>
    <t>Rochester Institute of Technology; Carleton University</t>
  </si>
  <si>
    <t>Ororbia, AG (corresponding author), Rochester Inst Technol, Rochester, NY 14623 USA.</t>
  </si>
  <si>
    <t>ago@cs.rit.edu; alex.kelly@carleton.ca</t>
  </si>
  <si>
    <t>Ororbia, Alexander/0000-0002-2590-1310; Kelly, Mary Alexandria/0000-0002-6541-2992</t>
  </si>
  <si>
    <t>10.1007/978-3-031-19907-3_31</t>
  </si>
  <si>
    <t>WOS:000971476600031</t>
  </si>
  <si>
    <t>Rodman, E</t>
  </si>
  <si>
    <t>Rodman, Emma</t>
  </si>
  <si>
    <t>On Political Theory and Large Language Models</t>
  </si>
  <si>
    <t>POLITICAL THEORY</t>
  </si>
  <si>
    <t>methodology in political theory; creativity; judgment; computational linguistics; text-as-data</t>
  </si>
  <si>
    <t>SOCIAL MEDIA; THOUGHT</t>
  </si>
  <si>
    <t>Political theory as a discipline has long been skeptical of computational methods. In this paper, I argue that it is time for theory to make a perspectival shift on these methods. Specifically, we should consider integrating recently developed generative large language models like GPT-4 as tools to support our creative work as theorists. Ultimately, I suggest that political theorists should embrace this technology as a method of supporting our capacity for creativity-but that we should do so in a way that is mindful of the content and value of theorizing, the technical constraints of the models, and the ethical questions that the technology raises.</t>
  </si>
  <si>
    <t>[Rodman, Emma] Univ Massachusetts Lowell, Dept Polit Sci, Lowell, MA USA; [Rodman, Emma] Univ Massachusetts Lowell, Dept Polit Sci, Dugan Hall,Suite 201,883 Broadway St, Lowell, MA 01854 USA</t>
  </si>
  <si>
    <t>University of Massachusetts System; University of Massachusetts Lowell; University of Massachusetts System; University of Massachusetts Lowell</t>
  </si>
  <si>
    <t>Rodman, E (corresponding author), Univ Massachusetts Lowell, Dept Polit Sci, Dugan Hall,Suite 201,883 Broadway St, Lowell, MA 01854 USA.</t>
  </si>
  <si>
    <t>emma_rodman@uml.edu</t>
  </si>
  <si>
    <t>The paper was greatly improved by comments and suggestions from the editors and reviewers at Political Theory, as well as from audience members at the Western Political Science Association conference and the Politics and Computational Soci</t>
  </si>
  <si>
    <t>The paper was greatly improved by comments and suggestions from the editors and reviewers at Political Theory, as well as from audience members at the Western Political Science Association conference and the Politics and Computational Social Science conference. Tom Arnold-Forster, Anna Daily, Lisa Gilson, E. Stephen Kehlenbach, Greg Koutnik, Alison McQueen, Christopher Rytting, Noah Stengl, Liz Taylor, Seth Trenchard, Jack Turner, and John Wilkerson also gave helpful suggestions and encouragement. I am especially grateful for the close attention Phil Yaure gave to the manuscript in its early stages and for the rare confluence of theorists and methodologists who came together to workshop a later draft at the University of Wisconsin - Madison. AI Disclosure: GPT-3 was used to produce examples in this work, as noted, as well as to brainstorm ideas, poems, and motivational speeches throughout the writing process. No language presented as my own in the final version was generated by AI.</t>
  </si>
  <si>
    <t>0090-5917</t>
  </si>
  <si>
    <t>1552-7476</t>
  </si>
  <si>
    <t>POLIT THEORY</t>
  </si>
  <si>
    <t>Polit. Theory</t>
  </si>
  <si>
    <t>10.1177/00905917231200826</t>
  </si>
  <si>
    <t>U8CP1</t>
  </si>
  <si>
    <t>WOS:001087029700001</t>
  </si>
  <si>
    <t>Xie, H; Li, ZH; Wang, H; Zhang, LF; Wang, L</t>
  </si>
  <si>
    <t>Xie, Hao; Li, Zi-Hang; Wang, Han; Zhang, Linfeng; Wang, Lei</t>
  </si>
  <si>
    <t>Deep Variational Free Energy Approach to Dense Hydrogen</t>
  </si>
  <si>
    <t>PHYSICAL REVIEW LETTERS</t>
  </si>
  <si>
    <t>EQUATION-OF-STATE</t>
  </si>
  <si>
    <t>We developed a deep generative model-based variational free energy approach to the equations of state of dense hydrogen. We employ a normalizing flow network to model the proton Boltzmann distribution and a fermionic neural network to model the electron wave function at given proton positions. By jointly optimizing the two neural networks we reached a comparable variational free energy to the previous coupled electron-ion Monte Carlo calculation. The predicted equation of state of dense hydrogen under planetary conditions is denser than the findings of ab initio molecular dynamics calculation and empirical chemical model. Moreover, direct access to the entropy and free energy of dense hydrogen opens new opportunities in planetary modeling and high-pressure physics research.</t>
  </si>
  <si>
    <t>[Xie, Hao; Li, Zi-Hang; Wang, Lei] Chinese Acad Sci, Beijing Natl Lab Condensed Matter Phys, Beijing 100190, Peoples R China; [Xie, Hao; Li, Zi-Hang; Wang, Lei] Chinese Acad Sci, Inst Phys, Beijing 100190, Peoples R China; [Xie, Hao; Li, Zi-Hang] Univ Chinese Acad Sci, Sch Phys Sci, Beijing 100190, Peoples R China; [Wang, Han] Inst Appl Phys &amp; Computat Math, Lab Computat Phys, Fenghao East Rd 2, Beijing 100094, Peoples R China; [Zhang, Linfeng] DP Technol, Beijing 100080, Peoples R China; [Zhang, Linfeng] AI Sci Inst, Beijing 100080, Peoples R China; [Wang, Lei] Songshan Lake Mat Lab, Dongguan 523808, Guangdong, Peoples R China</t>
  </si>
  <si>
    <t>Chinese Academy of Sciences; Chinese Academy of Sciences; Institute of Physics, CAS; Chinese Academy of Sciences; University of Chinese Academy of Sciences, CAS; Songshan Lake Materials Laboratory</t>
  </si>
  <si>
    <t>Wang, H (corresponding author), Inst Appl Phys &amp; Computat Math, Lab Computat Phys, Fenghao East Rd 2, Beijing 100094, Peoples R China.;Zhang, LF (corresponding author), DP Technol, Beijing 100080, Peoples R China.;Zhang, LF (corresponding author), AI Sci Inst, Beijing 100080, Peoples R China.;Wang, L (corresponding author), Songshan Lake Mat Lab, Dongguan 523808, Guangdong, Peoples R China.</t>
  </si>
  <si>
    <t>wang_han@iapcm.ac.cn; linfeng.zhang.zlf@gmail.com; wanglei@iphy.ac.cn</t>
  </si>
  <si>
    <t>Li, ZiHang/IZE-5602-2023; Wang, Han/B-9426-2013</t>
  </si>
  <si>
    <t>Wang, Han/0000-0001-5623-1148; Li, Zihang/0009-0009-5899-8284</t>
  </si>
  <si>
    <t>Strategic Priority Research Program of Chinese Academy of Sciences [XDB0500000, XDB30000000]; National Natural Science Foundation of China [92270107, 12188101, 12122103, T2225018, T2121001]; Huawei CSTT Project Learning Neural Physics Engines</t>
  </si>
  <si>
    <t>Strategic Priority Research Program of Chinese Academy of Sciences(Chinese Academy of Sciences); National Natural Science Foundation of China(National Natural Science Foundation of China (NSFC)); Huawei CSTT Project Learning Neural Physics Engines(Huawei Technologies)</t>
  </si>
  <si>
    <t>We thank Xinyu Li, Qi Yang, and Xing-Yu Zhang for their support of computational resources. We thank Guglielmo Mazzola, Mohan Chen, Xinguo Ren, and Quansheng Wu for useful discussions. This project is supported by the Strategic Priority Research Program of Chinese Academy of Sciences under Grants No. XDB0500000 and No. XDB30000000, and National Natural Science Foundation of China under Grants No. 92270107, No. 12188101, No. 12122103, No. T2225018, and No. T2121001. This work is also supported in part by Huawei CSTT Project Learning Neural Physics Engines.</t>
  </si>
  <si>
    <t>0031-9007</t>
  </si>
  <si>
    <t>1079-7114</t>
  </si>
  <si>
    <t>PHYS REV LETT</t>
  </si>
  <si>
    <t>Phys. Rev. Lett.</t>
  </si>
  <si>
    <t>SEP 22</t>
  </si>
  <si>
    <t>10.1103/PhysRevLett.131.126501</t>
  </si>
  <si>
    <t>HY0F1</t>
  </si>
  <si>
    <t>WOS:001162946100001</t>
  </si>
  <si>
    <t>Kanazawa, T; Gupta, C</t>
  </si>
  <si>
    <t>Iliadis, L; Papaleonidas, A; Angelov, P; Jayne, C</t>
  </si>
  <si>
    <t>Kanazawa, Takuya; Gupta, Chetan</t>
  </si>
  <si>
    <t>Latent-Conditioned Policy Gradient for Multi-Objective Deep Reinforcement Learning</t>
  </si>
  <si>
    <t>ARTIFICIAL NEURAL NETWORKS AND MACHINE LEARNING, ICANN 2023, PT VI</t>
  </si>
  <si>
    <t>32nd International Conference on Artificial Neural Networks (ICANN)</t>
  </si>
  <si>
    <t>Heraklion, GREECE</t>
  </si>
  <si>
    <t>Deep reinforcement learning; multi-objective optimization; Pareto frontier; policy gradient theorem; implicit generative network</t>
  </si>
  <si>
    <t>OPTIMIZATION; ALGORITHMS</t>
  </si>
  <si>
    <t>Sequential decision making in the real world often requires finding a good balance of conflicting objectives. In general, there exist a plethora of Pareto-optimal policies that embody different patterns of compromises between objectives, and it is technically challenging to obtain them exhaustively using deep neural networks. In this work, we propose a novel multi-objective reinforcement learning (MORL) algorithm that trains a single neural network via policy gradient to approximately obtain the entire Pareto set in a single run of training, without relying on linear scalarization of objectives. The proposed method works in both continuous and discrete action spaces with no design change of the policy network. Numerical experiments demonstrate the practicality and efficacy of our approach in comparison to standard MORL baselines.</t>
  </si>
  <si>
    <t>[Kanazawa, Takuya] Hitachi Ltd, Res &amp; Dev Grp, Kokubunji, Tokyo 1858601, Japan; [Gupta, Chetan] Hitachi Amer Ltd R&amp;D, Ind AI Lab, Santa Clara, CA 95054 USA</t>
  </si>
  <si>
    <t>Hitachi Limited</t>
  </si>
  <si>
    <t>Kanazawa, T (corresponding author), Hitachi Ltd, Res &amp; Dev Grp, Kokubunji, Tokyo 1858601, Japan.</t>
  </si>
  <si>
    <t>takuya.kanazawa.cz@hitachi.com; chetan.gupta@hal.hitachi.com</t>
  </si>
  <si>
    <t>978-3-031-44222-3; 978-3-031-44223-0</t>
  </si>
  <si>
    <t>10.1007/978-3-031-44223-0_6</t>
  </si>
  <si>
    <t>BW4XV</t>
  </si>
  <si>
    <t>WOS:001156951000006</t>
  </si>
  <si>
    <t>Du, HY; Jiang, DJ; Zhang, OD; Wu, ZX; Gao, JB; Zhang, XJ; Wang, XR; Deng, YF; Kang, Y; Li, D; Pan, PC; Hsieh, CY; Hou, TJ</t>
  </si>
  <si>
    <t>Du, Hongyan; Jiang, Dejun; Zhang, Odin; Wu, Zhenxing; Gao, Junbo; Zhang, Xujun; Wang, Xiaorui; Deng, Yafeng; Kang, Yu; Li, Dan; Pan, Peichen; Hsieh, Chang-Yu; Hou, Tingjun</t>
  </si>
  <si>
    <t>A flexible data-free framework for structure-based de novo drug design with reinforcement learning</t>
  </si>
  <si>
    <t>DISCOVERY; OPTIMIZATION; ACCURATE; DOCKING</t>
  </si>
  <si>
    <t>Contemporary structure-based molecular generative methods have demonstrated their potential to model the geometric and energetic complementarity between ligands and receptors, thereby facilitating the design of molecules with favorable binding affinity and target specificity. Despite the introduction of deep generative models for molecular generation, the atom-wise generation paradigm that partially contradicts chemical intuition limits the validity and synthetic accessibility of the generated molecules. Additionally, the dependence of deep learning models on large-scale structural data has hindered their adaptability across different targets. To overcome these challenges, we present a novel search-based framework, 3D-MCTS, for structure-based de novo drug design. Distinct from prevailing atom-centric methods, 3D-MCTS employs a fragment-based molecular editing strategy. The fragments decomposed from small-molecule drugs are recombined under predefined retrosynthetic rules, offering improved drug-likeness and synthesizability, overcoming the inherent limitations of atom-based approaches. Leveraging multi-threaded parallel simulations combined with a real-time energy constraint-based pruning strategy, 3D-MCTS achieves remarkable efficiency. At a fixed computational cost, it outperforms other state-of-the-art (SOTA) methods by producing molecules with enhanced binding affinity. Furthermore, its fragment-based approach ensures the generation of more dependable binding conformations, exhibiting a success rate 43.6% higher than that of other SOTAs. This advantage becomes even more pronounced when handling targets that significantly deviate from the training dataset. 3D-MCTS is capable of achieving thirty times more hits with high binding affinity than traditional virtual screening methods, which demonstrates the superior ability of 3D-MCTS to explore chemical space. Moreover, the flexibility of our framework makes it easy to incorporate domain knowledge during the process, thereby enabling the generation of molecules with desirable pharmacophores and enhanced binding affinity. The adaptability of 3D-MCTS is further showcased in metalloprotein applications, highlighting its potential across various drug design scenarios.</t>
  </si>
  <si>
    <t>[Du, Hongyan; Jiang, Dejun; Zhang, Odin; Wu, Zhenxing; Gao, Junbo; Zhang, Xujun; Kang, Yu; Li, Dan; Pan, Peichen; Hsieh, Chang-Yu; Hou, Tingjun] Zhejiang Univ, Coll Pharmaceut Sci, Hangzhou 310058, Zhejiang, Peoples R China; [Wang, Xiaorui; Deng, Yafeng] Hangzhou Carbonsilicon AI Technol Co Ltd, Hangzhou 310018, Zhejiang, Peoples R China; [Wang, Xiaorui] Macau Univ Sci &amp; Technol, Macau Inst Appl Res Med &amp; Hlth, Dr Nehers Biophys Lab Innovat Drug Discovery, State Key Lab Qual Res Chinese Med, Taipa 999078, Macao, Peoples R China</t>
  </si>
  <si>
    <t>Zhejiang University; Macau University of Science &amp; Technology</t>
  </si>
  <si>
    <t>Pan, PC; Hsieh, CY; Hou, TJ (corresponding author), Zhejiang Univ, Coll Pharmaceut Sci, Hangzhou 310058, Zhejiang, Peoples R China.</t>
  </si>
  <si>
    <t>panpeichen@zju.edu.cn; kimhsieh@zju.edu.cn; ingjunhou@zju.edu.cn</t>
  </si>
  <si>
    <t>WANG, YILUN/KFB-0627-2024; Wang, Yibin/KEZ-9645-2024; Ma, Wei/JXY-5019-2024; Wang, Yifan/KDO-8319-2024; Wang, Ling/AGR-4917-2022; xiang, wei/JXL-3308-2024; Li, Chun/KBC-9591-2024; Liu, Song/KCX-6842-2024; Hou, Tingjun/C-7492-2011; WANG, YUHAO/KBB-0213-2024; xu, lingzhi/JVZ-8748-2024; Liu, Fuyi/KDO-6120-2024; Wang, Ling/KBA-9814-2024; Li, Fan/KBB-8931-2024; li, xinyi/KEI-6391-2024; li, fang/KDO-8841-2024; li, yuan/KBQ-4200-2024; Zhang, Tianxi/KEH-5921-2024; WU, ZHEN/GRN-7688-2022; Chen, Yu/JLL-0171-2023; LI, HAO/KBD-0866-2024; yu, hui/KDO-3946-2024; chen, huan/KEC-2019-2024; wang, yue/KDO-9209-2024; Kang, Yu/L-2912-2013</t>
  </si>
  <si>
    <t>Ma, Wei/0000-0002-7344-998X; Wang, Ling/0000-0003-0272-2974; Wang, Ling/0000-0003-0272-2974; WU, ZHEN/0000-0001-8719-057X; Kang, Yu/0000-0002-0999-8802; Pan, Peichen/0000-0003-1152-7759</t>
  </si>
  <si>
    <t>This work was financially supported by the National Key Research and Development Program of China (2021YFE0206400), National Natural Science Foundation of China (22220102001, 92370130), and the Fundamental Research Funds for the Central Universities (226-2 [2021YFE0206400]; National Key Research and Development Program of China [22220102001, 92370130]; National Natural Science Foundation of China [226-2022-00220]; Fundamental Research Funds for the Central Universities</t>
  </si>
  <si>
    <t>This work was financially supported by the National Key Research and Development Program of China (2021YFE0206400), National Natural Science Foundation of China (22220102001, 92370130), and the Fundamental Research Funds for the Central Universities (226-2; National Key Research and Development Program of China; National Natural Science Foundation of China(National Natural Science Foundation of China (NSFC)); Fundamental Research Funds for the Central Universities(Fundamental Research Funds for the Central Universities)</t>
  </si>
  <si>
    <t>This work was financially supported by the National Key Research and Development Program of China (2021YFE0206400), National Natural Science Foundation of China (22220102001, 92370130), and the Fundamental Research Funds for the Central Universities (226-2022-00220).</t>
  </si>
  <si>
    <t>10.1039/d3sc04091g</t>
  </si>
  <si>
    <t>W7ZN0</t>
  </si>
  <si>
    <t>WOS:001086470800001</t>
  </si>
  <si>
    <t>Xu, XG; Wang, Y; Wang, LW; Yu, B; Jia, JY</t>
  </si>
  <si>
    <t>Xu, Xiaogang; Wang, Yi; Wang, Liwei; Yu, Bei; Jia, Jiaya</t>
  </si>
  <si>
    <t>Conditional Temporal Variational AutoEncoder for Action Video Prediction</t>
  </si>
  <si>
    <t>Variational AutoEncoder; Action modeling; Temporal coherence; Adversarial learning</t>
  </si>
  <si>
    <t>To synthesize a realistic action sequence based on a single human image, it is crucial to model both motion patterns and diversity in the action video. This paper proposes an Action Conditional Temporal Variational AutoEncoder (ACT-VAE) to improve motion prediction accuracy and capture movement diversity. ACT-VAE predicts pose sequences for an action clip from a single input image. It is implemented as a deep generative model that maintains temporal coherence according to the action category with a novel temporal modeling on latent space. Further, ACT-VAE is a general action sequence prediction framework. When connected with a plug-and-play Pose-to-Image network, ACT-VAE can synthesize image sequences. Extensive experiments bear out our approach can predict accurate pose and synthesize realistic image sequences, surpassing state-of-the-art approaches. Compared to existing methods, ACT-VAE improves model accuracy and preserves diversity.</t>
  </si>
  <si>
    <t>[Xu, Xiaogang] Zhejiang Lab, Hangzhou, Zhejiang, Peoples R China; [Wang, Yi] Shanghai AI Lab, Shanghai, Peoples R China; [Wang, Liwei; Yu, Bei; Jia, Jiaya] Chinese Univ Hong Kong, Hong Kong, Peoples R China</t>
  </si>
  <si>
    <t>Zhejiang Laboratory; Shanghai Artificial Intelligence Laboratory; Chinese University of Hong Kong</t>
  </si>
  <si>
    <t>Xu, XG (corresponding author), Zhejiang Lab, Hangzhou, Zhejiang, Peoples R China.</t>
  </si>
  <si>
    <t>xgxu@zhejianglab.com; wangyi@pjlab.org.cn; lwwang@cse.cuhk.edu.hk; byu@cse.cuhk.edu.hk; leojia@cse.cuhk.edu.hk</t>
  </si>
  <si>
    <t>Key Research Project of Zhejiang Lab [K2022PG1BB01]; Research Project of Zhejiang Lab [2022PD0AC02]</t>
  </si>
  <si>
    <t>Key Research Project of Zhejiang Lab; Research Project of Zhejiang Lab</t>
  </si>
  <si>
    <t>This work is supported by Key Research Project of Zhejiang Lab (No. K2022PG1BB01). This work is also supported by Research Project of Zhejiang Lab (No.2022PD0AC02).</t>
  </si>
  <si>
    <t>10.1007/s11263-023-01832-8</t>
  </si>
  <si>
    <t>WOS:001009995500001</t>
  </si>
  <si>
    <t>Golchin, P; Zhou, CB; Agnihotri, P; Hajizadeh, M; Kundel, R; Steinmetz, R</t>
  </si>
  <si>
    <t>Golchin, Pegah; Zhou, Chengbo; Agnihotri, Pratyush; Hajizadeh, Mehrdad; Kundel, Ralf; Steinmetz, Ralf</t>
  </si>
  <si>
    <t>CML-IDS: Enhancing Intrusion Detection in SDN through Collaborative Machine Learning</t>
  </si>
  <si>
    <t>Intrusion Detection System; Machine Learning Models; P4 Switches; Software Defined Networking</t>
  </si>
  <si>
    <t>The centralized control plane in Software-Defined Networking (SDN) offers significant advancements in network management capabilities. However, SDN is also susceptible to cybersecurity risks and vulnerabilities. Deploying the Machine Learning (ML) approach in an Intrusion Detection System (IDS) can facilitate early detection of potential vulnerabilities. However, deploying an ML-based IDS solely in either the SDN control plane or the data plane has its benefits and drawbacks. For instance, a high-capacity ML model deployed in the control plane can enhance the detection performance but may increase network latency and the risk of overwhelming the control plane. In contrast, lightweight ML models deployed in the data plane could accelerate intrusion detection with lower detection performance. However, a functional IDS should provide a good detection performance at a line rate. To accomplish these objectives, we introduce a novel method called Collaborative ML-based IDS (CML-IDS), which involves deploying ML models in both the control and data planes to detect network attacks collaboratively. To facilitate this collaboration, we assess the confidence of the classification model, which is flexibly deployed within the programmable data plane. Our evaluation results demonstrate that the CML-IDS enhances the average intrusion detection performance to 93.46% and reduces the misclassification rate by 54.66% when compared to an IDS that solely relies on the ML model deployed in the data plane. Furthermore, CML-IDS effectively reduces network latency caused by forwarding flows to the control plane.</t>
  </si>
  <si>
    <t>[Golchin, Pegah; Zhou, Chengbo; Agnihotri, Pratyush; Kundel, Ralf; Steinmetz, Ralf] Tech Univ Darmstadt, Multimedia Commun Lab KOM, Darmstadt, Germany; [Hajizadeh, Mehrdad] Tech Univ Chemnitz, Commun Networks, Chemnitz, Germany</t>
  </si>
  <si>
    <t>Technical University of Darmstadt; Technische Universitat Chemnitz</t>
  </si>
  <si>
    <t>Golchin, P (corresponding author), Tech Univ Darmstadt, Multimedia Commun Lab KOM, Darmstadt, Germany.</t>
  </si>
  <si>
    <t>pegah.golchin@kom.tu-darmstadt.de</t>
  </si>
  <si>
    <t>Federal Ministry of Education and Research of Germany (BMBF) [01IS17050]; German Research Foundation (DFG); CELTIC-NEXT Flagship Project AI-NET-PROTECT</t>
  </si>
  <si>
    <t>Federal Ministry of Education and Research of Germany (BMBF)(Federal Ministry of Education &amp; Research (BMBF)); German Research Foundation (DFG)(German Research Foundation (DFG)); CELTIC-NEXT Flagship Project AI-NET-PROTECT</t>
  </si>
  <si>
    <t>This work is funded by the Federal Ministry of Education and Research of Germany (BMBF) through Software Campus Grant 01IS17050 (ML-based NIDS), the CELTIC-NEXT Flagship Project AI-NET-PROTECT and in parts by the German Research Foundation (DFG) within the Collaborative Research Center (CRC) 1053 MAKI.</t>
  </si>
  <si>
    <t>WOS:001117985100043</t>
  </si>
  <si>
    <t>Zhang, YX; He, RS; Yang, M; Wang, CL; Ai, B; Chen, RF; Wu, T</t>
  </si>
  <si>
    <t>Zhang, Yuxin; He, Ruisi; Yang, Mi; Wang, Chenlong; Ai, Bo; Chen, Ruifeng; Wu, Tong</t>
  </si>
  <si>
    <t>Deep Learning Based Cross Frequency Channel Reconstruction and Modeling</t>
  </si>
  <si>
    <t>2023 IEEE 98TH VEHICULAR TECHNOLOGY CONFERENCE, VTC2023-FALL</t>
  </si>
  <si>
    <t>IEEE Vehicular Technology Conference Proceedings</t>
  </si>
  <si>
    <t>98th IEEE Vehicular Technology Conference (VTC-Fall)</t>
  </si>
  <si>
    <t>OCT 10-13, 2023</t>
  </si>
  <si>
    <t>IEEE,IEEE VTS</t>
  </si>
  <si>
    <t>Wireless channel; deep learning; GAN; channel reconstruction</t>
  </si>
  <si>
    <t>Wireless channel modeling is widely considered as foundation of wireless communication system design. Sufficient and diverse channel data provides strong support for wireless channel characterization and modeling. However, channel data from real measurement is usually limited considering complexity of channel measurements for different scenarios and frequency bands. In this work, a deep learning-based cross-frequency channel generation and modeling framework is proposed. Without requiring a traditional parametric channel model, the proposed framework can generate realistic cross-frequency channels by employing generative adversarial networks. Based on vehicular channel measurement data, cross-frequency reconstruction performance of the proposed framework is validated by comparing characteristics of measured and reconstructed channels. It is also found that channel non-stationary characteristics can be well embodied in the reconstructed channels.</t>
  </si>
  <si>
    <t>[Zhang, Yuxin; He, Ruisi; Yang, Mi; Wang, Chenlong; Ai, Bo] Beijing Jiaotong Univ, State Key Lab Adv Rail Autonomous Operat, Beijing, Peoples R China; [Chen, Ruifeng] China Acad Railway Sci Co Ltd, Inst Comp Technol, Beijing, Peoples R China; [Wu, Tong] Natl Inst Metrol China, Beijing, Peoples R China</t>
  </si>
  <si>
    <t>Beijing Jiaotong University; National Institute of Metrology China</t>
  </si>
  <si>
    <t>He, RS (corresponding author), Beijing Jiaotong Univ, State Key Lab Adv Rail Autonomous Operat, Beijing, Peoples R China.</t>
  </si>
  <si>
    <t>National Key R&amp;D Program of China [2022YFF0608103]; National Natural Science Foundation of China [62271037, 62001519]; State Key Laboratory of Advanced Rail Autonomous Operation [RCS2022ZZ004]</t>
  </si>
  <si>
    <t>National Key R&amp;D Program of China; National Natural Science Foundation of China(National Natural Science Foundation of China (NSFC)); State Key Laboratory of Advanced Rail Autonomous Operation</t>
  </si>
  <si>
    <t>This work is supported by National Key R&amp;D Program of China under Grant 2022YFF0608103, National Natural Science Foundation of China under Grant 62271037 and 62001519, and the State Key Laboratory of Advanced Rail Autonomous Operation under Grant RCS2022ZZ004.</t>
  </si>
  <si>
    <t>2577-2465</t>
  </si>
  <si>
    <t>979-8-3503-2928-5</t>
  </si>
  <si>
    <t>IEEE VTS VEH TECHNOL</t>
  </si>
  <si>
    <t>10.1109/VTC2023-Fall60731.2023.10333643</t>
  </si>
  <si>
    <t>Automation &amp; Control Systems; Computer Science, Artificial Intelligence; Engineering, Electrical &amp; Electronic; Engineering, Mechanical</t>
  </si>
  <si>
    <t>BW2ZI</t>
  </si>
  <si>
    <t>WOS:001133762500254</t>
  </si>
  <si>
    <t>MaLP: Manipulation Localization Using a Proactive Scheme</t>
  </si>
  <si>
    <t>Advancements in the generation quality of various Generative Models (GMs) has made it necessary to not only perform binary manipulation detection but also localize the modified pixels in an image. However, prior works termed as passive for manipulation localization exhibit poor generalization performance over unseen GMs and attribute modifications. To combat this issue, we propose a proactive scheme for manipulation localization, termed MaLP. We encrypt the real images by adding a learned template. If the image is manipulated by any GM, this added protection from the template not only aids binary detection but also helps in identifying the pixels modified by the GM. The template is learned by leveraging local and global-level features estimated by a two-branch architecture. We show that MaLP performs better than prior passive works. We also show the generalizability of MaLP by testing on 22 different GMs, providing a benchmark for future research on manipulation localization. Finally, we show that MaLP can be used as a discriminator for improving the generation quality of GMs. Our models/codes are available at www.github.com/vishal3477/pro_loc.</t>
  </si>
  <si>
    <t>[Asnani, Vishal; Liu, Xiaoming] Michigan State Univ, E Lansing, MI 48824 USA; [Yin, Xi; Liu, Xiaoming] Meta AI, New York, NY USA</t>
  </si>
  <si>
    <t>Asnani, V (corresponding author), Michigan State Univ, E Lansing, MI 48824 USA.</t>
  </si>
  <si>
    <t>asnanivi@msu.edu; yinxi@meta.com; thassner@meta.com; liuxm@msu.edu</t>
  </si>
  <si>
    <t>10.1109/CVPR52729.2023.01188</t>
  </si>
  <si>
    <t>WOS:001062522104064</t>
  </si>
  <si>
    <t>Guyomard, V; Fessant, F; Guyet, T; Bouadi, T; Termier, A</t>
  </si>
  <si>
    <t>Guyomard, Victor; Fessant, Fracoise; Guyet, Thomas; Bouadi, Tassadit; Termier, Alexandre</t>
  </si>
  <si>
    <t>VCNet: A Self-explaining Model for Realistic Counterfactual Generation</t>
  </si>
  <si>
    <t>MACHINE LEARNING AND KNOWLEDGE DISCOVERY IN DATABASES, ECML PKDD 2022, PT I</t>
  </si>
  <si>
    <t>Interpretability; Counterfactual explanation; Realistic counterfactuals; Join training; Conditional VAE; Generative network</t>
  </si>
  <si>
    <t>Counterfactual explanation is a common class of methods to make local explanations of machine learning decisions. For a given instance, these methods aim to find the smallest modification of feature values that changes the predicted decision made by a machine learning model. One of the challenges of counterfactual explanation is the efficient generation of realistic counterfactuals. To address this challenge, we propose VCNet - Variational Counter Net - a model architecture that combines a predictor and a counterfactual generator that are jointly trained, for regression or classification tasks. VCNet is able to both generate predictions, and to generate counterfactual explanations without having to solve another minimisation problem. Our contribution is the generation of counterfactuals that are close to the distribution of the predicted class. This is done by learning a variational autoencoder conditionally to the output of the predictor in a join-training fashion. We present an empirical evaluation on tabular datasets and across several interpretability metrics. The results are competitive with the state-of-the-art method.</t>
  </si>
  <si>
    <t>[Guyomard, Victor; Fessant, Fracoise] Orange Labs, Lannion, France; [Guyomard, Victor; Bouadi, Tassadit; Termier, Alexandre] Univ Rennes, CNRS, Inria, IRISA, Rennes, France; [Guyet, Thomas] Ctr Lyon, Inria, Villeurbanne, France</t>
  </si>
  <si>
    <t>Orange SA; Universite de Rennes; Inria; Centre National de la Recherche Scientifique (CNRS); Institut National des Sciences Appliquees de Lyon - INSA Lyon; Inria</t>
  </si>
  <si>
    <t>Guyomard, V (corresponding author), Orange Labs, Lannion, France.;Guyomard, V (corresponding author), Univ Rennes, CNRS, Inria, IRISA, Rennes, France.</t>
  </si>
  <si>
    <t>victor.guyomard@orange.com</t>
  </si>
  <si>
    <t>Guyet, Thomas/0000-0002-4909-5843</t>
  </si>
  <si>
    <t>978-3-031-26386-6; 978-3-031-26387-3</t>
  </si>
  <si>
    <t>10.1007/978-3-031-26387-3_27</t>
  </si>
  <si>
    <t>BV1UB</t>
  </si>
  <si>
    <t>WOS:000999035400027</t>
  </si>
  <si>
    <t>Duan, YJ; Liu, X; Jatowt, A; Yu, HT; Lynden, S; Kim, KS; Matono, A</t>
  </si>
  <si>
    <t>Duan, Yijun; Liu, Xin; Jatowt, Adam; Yu, Hai-Tao; Lynden, Steven; Kim, Kyoung-Sook; Matono, Akiyoshi</t>
  </si>
  <si>
    <t>Anonymity can Help Minority: A Novel Synthetic Data Over-Sampling Strategy on Multi-label Graphs</t>
  </si>
  <si>
    <t>MACHINE LEARNING AND KNOWLEDGE DISCOVERY IN DATABASES, ECML PKDD 2022, PT II</t>
  </si>
  <si>
    <t>Imbalanced learning; Graph representation learning; Data over-sampling; Generative adversarial network</t>
  </si>
  <si>
    <t>In many real-world networks (e.g., social networks), nodes are associated with multiple labels and node classes are imbalanced, that is, some classes have significantly fewer samples than others. However, the research problem of imbalanced multi-label graph node classification remains unexplored. This non-trivial task challenges existing graph neural networks (GNNs) because the majority class could dominate the loss functions of GNNs and result in overfitting to those majority class features and label correlations. On non-graph data, minority over-sampling methods (such as SMOTE and its variants) have been demonstrated to be effective for the imbalanced data classification problem. This study proposes and validates a new hypothesis with unlabeled data oversampling, which is meaningless for imbalanced non-graph data; however, feature propagation and topological interplay mechanisms between graph nodes can facilitate representation learning of imbalanced graphs. Furthermore, we determine empirically that ensemble data synthesis through the creation of virtual minority samples in the central region of a minority, and the generation of virtual unlabeled samples in the boundary region between a minority and majority is the best practice for the imbalanced multi-label graph node classification task. Our proposed novel data over-sampling framework is evaluated using multiple real-word network datasets, and it outperforms diverse, strong benchmark models by a large margin.</t>
  </si>
  <si>
    <t>[Duan, Yijun; Liu, Xin; Lynden, Steven; Kim, Kyoung-Sook; Matono, Akiyoshi] AIST, AIRC, Tosu, Japan; [Jatowt, Adam] Univ Innsbruck, Dept Comp Sci, Innsbruck, Austria; [Yu, Hai-Tao] Univ Tsukuba, Fac Lib Informat &amp; Media Sci, Tsukuba, Japan</t>
  </si>
  <si>
    <t>National Institute of Advanced Industrial Science &amp; Technology (AIST); University of Innsbruck; University of Tsukuba</t>
  </si>
  <si>
    <t>Duan, YJ (corresponding author), AIST, AIRC, Tosu, Japan.</t>
  </si>
  <si>
    <t>yijun.duan@aist.go.jp; xin.liu@aist.go.jp; jatowt@acm.org; yuhaitao@slis.tsukuba.ac.jp; steven.lynden@aist.go.jp; ks.kim@aist.go.jp; a.matono@aist.go.jp</t>
  </si>
  <si>
    <t>MATONO, Akiyoshi/A-5537-2017; Kim, Kyoung-Sook/A-7768-2017</t>
  </si>
  <si>
    <t>New Energy and Industrial Technology Development Organization (NEDO) [JPNP20006]; JSPS [21K12042]</t>
  </si>
  <si>
    <t>New Energy and Industrial Technology Development Organization (NEDO)(New Energy and Industrial Technology Development Organization (NEDO)); JSPS(Ministry of Education, Culture, Sports, Science and Technology, Japan (MEXT)Japan Society for the Promotion of Science)</t>
  </si>
  <si>
    <t>This paper is based on results obtained from a project, JPNP20006, commissioned by the New Energy and Industrial Technology Development Organization (NEDO). We would also like to acknowledge partial support from JSPS Grant-in-Aid for Scientific Research (Grant Number 21K12042).</t>
  </si>
  <si>
    <t>978-3-031-26389-7; 978-3-031-26390-3</t>
  </si>
  <si>
    <t>10.1007/978-3-031-26390-3_2</t>
  </si>
  <si>
    <t>BV1UC</t>
  </si>
  <si>
    <t>WOS:000999041300002</t>
  </si>
  <si>
    <t>Si, J; Kim, S</t>
  </si>
  <si>
    <t>Si, Jongwook; Kim, Sungyoung</t>
  </si>
  <si>
    <t>PP-GAN: Style Transfer from Korean Portraits to ID Photos Using Landmark Extractor with GAN</t>
  </si>
  <si>
    <t>Style transfer; style synthesis; generative adversarial network (GAN); landmark extractor; ID photos; Korean portrait</t>
  </si>
  <si>
    <t>The objective of style transfer is to maintain the content of an image while transferring the style of another image. However, conventional methods face challenges in preserving facial features, especially in Korean portraits where elements like the Gat (a traditional Korean hat) are prevalent. This paper proposes a deep learning network designed to perform style transfer that includes the Gat while preserving the identity of the face. Unlike traditional style transfer techniques, the proposed method aims to preserve the texture, attire, and the Gat in the style image by employing image sharpening and face landmark, with the GAN. The color, texture, and intensity were extracted differently based on the characteristics of each block and layer of the pre-trained VGG-16, and only the necessary elements during training were preserved using a facial landmark mask. The head area was presented using the eyebrow area to transfer the Gat. Furthermore, the identity of the face was retained, and style correlation was considered based on the Gram matrix. To evaluate performance, we introduced a metric using PSNR and SSIM, with an emphasis on median values through new weightings for style transfer in Korean portraits. Additionally, we have conducted a survey that evaluated the content, style, and naturalness of the transferred results, and based on the assessment, we can confidently conclude that our method to maintain the integrity of content surpasses the previous research. Our approach, enriched by landmarks preservation and diverse loss functions, including those related to Gat, outperformed previous researches in facial identity preservation.</t>
  </si>
  <si>
    <t>[Si, Jongwook] Kumoh Natl Inst Technol, Dept Comp AI Convergence Engn, Gumi 39177, South Korea; [Kim, Sungyoung] Kumoh Natl Inst Technol, Dept Comp Engn, Gumi 39177, South Korea</t>
  </si>
  <si>
    <t>Kumoh National University Technology; Kumoh National University Technology</t>
  </si>
  <si>
    <t>Kim, S (corresponding author), Kumoh Natl Inst Technol, Dept Comp Engn, Gumi 39177, South Korea.</t>
  </si>
  <si>
    <t>sykim@kumoh.ac.kr</t>
  </si>
  <si>
    <t>10.32604/cmc.2023.043797</t>
  </si>
  <si>
    <t>HA7L5</t>
  </si>
  <si>
    <t>WOS:001156830100022</t>
  </si>
  <si>
    <t>He, XZ; Bharaj, G; Ferman, D; Rhodin, H; Garrido, P</t>
  </si>
  <si>
    <t>He, Xingzhe; Bharaj, Gaurav; Ferman, David; Rhodin, Helge; Garrido, Pablo</t>
  </si>
  <si>
    <t>Few-shot Geometry-Aware Keypoint Localization</t>
  </si>
  <si>
    <t>POSE</t>
  </si>
  <si>
    <t>Supervised keypoint localization methods rely on large manually labeled image datasets, where objects can deform, articulate, or occlude. However, creating such large keypoint labels is time-consuming and costly, and is often error-prone due to inconsistent labeling. Thus, we desire an approach that can learn keypoint localization with fewer yet consistently annotated images. To this end, we present a novel formulation that learns to localize semantically consistent keypoint definitions, even for occluded regions, for varying object categories. We use a few user-labeled 2D images as input examples, which are extended via self-supervision using a larger unlabeled dataset. Unlike unsupervised methods, the few-shot images act as semantic shape constraints for object localization. Furthermore, we introduce 3D geometry-aware constraints to uplift keypoints, achieving more accurate 2D localization. Our general-purpose formulation paves the way for semantically conditioned generative modeling and attains competitive or state-of-the-art accuracy on several datasets, including human faces, eyes, animals, cars, and never-before-seen mouth interior (teeth) localization tasks, not attempted by the previous few-shot methods. Project page: https://xingzhehe.github.io/FewShot3DKP/</t>
  </si>
  <si>
    <t>[He, Xingzhe; Rhodin, Helge] Univ British Columbia, Vancouver, BC, Canada; [Bharaj, Gaurav; Ferman, David; Garrido, Pablo] Flawless AI, Santa Monica, CA USA</t>
  </si>
  <si>
    <t>University of British Columbia</t>
  </si>
  <si>
    <t>He, XZ (corresponding author), Univ British Columbia, Vancouver, BC, Canada.</t>
  </si>
  <si>
    <t>10.1109/CVPR52729.2023.02044</t>
  </si>
  <si>
    <t>WOS:001062531305065</t>
  </si>
  <si>
    <t>Lindermayr, J; Odabasi, C; Völk, M; Chen, YT; Bormann, R; Huber, MF</t>
  </si>
  <si>
    <t>Corke, P; Detry, R; Weibel, JB; Christensen, HI; Vincze, M</t>
  </si>
  <si>
    <t>Lindermayr, Jochen; Odabasi, Cagatay; Voelk, Markus; Chen, Yitian; Bormann, Richard; Huber, Marco F.</t>
  </si>
  <si>
    <t>SynthRetailProduct3D (SyRePro3D): A Pipeline for Synthesis of 3D Retail Product Models with Domain Specific Details Based on Package Class Templates</t>
  </si>
  <si>
    <t>COMPUTER VISION SYSTEMS, ICVS 2023</t>
  </si>
  <si>
    <t>14th International Conference on Computer Vision Systems (ICVS)</t>
  </si>
  <si>
    <t>3D Model; Synthetic; Retail Automation; Robotics</t>
  </si>
  <si>
    <t>This research paper presents a novel pipeline for synthesizing high-quality, textured 3D models of retail products, addressing the limitations of existing datasets in the retail automation domain. As retail automation continues to revolutionize various aspects of business operations, there is a growing need for comprehensive and domain-specific datasets to enable the development and evaluation of robust perception systems. However, current datasets lack the necessary variety and size, often containing only a fraction of the products offered by retail companies and failing to capture domain-specific characteristics. To overcome these limitations, we introduce a modular pipeline that focuses on the synthesis of 3D models with high-resolution textures. Unlike previous methods that prioritize visually appealing shapes, our pipeline explicitly incorporates retail domain-specific details, including readable text, logos, codes, and nutrition tables, in the texture of the models. By disentangling the texturing process from shape augmentation, we ensure the visual quality of text areas, providing realistic and readable representations of retail products. In our methodology, we leverage state-of-the-art generative image models to add retail domain-specific details to the 3D models. Our approach enables the synthesis of diverse retail product packages with accurate textures, enhancing the realism and applicability of the generated models for the development and evaluation of perception systems in retail automation and robotics. Experimental results demonstrate the effectiveness and visual quality of models generated by our pipeline.</t>
  </si>
  <si>
    <t>[Lindermayr, Jochen; Odabasi, Cagatay; Voelk, Markus; Chen, Yitian; Bormann, Richard] Fraunhofer IPA, Dept Robot &amp; Assist Syst, D-70569 Stuttgart, Germany; [Huber, Marco F.] Univ Stuttgart, Dept Cyber Cognit Intelligence CCI, Fraunhofer IPA, D-70569 Stuttgart, Germany; [Huber, Marco F.] Univ Stuttgart, Inst Ind Mfg &amp; Management IFF, D-70569 Stuttgart, Germany</t>
  </si>
  <si>
    <t>University of Stuttgart; University of Stuttgart</t>
  </si>
  <si>
    <t>Lindermayr, J (corresponding author), Fraunhofer IPA, Dept Robot &amp; Assist Syst, D-70569 Stuttgart, Germany.</t>
  </si>
  <si>
    <t>jochen.lindermayr@ipa.fraunhofer.de; cagatay.odabasi@ipa.fraunhofer.de; markus.volk@ipa.fraunhofer.de; yitian.chen@ipa.fraunhofer.de; richard.bormann@ipa.fraunhofer.de; marco.huber@ieee.org</t>
  </si>
  <si>
    <t>Bormann, Richard/0000-0002-4546-3143</t>
  </si>
  <si>
    <t>German Ministry of Education and Research (BMBF) [01IS21061A]; German Federal Ministry for Economic Affairs and Climate Action (BMWK) [01MK20001G]; Baden-Wurttemberg Ministry of Economic Affairs, Labour and Tourism for the AI Innovation Center Learning Systems and Cognitive Robotics</t>
  </si>
  <si>
    <t>German Ministry of Education and Research (BMBF)(Federal Ministry of Education &amp; Research (BMBF)); German Federal Ministry for Economic Affairs and Climate Action (BMWK); Baden-Wurttemberg Ministry of Economic Affairs, Labour and Tourism for the AI Innovation Center Learning Systems and Cognitive Robotics</t>
  </si>
  <si>
    <t>This work has received funding from the German Ministry of Education and Research (BMBF) under grant agreement No 01IS21061A for the Sim4Dexterity project, the German Federal Ministry for Economic Affairs and Climate Action (BMWK) under grant agreement No 01MK20001G for the Knowledge4Retail project and the Baden-Wurttemberg Ministry of Economic Affairs, Labour and Tourism for the AI Innovation Center Learning Systems and Cognitive Robotics.</t>
  </si>
  <si>
    <t>978-3-031-44136-3; 978-3-031-44137-0</t>
  </si>
  <si>
    <t>10.1007/978-3-031-44137-0_20</t>
  </si>
  <si>
    <t>Computer Science, Artificial Intelligence; Computer Science, Interdisciplinary Applications; Imaging Science &amp; Photographic Technology</t>
  </si>
  <si>
    <t>BW5HP</t>
  </si>
  <si>
    <t>WOS:001160756900020</t>
  </si>
  <si>
    <t>Raj, S; Mathew, J; Mondal, A</t>
  </si>
  <si>
    <t>Raj, Surbhi; Mathew, Jimson; Mondal, Arijit</t>
  </si>
  <si>
    <t>FDT: A python toolkit for fake image and video detection</t>
  </si>
  <si>
    <t>SOFTWAREX</t>
  </si>
  <si>
    <t>Deepfake video; Generative Adversarial Networks (GANs); Fake Detection Tool (FDT); Copy-move; Splicing; Twitter</t>
  </si>
  <si>
    <t>With the advent of readily and widely available applications based on deepfake technology, several cybersecurity threats are on the rise. It is challenging to curtail these threats as deepfakes are realistic and very difficult to detect. The present work proposes a Fake Detection Tool (FDT) that streamlines the procedure of fake detection by incorporating various manipulation techniques and aids users in detecting and visualizing the same. The tool is also integrated with Twitter for streaming facial image posts based on hashtags. It provides an output dataframe and presents statistics of virality, sentiments, etc, using pie charts for better visualization. The proposed tool uses a wide variety of large-scale datasets for training to deal with the fakes in the wild and deploys models that are at par with the cutting-edge models. It is an efficient, user-friendly, and freely available software for fake detection. The source code of the FDT package toolkit is available at https://github.com/surbhiraj786/GUI_Fake-Detection.(c) 2023 The Authors. Published by Elsevier B.V. This is an open access article under the CC BY license (http://creativecommons.org/licenses/by/4.0/).</t>
  </si>
  <si>
    <t>[Raj, Surbhi; Mathew, Jimson; Mondal, Arijit] Indian Inst Technol Patna, Patna, India</t>
  </si>
  <si>
    <t>Indian Institute of Technology (IIT) - Patna; Indian Institute of Technology System (IIT System)</t>
  </si>
  <si>
    <t>Raj, S (corresponding author), Indian Inst Technol Patna, Patna, India.</t>
  </si>
  <si>
    <t>surbhi_2021cs36@iitp.ac.in</t>
  </si>
  <si>
    <t>Ministry of Home Affairs, Government of India</t>
  </si>
  <si>
    <t>Ministry of Home Affairs, Government of India(Ministry of Home Affairs (MHA), Government of India)</t>
  </si>
  <si>
    <t>This software package is supported through the project, Centre of Excellence in Cyber Crime Prevention against Women and Children-AI based Tools for Women and Children Safety, from Ministry of Home Affairs, Government of India.</t>
  </si>
  <si>
    <t>2352-7110</t>
  </si>
  <si>
    <t>SoftwareX</t>
  </si>
  <si>
    <t>10.1016/j.softx.2023.101395</t>
  </si>
  <si>
    <t>J0UP6</t>
  </si>
  <si>
    <t>WOS:001006846900001</t>
  </si>
  <si>
    <t>Dan, TT; Kim, M; Kim, WH; Wu, GR</t>
  </si>
  <si>
    <t>Dan, Tingting; Kim, Minjeong; Kim, Won Hwa; Wu, Guorong</t>
  </si>
  <si>
    <t>TauFlowNet: Uncovering Propagation Mechanism of Tau Aggregates by Neural Transport Equation</t>
  </si>
  <si>
    <t>MEDICAL IMAGE COMPUTING AND COMPUTER ASSISTED INTERVENTION, MICCAI 2023, PT III</t>
  </si>
  <si>
    <t>Deep neural network; Complex system; Variational analysis; Total variation; Alzheimer's disease</t>
  </si>
  <si>
    <t>NETWORK DIFFUSION-MODEL; PROGRESSION</t>
  </si>
  <si>
    <t>Alzheimer's disease (AD) is characterized by the propagation of tau aggregates throughout the brain in a prion-like manner. Tremendous efforts have been made to analyze the spatiotemporal propagation patterns of widespread tau aggregates. However, current works focus on the change of focal patterns in lieu of a system-level understanding of the tau propagation mechanism that can explain and forecast the cascade of tau accumulation. To fill this gap, we conceptualize that the intercellular spreading of tau pathology forms a dynamic system where brain region is ubiquitously wired with other nodes while interacting with the build-up of pathological burdens. In this context, we formulate the biological process of tau spreading in a principled potential energy transport model (constrained by brain network topology), which allows us to develop an explainable neural network for uncovering the spatiotemporal dynamics of tau propagation from the longitudinal tau-PET images. We first translate the transport equation into a backbone of graph neural network (GNN), where the spreading flows are essentially driven by the potential energy of tau accumulation at each node. Further, we introduce the total variation (TV) into the graph transport model to prevent the flow vanishing caused by the up down arrow(2)-norm regularization, where the nature of system's Euler-Lagrange equations is to maximize the spreading flow while minimizing the overall potential energy. On top of this min-max optimization scenario, we design a generative adversarial network (GAN) to depict the TV-based spreading flow of tau aggregates, coined TauFlowNet. We evaluate TauFlowNet on ADNI dataset in terms of the prediction accuracy of future tau accumulation and explore the propagation mechanism of tau aggregates as the disease progresses. Compared to current methods, our physics-informed method yields more accurate and interpretable results, demonstrating great potential in discovering novel neurobiological mechanisms.</t>
  </si>
  <si>
    <t>[Dan, Tingting; Wu, Guorong] Univ N Carolina, Dept Psychiat, Chapel Hill, NC 27599 USA; [Kim, Minjeong] Univ N Carolina, Dept Comp Sci, Greensboro, NC 27402 USA; [Kim, Won Hwa] POSTECH, Grad Sch AI, Comp Sci &amp; Engn, Pohang 37673, South Korea; [Wu, Guorong] Univ N Carolina, Dept Comp Sci, Chapel Hill, NC 27599 USA</t>
  </si>
  <si>
    <t>University of North Carolina; University of North Carolina Chapel Hill; University of North Carolina; University of North Carolina Greensboro; Pohang University of Science &amp; Technology (POSTECH); University of North Carolina; University of North Carolina Chapel Hill</t>
  </si>
  <si>
    <t>Wu, GR (corresponding author), Univ N Carolina, Dept Psychiat, Chapel Hill, NC 27599 USA.;Wu, GR (corresponding author), Univ N Carolina, Dept Comp Sci, Chapel Hill, NC 27599 USA.</t>
  </si>
  <si>
    <t>guorong_wu@med.unc.edu</t>
  </si>
  <si>
    <t>Korean government (MSIT) [IITP-2019-0-01906]; Foundation of Hope; NIH [R01AG068399, R03AG073927]</t>
  </si>
  <si>
    <t>Korean government (MSIT)(Ministry of Science &amp; ICT (MSIT), Republic of Korea); Foundation of Hope; NIH(United States Department of Health &amp; Human ServicesNational Institutes of Health (NIH) - USA)</t>
  </si>
  <si>
    <t>This work was supported by Foundation of Hope, NIH R01AG068399, NIH R03AG073927. Won Hwa Kim was partially supported by IITP-2019-0-01906 (AI Graduate Program at POSTECH) funded by the Korean government (MSIT).</t>
  </si>
  <si>
    <t>978-3-031-43897-4; 978-3-031-43898-1</t>
  </si>
  <si>
    <t>10.1007/978-3-031-43898-1_8</t>
  </si>
  <si>
    <t>BW1RG</t>
  </si>
  <si>
    <t>WOS:001109627700008</t>
  </si>
  <si>
    <t>Perche, S; Peytavie, A; Benes, B; Galin, E; Guérin, E</t>
  </si>
  <si>
    <t>Perche, Simon; Peytavie, Adrien; Benes, Bedrich; Galin, Eric; Guerin, Eric</t>
  </si>
  <si>
    <t>Authoring Terrains with Spatialised Style</t>
  </si>
  <si>
    <t>CCS Concepts; center dot Computing methodologies -&gt; Shape inference; Shape modeling</t>
  </si>
  <si>
    <t>Various terrain modelling methods have been proposed for the past decades, providing efficient and often interactive authoring tools. However, they seldom include any notion of style, which is critical for designers in the entertainment industry. We introduce a new generative network method that bridges the gap between automatic terrain synthesis and authoring, providing a versatile set of authoring tools allowing spatialised style. We build upon the StyleGAN2 architecture and extend it with authoring tools. Given an input sketch or existing elevation map, our method generates a terrain with features that can be authored, enhanced, and augmented using interactive brushes and style manipulation tools. The strength of our approach lies in the versatility and interoperability of the different tools. We validate our method quantitatively with drainage calculation against other previous techniques and qualitatively by asking users to follow a prompt or freely create a terrain.</t>
  </si>
  <si>
    <t>[Perche, Simon; Peytavie, Adrien; Galin, Eric; Guerin, Eric] Univ Lyon, INSA Lyon, UMR5205, CNRS,UCBL,LIRIS, F-69621 Villeurbanne, France; [Benes, Bedrich] Purdue Univ, W Lafayette, IN USA</t>
  </si>
  <si>
    <t>Institut National des Sciences Appliquees de Lyon - INSA Lyon; Centre National de la Recherche Scientifique (CNRS); Universite Claude Bernard Lyon 1; Purdue University System; Purdue University</t>
  </si>
  <si>
    <t>Perche, S (corresponding author), Univ Lyon, INSA Lyon, UMR5205, CNRS,UCBL,LIRIS, F-69621 Villeurbanne, France.</t>
  </si>
  <si>
    <t>Benes, Bedrich/A-8150-2016</t>
  </si>
  <si>
    <t>Benes, Bedrich/0000-0002-5293-2112; Perche, Simon/0000-0002-5380-6513; Guerin, Eric/0000-0002-2189-2728; Peytavie, Adrien/0000-0002-6994-9164; Galin, Eric/0000-0002-5946-4112</t>
  </si>
  <si>
    <t>Agence Nationale de la Recherche [AMPLI ANR-20-CE23-0001]; GENCI [2023-AD011013212R1]</t>
  </si>
  <si>
    <t>Agence Nationale de la Recherche(Agence Nationale de la Recherche (ANR)); GENCI</t>
  </si>
  <si>
    <t>This work is funded by the project AMPLI ANR-20-CE23-0001, supported by Agence Nationale de la Recherche. This work was granted access to the HPC/AI resources of IDRIS under the allocation 2023-AD011013212R1 made by GENCI.</t>
  </si>
  <si>
    <t>10.1111/cgf.14936</t>
  </si>
  <si>
    <t>EY6K8</t>
  </si>
  <si>
    <t>WOS:001099823600001</t>
  </si>
  <si>
    <t>Waibel, DJE; Röell, E; Rieck, B; Giryes, R; Marr, C</t>
  </si>
  <si>
    <t>Waibel, Dominik J. E.; Roeell, Ernst; Rieck, Bastian; Giryes, Raja; Marr, Carsten</t>
  </si>
  <si>
    <t>A DIFFUSION MODEL PREDICTS 3D SHAPES FROM 2D MICROSCOPY IMAGES</t>
  </si>
  <si>
    <t>2023 IEEE 20TH INTERNATIONAL SYMPOSIUM ON BIOMEDICAL IMAGING, ISBI</t>
  </si>
  <si>
    <t>IEEE International Symposium on Biomedical Imaging</t>
  </si>
  <si>
    <t>20th IEEE International Symposium on Biomedical Imaging (ISBI)</t>
  </si>
  <si>
    <t>APR 18-21, 2023</t>
  </si>
  <si>
    <t>Cartagena, COLOMBIA</t>
  </si>
  <si>
    <t>Inst Elect &amp; Elect Engineers,IEEE Signal Proc Soc,IEEE Engn Med &amp; Biol Soc,UCLouvain,Flywheel,Kitware,Siemens Healthineers,Asociacion Colombiana Radioogia,Clinica Foscal,Leo Cancer Care,Univ Rennes,Inserm,Lab Traitement Signal Image,MDPI, Appl Biosciences Journal,MDPI, Appl Sci Journal,Gracia,Int Drill Management Corp,Qual Mind,#We the Planet,Domaine,Univ So Calif</t>
  </si>
  <si>
    <t>Diffusion models are a special type of generative model, capable of synthesising new data from a learnt distribution. We introduce DISPR, a diffusion-based model for solving the inverse problem of three-dimensional (3D) cell shape prediction from two-dimensional (2D) single cell microscopy images. Using the 2D microscopy image as a prior, DISPR is conditioned to predict realistic 3D shape reconstructions. To showcase the applicability of DISPR as a data augmentation tool in a feature-based single cell classification task, we extract morphological features from the red blood cells grouped into six highly imbalanced classes. Adding features from the DISPR predictions to the three minority classes improved the macro F1 score from F1(macro) = 55.2 +/- 4.6% to F1(macro) = 72.2 +/- 4.9%. We thus demonstrate that diffusion models can be successfully applied to inverse biomedical problems, and that they learn to reconstruct 3D shapes with realistic morphological features from 2D microscopy images.</t>
  </si>
  <si>
    <t>[Waibel, Dominik J. E.; Roeell, Ernst; Rieck, Bastian; Marr, Carsten] Helmholtz Munich, Inst AI Hlth, German Res Ctr Environm Hlth, Neuherberg, Germany; [Roeell, Ernst; Rieck, Bastian] Tech Univ Munich, TUM Sch Computat Informat &amp; Technol, Munich, Germany; [Waibel, Dominik J. E.] Tech Univ Munich, TUM Sch Life Sci, Munich, Germany; [Giryes, Raja] Tel Aviv Univ, Fac Engn, Tel Aviv, Israel; [Waibel, Dominik J. E.] AstraZeneca Computat Pathol, Oncol R&amp;D, Munich, Germany</t>
  </si>
  <si>
    <t>Helmholtz Association; Helmholtz-Center Munich - German Research Center for Environmental Health; Technical University of Munich; Technical University of Munich; Tel Aviv University</t>
  </si>
  <si>
    <t>Rieck, B; Marr, C (corresponding author), Helmholtz Munich, Inst AI Hlth, German Res Ctr Environm Hlth, Neuherberg, Germany.;Rieck, B (corresponding author), Tech Univ Munich, TUM Sch Computat Informat &amp; Technol, Munich, Germany.;Giryes, R (corresponding author), Tel Aviv Univ, Fac Engn, Tel Aviv, Israel.</t>
  </si>
  <si>
    <t>Rieck, Bastian/0000-0003-4335-0302</t>
  </si>
  <si>
    <t>European Research Council (ERC) under the European Union [866411]</t>
  </si>
  <si>
    <t>European Research Council (ERC) under the European Union(European Research Council (ERC))</t>
  </si>
  <si>
    <t>Carsten Marr received funding from the European Research Council (ERC) under the European Union's Horizon 2020 Research and Innovation Programme (Grant Agreement 866411).</t>
  </si>
  <si>
    <t>1945-7928</t>
  </si>
  <si>
    <t>978-1-6654-7358-3</t>
  </si>
  <si>
    <t>I S BIOMED IMAGING</t>
  </si>
  <si>
    <t>10.1109/ISBI53787.2023.10230752</t>
  </si>
  <si>
    <t>Computer Science, Artificial Intelligence; Engineering, Biomedical; Radiology, Nuclear Medicine &amp; Medical Imaging</t>
  </si>
  <si>
    <t>BV6RK</t>
  </si>
  <si>
    <t>WOS:001062050500429</t>
  </si>
  <si>
    <t>Castillo, A; Escobar, M; Jeanneret, G; Pumarola, A; Arbeláez, P; Thabet, A; Sanakoyeu, A</t>
  </si>
  <si>
    <t>Castillo, Angela; Escobar, Maria; Jeanneret, Guillaume; Pumarola, Albert; Arbelaez, Pablo; Thabet, Ali; Sanakoyeu, Artsiom</t>
  </si>
  <si>
    <t>BoDiffusion: Diffusing Sparse Observations for Full-Body Human Motion Synthesis</t>
  </si>
  <si>
    <t>Mixed reality applications require tracking the user's full-body motion to enable an immersive experience. However, typical head-mounted devices can only track head and hand movements, leading to a limited reconstruction of full-body motion due to variability in lower body configurations. We propose BoDiffusion - a generative diffusion model for motion synthesis to tackle this under-constrained reconstruction problem. We present a time and space conditioning scheme that allows BoDiffusion to leverage sparse tracking inputs while generating smooth and realistic full-body motion sequences. To the best of our knowledge, this is the first approach that uses the reverse diffusion process to model full-body tracking as a conditional sequence generation task. We conduct experiments on the large-scale motion-capture dataset AMASS and show that our approach outperforms the state-of-the-art approaches by a significant margin in terms of full-body motion realism and joint reconstruction error.</t>
  </si>
  <si>
    <t>[Castillo, Angela; Escobar, Maria; Arbelaez, Pablo] Univ Los Andes, Ctr Res &amp; Format Artificial Intelligence, Santiago, Chile; [Jeanneret, Guillaume] Univ Caen Normandie, ENSICAEN, CNRS, Caen, France; [Pumarola, Albert; Thabet, Ali; Sanakoyeu, Artsiom] Meta AI, New York, NY USA</t>
  </si>
  <si>
    <t>Universidad de los Andes - Chile; Centre National de la Recherche Scientifique (CNRS); Universite de Caen Normandie</t>
  </si>
  <si>
    <t>Castillo, A (corresponding author), Univ Los Andes, Ctr Res &amp; Format Artificial Intelligence, Santiago, Chile.</t>
  </si>
  <si>
    <t>Agence Nationale pour la Recherche (ANR) [ANR-19-CHIA-0017]</t>
  </si>
  <si>
    <t>Agence Nationale pour la Recherche (ANR)(Agence Nationale de la Recherche (ANR))</t>
  </si>
  <si>
    <t>Research reported in this publication was supported by the Agence Nationale pour la Recherche (ANR) under award number ANR-19-CHIA-0017.</t>
  </si>
  <si>
    <t>10.1109/ICCVW60793.2023.00456</t>
  </si>
  <si>
    <t>WOS:001156680304035</t>
  </si>
  <si>
    <t>Lew, AJ; Stifler, CA; Cantamessa, A; Tits, A; Ruffoni, D; Gilbert, PUPA; Buehler, MJ</t>
  </si>
  <si>
    <t>Lew, Andrew J.; Stifler, Cayla A.; Cantamessa, Astrid; Tits, Alexandra; Ruffoni, Davide; Gilbert, Pupa U. P. A.; Buehler, Markus J.</t>
  </si>
  <si>
    <t>Deep learning virtual indenter maps nanoscale hardness rapidly and non-destructively, revealing mechanism and enhancing bioinspired design</t>
  </si>
  <si>
    <t>MATTER</t>
  </si>
  <si>
    <t>GENETIC ALGORITHMS; NANOINDENTATION</t>
  </si>
  <si>
    <t>Over evolution, organisms develop complex material structures fit to their environments. Based on these time-tested designs, hu-man-engineered bioinspired structures offer exciting possible ma-terials configurations. However, navigating diverse structure spaces for attaining desired properties remains non-trivial. We focus on the hardest biological tissue in humans, tooth enamel, to examine the structure-property relationship. While typical hardness measure-ments are time consuming and destructive, we propose that artifi-cial intelligence models can predict properties directly and enable high-throughput, non-destructive characterization. We train a deep image regression neural network as a surrogate model and visualize with gradient ascent and saliency maps to identify struc-tural features contributing most to hardness. This model demon-strates improved spatial resolution and sensitivity compared with experimental hardness maps. Using this rapid hardness testing model, a generative adversarial model, and a genetic algorithm that operates in latent space, allows for guided materials design, yielding proposed designs for bioinspired structures with precisely controlled hardness.</t>
  </si>
  <si>
    <t>[Lew, Andrew J.; Buehler, Markus J.] MIT, Lab Atomist &amp; Mol Mech LAMM, 77 Massachusetts Ave, Cambridge, MA 02139 USA; [Lew, Andrew J.] MIT, Dept Chem, 77 Massachusetts Ave, Cambridge, MA 02139 USA; [Stifler, Cayla A.] Univ Wisconsin, Dept Phys, Madison, WI 53706 USA; [Cantamessa, Astrid; Tits, Alexandra; Ruffoni, Davide] Univ Liege, Dept Aerosp &amp; Mech Engn, Mech Biol &amp; Bioinspired Mat Lab, B-4000 Liege, Belgium; [Gilbert, Pupa U. P. A.] Univ Wisconsin, Dept Chem, Madison, WI 53706 USA; [Gilbert, Pupa U. P. A.] Univ Wisconsin, Dept Mat Sci &amp; Engn, Geosci, Madison, WI 53706 USA; [Gilbert, Pupa U. P. A.] Lawrence Berkeley Natl Lab, Chem Sci Div, Berkeley, CA 94720 USA</t>
  </si>
  <si>
    <t>Massachusetts Institute of Technology (MIT); Massachusetts Institute of Technology (MIT); University of Wisconsin System; University of Wisconsin Madison; University of Liege; University of Wisconsin System; University of Wisconsin Madison; University of Wisconsin System; University of Wisconsin Madison; United States Department of Energy (DOE); Lawrence Berkeley National Laboratory</t>
  </si>
  <si>
    <t>Lew, Andrew/HRC-3700-2023; Buehler, Markus/C-4580-2008</t>
  </si>
  <si>
    <t>Lew, Andrew/0000-0002-4072-114X; Cantamessa, Astrid/0000-0001-8984-8531; Buehler, Markus/0000-0002-4173-9659</t>
  </si>
  <si>
    <t>NSF GRFP [1122374]; Office of Naval Research [N000141612333, N000141912375]; AFOSRMURI [FA9550-15-1-0514]; Army Research Office [W911NF1920098]; MIT -IBM Watson AI Lab; MIT Quest; Google Cloud Computing; Department of Energy, Basic Energy Science, Chemical Sciences, Geosciences, Biosciences, Geosciences (DOE-BES-CSGB-Geosciences) [DE-FG02- 07ER15899]; DOE-BES-CSGB-Geosciences at Lawrence Berkeley National Laboratory [FWP-FP00011135]; National Science Foundation (NSF) [DMR-2220274]; US DOE Office of Science User Facility [DE-AC02-05CH11231]</t>
  </si>
  <si>
    <t>NSF GRFP(National Science Foundation (NSF)NSF - Office of the Director (OD)); Office of Naval Research(Office of Naval Research); AFOSRMURI(United States Department of DefenseAir Force Office of Scientific Research (AFOSR)MURI); Army Research Office; MIT -IBM Watson AI Lab(International Business Machines (IBM)); MIT Quest; Google Cloud Computing; Department of Energy, Basic Energy Science, Chemical Sciences, Geosciences, Biosciences, Geosciences (DOE-BES-CSGB-Geosciences)(United States Department of Energy (DOE)); DOE-BES-CSGB-Geosciences at Lawrence Berkeley National Laboratory(United States Department of Energy (DOE)); National Science Foundation (NSF)(National Science Foundation (NSF)); US DOE Office of Science User Facility(United States Department of Energy (DOE))</t>
  </si>
  <si>
    <t>This material is based upon work supported by the NSF GRFP under grant no. 1122374. We acknowledge support by the Office of Naval Research (N000141612333 and N000141912375) , AFOSRMURI (FA9550-15-1-0514) , and the Army Research Office (W911NF1920098) . Related support from the MIT -IBM Watson AI Lab, MIT Quest, and Google Cloud Computing is acknowledged. P.U.P.A.G. received 40% support from the Department of Energy, Basic Energy Science, Chemical Sciences, Geosciences, Biosciences, Geosciences (DOE-BES-CSGB-Geosciences) grant DE-FG02- 07ER15899 at University of Wisconsin, 40% support from award FWP-FP00011135 also from DOE-BES-CSGB-Geosciences at Lawrence Berkeley National Laboratory, and 20% support from the National Science Foundation (NSF) , Biomaterials grant DMR-2220274. All PIC maps were acquired at the Advanced Light Source, a US DOE Office of Science User Facility under contract no. DE-AC02-05CH11231.</t>
  </si>
  <si>
    <t>2590-2393</t>
  </si>
  <si>
    <t>2590-2385</t>
  </si>
  <si>
    <t>MATTER-US</t>
  </si>
  <si>
    <t>Matter</t>
  </si>
  <si>
    <t>JUN 7</t>
  </si>
  <si>
    <t>10.1016/j.matt.2023.03.031</t>
  </si>
  <si>
    <t>Q9UO7</t>
  </si>
  <si>
    <t>WOS:001060897200001</t>
  </si>
  <si>
    <t>Mai, GC; Xuan, Y; Zuo, WY; He, YT; Song, JM; Ermon, S; Janowicz, K; Lao, N</t>
  </si>
  <si>
    <t>Mai, Gengchen; Xuan, Yao; Zuo, Wenyun; He, Yutong; Song, Jiaming; Ermon, Stefano; Janowicz, Krzysztof; Lao, Ni</t>
  </si>
  <si>
    <t>Sphere2Vec: A general-purpose location representation learning over a spherical surface for large-scale geospatial predictions</t>
  </si>
  <si>
    <t>ISPRS JOURNAL OF PHOTOGRAMMETRY AND REMOTE SENSING</t>
  </si>
  <si>
    <t>Spherical location encoding; Spatially explicit artificial intelligence; Map projection distortion; Geo-aware image classification; Fine-grained species recognition; Remote sensing image classification</t>
  </si>
  <si>
    <t>CLIMATE-CHANGE; NETWORK; GRAPH</t>
  </si>
  <si>
    <t>Generating learning-friendly representations for points in space is a fundamental and long-standing problem in machine learning. Recently, multi-scale encoding schemes (such as Space2Vec and NeRF) were proposed to directly encode any point in 2D or 3D Euclidean space as a high-dimensional vector, and has been successfully applied to various (geo)spatial prediction and generative tasks. However, all current 2D and 3D location encoders are designed to model point distances in Euclidean space. So when applied to large-scale real-world GPS coordinate datasets (e.g., species or satellite images taken all over the world), which require distance metric learning on the spherical surface, both types of models can fail due to the map projection distortion problem (2D) and the spherical-to-Euclidean distance approximation error (3D). To solve these problems, we propose a multi-scale location encoder called Sphere2Vec which can preserve spherical distances when encoding point coordinates on a spherical surface. We developed a unified view of distance-reserving encoding on spheres based on the Double Fourier Sphere (DFS). We also provide theoretical proof that the Sphere2Vec encoding preserves the spherical surface distance between any two points, while existing encoding schemes such as Space2Vec and NeRF do not. Experiments on 20 synthetic datasets show that Sphere2Vec can outperform all baseline models including the state-of-the-art (SOTA) 2D location encoder (i.e., Space2Vec) and 3D encoder NeRF on all these datasets with up to 30.8% error rate reduction. We then apply Sphere2Vec to three geo-aware image classification tasks -fine-grained species recognition, Flickr image recognition, and remote sensing image classification. Results on 7 real-world datasets show the superiority of Sphere2Vec over multiple 2D and 3D location encoders on all three tasks. Further analysis shows that Sphere2Vec outperforms other location encoder models, especially in the polar regions and data-sparse areas because of its nature for spherical surface distance preservation. Code and data of this work are available at https://gengchenmai.github.io/sphere2vec-website/.</t>
  </si>
  <si>
    <t>[Mai, Gengchen] Univ Georgia, Dept Geog, Spatially Explicit Artificial Intelligence Lab, Athens, GA 30602 USA; [Xuan, Yao] Univ Calif Santa Barbara, Dept Math, Santa Barbara, CA 93106 USA; [Zuo, Wenyun] Stanford Univ, Dept Biol, Stanford, CA 94305 USA; [He, Yutong; Song, Jiaming; Ermon, Stefano] Stanford Univ, Dept Comp Sci, Stanford, CA 94305 USA; [Mai, Gengchen; Janowicz, Krzysztof] Univ Calif Santa Barbara, Dept Geog, STKO Lab, Santa Barbara, CA 93106 USA; [Mai, Gengchen; Janowicz, Krzysztof] Univ Calif Santa Barbara, Ctr Spatial Studies, Santa Barbara, CA 93106 USA; [Janowicz, Krzysztof] Univ Vienna, Dept Geog &amp; Reg Res, A-1040 Vienna, Austria; [Lao, Ni] Mosaix Ai, Palo Alto, CA 93117 USA</t>
  </si>
  <si>
    <t>University System of Georgia; University of Georgia; University of California System; University of California Santa Barbara; Stanford University; Stanford University; University of California System; University of California Santa Barbara; University of California System; University of California Santa Barbara; University of Vienna</t>
  </si>
  <si>
    <t>Mai, GC (corresponding author), Univ Georgia, Dept Geog, Spatially Explicit Artificial Intelligence Lab, Athens, GA 30602 USA.</t>
  </si>
  <si>
    <t>gengchen.mai25@uga.edu</t>
  </si>
  <si>
    <t>Mai, Gengchen/ABF-8620-2020</t>
  </si>
  <si>
    <t>Mai, Gengchen/0000-0002-7818-7309</t>
  </si>
  <si>
    <t>National Science Foundation, United States [2033521 A1]; UCSB Schmidt Summer Research Accelerator Award; Microsoft AI for Earth Grant; Office of the Director of National Intelligence (ODNI); Intelligence Advanced Research Projects Activity (IARPA) [2021-2011000004]; Office of Research Internal Research Support Co-funding Grant at University of Georgia; National Science Foundation [1651565]; Air Force Office of Scientific Research (AFOSR) [FA95501910024]; Army Research Office, United States [W911NF-21-1-0125]; Sloan Fellowship; CZ Biohub</t>
  </si>
  <si>
    <t>National Science Foundation, United States(National Science Foundation (NSF)); UCSB Schmidt Summer Research Accelerator Award; Microsoft AI for Earth Grant(Microsoft); Office of the Director of National Intelligence (ODNI); Intelligence Advanced Research Projects Activity (IARPA); Office of Research Internal Research Support Co-funding Grant at University of Georgia; National Science Foundation(National Science Foundation (NSF)); Air Force Office of Scientific Research (AFOSR)(United States Department of DefenseAir Force Office of Scientific Research (AFOSR)); Army Research Office, United States; Sloan Fellowship(Alfred P. Sloan Foundation); CZ Biohub</t>
  </si>
  <si>
    <t>&amp; nbsp;This work is mainly funded by the National Science Foundation, United States under Grant No. 2033521 A1 - KnowWhereGraph: Enriching and Linking Cross-Domain Knowledge Graphs using Spatially-Explicit AI Technologies. Gengchen Mai acknowledges the support of UCSB Schmidt Summer Research Accelerator Award, Microsoft AI for Earth Grant, the Office of the Director of National Intelligence (ODNI), Intelligence Advanced Research Projects Activity (IARPA) via 2021-2011000004, and the Office of Research Internal Research Support Co-funding Grant at University of Georgia. Stefano Ermon acknowledges support from National Science Foundation (#1651565), Air Force Office of Scientific Research (AFOSR) (FA95501910024), Army Research Office, United States (W911NF-21-1-0125), Sloan Fellowship, and CZ Biohub. Any opinions, findings, conclusions, or recommendations expressed in this material are those of the authors and do not necessarily reflect the views of the National Science Foundation.</t>
  </si>
  <si>
    <t>0924-2716</t>
  </si>
  <si>
    <t>1872-8235</t>
  </si>
  <si>
    <t>ISPRS J PHOTOGRAMM</t>
  </si>
  <si>
    <t>ISPRS-J. Photogramm. Remote Sens.</t>
  </si>
  <si>
    <t>10.1016/j.isprsjprs.2023.06.016</t>
  </si>
  <si>
    <t>Geography, Physical; Geosciences, Multidisciplinary; Remote Sensing; Imaging Science &amp; Photographic Technology</t>
  </si>
  <si>
    <t>Physical Geography; Geology; Remote Sensing; Imaging Science &amp; Photographic Technology</t>
  </si>
  <si>
    <t>P2TW0</t>
  </si>
  <si>
    <t>WOS:001049224800001</t>
  </si>
  <si>
    <t>Bhunia, AK; Khan, S; Cholakkal, H; Anwer, RM; Laaksonen, J; Shah, M; Khan, FS</t>
  </si>
  <si>
    <t>Bhunia, Ankan Kumar; Khan, Salman; Cholakkal, Hisham; Anwer, Rao Muhammad; Laaksonen, Jorma; Shah, Mubarak; Khan, Fahad Shahbaz</t>
  </si>
  <si>
    <t>Person Image Synthesis via Denoising Diffusion Model</t>
  </si>
  <si>
    <t>The pose-guided person image generation task requires synthesizing photorealistic images of humans in arbitrary poses. The existing approaches use generative adversarial networks that do not necessarily maintain realistic textures or need dense correspondences that struggle to handle complex deformations and severe occlusions. In this work, we show how denoising diffusion models can be applied for high-fidelity person image synthesis with strong sample diversity and enhanced mode coverage of the learnt data distribution. Our proposed Person Image Diffusion Model (PIDM) disintegrates the complex transfer problem into a series of simpler forward-backward denoising steps. This helps in learning plausible source-to-target transformation trajectories that result in faithful textures and undistorted appearance details. We introduce a 'texture diffusion module' based on cross-attention to accurately model the correspondences between appearance and pose information available in source and target images. Further, we propose 'disentangled classifier-free guidance' to ensure close resemblance between the conditional inputs and the synthesized output in terms of both pose and appearance information. Our extensive results on two large-scale benchmarks and a user study demonstrate the photorealism of our proposed approach under challenging scenarios. We also show how our generated images can help in downstream tasks. Code is available at https://github.com/ankanbhunia/PIDM.</t>
  </si>
  <si>
    <t>[Bhunia, Ankan Kumar; Khan, Salman; Cholakkal, Hisham; Anwer, Rao Muhammad; Khan, Fahad Shahbaz] Mohamed bin Zayed Univ AI, Abu Dhabi, U Arab Emirates; [Khan, Salman] Australian Natl Univ, Canberra, ACT, Australia; [Khan, Fahad Shahbaz] Linkoping Univ, Linkoping, Sweden; [Anwer, Rao Muhammad; Laaksonen, Jorma] Aalto Univ, Espoo, Finland; [Shah, Mubarak] Univ Cent Florida, Orlando, FL USA</t>
  </si>
  <si>
    <t>Australian National University; Linkoping University; Aalto University; State University System of Florida; University of Central Florida</t>
  </si>
  <si>
    <t>Bhunia, AK (corresponding author), Mohamed bin Zayed Univ AI, Abu Dhabi, U Arab Emirates.</t>
  </si>
  <si>
    <t>Khan, Salman/M-4834-2016</t>
  </si>
  <si>
    <t>10.1109/CVPR52729.2023.00578</t>
  </si>
  <si>
    <t>WOS:001058542606031</t>
  </si>
  <si>
    <t>Tudi, MR; Na, JC; Liu, M; Chen, HJ; Dai, YQ; Yang, L</t>
  </si>
  <si>
    <t>Tudi, Manoj Reddy; Na, Jin-Cheon; Liu, Meky; Chen, Hongjin; Dai, Yiqing; Yang, Li</t>
  </si>
  <si>
    <t>Aspect-Based Sentiment Analysis of Racial Issues in Singapore: Enhancing Model Performance Using ChatGPT</t>
  </si>
  <si>
    <t>LEVERAGING GENERATIVE INTELLIGENCE IN DIGITAL LIBRARIES: TOWARDS HUMAN-MACHINE COLLABORATION, ICADL 2023, PT I</t>
  </si>
  <si>
    <t>Aspect-Based Sentiment Analysis (ABSA); Social Media Analysis; Racial Issues; Synthetic Data Generation; In-Context Learning; ChatGPT API</t>
  </si>
  <si>
    <t>This study employs Aspect-Based Sentiment Analysis (ABSA) and advanced AI methodologies to analyze public sentiment on racial issues in Singapore from 2018-2023. By utilizing synthetic data generation and In-Context Learning with ChatGPT API, we enhanced the performance of our ABSA model. Our findings highlight the utility of these methods in overcoming data imbalance and providing a comprehensive understanding of sentiment polarity associated with racially related aspect terms. Despite the higher cost of using sophisticated language models, the study underscores the potential of these techniques in offering nuanced insights into complex societal dynamics, illuminating a promising path for future research in sentiment analysis.</t>
  </si>
  <si>
    <t>[Tudi, Manoj Reddy; Na, Jin-Cheon; Liu, Meky; Chen, Hongjin; Dai, Yiqing; Yang, Li] Nanyang Technol Univ, Wee Kim Wee Sch Commun &amp; Informat, Singapore 637718, Singapore</t>
  </si>
  <si>
    <t>Tudi, MR (corresponding author), Nanyang Technol Univ, Wee Kim Wee Sch Commun &amp; Informat, Singapore 637718, Singapore.</t>
  </si>
  <si>
    <t>manojred001@ntu.edu.sg; tjcna@ntu.edu.sg; meky001@ntu.edu.sg; chen1576@ntu.edu.sg; daiy0017@ntu.edu.sg; yang0666@ntu.edu.sg</t>
  </si>
  <si>
    <t>Chen, Hongjin/AAY-8317-2020</t>
  </si>
  <si>
    <t>DSO National Laboratories in Singapore [DSOCL21092]</t>
  </si>
  <si>
    <t>DSO National Laboratories in Singapore(DSO National Laboratories)</t>
  </si>
  <si>
    <t>This work is supported by DSO National Laboratories in Singapore (No. DSOCL21092). Any opinions, findings, and conclusions, or recommendations expressed in this material are those of the author(s) and do not necessarily reflect the views of the DSO National Laboratories.</t>
  </si>
  <si>
    <t>978-981-99-8084-0; 978-981-99-8085-7</t>
  </si>
  <si>
    <t>10.1007/978-981-99-8085-7_5</t>
  </si>
  <si>
    <t>BW5HE</t>
  </si>
  <si>
    <t>WOS:001160644600005</t>
  </si>
  <si>
    <t>Yu, WB; Fan, YB; Zhang, Y; Wang, X; Yin, F; Bai, YP; Cao, YP; Shan, Y; Wu, Y; Sun, ZQ; Wu, BY</t>
  </si>
  <si>
    <t>Yu, Wangbo; Fan, Yanbo; Zhang, Yong; Wang, Xuan; Yin, Fei; Bai, Yunpeng; Cao, Yan-Pei; Shan, Ying; Wu, Yang; Sun, Zhongqian; Wu, Baoyuan</t>
  </si>
  <si>
    <t>NOFA: NeRF-based One-shot Facial Avatar Reconstruction</t>
  </si>
  <si>
    <t>Facial avatar; Video synthesis; NeRF</t>
  </si>
  <si>
    <t>3D facial avatar reconstruction has been a significant research topic in computer graphics and computer vision, where photo-realistic rendering and flexible controls over poses and expressions are necessary for many related applications. Recently, its performance has been greatly improved with the development of neural radiance fields (NeRF). However, most existing NeRF-based facial avatars focus on subject-specific reconstruction and reenactment, requiring multi-shot images containing different views of the specific subject for training, and the learned model cannot generalize to new identities, limiting its further applications. In this work, we propose a one-shot 3D facial avatar reconstruction framework that only requires a single source image to reconstruct a high-fidelity 3D facial avatar. For the challenges of lacking generalization ability and missing multi-view information, we leverage the generative prior of 3D GAN and develop an efficient encoder-decoder network to reconstruct the canonical neural volume of the source image, and further propose a compensation network to complement facial details. To enable fine-grained control over facial dynamics, we propose a deformation field to warp the canonical volume into driven expressions. Through extensive experimental comparisons, we achieve superior synthesis results compared to several state-of-the-art methods.</t>
  </si>
  <si>
    <t>[Fan, Yanbo; Zhang, Yong; Cao, Yan-Pei; Shan, Ying; Wu, Yang; Sun, Zhongqian] Tencent AI Lab, Shenzhen, Peoples R China; [Wang, Xuan] Ant Grp, Hangzhou, Peoples R China; [Yin, Fei; Bai, Yunpeng] Tsinghua Univ, Shenzhen, Peoples R China; [Wu, Baoyuan] Chinese Univ Hong Kong, Shenzhen, Peoples R China</t>
  </si>
  <si>
    <t>Tencent; Tsinghua University; The Chinese University of Hong Kong, Shenzhen</t>
  </si>
  <si>
    <t>Fan, YB; Zhang, Y (corresponding author), Tencent AI Lab, Shenzhen, Peoples R China.;Wang, X (corresponding author), Ant Grp, Hangzhou, Peoples R China.</t>
  </si>
  <si>
    <t>yuwangbo98@gmail.com; fanyanbo0124@gmail.com; zhangyong201303@gmail.com; xwang.cv@gmail.com; yinf20@mails.tsinghua.edu.cn; byp20@mails.tsinghua.edu.cn; caoyanpei@gmail.com; yingsshan@tencent.com; dylanywu@tencent.com; sallensun@tencent.com; wubaoyuan1987@gmail.com</t>
  </si>
  <si>
    <t>Bai, Cloud/0000-0002-6923-672X; /0000-0003-1812-6085; Cao, Yan-Pei/0000-0002-0416-4374; Yu, Wangbo/0000-0003-4387-8967; Bai, Yunpeng/0000-0001-6345-4796</t>
  </si>
  <si>
    <t>10.1145/3588432.3591555</t>
  </si>
  <si>
    <t>WOS:001117690500085</t>
  </si>
  <si>
    <t>Kuscu, O; Pamuk, AE; Süslü, NS; Hosal, S</t>
  </si>
  <si>
    <t>Kuscu, Oguz; Pamuk, A. Erim; Suslu, Nilda Sutay; Hosal, Sefik</t>
  </si>
  <si>
    <t>Is ChatGPT accurate and reliable in answering questions regarding head and neck cancer?</t>
  </si>
  <si>
    <t>FRONTIERS IN ONCOLOGY</t>
  </si>
  <si>
    <t>ChatGPT 4; head and neck (H&amp;N) cancer; head and neck; artificial intelligence; chatbot; information literacy; natural language processing; machine learning</t>
  </si>
  <si>
    <t>Background and objective Chat Generative Pre-trained Transformer (ChatGPT) is an artificial intelligence (AI)-based language processing model using deep learning to create human-like text dialogue. It has been a popular source of information covering vast number of topics including medicine. Patient education in head and neck cancer (HNC) is crucial to enhance the understanding of patients about their medical condition, diagnosis, and treatment options. Therefore, this study aims to examine the accuracy and reliability of ChatGPT in answering questions regarding HNC.Methods 154 head and neck cancer-related questions were compiled from sources including professional societies, institutions, patient support groups, and social media. These questions were categorized into topics like basic knowledge, diagnosis, treatment, recovery, operative risks, complications, follow-up, and cancer prevention. ChatGPT was queried with each question, and two experienced head and neck surgeons assessed each response independently for accuracy and reproducibility. Responses were rated on a scale: (1) comprehensive/correct, (2) incomplete/partially correct, (3) a mix of accurate and inaccurate/misleading, and (4) completely inaccurate/irrelevant. Discrepancies in grading were resolved by a third reviewer. Reproducibility was evaluated by repeating questions and analyzing grading consistency.Results ChatGPT yielded comprehensive/correct responses to 133/154 (86.4%) of the questions whereas, rates of incomplete/partially correct and mixed with accurate and inaccurate data/misleading responses were 11% and 2.6%, respectively. There were no completely inaccurate/irrelevant responses. According to category, the model provided comprehensive/correct answers to 80.6% of questions regarding basic knowledge, 92.6% related to diagnosis, 88.9% related to treatment, 80% related to recovery - operative risks - complications - follow-up, 100% related to cancer prevention and 92.9% related to other. There was not any significant difference between the categories regarding the grades of ChatGPT responses (p=0.88). The rate of reproducibility was 94.1% (145 of 154 questions).Conclusion ChatGPT generated substantially accurate and reproducible information to diverse medical queries related to HNC. Despite its limitations, it can be a useful source of information for both patients and medical professionals. With further developments in the model, ChatGPT can also play a crucial role in clinical decision support to provide the clinicians with up-to-date information.</t>
  </si>
  <si>
    <t>[Kuscu, Oguz; Pamuk, A. Erim] Hacettepe Univ, Sch Med, Dept Otorhinolaryngol, TR-06100 Ankara, Turkiye; [Suslu, Nilda Sutay; Hosal, Sefik] Atılım Univ, Sch Med, Dept Otorhinolaryngol, Ankara, Turkiye</t>
  </si>
  <si>
    <t>Hacettepe University</t>
  </si>
  <si>
    <t>Pamuk, AE (corresponding author), Hacettepe Univ, Sch Med, Dept Otorhinolaryngol, TR-06100 Ankara, Turkiye.</t>
  </si>
  <si>
    <t>ahmeterimpamuk@hacettepe.edu.tr</t>
  </si>
  <si>
    <t>Pamuk, Ahmet Erim/0000-0002-8813-0357</t>
  </si>
  <si>
    <t>2234-943X</t>
  </si>
  <si>
    <t>FRONT ONCOL</t>
  </si>
  <si>
    <t>Front. Oncol.</t>
  </si>
  <si>
    <t>10.3389/fonc.2023.1256459</t>
  </si>
  <si>
    <t>CK3V8</t>
  </si>
  <si>
    <t>WOS:001125116800001</t>
  </si>
  <si>
    <t>Zhang, XX; Shah, J; Han, MJ</t>
  </si>
  <si>
    <t>Zhang, Xingxing; Shah, Juveria; Han, Mengjie</t>
  </si>
  <si>
    <t>ChatGPT for Fast Learning of Positive Energy District (PED): A Trial Testing and Comparison with Expert Discussion Results</t>
  </si>
  <si>
    <t>ChatGPT; PED; challenge; impact; communication and dissemination</t>
  </si>
  <si>
    <t>CORTANA; ALEXA; SIRI</t>
  </si>
  <si>
    <t>Positive energy districts (PEDs) are urban areas which seek to take an integral approach to climate neutrality by including technological, spatial, regulatory, financial, legal, social, and economic perspectives. It is still a new concept and approach for many stakeholders. ChatGPT, a generative pre-trained transformer, is an advanced artificial intelligence (AI) chatbot based on a complex network structure and trained by the company OpenAI. It has the potential for the fast learning of PED. This paper reports a trial test in which ChatGPT is used to provide written formulations of PEDs within three frameworks: challenge, impact, and communication and dissemination. The results are compared with the formulations derived from over 80 PED experts who took part in a two-day workshop discussing many aspects of PED research and development. The proposed methodology involves querying ChatGPT with specific questions and recording its responses. Subsequently, expert opinions on the same questions are provided to ChatGPT, aiming to elicit a comparison between the two sources of information. This approach enables an evaluation of ChatGPT's answers in relation to the insights shared by domain experts. By juxtaposing the outputs, a comprehensive assessment can be made regarding the reliability, accuracy, and alignment of ChatGPT's responses with expert viewpoints. It is found that ChatGPT can be a useful tool for the rapid formulation of basic information about PEDs that could be used for its wider dissemination amongst the general public. The model is also noted as having a number of limitations, such as providing pre-set single answers, a sensitivity to the phrasing of questions, a tendency to repeat non-important (or general) information, and an inability to assess inputs negatively or provide diverse answers to context-based questions. Its answers were not always based on up-to-date information. Other limitations and some of the ethical-social issues related to the use of ChatGPT are also discussed. This study not only validated the possibility of using ChatGPT to rapid study PEDs but also trained ChatGPT by feeding back the experts' discussion into the tool. It is recommended that ChatGPT can be involved in real-time PED meetings or workshops so that it can be trained both iteratively and dynamically.</t>
  </si>
  <si>
    <t>[Zhang, Xingxing; Shah, Juveria; Han, Mengjie] Dalarna Univ, Sch Informat &amp; Engn, S-79188 Falun, Sweden</t>
  </si>
  <si>
    <t>Dalarna University</t>
  </si>
  <si>
    <t>Zhang, XX (corresponding author), Dalarna Univ, Sch Informat &amp; Engn, S-79188 Falun, Sweden.</t>
  </si>
  <si>
    <t>xza@du.se; juh@du.se; mea@du.se</t>
  </si>
  <si>
    <t>Han, Mengjie/ACQ-6740-2022; Zhang, Xingxing/D-1021-2018</t>
  </si>
  <si>
    <t>Han, Mengjie/0000-0003-4212-8582; Zhang, Xingxing/0000-0002-2369-0169; Shah, Juveria/0009-0000-0066-4585</t>
  </si>
  <si>
    <t>10.3390/buildings13061392</t>
  </si>
  <si>
    <t>K1SU1</t>
  </si>
  <si>
    <t>WOS:001014319900001</t>
  </si>
  <si>
    <t>Chen, LJ; Qiao, CK; Wu, MJ; Cai, LH; Yin, C; Yang, MK; Sang, XB; Bai, WP</t>
  </si>
  <si>
    <t>Chen, Lijiang; Qiao, Changkun; Wu, Meijing; Cai, Linghan; Yin, Cong; Yang, Mukun; Sang, Xiubo; Bai, Wenpei</t>
  </si>
  <si>
    <t>Improving the Segmentation Accuracy of Ovarian-Tumor Ultrasound Images Using Image Inpainting</t>
  </si>
  <si>
    <t>ovarian tumor; 2D ultrasound image; image inpainting; lesion segmentation; attention mechanism; GAN; deep learning; medical image analysis</t>
  </si>
  <si>
    <t>Diagnostic results can be radically influenced by the quality of 2D ovarian-tumor ultrasound images. However, clinically processed 2D ovarian-tumor ultrasound images contain many artificially recognized symbols, such as fingers, crosses, dashed lines, and letters which assist artificial intelligence (AI) in image recognition. These symbols are widely distributed within the lesion's boundary, which can also affect the useful feature-extraction-utilizing networks and thus decrease the accuracy of lesion classification and segmentation. Image inpainting techniques are used for noise and object elimination from images. To solve this problem, we observed the MMOTU dataset and built a 2D ovarian-tumor ultrasound image inpainting dataset by finely annotating the various symbols in the images. A novel framework called mask-guided generative adversarial network (MGGAN) is presented in this paper for 2D ovarian-tumor ultrasound images to remove various symbols from the images. The MGGAN performs to a high standard in corrupted regions by using an attention mechanism in the generator to pay more attention to valid information and ignore symbol information, making lesion boundaries more realistic. Moreover, fast Fourier convolutions (FFCs) and residual networks are used to increase the global field of perception; thus, our model can be applied to high-resolution ultrasound images. The greatest benefit of this algorithm is that it achieves pixel-level inpainting of distorted regions without clean images. Compared with other models, our model achieveed better results with only one stage in terms of objective and subjective evaluations. Our model obtained the best results for 256 x 256 and 512 x 512 resolutions. At a resolution of 256 x 256, our model achieved 0.9246 for SSIM, 22.66 for FID, and 0.07806 for LPIPS. At a resolution of 512 x 512, our model achieved 0.9208 for SSIM, 25.52 for FID, and 0.08300 for LPIPS. Our method can considerably improve the accuracy of computerized ovarian tumor diagnosis. The segmentation accuracy was improved from 71.51% to 76.06% for the Unet model and from 61.13% to 66.65% for the PSPnet model in clean images.</t>
  </si>
  <si>
    <t>[Chen, Lijiang; Qiao, Changkun; Cai, Linghan] Beihang Univ, Sch Elect &amp; Informat Engn, 37 Xueyuan Rd, Beijing 100191, Peoples R China; [Wu, Meijing; Yin, Cong; Yang, Mukun; Sang, Xiubo; Bai, Wenpei] Capital Med Univ, Beijing Shijitan Hosp, Dept Obstet &amp; Gynecol, Beijing 100038, Peoples R China</t>
  </si>
  <si>
    <t>Beihang University; Capital Medical University</t>
  </si>
  <si>
    <t>Bai, WP (corresponding author), Capital Med Univ, Beijing Shijitan Hosp, Dept Obstet &amp; Gynecol, Beijing 100038, Peoples R China.</t>
  </si>
  <si>
    <t>baiwp@bjsjth.cn</t>
  </si>
  <si>
    <t>Yang, Mukun/0000-0002-3514-1386; Chen, Lijiang/0000-0001-7732-3527</t>
  </si>
  <si>
    <t>National Natural Science Foundation of China [62072021]; Fundamental Research Funds for the Central Universities [YWF-22-L-532]; Beijing Hospitals Authority's Ascent Plan [DFL20190701]</t>
  </si>
  <si>
    <t>National Natural Science Foundation of China(National Natural Science Foundation of China (NSFC)); Fundamental Research Funds for the Central Universities(Fundamental Research Funds for the Central Universities); Beijing Hospitals Authority's Ascent Plan</t>
  </si>
  <si>
    <t>This research was partly supported by the National Natural Science Foundation of China (Grant No. 62072021), the Fundamental Research Funds for the Central Universities (Grant No. YWF-22-L-532), and the Beijing Hospitals Authority's Ascent Plan (Grant No. DFL20190701).</t>
  </si>
  <si>
    <t>10.3390/bioengineering10020184</t>
  </si>
  <si>
    <t>9Q6ED</t>
  </si>
  <si>
    <t>WOS:000945054300001</t>
  </si>
  <si>
    <t>Abdusalomov, AB; Nasimov, R; Nasimova, N; Muminov, B; Whangbo, TK</t>
  </si>
  <si>
    <t>Abdusalomov, Akmalbek Bobomirzaevich; Nasimov, Rashid; Nasimova, Nigorakhon; Muminov, Bahodir; Whangbo, Taeg Keun</t>
  </si>
  <si>
    <t>Evaluating Synthetic Medical Images Using Artificial Intelligence with the GAN Algorithm</t>
  </si>
  <si>
    <t>echocardiogram; artificial intelligence; echocardiography; generative adversarial networks; convolutional neural network; FID; FMD; IS; synthetic medical image</t>
  </si>
  <si>
    <t>AUGMENTATION</t>
  </si>
  <si>
    <t>In recent years, considerable work has been conducted on the development of synthetic medical images, but there are no satisfactory methods for evaluating their medical suitability. Existing methods mainly evaluate the quality of noise in the images, and the similarity of the images to the real images used to generate them. For this purpose, they use feature maps of images extracted in different ways or distribution of images set. Then, the proximity of synthetic images to the real set is evaluated using different distance metrics. However, it is not possible to determine whether only one synthetic image was generated repeatedly, or whether the synthetic set exactly repeats the training set. In addition, most evolution metrics take a lot of time to calculate. Taking these issues into account, we have proposed a method that can quantitatively and qualitatively evaluate synthetic images. This method is a combination of two methods, namely, FMD and CNN-based evaluation methods. The estimation methods were compared with the FID method, and it was found that the FMD method has a great advantage in terms of speed, while the CNN method has the ability to estimate more accurately. To evaluate the reliability of the methods, a dataset of different real images was checked.</t>
  </si>
  <si>
    <t>[Abdusalomov, Akmalbek Bobomirzaevich; Whangbo, Taeg Keun] Gachon Univ, Dept Comp Engn, Seongnam Si 461701, Gyeonggi Do, South Korea; [Nasimov, Rashid; Nasimova, Nigorakhon; Muminov, Bahodir] Tashkent State Univ Econ, Dept Artificial Intelligence, Tashkent 100066, Uzbekistan</t>
  </si>
  <si>
    <t>Gachon University; Tashkent State University of Economics; National University of Uzbekistan</t>
  </si>
  <si>
    <t>Abdusalomov, AB; Whangbo, TK (corresponding author), Gachon Univ, Dept Comp Engn, Seongnam Si 461701, Gyeonggi Do, South Korea.</t>
  </si>
  <si>
    <t>bobomirzaevich@gmail.com; tkwhangbo@gachon.ac.kr</t>
  </si>
  <si>
    <t>Muminov, Bahodir Boltaevich/IWM-3188-2023; Nasimov, Rashid/AFL-7259-2022; Abdusalomov, Akmalbek Bobomirzaevich/AEB-6319-2022</t>
  </si>
  <si>
    <t>Muminov, Bahodir Boltaevich/0000-0003-4268-9750; Abdusalomov, Akmalbek Bobomirzaevich/0000-0001-5923-8695</t>
  </si>
  <si>
    <t>GRRC Program of Gyeonggi Province [GRRC-Gachon2021(B03)]</t>
  </si>
  <si>
    <t>GRRC Program of Gyeonggi Province</t>
  </si>
  <si>
    <t>This work was supported by the GRRC Program of Gyeonggi Province. [GRRC-Gachon2021(B03), Development of Healthcare Contents based on AI].</t>
  </si>
  <si>
    <t>10.3390/s23073440</t>
  </si>
  <si>
    <t>D7CU0</t>
  </si>
  <si>
    <t>WOS:000970276700001</t>
  </si>
  <si>
    <t>Banerjee, S; Uppuluri, PK; Sharma, NR; Bandyopadhyay, S</t>
  </si>
  <si>
    <t>Banerjee, Serene; Uppuluri, Pratyush Kiran; Sharma, Rahul N.; Bandyopadhyay, Subhadip</t>
  </si>
  <si>
    <t>Self-Supervised Reinforcement Learning for Proactive Prediction of Passive Intermodulation</t>
  </si>
  <si>
    <t>2023 15TH INTERNATIONAL CONFERENCE ON COMMUNICATION SYSTEMS &amp; NETWORKS, COMSNETS</t>
  </si>
  <si>
    <t>International Conference on Communication Systems and Networks</t>
  </si>
  <si>
    <t>15th International Conference on Communication Systems and Networks (COMSNETS)</t>
  </si>
  <si>
    <t>JAN 03-08, 2023</t>
  </si>
  <si>
    <t>Passive Intermodulation; Self-Supervised Reinforcement Learning; Q-learning; Soft Actor-Critic</t>
  </si>
  <si>
    <t>Passive Intermodulation (PIM) is one of the leading causes of uplink signal degradation for Long Term Evolution (LTE), 5th Generation (5G), and beyond. Carrier aggregation, frequency hopping, and environmental conditions make the presence of PIM prominent and detection complex. Prior work has focused on detecting PIM from Key Performance Indicators (KPIs), posing it as an ensemble of time series-based, online and generative modeling-based approaches. As PIM anomalies depend on dynamically changing environmental factors, a traditional supervised learning approach would not be adequate to forecast PIM anomalies. An alternative reinforcement learning (RL) based approach would work, at the cost of collecting rewards during operation, which is difficult on Telecommunication networks. This work proposes a self-supervised reinforcement learning approach to predict PIM-related anomalies well in advance. We propose to use historical data to forecast environmental conditions that can cause PIM, and this does not need interaction with the environment at run time. Experimental results on real-world datasets comprising 50,000+ cells have shown to predict PIM 60% of the time accurately. To the best of our knowledge, this is the first work where we address predicting PIM anomalies before they happen. Post PIM detection or prediction, mitigation can be done by modifying frequency allocation and using artificial intelligence.</t>
  </si>
  <si>
    <t>[Banerjee, Serene] Ericsson Res, Bangalore, Karnataka, India; [Uppuluri, Pratyush Kiran; Sharma, Rahul N.; Bandyopadhyay, Subhadip] Ericsson, Global AI Accelerator, Bangalore, Karnataka, India</t>
  </si>
  <si>
    <t>Banerjee, S (corresponding author), Ericsson Res, Bangalore, Karnataka, India.</t>
  </si>
  <si>
    <t>serene.banerjee@ericsson.com; pratyush.kiran.uppuluri@ericsson.com; rahul.n.sharma@ericsson.com; subhadip.bandyopadhyay@ericsson.com</t>
  </si>
  <si>
    <t>2155-2487</t>
  </si>
  <si>
    <t>978-1-6654-7706-2</t>
  </si>
  <si>
    <t>INT CONF COMMUN SYST</t>
  </si>
  <si>
    <t>10.1109/COMSNETS56262.2023.10041311</t>
  </si>
  <si>
    <t>Computer Science, Hardware &amp; Architecture; Computer Science, Information Systems; Engineering, Electrical &amp; Electronic; Telecommunications</t>
  </si>
  <si>
    <t>BV0JD</t>
  </si>
  <si>
    <t>WOS:000972037500060</t>
  </si>
  <si>
    <t>Rosen, S; Saban, M</t>
  </si>
  <si>
    <t>Rosen, Shani; Saban, Mor</t>
  </si>
  <si>
    <t>Evaluating the reliability of ChatGPT as a tool for imaging test referral: a comparative study with a clinical decision support system</t>
  </si>
  <si>
    <t>ChatGPT; ESR iGuide; Imaging; Artificial intelligence</t>
  </si>
  <si>
    <t>ObjectivesAs the technology continues to evolve and advance, we can expect to see artificial intelligence (AI) being used in increasingly sophisticated ways to make a diagnosis and decisions such as suggesting the most appropriate imaging referrals. We aim to explore whether Chat Generative Pretrained Transformer (ChatGPT) can provide accurate imaging referrals for clinical use that are at least as good as the ESR iGuide.MethodsA comparative study was conducted in a tertiary hospital. Data was collected from 97 consecutive cases that were admitted to the emergency department with abdominal complaints. We compared the imaging test referral recommendations suggested by the ESR iGuide and the ChatGPT and analyzed cases of disagreement. In addition, we selected cases where ChatGPT recommended a chest abdominal pelvis (CAP) CT (n = 66), and asked four specialists to grade the appropriateness of the referral.ResultsChatGPT recommendations were consistent with the recommendations provided by the ESR iGuide. No statistical differences were found between the appropriateness of referrals by age or gender. Using a sub-analysis of CAP cases, a high agreement between ChatGPT and the specialists was found. Cases of disagreement (12.4%) were further analyzed and presented themes of vague recommendations such as it would be advisable and this would help to rule out.ConclusionsChatGPT's ability to guide the selection of appropriate tests may be comparable to some degree with the ESR iGuide. Features such as the clinical, ethical, and regulatory implications are still warranted and need to be addressed prior to clinical implementation. Further studies are needed to confirm these findings.Clinical relevance statementThe article explores the potential of using advanced language models, such as ChatGPT, in healthcare as a CDS for selecting appropriate imaging tests. Using ChatGPT can improve the efficiency of the decision-making processKey Points center dot ChatGPT recommendations were highly consistent with the recommendations provided by the ESR iGuide.center dot ChatGPT's ability in guiding the selection of appropriate tests may be comparable to some degree with ESR iGuide's.Key Points center dot ChatGPT recommendations were highly consistent with the recommendations provided by the ESR iGuide.center dot ChatGPT's ability in guiding the selection of appropriate tests may be comparable to some degree with ESR iGuide's.</t>
  </si>
  <si>
    <t>[Rosen, Shani] Sheba Med Ctr, Gertner Inst Epidemiol &amp; Hlth Policy, Inst Epidemiol &amp; Hlth Policy Res, Dept Hlth Technol &amp; Policy Evaluat, Ramat Gan, Israel; [Rosen, Shani; Saban, Mor] Tel Aviv Univ, Sackler Fac Med, Sch Hlth Sci, Nursing Dept, Tel Aviv, Israel</t>
  </si>
  <si>
    <t>Chaim Sheba Medical Center; Sackler Faculty of Medicine</t>
  </si>
  <si>
    <t>Saban, M (corresponding author), Tel Aviv Univ, Sackler Fac Med, Sch Hlth Sci, Nursing Dept, Tel Aviv, Israel.</t>
  </si>
  <si>
    <t>morsaban1@tauex.tau.ac.il</t>
  </si>
  <si>
    <t>Saban, Mor/ABE-8773-2021</t>
  </si>
  <si>
    <t>Saban, Mor/0000-0001-6869-0907; Rosen, Shani/0000-0003-3119-877X</t>
  </si>
  <si>
    <t>2023 OCT 13</t>
  </si>
  <si>
    <t>10.1007/s00330-023-10230-0</t>
  </si>
  <si>
    <t>U1JG4</t>
  </si>
  <si>
    <t>WOS:001082429600001</t>
  </si>
  <si>
    <t>Vandelanotte, C; Trost, S; Hodgetts, D; Imam, T; Rashid, M; To, QG; Maher, C</t>
  </si>
  <si>
    <t>Vandelanotte, Corneel; Trost, Stewart; Hodgetts, Danya; Imam, Tasadduq; Rashid, Mamunur; To, Quyen G.; Maher, Carol</t>
  </si>
  <si>
    <t>Increasing physical activity using an just-in-time adaptive digital assistant supported by machine learning: A novel approach for hyper-personalised mHealth interventions</t>
  </si>
  <si>
    <t>Chatbot; Conversational agent; Exercise; Artificial intelligence; Behaviour change; Intervention</t>
  </si>
  <si>
    <t>INACTIVITY; PROMOTION; BEHAVIOR</t>
  </si>
  <si>
    <t>Objective: Physical inactivity is a leading modifiable cause of death and disease worldwide. Population-based interventions to increase physical activity are needed. Existing automated expert systems (e.g., computertailored interventions) have significant limitations that result in low long-term effectiveness. Therefore, innovative approaches are needed. This special communication aims to describe and discuss a novel mHealth intervention approach that proactively offers participants with hyper-personalised intervention content adjusted in real-time. Methods: Using machine learning approaches, we propose a novel physical activity intervention approach that can learn and adapt in real-time to achieve high levels of personalisation and user engagement, underpinned by a likeable digital assistant. It will consist of three major components: (1) conversations: to increase user's knowledge on a wide range of activity-related topics underpinned by Natural Language Processing; (2) nudge engine: to provide users with hyper-personalised cues to action underpinned by reinforcement learning (i.e., contextual bandit) and integrating real-time data from activity tracking, GPS, GIS, weather, and user provided data; (3) Q &amp; A: to facilitate users asking any physical activity related questions underpinned by generative AI (e. g., ChatGPT, Bard) for content generation. Results: The detailed concept of the proposed physical activity intervention platform demonstrates the practical application of a just-in-time adaptive intervention applying various machine learning techniques to deliver a hyper-personalised physical activity intervention in an engaging way. Compared to traditional interventions, the novel platform is expected to show potential for increased user engagement and long-term effectiveness due to: (1) using new variables to personalise content (e.g., GPS, weather), (2) providing behavioural support at the right time in real-time, (3) implementing an engaging digital assistant and (4) improving the relevance of content through applying machine learning algorithms. Conclusion: The use of machine learning is on the rise in every aspect of today's society, however few attempts have been undertaken to harness its potential to achieve health behaviour change. By sharing our intervention concept, we contribute to the ongoing dialogue on creating effective methods for promoting health and wellbeing in the informatics research community. Future research should focus on refining these techniques and evaluating their effectiveness in controlled and real-world circumstances.</t>
  </si>
  <si>
    <t>[Vandelanotte, Corneel; Hodgetts, Danya; To, Quyen G.] Cent Queensland Univ, Appleton Inst, Bruce Highway, Rockhampton, Qld 4702, Australia; [Trost, Stewart] Univ Queensland, Sch Human Movement &amp; Nutr Sci, St Lucia, Qld 4072, Australia; [Imam, Tasadduq] Cent Queensland Univ, Sch Business &amp; Law, 120 Spencer St, Melbourne, Vic 3000, Australia; [Rashid, Mamunur] Cent Queensland Univ, Sch Engn &amp; Technol, 120 Spencer St, Melbourne, Vic 3000, Australia; [Maher, Carol] Univ South Australia, Allied Hlth &amp; Human Performance, City East Campus, Adelaide, SA 5001, Australia</t>
  </si>
  <si>
    <t>Central Queensland University; University of Queensland; Central Queensland University; Central Queensland University; University of South Australia</t>
  </si>
  <si>
    <t>Vandelanotte, C (corresponding author), Cent Queensland Univ, Appleton Inst, Bruce Highway, Rockhampton, Qld 4702, Australia.</t>
  </si>
  <si>
    <t>c.vandelanotte@cqu.edu.au; s.trost@uq.edu.au; d.hodgetts@cqu.edu.au; t.imam@cqu.edu.au; m.rashid@cqu.edu.au; q.to@cqu.edu.au; Carol.Maher@unisa.edu.au</t>
  </si>
  <si>
    <t>Maher, Carol/C-8169-2009; Trost, Stewart G/B-5948-2012; Vandelanotte, Corneel/ABF-5580-2020; Imam, Tasadduq/O-2016-2013; To, Quyen G/F-1938-2015</t>
  </si>
  <si>
    <t>Maher, Carol/0000-0002-8676-0224; Imam, Tasadduq/0000-0002-8864-4155; To, Quyen G/0000-0002-3355-6326</t>
  </si>
  <si>
    <t>National Health and Medical Research Council [APP2012704]; Australian Research Council [FT210100234]; National Heart Foundation of Australia [VG105816]; Australian Research Council [FT210100234] Funding Source: Australian Research Council</t>
  </si>
  <si>
    <t>National Health and Medical Research Council(National Health and Medical Research Council (NHMRC) of Australia); Australian Research Council(Australian Research Council); National Heart Foundation of Australia(National Heart Foundation of Australia); Australian Research Council(Australian Research Council)</t>
  </si>
  <si>
    <t>Funding This work was supported by the National Health and Medical Research Council (APP2012704) , the Australian Research Council (FT210100234) and the National Heart Foundation of Australia (VG105816) . The funders have had no role in the development of the physical activity intervention concept described in the manuscript.</t>
  </si>
  <si>
    <t>10.1016/j.jbi.2023.104435</t>
  </si>
  <si>
    <t>N1PM9</t>
  </si>
  <si>
    <t>WOS:001034816300001</t>
  </si>
  <si>
    <t>De Donno, C; Hediyeh-Zadeh, S; Moinfar, AA; Wagenstetter, M; Zappia, L; Lotfollahi, M; Theis, FJ</t>
  </si>
  <si>
    <t>De Donno, Carlo; Hediyeh-Zadeh, Soroor; Moinfar, Amir Ali; Wagenstetter, Marco; Zappia, Luke; Lotfollahi, Mohammad; Theis, Fabian J.</t>
  </si>
  <si>
    <t>Population-level integration of single-cell datasets enables multi-scale analysis across samples</t>
  </si>
  <si>
    <t>The increasing generation of population-level single-cell atlases has the potential to link sample metadata with cellular data. Constructing such references requires integration of heterogeneous cohorts with varying metadata. Here we present single-cell population level integration (scPoli), an open-world learner that incorporates generative models to learn sample and cell representations for data integration, label transfer and reference mapping. We applied scPoli on population-level atlases of lung and peripheral blood mononuclear cells, the latter consisting of 7.8 million cells across 2,375 samples. We demonstrate that scPoli can explain sample-level biological and technical variations using sample embeddings revealing genes associated with batch effects and biological effects. scPoli is further applicable to single-cell sequencing assay for transposase-accessible chromatin and cross-species datasets, offering insights into chromatin accessibility and comparative genomics. We envision scPoli becoming an important tool for population-level single-cell data integration facilitating atlas use but also interpretation by means of multi-scale analyses. By learning representations for both cells and various condition covariates, scPoli facilitates atlas-level integration and analysis of single-cell genomics datasets with improved interpretability.</t>
  </si>
  <si>
    <t>[De Donno, Carlo; Hediyeh-Zadeh, Soroor; Moinfar, Amir Ali; Wagenstetter, Marco; Zappia, Luke; Lotfollahi, Mohammad; Theis, Fabian J.] Helmholtz Ctr Munich, Inst Computat Biol, Munich, Germany; [De Donno, Carlo; Theis, Fabian J.] Tech Univ Munich, Sch Life Sci Weihenstephan, Munich, Germany; [Moinfar, Amir Ali; Zappia, Luke; Theis, Fabian J.] Tech Univ Munich, Sch Comp Informat &amp; Technol, Munich, Germany; [Lotfollahi, Mohammad; Theis, Fabian J.] Wellcome Sanger Inst, Wellcome Genome Campus, Cambridge, England</t>
  </si>
  <si>
    <t>Helmholtz Association; Helmholtz-Center Munich - German Research Center for Environmental Health; Technical University of Munich; Technical University of Munich; Wellcome Trust Sanger Institute</t>
  </si>
  <si>
    <t>Lotfollahi, M; Theis, FJ (corresponding author), Helmholtz Ctr Munich, Inst Computat Biol, Munich, Germany.;Theis, FJ (corresponding author), Tech Univ Munich, Sch Life Sci Weihenstephan, Munich, Germany.;Theis, FJ (corresponding author), Tech Univ Munich, Sch Comp Informat &amp; Technol, Munich, Germany.;Lotfollahi, M; Theis, FJ (corresponding author), Wellcome Sanger Inst, Wellcome Genome Campus, Cambridge, England.</t>
  </si>
  <si>
    <t>ml19@sanger.ac.uk; fabian.theis@helmholtz-munich.de</t>
  </si>
  <si>
    <t>De Donno, Carlo/0000-0002-9553-0121; Hediyeh-zadeh, Soroor/0000-0001-7513-6779; lotfollahi, mohammad/0000-0001-6858-7985; Zappia, Luke/0000-0001-7744-8565; Theis, Fabian/0000-0002-2419-1943</t>
  </si>
  <si>
    <t>Joachim Herz Stiftung; Helmholtz Association's Initiative and Networking Fund through Helmholtz AI [ZT-I-PF-5-01]; European Union (ERC) [DeepCell-101054957]; Deutsche Forschungsgemeinschaft (DFG, German Research Foundation) [458958943]; Bavarian Ministry of Science and the Arts in the framework of the Bavarian Research Association 'ForInter'</t>
  </si>
  <si>
    <t>Joachim Herz Stiftung; Helmholtz Association's Initiative and Networking Fund through Helmholtz AI; European Union (ERC)(European Union (EU)European Research Council (ERC)); Deutsche Forschungsgemeinschaft (DFG, German Research Foundation)(German Research Foundation (DFG)); Bavarian Ministry of Science and the Arts in the framework of the Bavarian Research Association 'ForInter'</t>
  </si>
  <si>
    <t>We thank L. Sikkema for the valuable feedback on our work with the HLCA dataset. We thank S. Rybakov for helping integrate our software to the scArches package. M.L. acknowledges financial support from the Joachim Herz Stiftung. F.J.T. acknowledges support by the Helmholtz Association's Initiative and Networking Fund through Helmholtz AI (ZT-I-PF-5-01) and by the European Union (ERC, DeepCell-101054957). A.A.M. is funded by the Deutsche Forschungsgemeinschaft (DFG, German Research Foundation, project number 458958943). L.Z. is funded by the Bavarian Ministry of Science and the Arts in the framework of the Bavarian Research Association 'ForInter' (Interaction of human brain cells). Views and opinions expressed are those of the author(s) only and do not necessarily reflect those of the European Union or the European Research Council. Neither the European Union nor the granting authority can be held responsible for them.</t>
  </si>
  <si>
    <t>10.1038/s41592-023-02035-2</t>
  </si>
  <si>
    <t>IM3N3</t>
  </si>
  <si>
    <t>WOS:001166704900020</t>
  </si>
  <si>
    <t>Ding, H; Cui, ZM; Maghami, E; Chen, YN; Matinlinna, JP; Pow, EHN; Fok, ASL; Burrow, MF; Wang, WP; Tsoi, JKH</t>
  </si>
  <si>
    <t>Ding, Hao; Cui, Zhiming; Maghami, Ebrahim; Chen, Yanning; Matinlinna, Jukka Pekka; Pow, Edmond Ho Nang; Fok, Alex Siu Lun; Burrow, Michael Francis; Wang, Wenping; Tsoi, James Kit Hon</t>
  </si>
  <si>
    <t>Morphology and mechanical performance of dental crown designed by 3D-DCGAN</t>
  </si>
  <si>
    <t>DENTAL MATERIALS</t>
  </si>
  <si>
    <t>3D-DCGAN; Artificial Intelligence; Dental Crown; Design; CAD; CAM</t>
  </si>
  <si>
    <t>FINITE-ELEMENT-ANALYSIS; STRESS-DISTRIBUTION; FATIGUE; OCCLUSION; RESIN; INTERFACE; BEHAVIOR; INLAYS; MOLARS</t>
  </si>
  <si>
    <t>Objectives: This study utilised an Artificial Intelligence (AI) method, namely 3D-Deep Convolutional Generative Adversarial Network (3D-DCGAN), which is one of the true 3D machine learning methods, as an automatic algorithm to design a dental crown.Methods: Six hundred sets of digital casts containing mandibular second premolars and their adjacent and antagonist teeth obtained from healthy personnel were machine -learned using 3D-DCGAN. Additional 12 sets of data were used as the test dataset, whereas the natural second premolars in the test dataset were compared with the designs in (1) 3D-DCGAN, (2) CEREC Biogeneric, and (3) CAD for morphological parameters of 3D similarity, cusp angle, occlusal contact point number and area, and in silico fatigue simulations with finite element (FE) using lithium disilicate material.Results: The 3D-DCGAN design and natural teeth had the lowest discrepancy in mor-phology compared with the other groups (root mean square value = 0.3611). The Biogeneric design showed a significantly (p &lt; 0.05) higher cusp angle (67.11 degrees) than that of the 3D-DCGAN design (49.43 degrees) and natural tooth (54.05 degrees). No significant difference was observed in the number and area of occlusal contact points among the four groups. FE analysis showed that the 3D-DCGAN design had the best match to the natural tooth regarding the stress distribution in the crown. The 3D-DCGAN design was subjected to 26.73 MPa and the natural tooth was subjected to 23.97 MPa stress at the central fossa area under physiolo-gical occlusal force (300 N); the two groups showed similar fatigue lifetimes (F-N curve) under simulated cyclic loading of 100-400 N. Designs with Biogeneric or technician would yield respectively higher or lower fatigue lifetime than natural teeth.Significance: This study demonstrated that 3D-DCGAN could be utilised to design perso-nalised dental crowns with high accuracy that can mimic both the morphology and bio-mechanics of natural teeth.(c) 2023 The Author(s). Published by Elsevier Inc. on behalf of The Academy of Dental Materials. This is an open access article under the CC BY license (http://creative-commons.org/licenses/by/4.0/).</t>
  </si>
  <si>
    <t>[Ding, Hao; Chen, Yanning; Matinlinna, Jukka Pekka; Tsoi, James Kit Hon] Univ Hong Kong, Fac Dent, Dent Mat Sci Appl Oral Sci &amp; Community Dent Care, Hong Kong, Peoples R China; [Cui, Zhiming; Wang, Wenping] Univ Hong Kong, Fac Engn, Dept Comp Sci, Hong Kong, Peoples R China; [Cui, Zhiming] ShanghaiTech Univ, Sch Biomed Engn, Shanghai, Peoples R China; [Maghami, Ebrahim] Drexel Univ, Coll Engn, Dept Mech Engn &amp; Mech, Philadelphia, PA USA; [Matinlinna, Jukka Pekka] Univ Manchester, Sch Med Sci, Div Dent, Manchester, Lancs, England; [Pow, Edmond Ho Nang; Burrow, Michael Francis] Univ Hong Kong, Fac Dent, Restorat Dent Sci, Hong Kong, Peoples R China; [Fok, Alex Siu Lun] Univ Minnesota, Minnesota Dent Res Ctr Biomat &amp; Biomech, Sch Dent, Minneapolis, MN USA; [Wang, Wenping] Texas A&amp;M Univ, Coll Architecture, Dept Visualizat, College Stn, TX 77843 USA</t>
  </si>
  <si>
    <t>University of Hong Kong; University of Hong Kong; ShanghaiTech University; Drexel University; University of Manchester; University of Hong Kong; University of Minnesota System; University of Minnesota Twin Cities; Texas A&amp;M University System; Texas A&amp;M University College Station</t>
  </si>
  <si>
    <t>Tsoi, JKH (corresponding author), Univ Hong Kong, Prince Philip Dent Hosp, Fac Dent, Dent Mat Sci Appl Oral Sci &amp; Community Dent Care, 1B18,34 Hosp Rd, Hong Kong, Peoples R China.</t>
  </si>
  <si>
    <t>jkhtsoi@hku.hk</t>
  </si>
  <si>
    <t>Tsoi, James Kit Hon/F-6203-2012; Matinlinna, Jukka/GZK-2479-2022; Ding, Hao/B-4236-2018; Cui, Zhiming/C-2988-2011</t>
  </si>
  <si>
    <t>Tsoi, James Kit Hon/0000-0002-0698-7155; Ding, Hao/0000-0001-5765-0862; Cui, Zhiming/0000-0002-0305-4181; /0000-0001-9735-1904</t>
  </si>
  <si>
    <t>IADR-SEA Research Category Award (Dental Materials and Biomaterials Category); General Research Fund from the Research Grants Council, Hong Kong [GRF 17120220]; Health Bureau; Government of the Hong Kong SAR [HMRF 08193056]; Innovation and Technology Commission; Government of the Hong Kong SAR [MHP/075/20]</t>
  </si>
  <si>
    <t>IADR-SEA Research Category Award (Dental Materials and Biomaterials Category); General Research Fund from the Research Grants Council, Hong Kong; Health Bureau; Government of the Hong Kong SAR; Innovation and Technology Commission; Government of the Hong Kong SAR</t>
  </si>
  <si>
    <t>This work is submitted in partial fulfilment of the require- ments of the degree of PhD for the first author at the Faculty of Dentistry, The University of Hong Kong. Part of the data has been presented in the 35th Annual Scientific Meeting of the IADR-SEA Division, Hong Kong, along with support from IADR-SEA Research Category Award (Dental Materials and Biomaterials Category) in 2021. This research study is sup- ported by General Research Fund from the Research Grants Council, Hong Kong (GRF 17120220) , Health and Medical Research Fund from the Health Bureau, The Government of the Hong Kong SAR (HMRF 08193056) , and Innovation and Technology Fund from Innovation and Technology Commission, The Government of the Hong Kong SAR (MHP/075/20) .</t>
  </si>
  <si>
    <t>0109-5641</t>
  </si>
  <si>
    <t>1879-0097</t>
  </si>
  <si>
    <t>DENT MATER</t>
  </si>
  <si>
    <t>Dent. Mater.</t>
  </si>
  <si>
    <t>10.1016/j.dental.2023.02.001</t>
  </si>
  <si>
    <t>Dentistry, Oral Surgery &amp; Medicine; Materials Science, Biomaterials</t>
  </si>
  <si>
    <t>Dentistry, Oral Surgery &amp; Medicine; Materials Science</t>
  </si>
  <si>
    <t>A5VL0</t>
  </si>
  <si>
    <t>WOS:000955796000001</t>
  </si>
  <si>
    <t>Kong, SY; Ai, J; Lu, MY; Gong, Y</t>
  </si>
  <si>
    <t>Kong, Shiyi; Ai, Jun; Lu, Minyan; Gong, Yiang</t>
  </si>
  <si>
    <t>GRAND: GAN-based software runtime anomaly detection method using trace information</t>
  </si>
  <si>
    <t>Software anomaly detection; Internal execution trace; Unsupervised learning; VAE; GAN</t>
  </si>
  <si>
    <t>Software runtime anomaly detection can detect manifestations (known as anomalies) caused by faults in complex systems before they lead to failure. Whereas most existing methods use external performance indicators, this study uses internal execution traces to reveal failures not only related to software performance issues but also functional errors. A neural network model called GRAND, which combines a variational autoencoder and a generative adversarial network, is proposed to mine anomalies in the execution trace. Cassandra, a widely used database system, was used as a representation to conduct the empirical study. The dataset was collected under a well-designed operational profile that contained 5180 time series, each containing more than ten million data points. GRAND achieved a higher detection performance than the other two SOTA baseline models, with a 99% F1-score compared with 93% and 87%. Ablation studies show that the workload information used in GRAND can determine whether the current internal status is consistent with the task, thus achieving a 16% improvement in the F1-score. The attention mechanism used for data fusion can achieve a 32% improvement in the F1-score.</t>
  </si>
  <si>
    <t>[Kong, Shiyi; Ai, Jun; Lu, Minyan; Gong, Yiang] Beihang Univ, Sch Reliabil &amp; Syst Engn, 37 Xueyuan Rd, Beijing 100191, Peoples R China; [Kong, Shiyi] Beijing Inst Astronaut Syst Engn, 1 Nandahongmen Rd, Beijing 100076, Peoples R China</t>
  </si>
  <si>
    <t>Ai, J (corresponding author), Beihang Univ, Sch Reliabil &amp; Syst Engn, 37 Xueyuan Rd, Beijing 100191, Peoples R China.</t>
  </si>
  <si>
    <t>buaaksy@buaa.edu.cn; aijun@buaa.edu.cn; lmy@buaa.edu.cn</t>
  </si>
  <si>
    <t>Ai, Jun/B-6085-2013</t>
  </si>
  <si>
    <t>10.1016/j.neunet.2023.10.036</t>
  </si>
  <si>
    <t>Y7WQ0</t>
  </si>
  <si>
    <t>WOS:001107329700001</t>
  </si>
  <si>
    <t>Aziz, R; Wagan, AI; Islam, N</t>
  </si>
  <si>
    <t>Aziz, Roohan; Wagan, Asim Imdad; Islam, Noman</t>
  </si>
  <si>
    <t>Block based learned image compression</t>
  </si>
  <si>
    <t>Learned image compression; Deep neural networks; Autoencoders; zGenerative adversarial network</t>
  </si>
  <si>
    <t>Efficient image compression is very important for storage, retrieval, processing and transmission of image contents. The objective is to find a striking balance between compression ratio and the distortion in image. Recently, there has been a rise in interest on lossy neural network based compression algorithms. Specifically, autoencoder based compression schemes have shown great potential in learned image compression domain. This paper proposes a new algorithm for learned image compression using block based Generative Adversarial Networks. The adversarial network was trained on the blocks derived from a large image data-set. The compressed images were compared against standard compression schemes such as JPEG, PNG to show the comparative strength of block based learned compression algorithms. It has been found that performance of algorithm drops significantly at low bits per pixel. So, the paper compares the algorithm performance at various bpp values.</t>
  </si>
  <si>
    <t>[Aziz, Roohan; Islam, Noman] Karachi Inst Econ &amp; Technol, Karachi, Pakistan; [Wagan, Asim Imdad] Muhammad Ali Jinnah Univ, Karachi, Pakistan</t>
  </si>
  <si>
    <t>Islam, N (corresponding author), Karachi Inst Econ &amp; Technol, Karachi, Pakistan.</t>
  </si>
  <si>
    <t>noman.islam@gmail.com</t>
  </si>
  <si>
    <t>Aziz, Eng. Roohan/AHC-2288-2022</t>
  </si>
  <si>
    <t>Aziz, Eng. Roohan/0000-0002-9134-6992; Islam, Noman/0000-0002-2092-0379</t>
  </si>
  <si>
    <t>10.1007/s11042-023-14975-0</t>
  </si>
  <si>
    <t>K8ET4</t>
  </si>
  <si>
    <t>WOS:000943966200002</t>
  </si>
  <si>
    <t>Jeong, J; Yu, S; Lee, H; Shin, J</t>
  </si>
  <si>
    <t>Jeong, Jongheon; Yu, Sihyun; Lee, Hankook; Shin, Jinwoo</t>
  </si>
  <si>
    <t>Enhancing Multiple Reliability Measures via Nuisance-extended Information Bottleneck</t>
  </si>
  <si>
    <t>In practical scenarios where training data is limited, many predictive signals in the data can be rather from some biases in data acquisition (i.e., less generalizable), so that one cannot prevent a model from co-adapting on such (so-called) shortcut signals: this makes the model fragile in various distribution shifts. To bypass such failure modes, we consider an adversarial threat model under a mutual information constraint to cover a wider class of perturbations in training. This motivates us to extend the standard information bottleneck to additionally model the nuisance information. We propose an autoencoder-based training to implement the objective, as well as practical encoder designs to facilitate the proposed hybrid discriminative-generative training concerning both convolutional- and Transformer-based architectures. Our experimental results show that the proposed scheme improves robustness of learned representations (remarkably without using any domain-specific knowledge), with respect to multiple challenging reliability measures. For example, our model could advance the state-of-the-art on a recent challenging OBJECTS benchmark in novelty detection by 78.4%. 87.2% in AUROC, while simultaneously enjoying improved corruption, background and (certified) adversarial robustness. Code is available at https://github.com/jh-jeong/nuisance_ib.</t>
  </si>
  <si>
    <t>[Jeong, Jongheon; Yu, Sihyun; Shin, Jinwoo] Korea Adv Inst Sci &amp; Technol KAIST, Seoul, South Korea; [Lee, Hankook] LG AI Res, Seoul, South Korea</t>
  </si>
  <si>
    <t>Jeong, J (corresponding author), Korea Adv Inst Sci &amp; Technol KAIST, Seoul, South Korea.</t>
  </si>
  <si>
    <t>jongheonj@kaist.ac.kr; sihyun.yu@kaist.ac.kr; jinwoos@kaist.ac.kr; hankook.lee@lgresearch.ai</t>
  </si>
  <si>
    <t>Jeong, Jongheon/0000-0002-4058-5774</t>
  </si>
  <si>
    <t>Center for Applied Research in Artificial Intelligence (CARAI) - Defense Acquisition Program Administration (DAPA); Agency for Defense Development (ADD) [UD190031RD]; Institute of Information &amp; communications Technology Planning &amp; Evaluation (IITP) - Korea government (MSIT); (Artificial Intelligence Graduate School Program (KAIST))</t>
  </si>
  <si>
    <t>Center for Applied Research in Artificial Intelligence (CARAI) - Defense Acquisition Program Administration (DAPA); Agency for Defense Development (ADD); Institute of Information &amp; communications Technology Planning &amp; Evaluation (IITP) - Korea government (MSIT)(Institute for Information &amp; Communication Technology Planning &amp; Evaluation (IITP), Republic of KoreaMinistry of Science &amp; ICT (MSIT), Republic of Korea); (Artificial Intelligence Graduate School Program (KAIST))</t>
  </si>
  <si>
    <t>This work was partly supported by Center for Applied Research in Artificial Intelligence (CARAI) grant funded by Defense Acquisition Program Administration (DAPA) and Agency for Defense Development (ADD) (UD190031RD), and by Institute of Information &amp; communications Technology Planning &amp; Evaluation (IITP) grant funded by the Korea government (MSIT) (No.2021-0-02068, Artificial Intelligence Innovation Hub; No.2019-0-00075, Artificial Intelligence Graduate School Program (KAIST)). We thank Subin Kim for the proofreading of our manuscript.</t>
  </si>
  <si>
    <t>10.1109/CVPR52729.2023.01555</t>
  </si>
  <si>
    <t>WOS:001062531300020</t>
  </si>
  <si>
    <t>Christianos, F; Karkus, P; Ivanovic, B; Albrecht, S; Pavone, M</t>
  </si>
  <si>
    <t>Christianos, Filippos; Karkus, Peter; Ivanovic, Boris; Albrecht, Stefano, V; Pavone, Marco</t>
  </si>
  <si>
    <t>Planning with Occluded Traffic Agents using Bi-Level Variational Occlusion Models</t>
  </si>
  <si>
    <t>Reasoning with occluded traffic agents is a significant open challenge for planning for autonomous vehicles. Recent deep learning models have shown impressive results for predicting occluded agents based on the behaviour of nearby visible agents; however, as we show in experiments, these models are difficult to integrate into downstream planning. To this end, we propose Bi-level Variational Occlusion Models (BiVO), a two-step generative model that first predicts likely locations of occluded agents, and then generates likely trajectories for the occluded agents. In contrast to existing methods, BiVO outputs a trajectory distribution which can then be sampled from and integrated into standard downstream planning. We evaluate the method in closed-loop replay simulation using the real-world nuScenes dataset. Our results suggest that BiVO can successfully learn to predict occluded agent trajectories, and these predictions lead to better subsequent motion plans in critical scenarios.</t>
  </si>
  <si>
    <t>[Christianos, Filippos; Karkus, Peter; Ivanovic, Boris; Pavone, Marco] NVIDIA, NVIDIA Res, Santa Clara, CA 95050 USA; [Albrecht, Stefano, V] Five AI Bosch, Bristol, Avon, England; [Christianos, Filippos; Albrecht, Stefano, V] Univ Edinburgh, Sch Informat, Edinburgh, Midlothian, Scotland; [Pavone, Marco] Stanford Univ, Dept Aeronaut &amp; Astronaut, Stanford, CA 94305 USA; [Christianos, Filippos; Karkus, Peter; Ivanovic, Boris; Albrecht, Stefano, V; Pavone, Marco] NVIDIA, Santa Clara, CA USA</t>
  </si>
  <si>
    <t>Nvidia Corporation; University of Edinburgh; Stanford University; Nvidia Corporation</t>
  </si>
  <si>
    <t>Christianos, F (corresponding author), NVIDIA, NVIDIA Res, Santa Clara, CA 95050 USA.;Christianos, F (corresponding author), Univ Edinburgh, Sch Informat, Edinburgh, Midlothian, Scotland.</t>
  </si>
  <si>
    <t>f.christianos@ed.ac.uk; pkarkus@nvidia.com; bivanovic@nvidia.com; mpavone@nvidia.com</t>
  </si>
  <si>
    <t>Pavone, Marco/0000-0002-0206-4337</t>
  </si>
  <si>
    <t>10.1109/ICRA48891.2023.10160604</t>
  </si>
  <si>
    <t>WOS:001036713004077</t>
  </si>
  <si>
    <t>Liu, JN; Han, J; Fu, K; Jia, J; Zhu, DD; Zhai, GT</t>
  </si>
  <si>
    <t>Liu, Jiannan; Han, Jing; Fu, Kang; Jia, Jun; Zhu, Dandan; Zhai, Guangtao</t>
  </si>
  <si>
    <t>Application of QR Code Watermarking and Encryption in the Protection of Data Privacy of Intelligent Mouth-Opening Trainer</t>
  </si>
  <si>
    <t>Watermarking; Pipelines; Decoding; QR codes; Distortion; Internet of Things; Transform coding; Adversarial training; data privacy; information hiding; intelligent medical care; quick response (QR) code</t>
  </si>
  <si>
    <t>ROTATION; ANGLE</t>
  </si>
  <si>
    <t>Quick response (QR) codes are widely used in offline to online channels to transfer information from promotional materials to mobile devices. Self-service medical equipment can record the data of each test, so the use of QR codes can realize the data exchange between patients and doctors, medical institutions, and self-service medical equipment, and create a medical information platform for health files. However, since anyone can easily read the information in the QR code, it is not conducive to the protection of patient privacy. Therefore, we propose a QR code encryption and decryption model based on robust digital watermarking. We implement digital watermarking through the generative adversarial networks and increase the robustness of the watermark by adding noise to the model. At the same time, we encrypt and decrypt the QR code information through advanced encryption standards. Experimental results show that the proposed method can well protect the privacy of patients without affecting the data acquisition by patients and doctors.</t>
  </si>
  <si>
    <t>[Liu, Jiannan; Han, Jing] Shanghai Jiao Tong Univ, Dept Oromaxillofacial Head &amp; Neck Oncol, Shanghai Ninth Peoples Hosp, Natl Clin Res Ctr Oral Dis,Sch Med,Coll Stomatol,N, Shanghai 200041, Peoples R China; [Liu, Jiannan; Han, Jing] Shanghai Jiao Tong Univ, Shanghai Key Lab Stomatol, Shanghai, Peoples R China; [Fu, Kang; Jia, Jun; Zhu, Dandan; Zhai, Guangtao] Shanghai Jiao Tong Univ, Inst Image Commun &amp; Network Engn, Shanghai 200240, Peoples R China; [Fu, Kang; Jia, Jun; Zhu, Dandan; Zhai, Guangtao] Shanghai Jiao Tong Univ, AI Inst, MoE, Key Lab Artificial Intelligence, Shanghai 200240, Peoples R China</t>
  </si>
  <si>
    <t>Shanghai Jiao Tong University; Shanghai Jiao Tong University; Shanghai Jiao Tong University; Shanghai Jiao Tong University</t>
  </si>
  <si>
    <t>Zhai, GT (corresponding author), Shanghai Jiao Tong Univ, Inst Image Commun &amp; Network Engn, Shanghai 200240, Peoples R China.;Zhai, GT (corresponding author), Shanghai Jiao Tong Univ, AI Inst, MoE, Key Lab Artificial Intelligence, Shanghai 200240, Peoples R China.</t>
  </si>
  <si>
    <t>laurence_ljn@163.com; hanjing0808@163.com; fuk20-20@sjtu.edu.cn; jiajun0302@sjtu.edu.cn; ddz@sjtu.edu.cn; zhaiguangtao@sjtu.edu.cn</t>
  </si>
  <si>
    <t>Zhai, Guangtao/X-5949-2019</t>
  </si>
  <si>
    <t>Zhai, Guangtao/0000-0001-8165-9322</t>
  </si>
  <si>
    <t>National Natural Science Foundation of China [81901049]</t>
  </si>
  <si>
    <t>This work was supported in part by the National Natural Science Foundation of China under Grant 81901049.~~</t>
  </si>
  <si>
    <t>10.1109/JIOT.2023.3242319</t>
  </si>
  <si>
    <t>I1UJ1</t>
  </si>
  <si>
    <t>WOS:001000701600028</t>
  </si>
  <si>
    <t>Bai, QB; Bedi, AS; Agarwal, M; Koppel, A; Aggarwal, V</t>
  </si>
  <si>
    <t>Bai, Qinbo; Bedi, Amrit Singh; Agarwal, Mridul; Koppel, Alec; Aggarwal, Vaneet</t>
  </si>
  <si>
    <t>Achieving Zero Constraint Violation for Concave Utility Constrained Reinforcement Learning via Primal-Dual Approach</t>
  </si>
  <si>
    <t>Reinforcement learning (RL) is widely used in applications where one needs to per-form sequential decision-making while interacting with the environment. The standard RL problem with safety constraints is generally mathematically modeled by constrained Markov Decision Processes (CMDP), which is linear in objective and rules in occupancy measure space, where the problem becomes challenging in the case where the model is unknown apriori. The problem further becomes challenging when the decision requirement includes optimizing a concave utility while satisfying some nonlinear safety constraints. To solve such a nonlinear problem, we propose a conservative stochastic primal-dual algorithm prove that CSPDA not only exhibits O similar to (1/f2) sample complexity, but also achieves zero (CSPDA) via a randomized primal-dual approach. By leveraging a generative model, we the best available sample complexity for CMDP with zero constraint violation is O similar to (1/f5). constraint violations for the concave utility CMDP. Compared with the previous works, Hence, the proposed algorithm provides a significant improvement as compared to the state-of-the-art</t>
  </si>
  <si>
    <t>[Bai, Qinbo; Agarwal, Mridul; Aggarwal, Vaneet] Purdue Univ, W Lafayette, IN 47907 USA; [Bedi, Amrit Singh] Univ Maryland, Inst Syst Res, College Pk, MD 20742 USA; [Koppel, Alec] JP Morgan AI Res, New York, NY 10017 USA</t>
  </si>
  <si>
    <t>Purdue University System; Purdue University; University System of Maryland; University of Maryland College Park</t>
  </si>
  <si>
    <t>Bai, QB (corresponding author), Purdue Univ, W Lafayette, IN 47907 USA.</t>
  </si>
  <si>
    <t>BAI113@PURDUE.EDU; AMRITBD@UMD.EDU; AGARW180@PURDUE.EDU; AEKOPPEL314@GMAIL.COM; VANEET@PURDUE.EDU</t>
  </si>
  <si>
    <t>CJ1T6</t>
  </si>
  <si>
    <t>WOS:001124801100002</t>
  </si>
  <si>
    <t>Li, YB; Jiang, J; Luo, Y</t>
  </si>
  <si>
    <t>Li, Yanbo; Jiang, Jun; Luo, Yi</t>
  </si>
  <si>
    <t>Data intelligence for molecular science</t>
  </si>
  <si>
    <t>CHINESE SCIENCE BULLETIN-CHINESE</t>
  </si>
  <si>
    <t>molecular science; data intelligence; molecular properties prediction; chemical reaction prediction; automatic synthesis</t>
  </si>
  <si>
    <t>AVAILABLE PYTHON PACKAGE; DEEP NEURAL-NETWORKS; CHEMICAL-STRUCTURES; DESIGN; GENERATION; PREDICTION; DESCRIPTOR; MODEL</t>
  </si>
  <si>
    <t>Molecular science is the core of chemistry, but also the basis of biology, materials, pharmacy and other disciplines. Traditional molecular science research was carried out by experimental or theoretical means, which is costly, timeconsuming and hard to solve the high complexity system. With the advent of the era of big data, data-driven innovation of artificial intelligence (AI) has become the fourth research paradigm after experiment, theory and simulation. With its fast and efficient data processing capabilities, data-driven machine learning has shown great potential in molecular science research. A standard machine learning workflow usually includes three steps: data set construction, molecular descriptor selection, and model building. Firstly, the quality, quantity, and diversity of available data impose an upper limit on the accuracy and generality of the model. In Chapter 1, we classify publicly available data sources according to the research categories of molecular science, including molecular basic information, combustion, atmosphere and interstellar, biological, protein, pharmaceutical and organic. The contents, characteristics and obtaining methods of each database are introduced in detail. Secondly, descriptors are the key step to connect machine learning and chemical science. A good molecular descriptor should satisfy at least three criteria: a unique description of a molecule, sensitive to target attributes and easy to obtain. At the same time, descriptors should have physical significance to help find the connotation of the model and realize the interpretation of the model. In Chapter 2, we introduce some widely used structural descriptors and physical or chemical properties descriptors. Then, once the data has been collected and represented with the appropriate descriptor, a model needs to be selected according to the data type and research question. In Chapter 3, supervised and unsupervised learning algorithms are introduced which are widely used in molecular science. After introducing three important steps of machine learning, Chapter 4 presents its application in several subarea of molecular science research. For example, in molecular property prediction, machine learning has been used to predict the atomization energy, polarizability, electron affinity energy, ionization energy, electronegativity, etc. In molecular design, variational auto-encoder (VAE), generative adversarial network (GAN) and reinforcement learning model are widely used, especially in reverse design of drug molecules. In chemical reaction, machine learning has been used to predict reaction barrier, reaction rate constant, quantum reaction rate and chemical reaction yield, and it has also made great strides in backward synthesis. In theoretical chemistry, by training the potential energy surface of molecules and materials, the structural evolution of materials and the prediction of chemical reactions are greatly accelerated. Furthermore, based on big data and AI, robotic chemists which can explore chemical reactivity and achieve automatic synthesis were developed. It is worth mentioning that Chinese scientists have made breakthroughs in this field. In summary, data-driven machine learning provides new tools for molecular science with clear rules and complex evolution. However, it also faces some challenges and opportunities. Firstly, the biggest challenge is the lack of highquality data sets. Here we propose three possible solutions: open sharing of data and models, popularization of electronic experimental record books, and construction of models that can fully mine information from small data sets. Secondly, how to build explicable machine model which has good fault tolerance and good transferable ability, and can reverse reconstruct our understanding of chemistry. As more and more scientists use data-driven machine learning models in molecular science, the underlying principles are clearer. The new research paradigm is changing the way we discover molecules and study molecular science, which could lead to disruptive new discoveries.</t>
  </si>
  <si>
    <t>[Li, Yanbo] GuSu Lab Mat, Suzhou 215123, Peoples R China; [Li, Yanbo; Jiang, Jun; Luo, Yi] Univ Sci &amp; Technol China, Sch Chem &amp; Mat Sci, Hefei 230026, Peoples R China; [Jiang, Jun; Luo, Yi] Hefei Natl Res Ctr Phys Sci Microscale, Hefei 230026, Peoples R China</t>
  </si>
  <si>
    <t>Gusu Laboratory; Chinese Academy of Sciences; University of Science &amp; Technology of China, CAS</t>
  </si>
  <si>
    <t>Jiang, J; Luo, Y (corresponding author), Univ Sci &amp; Technol China, Sch Chem &amp; Mat Sci, Hefei 230026, Peoples R China.;Jiang, J; Luo, Y (corresponding author), Hefei Natl Res Ctr Phys Sci Microscale, Hefei 230026, Peoples R China.</t>
  </si>
  <si>
    <t>jiangj1@ustc.edu.cn; yiluo@ustc.edu.cn</t>
  </si>
  <si>
    <t>Luo, Yi/B-3277-2013</t>
  </si>
  <si>
    <t>EPHRATA</t>
  </si>
  <si>
    <t>300 WEST CHESNUT ST, EPHRATA, PA 17522 USA</t>
  </si>
  <si>
    <t>0023-074X</t>
  </si>
  <si>
    <t>2095-9419</t>
  </si>
  <si>
    <t>CHIN SCI B-CHIN</t>
  </si>
  <si>
    <t>Chin. Sci. Bull.-Chin.</t>
  </si>
  <si>
    <t>10.1360/TB-2022-1152</t>
  </si>
  <si>
    <t>L8KG2</t>
  </si>
  <si>
    <t>WOS:001025691800007</t>
  </si>
  <si>
    <t>Yang, RX; Peng, YY; Hu, XL</t>
  </si>
  <si>
    <t>Yang, Runxuan; Peng, Yuyang; Hu, Xiaolin</t>
  </si>
  <si>
    <t>A Fast High-Fidelity Source-Filter Vocoder With Lightweight Neural Modules</t>
  </si>
  <si>
    <t>Neural network; singing voice synthesis; spectral envelope; vocoder</t>
  </si>
  <si>
    <t>WAVE-FORM GENERATION; SPEECH SYNTHESIS; SYNTHESIS SYSTEM; MODEL; REPRESENTATION; STRAIGHT</t>
  </si>
  <si>
    <t>The quality of raw audio waveform generated by a vocoder could affect various audio generative tasks. In recent years, the dominance of source-filter vocoders was greatly challenged by neural vocoders as the latter presents far superior synthesized audio quality. Meanwhile, neural vocoders introduced unprecedented limitations including low runtime efficiency as well as unstable pitch especially in those without explicit periodic excitation input, while these have never been a problem in source-filter vocoders. We present in this article a novel approach that takes the best from both parties. We start by an in-depth examination of every building block in WORLD - one of the best-performing source-filter vocoders based on plain signal processing algorithms, looking for ones that do not work well, and we replace them with small, lightweight and task-specific neural network models. We also rearranged the vocoding pipeline for a smoother collaboration between building blocks. Our objective and subjective evaluations demonstrate that our methods present competitive synthesized audio quality even when compared against neural vocoders at a much lower computational cost, while keeping spectral envelope acoustic feature, high pitch accuracy as in conventional source-filter vocoders.</t>
  </si>
  <si>
    <t>[Yang, Runxuan; Hu, Xiaolin] Tsinghua Univ, State Key Lab Intelligent Technol &amp; Syst, Inst AI, THBI,BNRist,Dept Comp Sci &amp; Technol, Beijing 100084, Peoples R China; [Peng, Yuyang] Tsinghua Univ, Dept Automat, Beijing 100084, Peoples R China; [Hu, Xiaolin] Chinese Inst Brain Res CIBR, Beijing 102206, Peoples R China</t>
  </si>
  <si>
    <t>Tsinghua University; Tsinghua University; Chinese Institute for Brain Research, Beijing</t>
  </si>
  <si>
    <t>Hu, XL (corresponding author), Tsinghua Univ, State Key Lab Intelligent Technol &amp; Syst, Inst AI, THBI,BNRist,Dept Comp Sci &amp; Technol, Beijing 100084, Peoples R China.;Hu, XL (corresponding author), Chinese Inst Brain Res CIBR, Beijing 102206, Peoples R China.</t>
  </si>
  <si>
    <t>yangrx20@mails.tsinghua.edu.cn; pengyc23@mails.tsinghua.edu.cn; xlhu@tsinghua.edu.cn</t>
  </si>
  <si>
    <t>Hu, Xiaolin/0000-0002-4907-7354</t>
  </si>
  <si>
    <t>National Natural Science Foundation of China [62061136001, 61836014]</t>
  </si>
  <si>
    <t>This work was supported by the National Natural Science Foundation of China under Grants 62061136001 and 61836014. The associate editor coordinating the review of this manuscript and approving it for publication was Prof. Hema A Murthy.</t>
  </si>
  <si>
    <t>10.1109/TASLP.2023.3321191</t>
  </si>
  <si>
    <t>WOS:001089305500002</t>
  </si>
  <si>
    <t>Adak, S; Ahmad, A; Basu, A; Mukherjee, A</t>
  </si>
  <si>
    <t>Adak, Sayantan; Ahmad, Altaf; Basu, Aditya; Mukherjee, Animesh</t>
  </si>
  <si>
    <t>Placing (Historical) Facts on a Timeline: A Classification Cum Coref Resolution Approach</t>
  </si>
  <si>
    <t>A timeline provides one of the most effective ways to visualize the important historical facts that occurred over a period of time, presenting the insights that may not be so apparent from reading the equivalent information in textual form. By leveraging generative adversarial learning for important sentence classification and by assimilating knowledge based tags for improving the performance of event coreference resolution we introduce a two staged system for event timeline generation from multiple (historical) text documents. We demonstrate our results on two manually annotated historical text documents. Our results can be extremely helpful for historians, in advancing research in history and in understanding the socio-political landscape of a country as reflected in the writings of famous personas. The dataset and the code are available at https://github.com/sayantan11995/Event- Timeline- Generationfrom-Documents.</t>
  </si>
  <si>
    <t>[Adak, Sayantan; Ahmad, Altaf; Basu, Aditya; Mukherjee, Animesh] Indian Inst Technol Kharagpur, Kharagpur, W Bengal, India</t>
  </si>
  <si>
    <t>Indian Institute of Technology System (IIT System); Indian Institute of Technology (IIT) - Kharagpur</t>
  </si>
  <si>
    <t>Adak, S (corresponding author), Indian Inst Technol Kharagpur, Kharagpur, W Bengal, India.</t>
  </si>
  <si>
    <t>sayantanadak.skni@kgpian.iitkgp.ac.in; altafahmad3037045@iitkgp.ac.in; aditya.basu1@iitkgp.ac.in; animeshm@cse.iitkgp.ac.in</t>
  </si>
  <si>
    <t>Mukherjee, Animesh/0000-0003-4534-0044</t>
  </si>
  <si>
    <t>10.1007/978-3-031-26422-1_21</t>
  </si>
  <si>
    <t>WOS:000999152800021</t>
  </si>
  <si>
    <t>Zhou, HY; Li, JX; Zhang, SH; Zhang, S; Yan, MY; Xiong, H</t>
  </si>
  <si>
    <t>Zhou, Haoyi; Li, Jianxin; Zhang, Shanghang; Zhang, Shuai; Yan, Mengyi; Xiong, Hui</t>
  </si>
  <si>
    <t>Expanding the prediction capacity in long sequence time-series forecasting</t>
  </si>
  <si>
    <t>ARTIFICIAL INTELLIGENCE</t>
  </si>
  <si>
    <t>Time-series; Deep learning; Forecasting; Self-attention</t>
  </si>
  <si>
    <t>DIVERGENCE ESTIMATION; DENSITIES; SUMS</t>
  </si>
  <si>
    <t>Many real-world applications show growing demand for the prediction of long sequence time-series, such as electricity consumption planning. Long sequence time-series forecasting (LSTF) requires a higher prediction capacity of the model, which is the ability to capture precise long-range dependency coupling between output and input efficiently. Recent studies have shown the potential of Transformer to accommodate the capacity requirements. However, three real challenges that may have prevented expanding the prediction capacity in LSTF are that the Transformer is limited by quadratic time complexity, high memory usage, and slow inference speed under the encoder-decoder architecture. To address these issues, we design an efficient transformer-based model for LSTF, named Informer, with three distinctive characteristics. (i) a ProbSparse self -attention mechanism, which achieves O(L log L) in time complexity and memory usage, and has comparable performance on sequences' dependency alignment. (ii) the self -attention distilling promotes dominating attention by convolutional operators. Besides, the halving of layer width is intended to reduce the expense of building a deeper network on extremely long input sequences. (iii) the generative style decoder, while conceptually simple, predicts the long time-series sequences at one forward operation rather than a step-by-step way, which drastically improves the inference speed of long -sequence predictions. Extensive experiments on ten large-scale datasets demonstrate that Informer significantly outperforms existing methods and provides a new solution to the LSTF problem. (c) 2023 Published by Elsevier B.V.</t>
  </si>
  <si>
    <t>[Zhou, Haoyi; Li, Jianxin; Zhang, Shuai; Yan, Mengyi] Beihang Univ, Beijing, Peoples R China; [Zhang, Shanghang] Peking Univ, Beijing, Peoples R China; [Xiong, Hui] Hong Kong Univ Sci &amp; Technol, Hong Kong, Peoples R China</t>
  </si>
  <si>
    <t>Beihang University; Peking University; Hong Kong University of Science &amp; Technology</t>
  </si>
  <si>
    <t>Li, JX (corresponding author), Beihang Univ, Beijing, Peoples R China.</t>
  </si>
  <si>
    <t>lijx@buaa.edu.cn</t>
  </si>
  <si>
    <t>Zhou, Haoyi/ADJ-4958-2022; Zhang, Lisa/AAW-9795-2021</t>
  </si>
  <si>
    <t>Zhou, Haoyi/0000-0002-2393-3634; , Mengyi Yan/0009-0002-8249-9695; Zhang, Shuai/0000-0001-8502-2927</t>
  </si>
  <si>
    <t>National Natural Science Foundation of China; Natural Science Foundation of China [62202029, U20B2053]; CAAI-Huawei MindSpore Open Fund [CAAIXSJLJJ-2022-059A]; Foshan HKUST Projects [FSUST21-FYTRI01A, FSUST21-FYTRI02A]; MindSpore; CANN (Compute Architecture for Neural Networks); Ascend AI Processor</t>
  </si>
  <si>
    <t>National Natural Science Foundation of China(National Natural Science Foundation of China (NSFC)); Natural Science Foundation of China(National Natural Science Foundation of China (NSFC)); CAAI-Huawei MindSpore Open Fund; Foshan HKUST Projects; MindSpore; CANN (Compute Architecture for Neural Networks); Ascend AI Processor</t>
  </si>
  <si>
    <t>The authors declare the following financial interests/personal relationships which may be considered as potential com- peting interests: Haoyi ZHOU reports financial support was provided by National Natural Science Foundation of China. Jianxin LI reports financial support was provided by National Natural Science Foundation of China. This work was supported by grants from the Natural Science Foundation of China (62202029 and U20B2053) . Thanks for the computing infrastructure provided by Beijing Advanced Innovation Center for Big Data and Brain Computing. This work was also sponsored by CAAI-Huawei MindSpore Open Fund (CAAIXSJLJJ-2022-059A) . We gratefully acknowledge the support of MindSpore, CANN (Compute Architecture for Neural Networks) and Ascend AI Processor used for this research. This work is also supported in part by Foshan HKUST Projects (FSUST21-FYTRI01A, FSUST21-FYTRI02A) .</t>
  </si>
  <si>
    <t>0004-3702</t>
  </si>
  <si>
    <t>1872-7921</t>
  </si>
  <si>
    <t>ARTIF INTELL-AMST</t>
  </si>
  <si>
    <t>Artif. Intell.</t>
  </si>
  <si>
    <t>10.1016/j.artint.2023.103886</t>
  </si>
  <si>
    <t>C5PZ8</t>
  </si>
  <si>
    <t>WOS:000962446000001</t>
  </si>
  <si>
    <t>He, ZQ; He, JJ; Ye, J; Shen, YQ</t>
  </si>
  <si>
    <t>He, Zhenqi; He, Junjun; Ye, Jin; Shen, Yiqing</t>
  </si>
  <si>
    <t>Artifact Restoration in Histology Images with Diffusion Probabilistic Models</t>
  </si>
  <si>
    <t>Histological Artifact Restoration; Diffusion Probabilistic Model; Swin-Transformer Denoising Network</t>
  </si>
  <si>
    <t>Histological whole slide images (WSIs) can be usually compromised by artifacts, such as tissue folding and bubbles, which will increase the examination difficulty for both pathologists and Computer-Aided Diagnosis (CAD) systems. Existing approaches to restoring artifact images are confined to Generative Adversarial Networks (GANs), where the restoration process is formulated as an image-to-image transfer. Those methods are prone to suffer from mode collapse and unexpected mistransfer in the stain style, leading to unsatisfied and unrealistic restored images. Innovatively, we make the first attempt at a denoising diffusion probabilistic model for histological artifact restoration, namely ArtiFusion. Specifically, ArtiFusion formulates the artifact region restoration as a gradual denoising process, and its training relies solely on artifact-free images to simplify the training complexity. Furthermore, to capture local-global correlations in the regional artifact restoration, a novel Swin-Transformer denoising architecture is designed, along with a time token scheme. Our extensive evaluations demonstrate the effectiveness of ArtiFusion as a pre-processing method for histology analysis, which can successfully preserve the tissue structures and stain style in artifact-free regions during the restoration. Code is available at https://github.com/zhenqi-he/ArtiFusion.</t>
  </si>
  <si>
    <t>[He, Zhenqi] Univ Hong Kong, Pokfulam, Hong Kong, Peoples R China; [He, Junjun; Ye, Jin] Shanghai AI Lab, Shanghai, Peoples R China; [Shen, Yiqing] Johns Hopkins Univ, Baltimore, MD 21205 USA</t>
  </si>
  <si>
    <t>University of Hong Kong; Shanghai Artificial Intelligence Laboratory; Johns Hopkins University</t>
  </si>
  <si>
    <t>Shen, YQ (corresponding author), Johns Hopkins Univ, Baltimore, MD 21205 USA.</t>
  </si>
  <si>
    <t>yshen92@jhu.edu</t>
  </si>
  <si>
    <t>10.1007/978-3-031-43987-2_50</t>
  </si>
  <si>
    <t>WOS:001109635100050</t>
  </si>
  <si>
    <t>Bouchard, C; Wiesner, T; Deschênes, A; Bilodeau, A; Turcotte, B; Gagné, C; Lavoie-Cardinal, F</t>
  </si>
  <si>
    <t>Bouchard, Catherine; Wiesner, Theresa; Deschenes, Andreanne; Bilodeau, Anthony; Turcotte, Benoit; Gagne, Christian; Lavoie-Cardinal, Flavie</t>
  </si>
  <si>
    <t>Resolution enhancement with a task-assisted GAN to guide optical nanoscopy image analysis and acquisition</t>
  </si>
  <si>
    <t>SEGMENTATION</t>
  </si>
  <si>
    <t>Super-resolution fluorescence microscopy methods enable the characterization of nanostructures in living and fixed biological tissues. However, they require the adjustment of multiple imaging parameters while attempting to satisfy conflicting objectives, such as maximizing spatial and temporal resolution while minimizing light exposure. To overcome the limitations imposed by these trade-offs, post-acquisition algorithmic approaches have been proposed for resolution enhancement and image-quality improvement. Here we introduce the task-assisted generative adversarial network (TA-GAN), which incorporates an auxiliary task (for example, segmentation, localization) closely related to the observed biological nanostructure characterization. We evaluate how the TA-GAN improves generative accuracy over unassisted methods, using images acquired with different modalities such as confocal, bright-field, stimulated emission depletion and structured illumination microscopy. The TA-GAN is incorporated directly into the acquisition pipeline of the microscope to predict the nanometric content of the field of view without requiring the acquisition of a super-resolved image. This information is used to automatically select the imaging modality and regions of interest, optimizing the acquisition sequence by reducing light exposure. Data-driven microscopy methods like the TA-GAN will enable the observation of dynamic molecular processes with spatial and temporal resolutions that surpass the limits currently imposed by the trade-offs constraining super-resolution microscopy. Algorithmic super-resolution in the context of fluorescence microscopy is challenging due to the difficulty to reliably represent biological nanostructures in synthetically generated images. Bouchard and colleagues propose a deep learning model for live-cell imaging that can leverage auxiliary microscopy imaging tasks to guide and enhance reconstruction, while preserving the biological features of interest.</t>
  </si>
  <si>
    <t>[Bouchard, Catherine; Wiesner, Theresa; Bilodeau, Anthony; Turcotte, Benoit; Gagne, Christian; Lavoie-Cardinal, Flavie] Univ Laval, Inst Intelligence &amp; Data IID, Quebec City, PQ, Canada; [Bouchard, Catherine; Wiesner, Theresa; Deschenes, Andreanne; Bilodeau, Anthony; Turcotte, Benoit; Lavoie-Cardinal, Flavie] CERVO Brain Res Ctr, Quebec City, PQ, Canada; [Gagne, Christian] Univ Laval, Dept Genie Elect &amp; Genie Informat, Quebec City, PQ, Canada; [Lavoie-Cardinal, Flavie] Univ Laval, Dept Psychiat &amp; Neurosci, Quebec City, PQ, Canada</t>
  </si>
  <si>
    <t>Laval University; Laval University; Laval University</t>
  </si>
  <si>
    <t>Gagné, C; Lavoie-Cardinal, F (corresponding author), Univ Laval, Inst Intelligence &amp; Data IID, Quebec City, PQ, Canada.;Lavoie-Cardinal, F (corresponding author), CERVO Brain Res Ctr, Quebec City, PQ, Canada.;Gagné, C (corresponding author), Univ Laval, Dept Genie Elect &amp; Genie Informat, Quebec City, PQ, Canada.;Lavoie-Cardinal, F (corresponding author), Univ Laval, Dept Psychiat &amp; Neurosci, Quebec City, PQ, Canada.</t>
  </si>
  <si>
    <t>flavie.lavoie-cardinal@cervo.ulaval.ca</t>
  </si>
  <si>
    <t>Laval, Université/JQI-9106-2023</t>
  </si>
  <si>
    <t>Lavoie-Cardinal, Flavie/0000-0002-4496-5088</t>
  </si>
  <si>
    <t>Natural Sciences and Engineering Research Council of Canada (NSERC); Fonds de Recherche Nature et Technologie (FRQNT) Team Grant; Canada first Research Excellence Fund; Canadian Institute for Health Research (CIHR) [RGPIN-06704-2019, RGPIN-2019-06706]; Neuronex Initiative (National Science Foundation) [2021-PR-284335]; Fond de recherche du Quebec - Sante; NSERC; Fonds de Recherche Nature et Technologie (FRQNT) Quebec [2014862]; FRQNT strategic cluster UNIQUE [295824]; Universite Laval; FRQNT strategic cluster UNIQUE; NSERC; FRQNT</t>
  </si>
  <si>
    <t>Natural Sciences and Engineering Research Council of Canada (NSERC)(Natural Sciences and Engineering Research Council of Canada (NSERC)); Fonds de Recherche Nature et Technologie (FRQNT) Team Grant; Canada first Research Excellence Fund; Canadian Institute for Health Research (CIHR)(Canadian Institutes of Health Research (CIHR)); Neuronex Initiative (National Science Foundation); Fond de recherche du Quebec - Sante; NSERC(Natural Sciences and Engineering Research Council of Canada (NSERC)); Fonds de Recherche Nature et Technologie (FRQNT) Quebec; FRQNT strategic cluster UNIQUE; Universite Laval; FRQNT strategic cluster UNIQUE; NSERC(Natural Sciences and Engineering Research Council of Canada (NSERC)); FRQNT(Fonds de recherche du Quebec (FRQ)Fonds de recherche du Quebec - Nature et technologies (FRQNT))</t>
  </si>
  <si>
    <t>We thank F. Nault and S. Pensivy for the neuronal cell culture, G. Leclerc for the Fiji macro for segmentation and A. Schwerdtfeger for proofreading the paper. Funding was provided by grants from the Natural Sciences and Engineering Research Council of Canada (NSERC) (RGPIN-06704-2019 to F.L.-C. and RGPIN-2019-06706 to C.G.), Fonds de Recherche Nature et Technologie (FRQNT) Team Grant (2021-PR-284335 to F.L.-C and C.G.), Sentinel North Initiative funded by Canada first Research Excellence Fund (2020-2024 Major Call for Proposal to F.L.-C. and C.G.), the Canadian Institute for Health Research (CIHR) (F.L.-C.) and the Neuronex Initiative (National Science Foundation 2014862, Fond de recherche du Quebec - Sante 295824 to F.L.-C.). C.G. is a CIFAR Canada AI Chair and F.L.-C. is a Canada Research Chair Tier II. C.B. is supported by scholarships from NSERC, from the Fonds de Recherche Nature et Technologie (FRQNT) Quebec, from the FRQNT strategic cluster UNIQUE and by a Leadership and Scientific Engagement Award from Universite Laval. T.W. was supported by a postdoctoral scholarship from the FRQNT strategic cluster UNIQUE. A.B. is supported by scholarships from NSERC and FRQNT, and from the FRQNT strategic cluster UNIQUE.</t>
  </si>
  <si>
    <t>10.1038/s42256-023-00689-3</t>
  </si>
  <si>
    <t>P8EP9</t>
  </si>
  <si>
    <t>WOS:001037339300002</t>
  </si>
  <si>
    <t>Monreale, A; Pellungrini, R</t>
  </si>
  <si>
    <t>Monreale, Anna; Pellungrini, Roberto</t>
  </si>
  <si>
    <t>A Survey on Privacy in Human Mobility</t>
  </si>
  <si>
    <t>TRANSACTIONS ON DATA PRIVACY</t>
  </si>
  <si>
    <t>K-ANONYMITY; RISK; PROTECTION; ANONYMIZATION; MODEL</t>
  </si>
  <si>
    <t>In the last years we have witnessed a pervasive use of location-aware technologies such as vehicular GPS-enabled devices, RFID based tools, mobile phones, etc which generate collection and storing of a large amount of human mobility data. The powerful of this data has been recognized by both the scientific community and the industrial worlds. Human mobility data can be used for different scopes such as urban traffic management, urban planning, urban pollution estimation, etc. Unfortunately, data describing human mobility is sensitive, because people's whereabouts may allow re-identification of individuals in a de-identified database and the access to the places visited by indi-viduals may enable the inference of sensitive information such as religious belief, sexual preferences, health conditions, and so on. The literature reports many approaches aimed at overcoming privacy issues in mobility data, thus in this survey we discuss the advancements on privacy-preserving mo-bility data publishing. We first describe the adversarial attack and privacy models typically taken into consideration for mobility data, then we present frameworks for the privacy risk assessment and finally, we discuss three main categories of privacy-preserving strategies: methods based on anonymization of mobility data, methods based on the differential privacy models and methods which protect privacy by exploiting generative models for synthetic trajectory generation.</t>
  </si>
  <si>
    <t>[Monreale, Anna; Pellungrini, Roberto] Univ Pisa, Dept Comp Sci, Pisa, Italy</t>
  </si>
  <si>
    <t>Monreale, A; Pellungrini, R (corresponding author), Univ Pisa, Dept Comp Sci, Pisa, Italy.</t>
  </si>
  <si>
    <t>anna.monreale@unipi.it; roberto.pellungrini@di.unipi.it</t>
  </si>
  <si>
    <t>MONREALE, ANNA/AAL-7456-2020</t>
  </si>
  <si>
    <t>MONREALE, ANNA/0000-0001-8541-0284</t>
  </si>
  <si>
    <t>European Community H2020 programme [H2020-INFRAIA-2019-1, G.A. 952026]; [G.A. 871042]; [G.A. 952215]</t>
  </si>
  <si>
    <t>European Community H2020 programme; ;</t>
  </si>
  <si>
    <t>This work is partially supported by the European Community H2020 programme under the funding schemes: H2020-INFRAIA-2019-1: Research Infrastructure G.A. 871042 SoBigData++ (sobigdata.eu) , G.A. 952215 TAILOR and G.A. 952026 Humane AI NET (humane-ai.eu)</t>
  </si>
  <si>
    <t>INST ESTUDIOS DOCUMENTALES CIENCIA &amp; TECNOLOGIA-IEDCYT</t>
  </si>
  <si>
    <t>JOAQUIN COSTA 22, MADRID, 28002, SPAIN</t>
  </si>
  <si>
    <t>1888-5063</t>
  </si>
  <si>
    <t>2013-1631</t>
  </si>
  <si>
    <t>TRANS DATA PRIV</t>
  </si>
  <si>
    <t>Trans. Data Priv.</t>
  </si>
  <si>
    <t>E6PP2</t>
  </si>
  <si>
    <t>WOS:000976742200005</t>
  </si>
  <si>
    <t>Kim, J; Kim, G; Son, J; Lim, H</t>
  </si>
  <si>
    <t>Kim, Jinsung; Kim, Gyeongmin; Son, Junyoung; Lim, Heuiseok</t>
  </si>
  <si>
    <t>Prompt Language Learner with Trigger Generation for Dialogue Relation Extraction</t>
  </si>
  <si>
    <t>dialogue relation extraction; information extraction; trigger generation; prompt-based learning</t>
  </si>
  <si>
    <t>Dialogue relation extraction identifies semantic relations between entity pairs in dialogues. This research explores a methodology harnessing the potential of prompt-based fine-tuning paired with a trigger-generation approach. Capitalizing on the intrinsic knowledge of pre-trained language models, this strategy employs triggers that underline the relation between entities decisively. In particular, diverging from the conventional extractive methods seen in earlier research, our study leans towards a generative manner for trigger generation. The dialogue-based relation extraction (DialogeRE) benchmark dataset features multi-utterance environments of colloquial speech by multiple speakers, making it critical to capture meaningful clues for inferring relational facts. In the benchmark, empirical results reveal significant performance boosts in few-shot scenarios, where the availability of examples is notably limited. Nevertheless, the scarcity of ground-truth triggers for training hints at potential further refinements in the trigger-generation module, especially when ample examples are present. When evaluating the challenges of dialogue relation extraction, combining prompt-based learning with trigger generation offers pronounced improvements in both full-shot and few-shot scenarios. Specifically, integrating a meticulously crafted manual initialization method with the prompt-based model-considering prior distributional insights and relation class semantics-substantially surpasses the baseline. However, further advancements in trigger generation are warranted, especially in data-abundant contexts, to maximize performance enhancements.</t>
  </si>
  <si>
    <t>[Kim, Jinsung; Son, Junyoung; Lim, Heuiseok] Korea Univ, Dept Comp Sci &amp; Engn, 145 Anam Ro, Seoul 02841, South Korea; [Kim, Gyeongmin; Lim, Heuiseok] Human Inspired AI Res, 145 Anam Ro, Seoul 02841, South Korea</t>
  </si>
  <si>
    <t>Lim, H (corresponding author), Korea Univ, Dept Comp Sci &amp; Engn, 145 Anam Ro, Seoul 02841, South Korea.;Lim, H (corresponding author), Human Inspired AI Res, 145 Anam Ro, Seoul 02841, South Korea.</t>
  </si>
  <si>
    <t>jin62304@korea.ac.kr; totoro4007@gmail.com; s0ny@korea.ac.kr; limhseok@korea.ac.kr</t>
  </si>
  <si>
    <t>Kim, Gyeongmin/0000-0002-2851-0374; Lim, Heuiseok/0000-0002-9269-1157</t>
  </si>
  <si>
    <t>IITP (Institute for Information &amp; communications Technology Planning Evaluation)</t>
  </si>
  <si>
    <t>IITP (Institute for Information &amp; communications Technology Planning Evaluation)(Institute for Information &amp; Communication Technology Planning &amp; Evaluation (IITP), Republic of Korea)</t>
  </si>
  <si>
    <t>10.3390/app132212414</t>
  </si>
  <si>
    <t>Z9RI1</t>
  </si>
  <si>
    <t>WOS:001115374900001</t>
  </si>
  <si>
    <t>Erhardt, K; Albassam, D</t>
  </si>
  <si>
    <t>Erhardt, Keeley; Albassam, Dina</t>
  </si>
  <si>
    <t>Detecting the Hidden Dynamics of Networked Actors Using Temporal Correlations</t>
  </si>
  <si>
    <t>Markov model; temporality; dynamics; propaganda; social media; hidden infuence</t>
  </si>
  <si>
    <t>Influence campaigns pose a threat to fact-based reasoning, erode trust in institutions, and tear at the fabric of our society. In the 21st century, influence campaigns have rapidly evolved, taking on new online identities. Many of these propaganda campaigns are persistent and well-resourced, making their identification and removal both hard and expensive. Social media companies have predominantly aimed to counter the threat of online propaganda by prioritizing the moderation of coordinated inauthentic behavior. This strategy focuses on identifying orchestrated campaigns explicitly intended to deceive, rather than individual social media accounts or posts. In this paper, we study the Twitter footprint of a multi-year influence campaign linked to the Russian government. Drawing from the influence model, a generative model that describes the interactions between networked Markov chains, we demonstrate how temporal correlations in the sequential decision processes of individual social media accounts can reveal coordinated inauthentic activity.</t>
  </si>
  <si>
    <t>[Erhardt, Keeley] MIT, 77 Massachusetts Ave, Cambridge, MA 02139 USA; [Albassam, Dina] King Abdulaziz City Sci &amp; Technol, Riyadh, Saudi Arabia</t>
  </si>
  <si>
    <t>Massachusetts Institute of Technology (MIT); King Abdulaziz City for Science &amp; Technology</t>
  </si>
  <si>
    <t>Erhardt, K (corresponding author), MIT, 77 Massachusetts Ave, Cambridge, MA 02139 USA.</t>
  </si>
  <si>
    <t>keeley@mit.edu; dalbassam@kacst.edu.sa</t>
  </si>
  <si>
    <t>10.1145/3543873.3587672</t>
  </si>
  <si>
    <t>WOS:001124276300225</t>
  </si>
  <si>
    <t>Li, SM; van de Weijer, J; Wang, YX; Khan, FS; Liu, MQ; Yang, J</t>
  </si>
  <si>
    <t>Li, Senmao; van de Weijer, Joost; Wang, Yaxing; Khan, Fahad Shahbaz; Liu, Meiqin; Yang, Jian</t>
  </si>
  <si>
    <t>3D-Aware Multi-Class Image-to-Image Translation with NeRFs</t>
  </si>
  <si>
    <t>Recent advances in 3D-aware generative models (3D-aware GANs) combined with Neural Radiance Fields (NeRF) have achieved impressive results. However no prior works investigate 3D-aware GANs for 3D consistent multi-class image-to-image (3D-aware I2I) translation. Naively using 2D-I2I translation methods suffers from unrealistic shape/identity change. To perform 3D-aware multi-class I2I translation, we decouple this learning process into a multi-class 3D-aware GAN step and a 3D-aware I2I translation step. In the first step, we propose two novel techniques: a new conditional architecture and an effective training strategy. In the second step, based on the well-trained multi-class 3D-aware GAN architecture, that preserves view-consistency, we construct a 3D-aware I2I translation system. To further reduce the view-consistency problems, we propose several new techniques, including a U-net-like adaptor network design, a hierarchical representation constrain and a relative regularization loss. In extensive experiments on two datasets, quantitative and qualitative results demonstrate that we successfully perform 3D-aware I2I translation with multi-view consistency. Code is available in 3DI2I.</t>
  </si>
  <si>
    <t>[Li, Senmao; Wang, Yaxing; Yang, Jian] Nankai Univ, CS, VCIP, Tianjin, Peoples R China; [van de Weijer, Joost] Univ Autonoma Barcelona, Barcelona, Spain; [Khan, Fahad Shahbaz] Mohamed bin Zayed Univ AI, Abu Dhabi, U Arab Emirates; [Khan, Fahad Shahbaz] Linkoping Univ, Linkoping, Sweden; [Liu, Meiqin] Beijing Jiaotong Univ, Beijing, Peoples R China</t>
  </si>
  <si>
    <t>Nankai University; Autonomous University of Barcelona; Linkoping University; Beijing Jiaotong University</t>
  </si>
  <si>
    <t>Wang, YX (corresponding author), Nankai Univ, CS, VCIP, Tianjin, Peoples R China.</t>
  </si>
  <si>
    <t>wang, YA XING/K-9671-2016; van de Weijer, Joost/A-1643-2009</t>
  </si>
  <si>
    <t>van de Weijer, Joost/0000-0002-9656-9706; Li, Senmao/0009-0009-7376-2915</t>
  </si>
  <si>
    <t>Key Laboratory of Advanced Information Science and Network Technology of Beijing [XDXX2202]; Youth Foundation [62202243]; Spanish Government [PID2019-104174GB-I00, TED2021-132513B-I00]</t>
  </si>
  <si>
    <t>Key Laboratory of Advanced Information Science and Network Technology of Beijing; Youth Foundation; Spanish Government(Spanish Government)</t>
  </si>
  <si>
    <t>We acknowledge the support from the Key Laboratory of Advanced Information Science and Network Technology of Beijing (XDXX2202), and the project supported by Youth Foundation (62202243). We acknowledge the Spanish Government funding for projects PID2019-104174GB-I00, TED2021-132513B-I00.</t>
  </si>
  <si>
    <t>10.1109/CVPR52729.2023.01217</t>
  </si>
  <si>
    <t>WOS:001062522104093</t>
  </si>
  <si>
    <t>Na, KI; Kim, UH; Kim, JH</t>
  </si>
  <si>
    <t>Na, Ki-In; Kim, Ue-Hwan; Kim, Jong-Hwan</t>
  </si>
  <si>
    <t>SPU-BERT: Faster human multi-trajectory prediction from socio-physical understanding of BERT</t>
  </si>
  <si>
    <t>KNOWLEDGE-BASED SYSTEMS</t>
  </si>
  <si>
    <t>Pedestrian trajectory prediction; Multi-trajectory prediction; Socio-physical understanding; Transformer; BERT</t>
  </si>
  <si>
    <t>Accurately predicting pedestrian trajectories requires a human-like socio-physical understanding of movement, nearby pedestrians, and obstacles. However, traditional methods struggle to generate multiple trajectories in the same situation based on socio-physical understanding and are compu-tationally intensive, making real-time application difficult. To overcome these limitations, we propose SPU-BERT, a fast multi-trajectory prediction model that incorporates two non-recursive BERTs for multi-goal prediction (MGP) and trajectory-to-goal prediction (TGP). First, MGP predicts multiple goals through generative models, followed by TGP generating trajectories that approach the predicted goals. SPU-BERT can simultaneously understand movement, social interaction, and scene context from trajectories and semantic maps using a single Transformer encoder, providing explainable results as evidence of socio-physical understanding. In experiments, SPU-BERT accurately predicted future trajectories (with 0.19 m and 7.54 pixels of ADE20 for the ETH/UCY datasets and SDD) with over 100 times faster computation (0.132 s) than the state-of-the-art method. The code is available at https://github.com/kina4147/SPUBERT. &amp; COPY; 2023 Published by Elsevier B.V.</t>
  </si>
  <si>
    <t>[Na, Ki-In] ETRI, Field Robot Res Sect, Daejeon 34129, South Korea; [Kim, Ue-Hwan] GIST, AI Grad Sch, Gwangju 61005, South Korea; [Kim, Jong-Hwan] Korea Adv Inst Sci &amp; Technol, Sch Elect Engn, Daejeon 34141, South Korea</t>
  </si>
  <si>
    <t>Electronics &amp; Telecommunications Research Institute - Korea (ETRI); Gwangju Institute of Science &amp; Technology (GIST); Korea Advanced Institute of Science &amp; Technology (KAIST)</t>
  </si>
  <si>
    <t>Kim, JH (corresponding author), Korea Adv Inst Sci &amp; Technol, Sch Elect Engn, Daejeon 34141, South Korea.</t>
  </si>
  <si>
    <t>kina4147@etri.re.kr; uehwan@gist.ac.kr; johkim@rit.kaist.ac.kr</t>
  </si>
  <si>
    <t>Na, Ki-In/0000-0002-4229-4786</t>
  </si>
  <si>
    <t>Ministry of Trade, Industry and Energy (MOTIE) , Republic of Korea [20015440]</t>
  </si>
  <si>
    <t>Ministry of Trade, Industry and Energy (MOTIE) , Republic of Korea(Ministry of Trade, Industry &amp; Energy (MOTIE), Republic of Korea)</t>
  </si>
  <si>
    <t>This work was supported by the Industrial Strategic Technology Development Program, Development of Heterogeneous Multi -Mobile Logistics Handling Robot Integrated Operation Simulator and Fleet Management System, through the Ministry of Trade, Industry and Energy (MOTIE) , Republic of Korea, under Grant 20015440.</t>
  </si>
  <si>
    <t>0950-7051</t>
  </si>
  <si>
    <t>1872-7409</t>
  </si>
  <si>
    <t>KNOWL-BASED SYST</t>
  </si>
  <si>
    <t>Knowledge-Based Syst.</t>
  </si>
  <si>
    <t>10.1016/j.knosys.2023.110637</t>
  </si>
  <si>
    <t>K0QH4</t>
  </si>
  <si>
    <t>WOS:001013575300001</t>
  </si>
  <si>
    <t>Harz, L; Voss, H; Kopp, S</t>
  </si>
  <si>
    <t>Harz, Leon; Voss, Hendric; Kopp, Stefan</t>
  </si>
  <si>
    <t>FEIN-Z: Autoregressive Behavior Cloning for Speech-Driven Gesture Generation</t>
  </si>
  <si>
    <t>machine learning; deep learning; co-speech gesture generation; gesture synthesis; multimodal data; transformer; behavior cloning; reinforcement learning</t>
  </si>
  <si>
    <t>Human communication relies on multiple modalities such as verbal expressions, facial cues, and bodily gestures. Developing computational approaches to process and generate these multimodal signals is critical for seamless human-agent interaction. A particular challenge is the generation of co-speech gestures due to the large variability and number of gestures that can accompany a verbal utterance, leading to a one-to-many mapping problem. This paper presents an approach based on a Feature Extraction Infusion Network (FEIN-Z) that adopts insights from robot imitation learning and applies them to co-speech gesture generation. Building on the BC-Z architecture, our framework combines transformer architectures andWasserstein generative adversarial networks. We describe the FEIN-Z methodology and evaluation results obtained within the GENEA Challenge 2023, demonstrating good results and signifcant improvements in human-likeness over the GENEA baseline. We discuss potential areas for improvement, such as refning input segmentation, employing more fne-grained control networks, and exploring alternative inference methods.</t>
  </si>
  <si>
    <t>[Harz, Leon] Bielefeld Univ, Bielefeld, Germany; [Voss, Hendric; Kopp, Stefan] Bielefeld Univ, Social Cognit Syst Grp, Bielefeld, Germany</t>
  </si>
  <si>
    <t>University of Bielefeld; University of Bielefeld</t>
  </si>
  <si>
    <t>Harz, L (corresponding author), Bielefeld Univ, Bielefeld, Germany.</t>
  </si>
  <si>
    <t>lharz@techfak.uni-bielefeld.de; hvoss@techfak.uni-bielefeld.de; skopp@techfak.uni-bielefeld.de</t>
  </si>
  <si>
    <t>10.1145/3577190.3616115</t>
  </si>
  <si>
    <t>WOS:001147764700094</t>
  </si>
  <si>
    <t>Shang, YZ; Yuan, ZH; Xie, B; Wu, BZ; Yan, Y</t>
  </si>
  <si>
    <t>Shang, Yuzhang; Yuan, Zhihang; Xie, Bin; Wu, Bingzhe; Yan, Yan</t>
  </si>
  <si>
    <t>Post-training Quantization on Diffusion Models</t>
  </si>
  <si>
    <t>Denoising diffusion (score-based) generative models have recently achieved significant accomplishments in generating realistic and diverse data. Unfortunately, the generation process of current denoising diffusion models is notoriously slow due to the lengthy iterative noise estimations, which rely on cumbersome neural networks. It prevents the diffusion models from being widely deployed, especially on edge devices. Previous works accelerate the generation process of diffusion model (DM) via finding shorter yet effective sampling trajectories. However, they overlook the cost of noise estimation with a heavy network in every iteration. In this work, we accelerate generation from the perspective of compressing the noise estimation network. Due to the difficulty of retraining DMs, we exclude mainstream training-aware compression paradigms and introduce post-training quantization (PTQ) into DM acceleration. However, the output distributions of noise estimation networks change with time-step, making previous PTQ methods fail in DMs since they are designed for single-time step scenarios. To devise a DM-specific PTQ method, we explore PTQ on DM in three aspects: quantized operations, calibration dataset, and calibration metric. We summarize and use several observations derived from all-inclusive investigations to formulate our method, which especially targets the unique multi-time-step structure of DMs. Experimentally, our method can directly quantize full-precision DMs into 8-bit models while maintaining or even improving their performance in a training-free manner. Importantly, our method can serve as a plug-and-play module on other fast-sampling methods, e.g., DDIM [24]. The code is available at https://https://github.com/42Shawn/PTQ4DM.</t>
  </si>
  <si>
    <t>[Shang, Yuzhang; Xie, Bin; Yan, Yan] Illinois Inst Technol, Chicago, IL 60616 USA; [Yuan, Zhihang] Houmo AI, Beijing, Peoples R China; [Wu, Bingzhe] Tencent AI Lab, Shenzhen, Peoples R China; [Shang, Yuzhang] 4 Cisco Res, San Jose, CA USA</t>
  </si>
  <si>
    <t>Illinois Institute of Technology; Tencent</t>
  </si>
  <si>
    <t>Yan, Y (corresponding author), Illinois Inst Technol, Chicago, IL 60616 USA.</t>
  </si>
  <si>
    <t>yshang4@hawk.iit.edu; zhihang.yuan@huomo.ai; bxie9@hawk.iit.edu; bingzhewu@tencent.com; yyan34@iit.edu</t>
  </si>
  <si>
    <t>10.1109/CVPR52729.2023.00196</t>
  </si>
  <si>
    <t>WOS:001058542602029</t>
  </si>
  <si>
    <t>Hu, VT; Zhang, DW; Asano, YM; Burghouts, GJ; Snoek, CGM</t>
  </si>
  <si>
    <t>Hu, Vincent Tao; Zhang, David W.; Asano, Yuki M.; Burghouts, Gertjan J.; Snoek, Cees G. M.</t>
  </si>
  <si>
    <t>Self-Guided Diffusion Models</t>
  </si>
  <si>
    <t>Diffusion models have demonstrated remarkable progress in image generation quality, especially when guidance is used to control the generative process. However, guidance requires a large amount of image-annotation pairs for training and is thus dependent on their availability and correctness. In this paper, we eliminate the need for such annotation by instead exploiting the flexibility of self-supervision signals to design a framework for self-guided diffusion models. By leveraging a feature extraction function and a self-annotation function, our method provides guidance signals at various image granularities: from the level of holistic images to object boxes and even segmentation masks. Our experiments on single-label and multi-label image datasets demonstrate that self-labeled guidance always outperforms diffusion models without guidance and may even surpass guidance based on ground-truth labels. When equipped with self-supervised box or mask proposals, our method further generates visually diverse yet semantically consistent images, without the need for any class, box, or segment label annotation. Self-guided diffusion is simple, flexible and expected to profit from deployment at scale.</t>
  </si>
  <si>
    <t>[Hu, Vincent Tao; Zhang, David W.; Asano, Yuki M.; Snoek, Cees G. M.] Univ Amsterdam, Amsterdam, Netherlands; [Burghouts, Gertjan J.] TNO, The Hague, Netherlands</t>
  </si>
  <si>
    <t>University of Amsterdam; Netherlands Organization Applied Science Research</t>
  </si>
  <si>
    <t>Hu, VT (corresponding author), Univ Amsterdam, Amsterdam, Netherlands.</t>
  </si>
  <si>
    <t>Dutch Research Council (NWO) domain Applied and Engineering Sciences (TTW) [P16-25]</t>
  </si>
  <si>
    <t>Dutch Research Council (NWO) domain Applied and Engineering Sciences (TTW)</t>
  </si>
  <si>
    <t>The work of DWZ is part of the research programme Perspectief EDL with project number P16-25 project 3, which is financed by the Dutch Research Council (NWO) domain Applied and Engineering Sciences (TTW). We thank EscherCloud AI for the European compute resources.</t>
  </si>
  <si>
    <t>10.1109/CVPR52729.2023.01766</t>
  </si>
  <si>
    <t>WOS:001062531302070</t>
  </si>
  <si>
    <t>Wang, JB; Huang, HZ; Shen, L; Wang, X; Yamasaki, T</t>
  </si>
  <si>
    <t>Wang, Jianbo; Huang, Haozhi; Shen, Li; Wang, Xuan; Yamasaki, Toshihiko</t>
  </si>
  <si>
    <t>Hierarchical Detailed Intermediate Supervision for Image-to-Image Translation</t>
  </si>
  <si>
    <t>image-to-image translation; Laplacian Pyramid; intermediate supervision</t>
  </si>
  <si>
    <t>The image-to-image translation aims to learn a mapping between the source and target domains. For improving visual quality, the majority of previous works adopt multi-stage techniques to refine coarse results in a progressive manner. In this work, we present a novel approach for generating plausible details by only introducing a group of intermediate supervisions without cascading multiple stages. Specifically, we propose a Laplacian Pyramid Transformation Generative Adversarial Network (Lap-TransGAN) to simultaneously transform components in different frequencies from the source domain to the target domain within only one stage. Hierarchical perceptual and gradient penalization are utilized for learning consistent semantic structures and details at each pyramid level. The pro-posed model is evaluated based on various metrics, including the similarity in feature maps, reconstruction quality, segmentation accuracy, similarity in details, and qualitative appearances. Our experiments show that LapTrans-GAN can achieve a much better quantitative performance than both the supervised pix2pix model and the unsupervised CycleGAN model. Comprehensive ablation experiments are conducted to study the contribution of each component.</t>
  </si>
  <si>
    <t>[Wang, Jianbo] Univ Tokyo, Grad Sch Informat Sci &amp; Technol, Tokyo 1138656, Japan; [Yamasaki, Toshihiko] Univ Tokyo, Grad Sch Informat Sci &amp; Technol, Dept Informat &amp; Commun Engn, Tokyo 1138656, Japan; [Shen, Li; Wang, Xuan; Yamasaki, Toshihiko] Tencent AI Lab, Shenzhen 518054, Peoples R China</t>
  </si>
  <si>
    <t>University of Tokyo; University of Tokyo; Tencent</t>
  </si>
  <si>
    <t>Wang, JB (corresponding author), Univ Tokyo, Grad Sch Informat Sci &amp; Technol, Tokyo 1138656, Japan.</t>
  </si>
  <si>
    <t>jianbowang815@cvm.t.u-tokyo.ac.jp; huanghz08@gmail.com; mathshenli@gmail.com; xwang.cv@gmail.com; yamasaki@cvm.t.u-tokyo.ac.jp</t>
  </si>
  <si>
    <t>10.1587/transinf.2023EDP7025</t>
  </si>
  <si>
    <t>AH3O3</t>
  </si>
  <si>
    <t>WOS:001117536800010</t>
  </si>
  <si>
    <t>Kumar, N; Narang, A</t>
  </si>
  <si>
    <t>Kumar, Neeraj; Narang, Anish</t>
  </si>
  <si>
    <t>Generalized Spatio-Temporal Adaptive Normalization Framework</t>
  </si>
  <si>
    <t>In this paper, we propose Generalized Spatio-Temporal Adaptive Normalization (GSTAN) Framework for Generative Adversarial and Deep Learning Inference Architectures. By leveraging higher-order derivatives based temporal feature maps along with spatial feature map, our normalization approach leads to: (a) efficient generation of high-quality videos with better details and enhanced temporal coherence, and, (b) higher accuracy inference on multiple tasks. In order to evaluate model generalization, we performed experimental evaluation on multiple tasks including: video to video generation, video segmentation and activity recognition (classify the activity out of 101 activity classes, for a given input video). Detailed experimental analysis over a variety of datasets including CityScape, UCF101 and CK+ demonstrates superior performance of GSTAN and also provides the impact of its various configurations, including parallel GSTAN and sequential GSTAN.</t>
  </si>
  <si>
    <t>[Kumar, Neeraj] Indian Inst Technol, New Delhi 110016, India; [Narang, Anish] AAAI, Washington, DC USA</t>
  </si>
  <si>
    <t>Indian Institute of Technology System (IIT System); Indian Institute of Technology (IIT) - Delhi</t>
  </si>
  <si>
    <t>Kumar, N (corresponding author), Indian Inst Technol, New Delhi 110016, India.</t>
  </si>
  <si>
    <t>neerajkr2k14@gmail.com; anishnarang06@gmail.com</t>
  </si>
  <si>
    <t>10.1109/ICAIIC57133.2023.10067068</t>
  </si>
  <si>
    <t>WOS:001012997600023</t>
  </si>
  <si>
    <t>Kim, E; Cho, HH; Kwon, J; Oh, YT; Ko, ES; Park, H</t>
  </si>
  <si>
    <t>Kim, Eunjin; Cho, Hwan-Ho; Kwon, Junmo; Oh, Young-Tack; Ko, Eun Sook; Park, Hyunjin</t>
  </si>
  <si>
    <t>Tumor-Attentive Segmentation-Guided GAN for Synthesizing Breast Contrast-Enhanced MRI Without Contrast Agents</t>
  </si>
  <si>
    <t>IEEE JOURNAL OF TRANSLATIONAL ENGINEERING IN HEALTH AND MEDICINE</t>
  </si>
  <si>
    <t>Breast magnetic resonance imaging; image synthesis; tumor-attentive; segmentation-guided; adversarial learning</t>
  </si>
  <si>
    <t>ONCOLOGY; CANCER</t>
  </si>
  <si>
    <t>Objective: Breast dynamic contrast-enhanced magnetic resonance imaging (DCE-MRI) is a sensitive imaging technique critical for breast cancer diagnosis. However, the administration of contrast agents poses a potential risk. This can be avoided if contrast-enhanced MRI can be obtained without using contrast agents. Thus, we aimed to generate T1-weighted contrast-enhanced MRI (ceT1) images from pre-contrast T1 weighted MRI (preT1) images in the breast. Methods: We proposed a generative adversarial network to synthesize ceT1 from preT1 breast images that adopted a local discriminator and segmentation task network to focus specifically on the tumor region in addition to the whole breast. The segmentation network performed a related task of segmentation of the tumor region, which allowed important tumor-related information to be enhanced. In addition, edge maps were included to provide explicit shape and structural information. Our approach was evaluated and compared with other methods in the local (n = 306) and external validation (n = 140) cohorts. Four evaluation metrics of normalized mean squared error (NRMSE), Pearson cross-correlation coefficients (CC), peak signal-to-noise ratio (PSNR), and structural similarity index map (SSIM) for the whole breast and tumor region were measured. An ablation study was performed to evaluate the incremental benefits of various components in our approach. Results: Our approach performed the best with an NRMSE 25.65, PSNR 54.80 dB, SSIM 0.91, and CC 0.88 on average, in the local test set. Conclusion: Performance gains were replicated in the validation cohort. Significance: We hope that our method will help patients avoid potentially harmful contrast agents.</t>
  </si>
  <si>
    <t>[Kim, Eunjin; Cho, Hwan-Ho; Kwon, Junmo; Oh, Young-Tack] Sungkyunkwan Univ, Dept Elect &amp; Comp Engn, Suwon, South Korea; [Cho, Hwan-Ho] Konyang Univ, Dept Med Aritif Intelligence, Daejon 35365, South Korea; [Ko, Eun Sook] Sungkyunkwan Univ, Samsung Med Ctr, Sch Med, Dept Radiol, Seoul 06351, South Korea; [Park, Hyunjin] Sungkyunkwan Univ, Sch Elect &amp; Elect Engn, Suwon 16419, South Korea; [Park, Hyunjin] Inst Basic Sci, Ctr Neurosci Imaging Res, Suwon 16419, South Korea</t>
  </si>
  <si>
    <t>Sungkyunkwan University (SKKU); Konyang University; Sungkyunkwan University (SKKU); Samsung Medical Center; Sungkyunkwan University (SKKU); Institute for Basic Science - Korea (IBS)</t>
  </si>
  <si>
    <t>Ko, ES (corresponding author), Sungkyunkwan Univ, Samsung Med Ctr, Sch Med, Dept Radiol, Seoul 06351, South Korea.;Park, H (corresponding author), Sungkyunkwan Univ, Sch Elect &amp; Elect Engn, Suwon 16419, South Korea.;Park, H (corresponding author), Inst Basic Sci, Ctr Neurosci Imaging Res, Suwon 16419, South Korea.</t>
  </si>
  <si>
    <t>mathilda0330@gmail.com; hyunjinp@skku.edu</t>
  </si>
  <si>
    <t>Park, Hyunjin/A-1164-2007</t>
  </si>
  <si>
    <t>Park, Hyunjin/0000-0001-5681-8918; Cho, Hwan-ho/0000-0002-1926-6891</t>
  </si>
  <si>
    <t>National Research Foundation [NRF-2020M3E5D2A01084892]; Institute for Basic Science; Ministry of Science and Information Communication Technology (ICT) [IITP-2020-2018-0-01798]; Institute for Information &amp; communication Technology Planning &amp; evaluation (IITP) Grant through the Artificial Intelligence (AI) Graduate School Support Program [2019-0-00421]; ICT Creative Consilience program [IITP-2020-0-01821]; Artificial Intelligence Innovation Hub program [2021-0-02068]</t>
  </si>
  <si>
    <t>National Research Foundation; Institute for Basic Science; Ministry of Science and Information Communication Technology (ICT); Institute for Information &amp; communication Technology Planning &amp; evaluation (IITP) Grant through the Artificial Intelligence (AI) Graduate School Support Program; ICT Creative Consilience program; Artificial Intelligence Innovation Hub program</t>
  </si>
  <si>
    <t>This work was supported in part by the National Research Foundation under Grant NRF-2020M3E5D2A01084892, in part by the Institute for Basic Science under Grant IBS-R015-D1, in part by the Ministry of Science and Information Communication Technology (ICT) under Grant IITP-2020-2018-0-01798, in part by the Institute for Information &amp; communication Technology Planning &amp; evaluation (IITP) Grant through the Artificial Intelligence (AI) Graduate School Support Program under Grant 2019-0-00421, in part by the ICT Creative Consilience program under Grant IITP-2020-0-01821, and in part by the Artificial Intelligence Innovation Hub program under Grant 2021-0-02068.</t>
  </si>
  <si>
    <t>2168-2372</t>
  </si>
  <si>
    <t>IEEE J TRANSL ENG HE</t>
  </si>
  <si>
    <t>IEEE J. Transl. Eng. Health Med.-JTEHM</t>
  </si>
  <si>
    <t>10.1109/JTEHM.2022.3221918</t>
  </si>
  <si>
    <t>6O4LP</t>
  </si>
  <si>
    <t>WOS:000890214400004</t>
  </si>
  <si>
    <t>Multimodal Sensor-Input Architecture with Deep Learning for Audio-Visual Speech Recognition in Wild</t>
  </si>
  <si>
    <t>multimodal sensing; audio-visual speech recognition; deep learning</t>
  </si>
  <si>
    <t>This paper investigates multimodal sensor architectures with deep learning for audio-visual speech recognition, focusing on in-the-wild scenarios. The term in the wild is used to describe AVSR for unconstrained natural-language audio streams and video-stream modalities. Audio-visual speech recognition (AVSR) is a speech-recognition task that leverages both an audio input of a human voice and an aligned visual input of lip motions. However, since in-the-wild scenarios can include more noise, AVSR's performance is affected. Here, we propose new improvements for AVSR models by incorporating data-augmentation techniques to generate more data samples for building the classification models. For the data-augmentation techniques, we utilized a combination of conventional approaches (e.g., flips and rotations), as well as newer approaches, such as generative adversarial networks (GANs). To validate the approaches, we used augmented data from well-known datasets (LRS2-Lip Reading Sentences 2 and LRS3) in the training process and testing was performed using the original data. The study and experimental results indicated that the proposed AVSR model and framework, combined with the augmentation approach, enhanced the performance of the AVSR framework in the wild for noisy datasets. Furthermore, in this study, we discuss the domains of automatic speech recognition (ASR) architectures and audio-visual speech recognition (AVSR) architectures and give a concise summary of the AVSR models that have been proposed.</t>
  </si>
  <si>
    <t>[He, Yibo; Seng, Kah Phooi] Xian Jiaotong Liverpool Univ, Sch AI &amp; Adv Comp, Suzhou 215123, Peoples R China; [Seng, Kah Phooi] Queensland Univ Technol, Sch Comp Sci, Brisbane, Qld 4000, Australia; [Ang, Li Minn] Univ Sunshine Coast, Sch Sci Technol &amp; Engn, Sippy Downs, Qld 4502, Australia</t>
  </si>
  <si>
    <t>Seng, KP (corresponding author), Xian Jiaotong Liverpool Univ, Sch AI &amp; Adv Comp, Suzhou 215123, Peoples R China.;Seng, KP (corresponding author), Queensland Univ Technol, Sch Comp Sci, Brisbane, Qld 4000, Australia.</t>
  </si>
  <si>
    <t>jasmine.seng@xjtlu.edu.cn</t>
  </si>
  <si>
    <t>10.3390/s23041834</t>
  </si>
  <si>
    <t>9J3MT</t>
  </si>
  <si>
    <t>WOS:000940096000001</t>
  </si>
  <si>
    <t>Mertes, S; Strobl, M; Schlagowski, R; André, E</t>
  </si>
  <si>
    <t>Mertes, Silvan; Strobl, Marcel; Schlagowski, Ruben; Andre, Elisabeth</t>
  </si>
  <si>
    <t>ASMRcade: Interactive Audio Triggers for an Autonomous Sensory Meridian Response</t>
  </si>
  <si>
    <t>ASMR; Interactive ASMR; ASMR Generation; GAN; Stress; Audio Synthesis</t>
  </si>
  <si>
    <t>STRESS</t>
  </si>
  <si>
    <t>Autonomous Sensory Meridian Response (ASMR) is a sensory phenomenon involving pleasurable tingling sensations in response to stimuli such as whispering, tapping, and hair brushing. It is increasingly used to promote health and well-being, help with sleep, and reduce stress and anxiety. ASMR triggers are both highly individual and of great variety. Consequently, finding or identifying suitable ASMR content, e.g., by searching online platforms, can take time and effort. This work addresses this challenge by introducing a novel interactive approach for users to generate personalized ASMR sounds. The presented system utilizes a generative adversarial network (GAN) for sound generation and a graphical user interface (GUI) for user control. Our system allows users to create and manipulate audio samples by interacting with a visual representation of the GAN's latent input vector. Further, we present the results of a first user study which indicates that our approach is suitable for triggering ASMR experiences.</t>
  </si>
  <si>
    <t>[Mertes, Silvan; Strobl, Marcel; Schlagowski, Ruben; Andre, Elisabeth] Augsburg Univ, Human Ctr Artifcial Intelligence, Augsburg, Germany</t>
  </si>
  <si>
    <t>Mertes, S (corresponding author), Augsburg Univ, Human Ctr Artifcial Intelligence, Augsburg, Germany.</t>
  </si>
  <si>
    <t>silvan.mertes@informatik.uni-augsburg.de; marcel.strobl@student.uni-augsburg.de; ruben.schlagowski@informatik.uni-augsburg.de; andre@informatik.uni-augsburg.de</t>
  </si>
  <si>
    <t>Bavarian Ministry of Science and Arts (Bavarian Research Association ForDigitHealth)</t>
  </si>
  <si>
    <t>This paper was partially funded by the Bavarian Ministry of Science and Arts (Bavarian Research Association ForDigitHealth).</t>
  </si>
  <si>
    <t>10.1145/3577190.3614155</t>
  </si>
  <si>
    <t>WOS:001147764700011</t>
  </si>
  <si>
    <t>Yao, L; Yang, MJ; Song, JF; Yang, Z; Sun, HY; Shi, H; Liu, X; Ji, XY; Deng, YF; Wang, XJ</t>
  </si>
  <si>
    <t>Yao, Lin; Yang, Minjian; Song, Jianfei; Yang, Zhuo; Sun, Hanyu; Shi, Hui; Liu, Xue; Ji, Xiangyang; Deng, Yafeng; Wang, Xiaojian</t>
  </si>
  <si>
    <t>Conditional Molecular Generation Net Enables Automated Structure Elucidation Based on 13C NMR Spectra and Prior Knowledge</t>
  </si>
  <si>
    <t>ANALYTICAL CHEMISTRY</t>
  </si>
  <si>
    <t>REVISION</t>
  </si>
  <si>
    <t>Structure elucidation of unknown compounds based on nuclear magnetic resonance (NMR) remains a challenging problem in both synthetic organic and natural product chemistry. Library matching has been an efficient method to assist structure elucidation. However, it is limited by the coverage of libraries. In addition, prior knowledge such as molecular fragments is neglected. To solve the problem, we propose a conditional molecular generation net (CMGNet) to allow input of multiple sources of information. CMGNet not only uses 13C NMR spectrum data as input but molecular formulas and fragments of molecules are also employed as input conditions. Our model applies large-scale pretraining for molecular understanding and fine-tuning on two NMR spectral data sets of different granularity levels to accommodate structure elucidation tasks. CMGNet generates structures based on 13C NMR data, molecular formula, and fragment information, with a recovery rate of 94.17% in the top 10 recommendations. In addition, the generative model performed well in the generation of various classes of compounds and in the structural revision task. CMGNet has a deep understanding of molecular connectivities from 13C NMR, molecular formula, and fragments, paving the way for a new paradigm of deep learning-assisted inverse problem-solving.</t>
  </si>
  <si>
    <t>[Yao, Lin; Song, Jianfei; Yang, Zhuo; Shi, Hui; Ji, Xiangyang; Deng, Yafeng; Wang, Xiaojian] CarbonSilicon AI Technol Co Ltd, Beijing 100080, Peoples R China; [Yang, Minjian; Sun, Hanyu; Liu, Xue; Wang, Xiaojian] Peking Union Med Coll &amp; Chinese Acad Med Sci, Inst Mat Med, State Key Lab Bioact Subst &amp; Funct Nat Med, Beijing 100050, Peoples R China; [Ji, Xiangyang; Deng, Yafeng] Tsinghua Univ, Dept Automat, Beijing 100084, Peoples R China</t>
  </si>
  <si>
    <t>Chinese Academy of Medical Sciences - Peking Union Medical College; Peking Union Medical College; Tsinghua University</t>
  </si>
  <si>
    <t>Deng, YF; Wang, XJ (corresponding author), CarbonSilicon AI Technol Co Ltd, Beijing 100080, Peoples R China.;Wang, XJ (corresponding author), Peking Union Med Coll &amp; Chinese Acad Med Sci, Inst Mat Med, State Key Lab Bioact Subst &amp; Funct Nat Med, Beijing 100050, Peoples R China.;Deng, YF (corresponding author), Tsinghua Univ, Dept Automat, Beijing 100084, Peoples R China.</t>
  </si>
  <si>
    <t>dengyafeng@gmail.com; wangxiaojian@imm.ac.cn</t>
  </si>
  <si>
    <t>song, jianfei/KFA-4214-2024; Huang, Liancheng/KDN-5718-2024; Liu, Zhiyu/JNR-8043-2023</t>
  </si>
  <si>
    <t>Liu, Zhiyu/0000-0001-8351-1268; Yao, Lin/0000-0002-3437-5607; Wang, Xiaojian/0000-0002-1856-8820</t>
  </si>
  <si>
    <t>National Natural Science Foundation of China (NSFC) [82073692]; CAMS Innovation Fund for Medical Sciences (CIFMS); Disciplines Construction Project; [2021-I2M-1-028]; [201920200802]</t>
  </si>
  <si>
    <t>National Natural Science Foundation of China (NSFC)(National Natural Science Foundation of China (NSFC)); CAMS Innovation Fund for Medical Sciences (CIFMS); Disciplines Construction Project; ;</t>
  </si>
  <si>
    <t>This work was financially supported by the National Natural Science Foundation of China (NSFC No. 82073692), CAMS Innovation Fund for Medical Sciences (CIFMS, No. 2021-I2M-1-028), and Disciplines Construction Project (Grant 201920200802). The authors thank Yutong Wu for the support of the studies.</t>
  </si>
  <si>
    <t>0003-2700</t>
  </si>
  <si>
    <t>1520-6882</t>
  </si>
  <si>
    <t>ANAL CHEM</t>
  </si>
  <si>
    <t>Anal. Chem.</t>
  </si>
  <si>
    <t>MAR 28</t>
  </si>
  <si>
    <t>10.1021/acs.analchem.2c05817</t>
  </si>
  <si>
    <t>Chemistry, Analytical</t>
  </si>
  <si>
    <t>D6RL1</t>
  </si>
  <si>
    <t>WOS:000962858300001</t>
  </si>
  <si>
    <t>Moshe, YH; Buchsweiler, Y; Teicher, M; Artzi, M</t>
  </si>
  <si>
    <t>Moshe, Yael H.; Buchsweiler, Yuval; Teicher, Mina; Artzi, Moran</t>
  </si>
  <si>
    <t>Handling Missing MRI Data in Brain Tumors Classification Tasks: Usage of Synthetic Images vs. Duplicate Images and Empty Images</t>
  </si>
  <si>
    <t>JOURNAL OF MAGNETIC RESONANCE IMAGING</t>
  </si>
  <si>
    <t>missing data; GAN; deep learning; brain tumors classification</t>
  </si>
  <si>
    <t>CONVOLUTIONAL NEURAL-NETWORKS</t>
  </si>
  <si>
    <t>Background: Deep-learning is widely used for lesion classification. However, in the clinic patient data often has missing images.Purpose: To evaluate the use of generated, duplicate and empty(black) images for replacing missing MRI data in AI brain tumor classification tasks.Study Type: Retrospective.Population: 224 patients (local-dataset; low-grade-glioma (LGG) = 37, high-grade-glioma (HGG) = 187) and 335 patients (public-dataset (BraTS); LGG = 76, HGG = 259). The local-dataset was divided into training (64), validation (16), and internal-test-data (20), while the public-dataset was an independent test-set.Field Strength/Sequence: T1WI, T1WI+C, T2WI, and FLAIR images (1.5T/3.0T-MR), obtained from different suppliers.Assessment: Three image-to-image translation generative-adversarial-network (Pix2Pix-GAN) models were trained on the local-dataset, to generate T1WI, T2WI, and FLAIR images. The rating-and-preference-judgment assessment was performed by three human-readers (radiologist (MD) and two MRI-technicians). Resnet152 was used for classification, and inference was performed on both datasets, with baseline input, and with missing data replaced by 1) generated images; 2) duplication of existing images; and 3) black images.Statistical Tests: The similarity between the generated and the original images was evaluated using the peak-signal-to-noise-ratio (PSNR) and the structural-similarity-index-measure (SSIM). Classification results were evaluated using accuracy, F1-score and the Kolmogorov-Smirnov test and distance.Results: For baseline-state, the classification model reached to accuracy = 0.93,0.82 on the local and public-datasets. For the missing-data methods, high similarity was obtained between the generated and the original images with mean PSNR = 35.65,32.94 and SSIM = 0.87,0.91 on the local and public-datasets; 39% of the generated-images were labeled as real images by the human-readers. The classification model using generated-images to replace missing images produced the highest results with mean accuracy = 0.91,0.82 compared to 0.85,0.79 for duplicated and 0.77,0.68 for use of black images;Data Conclusion: The feasibility for inference classification model on an MRI dataset with missing images using the Pix2pix-GAN generated images, was shown. The stability and generalization ability of the model was demonstrated by producing consistent results on two independent datasets.</t>
  </si>
  <si>
    <t>[Moshe, Yael H.; Buchsweiler, Yuval; Artzi, Moran] Sagol Brain Inst, Tel Aviv Sourasky Med Ctr, 6 Weizmann St, IL-64239 Tel Aviv, Israel; [Artzi, Moran] Tel Aviv Univ, Fac Med, 6 Weizmann St, IL-64239 Tel Aviv, Israel; [Artzi, Moran] Tel Aviv Univ, Sagol Sch Neurosci, 6 Weizmann St, IL-64239 Tel Aviv, Israel; [Moshe, Yael H.; Teicher, Mina] Bar Ilan Univ, Dept Math, Ramat Gan, Israel; [Buchsweiler, Yuval] Tel Aviv Univ, Iby &amp; Aladar Fleischman Fac Engn, Tel Aviv, Israel; [Teicher, Mina] Bar Ilan Univ, Gonda Brain Res Ctr, Ramat Gan, Israel</t>
  </si>
  <si>
    <t>Sackler Faculty of Medicine; Tel Aviv Sourasky Medical Center; Tel Aviv University; Tel Aviv University; Bar Ilan University; Tel Aviv University; Bar Ilan University</t>
  </si>
  <si>
    <t>Artzi, M (corresponding author), Sagol Brain Inst, Tel Aviv Sourasky Med Ctr, 6 Weizmann St, IL-64239 Tel Aviv, Israel.;Artzi, M (corresponding author), Tel Aviv Univ, Fac Med, 6 Weizmann St, IL-64239 Tel Aviv, Israel.;Artzi, M (corresponding author), Tel Aviv Univ, Sagol Sch Neurosci, 6 Weizmann St, IL-64239 Tel Aviv, Israel.</t>
  </si>
  <si>
    <t>artzimy@gmail.com</t>
  </si>
  <si>
    <t>Israel Science Foundation [205501]</t>
  </si>
  <si>
    <t>Israel Science Foundation(Israel Science Foundation)</t>
  </si>
  <si>
    <t>This work was supported by Israel Science Foundation (205501).</t>
  </si>
  <si>
    <t>1053-1807</t>
  </si>
  <si>
    <t>1522-2586</t>
  </si>
  <si>
    <t>J MAGN RESON IMAGING</t>
  </si>
  <si>
    <t>J. Magn. Reson. Imaging</t>
  </si>
  <si>
    <t>2023 OCT 21</t>
  </si>
  <si>
    <t>10.1002/jmri.29072</t>
  </si>
  <si>
    <t>W2XR2</t>
  </si>
  <si>
    <t>WOS:001090314900001</t>
  </si>
  <si>
    <t>Yang, CHH; Hung, DIT; Liu, YC; Chen, PY</t>
  </si>
  <si>
    <t>Yang, Chao-Han Huck; Hung, Danny I-Te; Liu, Yi-Chieh; Chen, Pin-Yu</t>
  </si>
  <si>
    <t>Treatment Learning Causal Transformer for Noisy Image Classification</t>
  </si>
  <si>
    <t>ATTENTION; INFERENCE; SEARCH; MODELS</t>
  </si>
  <si>
    <t>Current top-notch deep learning (DL) based vision models are primarily based on exploring and exploiting the inherent correlations between training data samples and their associated labels. However, a known practical challenge is their degraded performance against noisy data, induced by different circumstances such as spurious correlations, irrelevant contexts, domain shift, and adversarial attacks. In this work, we incorporate this binary information of existence of noise as treatment into image classification tasks to improve prediction accuracy by jointly estimating their treatment effects. Motivated from causal variational inference, we propose a transformer-based architecture, Treatment Learning Causal Transformer (TLT), that uses a latent generative model to estimate robust feature representations from current observational input for noise image classification. Depending on the estimated noise level (modeled as a binary treatment factor), TLT assigns the corresponding inference network trained by the designed causal loss for prediction. We also create new noisy image datasets incorporating a wide range of noise factors (e.g., object masking, style transfer, and adversarial perturbation) for performance benchmarking. The superior performance of TLT in noisy image classification is further validated by several refutation evaluation metrics. As a by-product, TLT also improves visual salience methods for perceiving noisy images.</t>
  </si>
  <si>
    <t>[Yang, Chao-Han Huck; Liu, Yi-Chieh] Georgia Inst Technol, Atlanta, GA 30332 USA; [Hung, Danny I-Te] Columbia Univ, New York, NY 10027 USA; [Chen, Pin-Yu] IBM Res AI, Yorktown Hts, NY USA</t>
  </si>
  <si>
    <t>University System of Georgia; Georgia Institute of Technology; Columbia University</t>
  </si>
  <si>
    <t>Yang, CHH (corresponding author), Georgia Inst Technol, Atlanta, GA 30332 USA.</t>
  </si>
  <si>
    <t>huckiyang@gatech.edu; ih2320@columbia.edu; yliu3233@gatech.edu; pin-yu.chen@ibm.com</t>
  </si>
  <si>
    <t>10.1109/WACV56688.2023.00608</t>
  </si>
  <si>
    <t>WOS:000971500206026</t>
  </si>
  <si>
    <t>Chervenak, J; Lieman, H; Blanco-Breindel, M; Jindal, S</t>
  </si>
  <si>
    <t>Chervenak, Joseph; Lieman, Harry; Blanco-Breindel, Miranda; Jindal, Sangita</t>
  </si>
  <si>
    <t>The promise and peril of using a large language model to obtain clinical information: ChatGPT performs strongly as a fertility counseling tool with limitations</t>
  </si>
  <si>
    <t>Artificial intelligence; natural language processing; fertility knowledge; counseling; online</t>
  </si>
  <si>
    <t>UNITED-STATES; KNOWLEDGE</t>
  </si>
  <si>
    <t>Objective: To compare the responses of the large language model-based ChatGPTto reputable sources when given fertility-related clinical prompts. Design: The Feb 13version of ChatGPT by OpenAI was tested against established sources relating to patient-oriented clinical information: 17 frequently asked questions (FAQs)about infertility on the Centers for Disease Control (CDC) Website, 2 validated fertility knowledge surveys, the Cardiff Fertility Knowledge Scale and the Fertility and Infertility Treatment Knowledge Score, as well as the American Society for Reproductive Medicine committee opinion optimizing natural fertility.Setting: Academic medical center. Patient(s): Online AI Chatbot. Intervention(s): Frequently asked questions, survey questions and rephrased summary statements were entered as prompts in the chatbot over a 1-week period in February 2023. Main Outcome Measure(s): For FAQs from CDC: words/response, sentiment analysis polarity and objectivity, total factual statements, rate of statements that were incorrect, referenced a source, or noted the value of consulting providers. For fertility knowledge surveys: Percentile according to published population data. For Committee Opinion: Whether response to conclusions rephrased as questions identified missing facts. Result(s): When administered the CDC's 17 infertility FAQ's, ChatGPT produced responses of similar length (207.8 ChatGPT vs. 181.0 CDC words/response), factual content (8.65 factual statements/response vs. 10.41), sentiment polarity (mean 0.11 vs. 0.11 on a scale of-1 (negative) to 1 (positive)), and subjectivity (mean 0.42 vs. 0.35 on a scale of 0 (objective) to 1 (subjective)). In total, 9 (6.12%) of 147 ChatGPT factual statements were categorized as incorrect, and only 1 (0.68%) statement cited a reference. ChatGPT would have been at the 87th percentile of Bunting's 2013 international cohort for the Cardiff Fertility Knowledge Scale and at the 95th percentile on the basis of Kudesia's 2017 cohort for the Fertility and Infertility Treatment Knowledge Score. ChatGPT reproduced the missing facts for all 7 summary statements from optimizing natural fertility.Conclusion(s): A February 2023 version of ChatGPTdemonstrates the ability of generative artificial intelligence to produce relevant, meaningful responses to fertility-related clinical queries comparable to established sources. Although performance may improve with medical domain-specific training, limitations such as the inability to reliably cite sources and the unpredictable possibility of fabricated information may limit its clinical use. (Fertil Sterile 2023;120:575-83. (c) 2023 by American Society for Reproductive Medicine.)</t>
  </si>
  <si>
    <t>[Chervenak, Joseph; Lieman, Harry; Blanco-Breindel, Miranda; Jindal, Sangita] Montefiores Inst Reprod Med &amp; Hlth, Albert Einstein Coll Med, 141 S Central Ave, Hartsdale, NY 10530 USA</t>
  </si>
  <si>
    <t>Yeshiva University</t>
  </si>
  <si>
    <t>Chervenak, J (corresponding author), Montefiores Inst Reprod Med &amp; Hlth, Albert Einstein Coll Med, 141 S Central Ave, Hartsdale, NY 10530 USA.</t>
  </si>
  <si>
    <t>joseph.chervenak@gmail.com</t>
  </si>
  <si>
    <t>Chervenak, Joseph/0000-0002-2567-0030</t>
  </si>
  <si>
    <t>10.1016/j.fertnstert.2023.05.151</t>
  </si>
  <si>
    <t>W6WH2</t>
  </si>
  <si>
    <t>WOS:001093006600001</t>
  </si>
  <si>
    <t>Wang, J; Yuan, CF; Li, B; Deng, Y; Hu, WM; Maybank, S</t>
  </si>
  <si>
    <t>Wang, Juan; Yuan, Chunfeng; Li, Bing; Deng, Ying; Hu, Weiming; Maybank, Stephen</t>
  </si>
  <si>
    <t>Self-Prior Guided Pixel Adversarial Networks for Blind Image Inpainting</t>
  </si>
  <si>
    <t>Blind image inpainting; semantic-discontinuity detection; layout map prediction; pixel generative adversarial network</t>
  </si>
  <si>
    <t>COMPRESSION</t>
  </si>
  <si>
    <t>Blind image inpainting involves two critical aspects, i.e., where to inpaint and how to inpaint. Knowing where to inpaint can eliminate the interference arising from corrupted pixel values; a good how to inpaint strategy yields high-quality inpainted results robust to various corruptions. In existing methods, these two aspects usually lack explicit and separate consideration. This paper fully explores these two aspects and proposes a self-prior guided inpainting network (SIN). The self-priors are obtained by detecting semantic-discontinuous regions and by predicting global semantic structures of the input image. On the one hand, the self-priors are incorporated into the SIN, which enables the SIN to perceive valid context information from uncorrupted regions and to synthesize semantic-aware textures for corrupted regions. On the other hand, the self-priors are reformulated to provide a pixel-wise adversarial feedback and a high-level semantic structure feedback, which can promote the semantic continuity of inpainted images. Experimental results demonstrate that our method achieves state-of-the-art performance in metric scores and in visual quality. It has an advantage over many existing methods that assume where to inpaint is known in advance. Extensive experiments on a series of related image restoration tasks validate the effectiveness of our method in obtaining high-quality inpainting.</t>
  </si>
  <si>
    <t>[Wang, Juan; Yuan, Chunfeng; Li, Bing; Hu, Weiming] Chinese Acad Sci CASIA, Inst Automat, State Key Lab Multimodal Artificial Intelligence S, Beijing 100190, Peoples R China; [Li, Bing] People AI Inc, Beijing 100080, Peoples R China; [Deng, Ying] Nanchang Hangkong Univ, Sch Aeronaut Mfg Engn, Nanchang 330063, Peoples R China; [Hu, Weiming] Univ Chinese Acad Sci, Sch Artificial Intelligence, Beijing 100190, Peoples R China; [Hu, Weiming] Shanghai Tech Univ, Sch Informat Sci &amp; Technol, Shanghai 201210, Peoples R China; [Maybank, Stephen] Birkbeck Coll, Dept Comp Sci &amp; Informat Syst, London WC1E 7HX, England</t>
  </si>
  <si>
    <t>Chinese Academy of Sciences; Institute of Automation, CAS; Nanchang Hangkong University; Chinese Academy of Sciences; University of Chinese Academy of Sciences, CAS; ShanghaiTech University; University of London; Birkbeck University London</t>
  </si>
  <si>
    <t>Li, B (corresponding author), Chinese Acad Sci CASIA, Inst Automat, State Key Lab Multimodal Artificial Intelligence S, Beijing 100190, Peoples R China.</t>
  </si>
  <si>
    <t>jun_wang@ia.ac.cn; cfyuan@nlpr.ia.ac.cn; bli@nlpr.ia.ac.cn; dengying@nchu.edu.cn; wmhu@nlpr.ia.ac.cn; sjmaybank@dcs.bbk.ac.uk</t>
  </si>
  <si>
    <t>yuan, chun feng/0000-0003-2219-4961; li, bing/0000-0002-5888-6735</t>
  </si>
  <si>
    <t>National Key Research and Development Program of China; Natural Science Foundation of China [2020AAA0106800, 62202470, 61972397, 62122086, U1936204, 62036011, 62192782, 61721004]; Beijing Natural Science Foundation [U2033210, 4224093, JQ21017]; Major Projects of Guangdong Education Department for Foundation Research and Applied Research [L223003, 2017KZDXM081]; Guangdong Provincial University Innovation Team Project [2018KZDXM066]; Youth Innovation Promotion Association, CAS; [2020KCXTD045]</t>
  </si>
  <si>
    <t>National Key Research and Development Program of China; Natural Science Foundation of China(National Natural Science Foundation of China (NSFC)); Beijing Natural Science Foundation(Beijing Natural Science Foundation); Major Projects of Guangdong Education Department for Foundation Research and Applied Research; Guangdong Provincial University Innovation Team Project; Youth Innovation Promotion Association, CAS;</t>
  </si>
  <si>
    <t>This work was supported in part by the National Key Research and Development Program of China under Grant 2020AAA0106800, in part by the Natural Science Foundation of China under Grants 62202470, 61972397,62122086, U1936204, 62036011, 62192782, 61721004, and U2033210, in part by Beijing Natural Science Foundation under Grants 4224093, JQ21017, and L223003, in part by the Major Projects of Guangdong Education Department for Foundation Research and Applied Research under Grants 2017KZDXM081 and 2018KZDXM066, in part by Guangdong Provincial University Innovation Team Project under Grant 2020KCXTD045 and Youth Innovation Promotion Association, CAS. Recommended for acceptance by M. Wang.</t>
  </si>
  <si>
    <t>10.1109/TPAMI.2023.3284431</t>
  </si>
  <si>
    <t>WOS:001068816800054</t>
  </si>
  <si>
    <t>Helmy, I; Choi, W</t>
  </si>
  <si>
    <t>Helmy, Islam; Choi, Wooyeol</t>
  </si>
  <si>
    <t>cGAN Model-Based Radio Frequency Interference Mitigation for Radio Astronomy Data</t>
  </si>
  <si>
    <t>RFI mitigation; cGAN; radio astronomy</t>
  </si>
  <si>
    <t>Radio astronomy is one of the essential branches of space sciences where astronomers explore the universe by collecting data using various tools. The radio telescope is one of the principal tools for receiving celestial objects' emissions. However, radio frequency interference (RFI) detection, mitigation, and avoidance are some of the main challenges in astronomical radio data. Additionally, they are essential steps for selecting the best site to initiate the radio telescope. RFI mitigation is arduous because interference can take a wide range of forms and affects different scientific goals. The substantial challenges of handling large radio data volumes make it a good application of deep learning (DL). The research aims to mitigate the interference using a DL-based approach, specifically, conditional generative adversarial network (cGAN), because of its powerful ability to differentiate the interference and the clean data.</t>
  </si>
  <si>
    <t>[Helmy, Islam; Choi, Wooyeol] Chosun Univ, Dept Comp Engn, Gwangju, South Korea</t>
  </si>
  <si>
    <t>Chosun University</t>
  </si>
  <si>
    <t>Helmy, I (corresponding author), Chosun Univ, Dept Comp Engn, Gwangju, South Korea.</t>
  </si>
  <si>
    <t>islam.helmy@chosun.kr; wyc@chosun.ac.kr</t>
  </si>
  <si>
    <t>Technology development Program - Ministry of SMEs and Startups(MSS, Korea) [S3312532]</t>
  </si>
  <si>
    <t>Technology development Program - Ministry of SMEs and Startups(MSS, Korea)(Ministry of SMEs &amp; Startups (MSS), Republic of Korea)</t>
  </si>
  <si>
    <t>This work was supported by the Technology development Program(S3312532) funded by the Ministry of SMEs and Startups(MSS, Korea).</t>
  </si>
  <si>
    <t>10.1109/ICAIIC57133.2023.10066995</t>
  </si>
  <si>
    <t>WOS:001012997600146</t>
  </si>
  <si>
    <t>Oh, Y; Oh, S; Noh, S; Kim, H; Seo, H</t>
  </si>
  <si>
    <t>Oh, Yunseok; Oh, Seonhye; Noh, Sangwoo; Kim, Hangyu; Seo, Hyeon</t>
  </si>
  <si>
    <t>Object-stable unsupervised dual contrastive learning image-to-image translation with query-selected attention and convolutional block attention module</t>
  </si>
  <si>
    <t>Recently, contrastive learning has gained popularity in the field of unsupervised image-to-image (I2I) translation. In a previous study, a query-selected attention (QS-Attn) module, which employed an attention matrix with a probability distribution, was used to maximize the mutual information between the source and translated images. This module selected significant queries using an entropy metric computed from the attention matrix. However, it often selected many queries with equal significance measures, leading to an excessive focus on the background. In this study, we proposed a dual-learning framework with QS-Attn and convolutional block attention module (CBAM) called object-stable dual contrastive learning generative adversarial network (OS-DCLGAN). In this paper, we utilize a CBAM, which learns what and where to emphasize or suppress, thereby refining intermediate features effectively. This CBAM was integrated before the QS-Attn module to capture significant domain information for I2I translation tasks. The proposed framework outperformed recently introduced approaches in various I2I translation tasks, showing its effectiveness and versatility. The code is available at https://github.com/RedPotatoChip/OSUDL</t>
  </si>
  <si>
    <t>[Oh, Yunseok; Oh, Seonhye; Seo, Hyeon] Gyeongsang Natl Univ, Dept AI Convergence Engn, Jinju Si, Gyeongsangnam D, South Korea; [Oh, Yunseok] Korea Res Inst Def Technol Planning &amp; Adv, Precedent Study Team C4ISR Syst, Jinju Si 52851, Gyeongsangnam D, South Korea; [Oh, Seonhye] Korea Res Inst Def Technol Planning &amp; Advancement, Guided &amp; Firepower Syst Technol Planning Team, Jinju si, Gyeongsangnam D, South Korea; [Noh, Sangwoo] Korea Res Inst Def Technol Planning &amp; Advancement, Syst Technol Planning Team C4ISR, Jinju Si, Gyeongsangnam D, South Korea; [Kim, Hangyu] NAVER Cloud, Clova Speech, Seongnam Si, Gyeonggi Do, South Korea; [Seo, Hyeon] Gyeongsang Natl Univ, Dept Comp Sci, Jinju Si, Gyeongsangnam D, South Korea</t>
  </si>
  <si>
    <t>Gyeongsang National University; Gyeongsang National University</t>
  </si>
  <si>
    <t>Seo, H (corresponding author), Gyeongsang Natl Univ, Dept AI Convergence Engn, Jinju Si, Gyeongsangnam D, South Korea.;Seo, H (corresponding author), Gyeongsang Natl Univ, Dept Comp Sci, Jinju Si, Gyeongsangnam D, South Korea.</t>
  </si>
  <si>
    <t>hseo0612@gnu.ac.kr</t>
  </si>
  <si>
    <t>seo, hyeon/0000-0001-8488-3733</t>
  </si>
  <si>
    <t>National Research Foundation of Korea(NRF) - Korea government(MSIT) [RS -2023-00280241]; fund of research promotion program, Gyeongsang National University; Regional Innovation Strategy (RIS) through the NRF - Ministry of Education(MOE) [2021RIS-003]</t>
  </si>
  <si>
    <t>National Research Foundation of Korea(NRF) - Korea government(MSIT)(National Research Foundation of KoreaMinistry of Science, ICT &amp; Future Planning, Republic of KoreaMinistry of Science &amp; ICT (MSIT), Republic of Korea); fund of research promotion program, Gyeongsang National University; Regional Innovation Strategy (RIS) through the NRF - Ministry of Education(MOE)(National Research Foundation of Korea)</t>
  </si>
  <si>
    <t>This work was supported by the National Research Foundation of Korea(NRF) grant funded by the Korea government(MSIT) (RS -2023-00280241), and the fund of research promotion program, Gyeongsang National University, 2022, and Regional Innovation Strategy (RIS) through the NRF funded by the Ministry of Education(MOE) (2021RIS-003). The funders had no role in study design, data collection and analysis, decision to publish, or preparation of the manuscript.</t>
  </si>
  <si>
    <t>NOV 6</t>
  </si>
  <si>
    <t>e0293885</t>
  </si>
  <si>
    <t>10.1371/journal.pone.0293885</t>
  </si>
  <si>
    <t>X6ZO8</t>
  </si>
  <si>
    <t>WOS:001099911400018</t>
  </si>
  <si>
    <t>Dillahunt, TR; Lu, AJ; Velazquez, J</t>
  </si>
  <si>
    <t>Dillahunt, Tawanna R.; Lu, Alex Jiahong; Velazquez, Joanna</t>
  </si>
  <si>
    <t>Eliciting Alternative Economic Futures with Working-Class Detroiters: Centering Afrofuturism in Speculative Design</t>
  </si>
  <si>
    <t>alternative economies; capitalism; Afrofuturism; speculative design; community-based participatory research; Detroit</t>
  </si>
  <si>
    <t>TECHNOLOGY</t>
  </si>
  <si>
    <t>Economic crises such as the global recession and financial crisis of 2007 and 2008 and the Coronavirus disease (COVID-19) pandemic, have elevated new forms of economic cooperation. Supporting efforts in finding alternatives to capitalism requires understanding the role of design in imagining alternative economic futures and reaching those most harmed by current capitalistic models. Through a collaboration between a community organization in Detroit and a team of university researchers, we hosted and facilitated a fiveweek workshop series with Black and Brown working-class Detroiters where they collectively imagined alternative economic futures using speculative design. They proposed Community Capitalism, Childcare Collectives, and Village-Based Childcare as alternative economy concepts from the workshops and described their unique characteristics and traits of love, care, and inclusion. Aligning with generative justice frameworks, Detroiters prioritized sustainable families and communities. We contribute an understanding of technology's role in the imagined economic futures, a discussion of what this means for community-involved governance, and a push for centering Afrofuturism in speculative design approaches to foster futures literacy.</t>
  </si>
  <si>
    <t>[Dillahunt, Tawanna R.; Lu, Alex Jiahong] Univ Michigan, Ann Arbor, MI 48109 USA; [Velazquez, Joanna] Detroit Act, Detroit, MI USA</t>
  </si>
  <si>
    <t>Dillahunt, TR (corresponding author), Univ Michigan, Ann Arbor, MI 48109 USA.</t>
  </si>
  <si>
    <t>tdillahu@umich.edu; alexjlu@umich.edu; joanna@detroitaction.org</t>
  </si>
  <si>
    <t>Dillahunt, Tawanna/0000-0002-1155-8507</t>
  </si>
  <si>
    <t>Google; University of Michigan School of Information; National Science Foundation [2121723, 1901171]</t>
  </si>
  <si>
    <t>Google(Google Incorporated); University of Michigan School of Information; National Science Foundation(National Science Foundation (NSF))</t>
  </si>
  <si>
    <t>Finally, we thank our sponsors. This work was partly supported by the Google Ethical AI research team in 2020, the University of Michigan School of Information, and was completed during Tawanna's sabbatical at the Harvard Radclife Institute. This material is also based upon work supported by the National Science Foundation under Grants No. 2121723 and 1901171.</t>
  </si>
  <si>
    <t>10.1145/3563657.3596011</t>
  </si>
  <si>
    <t>WOS:001090855700064</t>
  </si>
  <si>
    <t>Alamri, F; Dutta, A</t>
  </si>
  <si>
    <t>Alamri, Faisal; Dutta, Anjan</t>
  </si>
  <si>
    <t>Implicit and explicit attention mechanisms for zero-shot learning</t>
  </si>
  <si>
    <t>Attention mechanism; Zero -shot learning; Self -supervised learning; Vision transformer</t>
  </si>
  <si>
    <t>Zero-Shot Learning (ZSL) aims to recognise unseen object classes which are not observed during the training phase. Most of the existing methods on ZSL focus on learning a compatibility function between the image representation and class semantic information. Few others concentrate on learning image representation by combining local and global features. However, the existing approaches still fail to address the bias issue towards the seen classes. This paper proposes implicit and explicit attention mechanisms to address the existing bias problem in generalised ZSL models. We formulate the implicit attention mechanism with a self-supervised image angle rotation task, which focuses on specific image features aiding in solving the task. On the other hand, the explicit attention mechanism is composed via the consideration of a multi-headed self-attention mechanism in the Vision Transformer model, which learns to attend important image locations and map global image features to semantic space during the training stage. We have conducted comprehensive experiments on three popular benchmarks: AWA2, CUB and SUN, where the effectiveness of our proposed attention mechanisms is shown in both discriminative and generative settings. Our extensive experiments show that our method has achieved state-of-the-art performance obtaining the highest harmonic mean on all three datasets, which is very encouraging to consider the ViT-based attention mechanisms for ZSL tasks in the future.(c) 2023 Elsevier B.V. All rights reserved.</t>
  </si>
  <si>
    <t>[Alamri, Faisal] DeGould Ltd, Exeter EX2 5GL, England; [Dutta, Anjan] Univ Surrey, Guildford GU2 7XH, England; [Dutta, Anjan] Univ Surrey, Inst People Ctr AI, Guildford, England</t>
  </si>
  <si>
    <t>University of Surrey; University of Surrey</t>
  </si>
  <si>
    <t>Alamri, F (corresponding author), DeGould Ltd, Exeter EX2 5GL, England.</t>
  </si>
  <si>
    <t>f.alamri@degould.com; anjan.dutta@surrey.ac.uk</t>
  </si>
  <si>
    <t>Alamri, Faisal/0000-0001-6695-2504</t>
  </si>
  <si>
    <t>Defence Science and Technology Laboratory (Dstl); Alan Turing Institute (ATI)</t>
  </si>
  <si>
    <t>This work was partially supported by the Defence Science and Technology Laboratory (Dstl) and the Alan Turing Institute (ATI) . The TITAN Xp and TITAN V used for this research were donated by the NVIDIA Corporation.</t>
  </si>
  <si>
    <t>MAY 14</t>
  </si>
  <si>
    <t>10.1016/j.neucom.2023.03.009</t>
  </si>
  <si>
    <t>E0NT6</t>
  </si>
  <si>
    <t>WOS:000972613000001</t>
  </si>
  <si>
    <t>Mohan, A; Protopapas, P; Kunnumkai, K; Garraffo, C; Blackburn, L; Chatterjee, K; Doeleman, SS; Emami, R; Fromm, CM; Mizuno, Y; Ricarte, A</t>
  </si>
  <si>
    <t>Mohan, Arya; Protopapas, Pavlos; Kunnumkai, Keerthi; Garraffo, Cecilia; Blackburn, Lindy; Chatterjee, Koushik; Doeleman, Sheperd S.; Emami, Razieh; Fromm, Christian M.; Mizuno, Yosuke; Ricarte, Angelo</t>
  </si>
  <si>
    <t>Generating images of the M87*black hole using GANs</t>
  </si>
  <si>
    <t>MONTHLY NOTICES OF THE ROYAL ASTRONOMICAL SOCIETY</t>
  </si>
  <si>
    <t>black hole physics; methods: data analysis; techniques: image processing; software: data analysis</t>
  </si>
  <si>
    <t>SUPERMASSIVE BLACK-HOLE; JET; EMISSION</t>
  </si>
  <si>
    <t>In this paper, we introduce a novel data augmentation methodology based on Conditional Progressive Generative Adversarial Networks (CPGAN) to generate diverse black hole (BH) images, accounting for variations in spin and electron temperature prescriptions. These generated images are valuable resources for training deep learning algorithms to accurately estimate black hole parameters from observational data. Our model can generate BH images for any spin value within the range of [-1, 1], given an electron temperature distribution. To validate the effectiveness of our approach, we employ a convolutional neural network to predict the BH spin using both the GRMHD images and the images generated by our proposed model. Our results demonstrate a significant performance improvement when training is conducted with the augmented data set while testing is performed using GRMHD simulated data, as indicated by the high R-2 score. Consequently, we propose that GANs can be employed as cost-effective models for black hole image generation and reliably augment training data sets for other parametrization algorithms.</t>
  </si>
  <si>
    <t>[Mohan, Arya] Univ AI, Singapore 050531, Singapore; [Protopapas, Pavlos] Harvard Univ, John A Paulson Sch Engn &amp; Appl Sci, Cambridge, MA 02138 USA; [Kunnumkai, Keerthi] Carnegie Mellon Univ, Dept Phys, Pittsburgh, PA 15213 USA; [Garraffo, Cecilia] Harvard &amp; Smithsonian, Ctr Astrophys, AstroAI, 60 Garden St, Cambridge, MA 02138 USA; [Blackburn, Lindy; Chatterjee, Koushik; Doeleman, Sheperd S.; Ricarte, Angelo] Harvard Univ, Black Hole Initiat, 20 Garden St, Cambridge, MA 02138 USA; [Blackburn, Lindy; Chatterjee, Koushik; Doeleman, Sheperd S.; Emami, Razieh; Ricarte, Angelo] Harvard &amp; Smithsonian, Ctr Astrophys, 60 Garden St, Cambridge, MA 02138 USA; [Fromm, Christian M.] Goethe Univ, Inst Theoret Phys, Max von Laue Str 1, D-60438 Frankfurt, Germany; [Fromm, Christian M.] Univ Wurzburg, Inst Theoret Phys &amp; Astrophys, Emil F Str 31, D-97074 Wurzburg, Germany; [Fromm, Christian M.] Univ Wurzburg, Inst Theoret Phys &amp; Astrophys, Emil F Str 31, D-60438 Frankfurt, Germany; [Fromm, Christian M.] Max Planck Inst Radioastron, Hugel 69, D-53121 Bonn, Germany; [Mizuno, Yosuke] Shanghai Jiao Tong Univ, Tsung Dao Lee Inst, 520 Shengrong Rd, Shanghai 201210, Peoples R China; [Mizuno, Yosuke] Shanghai Jiao Tong Univ, Sch Phys &amp; Astron, 800 Dongchuan Rd, Shanghai 200240, Peoples R China; [Mizuno, Yosuke] Goethe Univ, Inst Theoret Phys, Max von Laue Str 1, D-60438 Frankfurt, Germany</t>
  </si>
  <si>
    <t>Harvard University; Carnegie Mellon University; Smithsonian Institution; Harvard University; Smithsonian Institution; Goethe University Frankfurt; University of Wurzburg; University of Wurzburg; Max Planck Society; Shanghai Jiao Tong University; Shanghai Jiao Tong University; Goethe University Frankfurt</t>
  </si>
  <si>
    <t>Mohan, A (corresponding author), Univ AI, Singapore 050531, Singapore.</t>
  </si>
  <si>
    <t>arya.mohan@outlook.com</t>
  </si>
  <si>
    <t>Mizuno, Yosuke/D-5656-2017</t>
  </si>
  <si>
    <t>Mizuno, Yosuke/0000-0002-8131-6730; Chatterjee, Koushik/0000-0002-2825-3590</t>
  </si>
  <si>
    <t>DFG [FR 4069/2-1]; National Natural Science Foundation of China [12273022]; Shanghai target program of basic research for international scientists [22JC1410600]; NSF [GBMF-10423, AST-1828513, AST-1816420]; Institute for Theory and Computation at the Center for Astrophysics; Gordon and Betty Moore Foundation; Black Hole Initiative at Harvard University; John Templeton Foundation; [21-atp21-0077]; [HST-GO-16173.001-A]; [AST-1952099]; [AST-1935980]</t>
  </si>
  <si>
    <t>DFG(German Research Foundation (DFG)); National Natural Science Foundation of China(National Natural Science Foundation of China (NSFC)); Shanghai target program of basic research for international scientists; NSF(National Science Foundation (NSF)); Institute for Theory and Computation at the Center for Astrophysics; Gordon and Betty Moore Foundation(Gordon and Betty Moore Foundation); Black Hole Initiative at Harvard University; John Templeton Foundation; ; ; ;</t>
  </si>
  <si>
    <t>CMF is supported by the DFG research grant 'Jet physics on horizon scales and beyond' (Grant No. FR 4069/2-1). YM is supported by the National Natural Science Foundation of China (Grant No. 12273022) and Shanghai target program of basic research for international scientists (Grant No. 22JC1410600). The GRMHD simulations and GRRT calculations were performed on LOEWE at the CSC-Frankfurt, Iboga at ITP Frankfurt and Pi2.0 and Siyuan Mark-I at Shanghai Jiao Tong University and on MISTRAL at the University of Wurzburg. Razieh Emami acknowledges the support from grant numbers 21-atp21-0077, NSF AST-1816420, and HST-GO-16173.001-A as well as the Institute for Theory and Computation at the Center for Astrophysics. Support for this work was provided by the NSF through grants AST-1952099, AST-1935980, AST-1828513, and by the Gordon and Betty Moore Foundation through grant GBMF-10423. This work has been supported in part by the Black Hole Initiative at Harvard University, which is funded by grants from the John Templeton Foundation and the Gordon and Betty Moore Foundation to Harvard University. This work received guidance from AstroAI at the Center for Astrophysics - Harvard &amp; Smithsonian.</t>
  </si>
  <si>
    <t>0035-8711</t>
  </si>
  <si>
    <t>1365-2966</t>
  </si>
  <si>
    <t>MON NOT R ASTRON SOC</t>
  </si>
  <si>
    <t>Mon. Not. Roy. Astron. Soc.</t>
  </si>
  <si>
    <t>DEC 23</t>
  </si>
  <si>
    <t>10.1093/mnras/stad3797</t>
  </si>
  <si>
    <t>Astronomy &amp; Astrophysics</t>
  </si>
  <si>
    <t>HJ2F9</t>
  </si>
  <si>
    <t>WOS:001159060500023</t>
  </si>
  <si>
    <t>Keramati, M; Tayebi, MA; Zohrevand, Z; Glässer, U; Anzieta, J; Williams-Jones, G</t>
  </si>
  <si>
    <t>Keramati, Mahsa; Tayebi, Mohammad A.; Zohrevand, Zahra; Glasser, Uwe; Anzieta, Juan; Williams-Jones, Glyn</t>
  </si>
  <si>
    <t>Cubism: Co-balanced Mixup for Unsupervised Volcano-Seismic Knowledge Transfer</t>
  </si>
  <si>
    <t>Volcano-seismic event classification; Unsupervised domain adaptation; Imbalanced data; Mixup; Flow-based generative models</t>
  </si>
  <si>
    <t>Volcanic eruptions are severe global threats. Forecasting these unrests via monitoring precursory earthquakes is vital for managing the consequent economic and social risks. Due to various contextual factors, volcano-seismic patterns are not spatiotemporal invariant. Training a robust model for any novel volcano-seismic situation relies on a costly, time-consuming and subjective process of manually labeling data; using a model trained on data from another volcano-seismic setting is typically not a viable option. Unsupervised domain adaptation (UDA) techniques address this issue by transferring knowledge extracted from a labeled domain to an unlabeled one. A challenging problem is the inherent imbalance in volcano-seismic data that degrades the efficiency of an adopted UDA technique. Here, we propose a co-balanced UDA approach, called Cubism, to bypass the manual annotation process for any newly monitored volcano by utilizing the patterns recognized in a different volcano-seismic dataset with labels. Employing an invertible latent space, Cubism alternates between a co-balanced generation of semantically meaningful inter-volcano samples and UDA. Inter-volcano samples are generated via the mixup data augmentation technique. Due to the sensitivity of mixup to data imbalance, Cubism introduces a novel co-balanced ratio that regulates the generation of inter-volcano samples considering the conditional distributions of both volcanoes. To the best of our knowledge, Cubism is the first UDA-based approach that transfers volcano-seismic knowledge without any supervision of an unseen volcanoseismic situation. Our extensive experiments show that Cubism significantly outperforms baseline methods and effectively provides a robust cross-volcano classifier.</t>
  </si>
  <si>
    <t>[Keramati, Mahsa; Tayebi, Mohammad A.; Zohrevand, Zahra; Glasser, Uwe] Sch Comp Sci, Burnaby, BC, Canada; [Anzieta, Juan; Williams-Jones, Glyn] Simon Fraser Univ, Dept Earth Sci, Burnaby, BC, Canada</t>
  </si>
  <si>
    <t>Keramati, M (corresponding author), Sch Comp Sci, Burnaby, BC, Canada.</t>
  </si>
  <si>
    <t>mahsa_keramati@sfu.ca; tayebi@sfu.ca; zahra_zohrevand@sfu.ca; glaesser@sfu.ca; janzieta@sfu.ca; glynwj@sfu.ca</t>
  </si>
  <si>
    <t>Williams-Jones, Glyn/A-9807-2008</t>
  </si>
  <si>
    <t>Canadian Mountain Network as part of the Networks of Centres of Excellence program; Natural Sciences and Engineering Research Council of Canada</t>
  </si>
  <si>
    <t>Canadian Mountain Network as part of the Networks of Centres of Excellence program; Natural Sciences and Engineering Research Council of Canada(Natural Sciences and Engineering Research Council of Canada (NSERC)CGIAR)</t>
  </si>
  <si>
    <t>This research has been funded by the Canadian Mountain Network as part of the Networks of Centres of Excellence program and the Natural Sciences and Engineering Research Council of Canada.</t>
  </si>
  <si>
    <t>10.1007/978-3-031-26419-1_35</t>
  </si>
  <si>
    <t>WOS:000999148200035</t>
  </si>
  <si>
    <t>Park, H; Megahed, A; Yin, PF; Ong, Y; Mahajan, P; Guo, P</t>
  </si>
  <si>
    <t>Park, Hogun; Megahed, Aly; Yin, Peifeng; Ong, Yuya; Mahajan, Pravar; Guo, Pei</t>
  </si>
  <si>
    <t>Incorporating experts' judgment into machine learning models</t>
  </si>
  <si>
    <t>Experts' judgment; Machine learning; Conflict resolution</t>
  </si>
  <si>
    <t>MULTIPLE IMPUTATION; CLASSIFICATION; ALGORITHM; CONSTRAINTS; PREDICTION; DELPHI</t>
  </si>
  <si>
    <t>Machine learning (ML) models have been quite successful in predicting outcomes in many applications. However, in some cases, domain experts might have a judgment about the expected outcome that might conflict with the prediction of ML models. One main reason for this is that the training data might not be totally representative of the population. In this paper, we present a novel framework that aims at leveraging experts' judgment to mitigate the conflict. The underlying idea behind our framework is that we first determine, using a generative adversarial network, the degree of representation of an unlabeled data point in the training data. Then, based on such degree, we correct the machine learning model's prediction by incorporating the experts' judgment into it, where the higher that aforementioned degree of representation, the less the weight we put on the expert intuition that we add to our corrected output, and vice-versa. We perform multiple numerical experiments on synthetic data as well as two real-world case studies (one from the IT services industry and the other from the financial industry). All results show the effectiveness of our framework; it yields much higher closeness to the experts' judgment with minimal sacrifice in the prediction accuracy, when compared to multiple baseline methods. We also develop a new evaluation metric that combines prediction accuracy with the closeness to experts' judgment. Our framework yields statistically significant results when evaluated on that metric.</t>
  </si>
  <si>
    <t>[Park, Hogun] Sungkyunkwan Univ, Suwon, South Korea; [Park, Hogun; Megahed, Aly; Yin, Peifeng; Ong, Yuya; Mahajan, Pravar; Guo, Pei] IBM Res Almaden, San Jose, CA USA</t>
  </si>
  <si>
    <t>Sungkyunkwan University (SKKU); International Business Machines (IBM)</t>
  </si>
  <si>
    <t>Park, H (corresponding author), Sungkyunkwan Univ, Suwon, South Korea.</t>
  </si>
  <si>
    <t>hogunpark@skku.edu; aly300@gmail.com; ypftxbb@gmail.com; yuyajong@ibm.com; pravar.d.mahajan@gmail.com; peiguo90@gmail.com</t>
  </si>
  <si>
    <t>National Research Foundation of Korea [2021R1C1C1005407, 2021M3H4A1A02056037]; Institute of Information &amp; Communications Technology Planning &amp; Evaluation (IITP) - Korea government (MSIT) [2019-0-00421, RS-2023-00225441]; Healthcare AI Convergence Research and Development Program through the National IT Industry Promotion Agency of Korea (NIPA) - MSIT [S0254-22-1001]; Ministry of Education; National Research Foundation of Korea</t>
  </si>
  <si>
    <t>National Research Foundation of Korea(National Research Foundation of Korea); Institute of Information &amp; Communications Technology Planning &amp; Evaluation (IITP) - Korea government (MSIT)(Institute for Information &amp; Communication Technology Planning &amp; Evaluation (IITP), Republic of KoreaMinistry of Science &amp; ICT (MSIT), Republic of Korea); Healthcare AI Convergence Research and Development Program through the National IT Industry Promotion Agency of Korea (NIPA) - MSIT; Ministry of Education; National Research Foundation of Korea(National Research Foundation of Korea)</t>
  </si>
  <si>
    <t>This research was supported in part by the National Research Foundation of Korea (2021R1C1C1005407 and 2021M3H4A1A02056037) ; in part by the Institute of Information &amp; Communications Technology Planning &amp; Evaluation (IITP) grant funded by the Korea government (MSIT) (No. 2019-0-00421, Artificial Intelligence Graduate School Program (Sungkyunkwan University) ) and (No. RS-2023-00225441, Knowledge-Information Structure Technology for the Multiple Variations of Digital Assets) ; and in part by the Healthcare AI Convergence Research and Development Program through the National IT Industry Promotion Agency of Korea (NIPA) funded by MSIT (No. S0254-22-1001) . Following are also the results of a study on the Leaders in INdustry-university Cooperation 3.0Project, supported by the Ministry of Education and National Research Foundation of Korea.</t>
  </si>
  <si>
    <t>10.1016/j.eswa.2023.120118</t>
  </si>
  <si>
    <t>I5OC4</t>
  </si>
  <si>
    <t>WOS:001003262600001</t>
  </si>
  <si>
    <t>Xie, YQ; Chen, WY; He, ER; Jia, XW; Bao, H; Zhou, X; Ghosh, R; Ravirathinam, P</t>
  </si>
  <si>
    <t>Xie, Yiqun; Chen, Weiye; He, Erhu; Jia, Xiaowei; Bao, Han; Zhou, Xun; Ghosh, Rahul; Ravirathinam, Praveen</t>
  </si>
  <si>
    <t>Harnessing heterogeneity in space with statistically guided meta-learning</t>
  </si>
  <si>
    <t>Deep learning; Statistics; Spatial; Heterogeneity; Meta-learning; Remote sensing; Mobility</t>
  </si>
  <si>
    <t>FAST SUBSET SCAN</t>
  </si>
  <si>
    <t>Spatial data are ubiquitous, massively collected, and widely used to support critical decision-making in many societal domains, including public health (e.g., COVID-19 pandemic control), agricultural crop monitoring, transportation, etc. While recent advances in machine learning and deep learning offer new promising ways to mine such rich datasets (e.g., satellite imagery, COVID statistics), spatial heterogeneity-an intrinsic characteristic embedded in spatial data-poses a major challenge as data distributions or generative processes often vary across space at different scales, with their spatial extents unknown. Recent studies (e.g., SVANN, spatial ensemble) targeting this difficult problem either require a known space-partitioning as the input, or can only support very limited number of partitions or classes (e.g., two) due to the decrease in training data size and the complexity of analysis. To address these limitations, we propose a model-agnostic framework to automatically transform a deep learning model into a spatial-heterogeneity-aware architecture, where the learning of arbitrary space partitionings is guided by a learning-engaged generalization of multivariate scan statistic and parameters are shared based on spatial relationships. Moreover, we propose a spatial moderator to generalize learned space partitionings to new test regions. Finally, we extend the framework by integrating meta-learning-based training strategies into both spatial transformation and moderation to enhance knowledge sharing and adaptation among different processes. Experiment results on real-world datasets show that the framework can effectively capture flexibly shaped heterogeneous footprints and substantially improve prediction performances.</t>
  </si>
  <si>
    <t>[Xie, Yiqun; Chen, Weiye] Univ Maryland, College Pk, MD 20742 USA; [He, Erhu; Jia, Xiaowei] Univ Pittsburgh, Pittsburgh, PA USA; [Bao, Han; Zhou, Xun] Univ Iowa, Iowa City, IA USA; [Ghosh, Rahul; Ravirathinam, Praveen] Univ Minnesota, Minneapolis, MN USA</t>
  </si>
  <si>
    <t>University System of Maryland; University of Maryland College Park; Pennsylvania Commonwealth System of Higher Education (PCSHE); University of Pittsburgh; University of Iowa; University of Minnesota System; University of Minnesota Twin Cities</t>
  </si>
  <si>
    <t>Xie, YQ (corresponding author), Univ Maryland, College Pk, MD 20742 USA.</t>
  </si>
  <si>
    <t>xie@umd.edu; weiyec@umd.edu; erh108@pitt.edu; xiaowei@pitt.edu; han-bao@uiowa.edu; xun-zhou@uiowa.edu; ghosh128@umn.edu; pravirat@umn.edu</t>
  </si>
  <si>
    <t>Xie, Yiqun/0000-0002-6439-1333; Chen, Weiye/0000-0002-1931-040X</t>
  </si>
  <si>
    <t>National Science Foundation [2105133, 2126474, 2147195]; NASA [80NSSC22K1164, 80NSSC21K0314]; USGS [G21AC10207]; US-DOT [69A3551747131]; Google's AI for Social Good Impact Scholars program; DRI award at the University of Maryland; CRC at the University of Pittsburgh; ISSSF grant from the University of Iowa; Pitt Momentum Funds award; Direct For Computer &amp; Info Scie &amp; Enginr; Div Of Information &amp; Intelligent Systems [2105133, 2147195] Funding Source: National Science Foundation; Directorate For Geosciences; Div of Res, Innovation, Synergies, &amp; Edu [2126474] Funding Source: National Science Foundation</t>
  </si>
  <si>
    <t>National Science Foundation(National Science Foundation (NSF)); NASA(National Aeronautics &amp; Space Administration (NASA)); USGS(United States Geological Survey); US-DOT; Google's AI for Social Good Impact Scholars program; DRI award at the University of Maryland; CRC at the University of Pittsburgh; ISSSF grant from the University of Iowa; Pitt Momentum Funds award; Direct For Computer &amp; Info Scie &amp; Enginr; Div Of Information &amp; Intelligent Systems(National Science Foundation (NSF)NSF - Directorate for Computer &amp; Information Science &amp; Engineering (CISE)); Directorate For Geosciences; Div of Res, Innovation, Synergies, &amp; Edu(National Science Foundation (NSF)NSF - Directorate for Geosciences (GEO)NSF - Division of Research, Innovation, Synergies, &amp; Education (RISE))</t>
  </si>
  <si>
    <t>This material is based upon work supported by the National Science Foundation under Grant Nos.2105133, 2126474 and 2147195; NASA under Grant Nos. 80NSSC22K1164 and 80NSSC21K0314; USGS under Grant No. G21AC10207; US-DOT under Grant No.69A3551747131 (through SAFER-SIM); Google's AI for Social Good Impact Scholars program; the DRI award at the University of Maryland; Pitt Momentum Funds award and CRC at the University of Pittsburgh; and the ISSSF grant from the University of Iowa.</t>
  </si>
  <si>
    <t>10.1007/s10115-023-01847-0</t>
  </si>
  <si>
    <t>C3NE9</t>
  </si>
  <si>
    <t>WOS:000945694700002</t>
  </si>
  <si>
    <t>Yang, MJ; Sun, HY; Liu, X; Xue, X; Deng, YF; Wang, XJ</t>
  </si>
  <si>
    <t>Yang, Minjian; Sun, Hanyu; Liu, Xue; Xue, Xi; Deng, Yafeng; Wang, Xiaojian</t>
  </si>
  <si>
    <t>CMGN: a conditional molecular generation net to design target-specific molecules with desired properties</t>
  </si>
  <si>
    <t>drug design; conditional molecular generation; BART; structure-properties relationships; molecule optimization</t>
  </si>
  <si>
    <t>The rational design of chemical entities with desired properties for a specific target is a long-standing challenge in drug design. Generative neural networks have emerged as a powerful approach to sample novel molecules with specific properties, termed as inverse drug design. However, generating molecules with biological activity against certain targets and predefined drug properties still remains challenging. Here, we propose a conditional molecular generation net (CMGN), the backbone of which is a bidirectional and autoregressive transformer. CMGN applies large-scale pretraining for molecular understanding and navigates the chemical space for specified targets by fine-tuning with corresponding datasets. Additionally, fragments and properties were trained to recover molecules to learn the structure-properties relationships. Our model crisscrosses the chemical space for specific targets and properties that control fragment-growth processes. Case studies demonstrated the advantages and utility of our model in fragment-to-lead processes and multi-objective lead optimization. The results presented in this paper illustrate that CMGN has the potential to accelerate the drug discovery process.</t>
  </si>
  <si>
    <t>[Deng, Yafeng] CarbonSilicon AI Technol Co Ltd, Hangzhou, Peoples R China; [Wang, Xiaojian] Peking Union Med Coll &amp; Chinese Acad Med Sci, Inst Mat Med, Dept Med Chem, State Key Lab Bioact Subst &amp; Funct Nat Med,Beijing, Beijing 10005, Peoples R China; [Yang, Minjian; Wang, Xiaojian] Peking Union Med Coll &amp; Chinese Acad Med Sci, Inst Mat Med, Dept Med Chem, State Key Lab Bioact Subst &amp; Funct Nat Med,Beijing, Beijing, Peoples R China; [Sun, Hanyu; Liu, Xue; Xue, Xi] Peking Union Med Coll &amp; Chinese Acad Med Sci, Inst Mat Med, State Key Lab Bioact Subst &amp; Funct Nat Med, Beijing, Peoples R China</t>
  </si>
  <si>
    <t>Chinese Academy of Medical Sciences - Peking Union Medical College; Peking Union Medical College; Chinese Academy of Medical Sciences - Peking Union Medical College; Peking Union Medical College; Chinese Academy of Medical Sciences - Peking Union Medical College; Peking Union Medical College</t>
  </si>
  <si>
    <t>Deng, YF (corresponding author), CarbonSilicon AI Technol Co Ltd, Hangzhou, Peoples R China.;Wang, XJ (corresponding author), Peking Union Med Coll &amp; Chinese Acad Med Sci, Inst Mat Med, Dept Med Chem, State Key Lab Bioact Subst &amp; Funct Nat Med,Beijing, Beijing 10005, Peoples R China.</t>
  </si>
  <si>
    <t>dengyafeng@carbonsilicon.ai; wangxiaojian@imm.ac.cn</t>
  </si>
  <si>
    <t>National Natural Science Foundation of China (NSFC) [82073692]; CAMS Innovation Fund for Medical Sciences (CIFMS) [2021-I2M-1-028]; Disciplines Construction Project [201920200802]</t>
  </si>
  <si>
    <t>National Natural Science Foundation of China (NSFC)(National Natural Science Foundation of China (NSFC)); CAMS Innovation Fund for Medical Sciences (CIFMS); Disciplines Construction Project</t>
  </si>
  <si>
    <t>This work was financially supported by the National Natural Science Foundation of China (NSFC no. 82073692), CAMS Innovation Fund for Medical Sciences (CIFMS, no. 2021-I2M-1-028) and Disciplines Construction Project (Grant no. 201920200802)</t>
  </si>
  <si>
    <t>10.1093/bib/bbad185</t>
  </si>
  <si>
    <t>X2BV3</t>
  </si>
  <si>
    <t>WOS:000988165200001</t>
  </si>
  <si>
    <t>Chen, ZK; Long, FC; Qiu, ZF; Yao, T; Zhou, WG; Luo, JB; Mei, T</t>
  </si>
  <si>
    <t>Chen, Zhikai; Long, Fuchen; Qiu, Zhaofan; Yao, Ting; Zhou, Wengang; Luo, Jiebo; Mei, Tao</t>
  </si>
  <si>
    <t>AnchorFormer: Point Cloud Completion from Discriminative Nodes</t>
  </si>
  <si>
    <t>Point cloud completion aims to recover the completed 3D shape of an object from its partial observation. A common strategy is to encode the observed points to a global feature vector and then predict the complete points through a generative process on this vector. Nevertheless, the results may suffer from the high-quality shape generation problem due to the fact that a global feature vector cannot sufficiently characterize diverse patterns in one object. In this paper, we present a new shape completion architecture, namely AnchorFormer, that innovatively leverages pattern-aware discriminative nodes, i.e., anchors, to dynamically capture regional information of objects. Technically, AnchorFormer models the regional discrimination by learning a set of anchors based on the point features of the input partial observation. Such anchors are scattered to both observed and unobserved locations through estimating particular offsets, and form sparse points together with the down-sampled points of the input observation. To reconstruct the fine-grained object patterns, AnchorFormer further employs a modulation scheme to morph a canonical 2D grid at individual locations of the sparse points into a detailed 3D structure. Extensive experiments on the PCN, ShapeNet-55/34 and KITTI datasets quantitatively and qualitatively demonstrate the efficacy of AnchorFormer over the state-of-the-art point cloud completion approaches. Source code is available at https://github.com/chenzhik/AnchorFormer.</t>
  </si>
  <si>
    <t>[Chen, Zhikai] Univ Sci &amp; Technol China, Hefei, Peoples R China; Univ Rochester, Rochester, NY USA; HiDream ai Inc, Beijing, Peoples R China</t>
  </si>
  <si>
    <t>Chinese Academy of Sciences; University of Science &amp; Technology of China, CAS; University of Rochester</t>
  </si>
  <si>
    <t>Chen, ZK (corresponding author), Univ Sci &amp; Technol China, Hefei, Peoples R China.</t>
  </si>
  <si>
    <t>czk654@mail.ustc.edu.cn; longfc.ustc@gmail.com; zhaofanqiu@gmail.com; tingyao.ustc@gmail.com; zhwg@ustc.edu.cn; jluo@cs.rochester.edu; tmei@hidream.ai</t>
  </si>
  <si>
    <t>Luo, Jiebo/AAI-7549-2020</t>
  </si>
  <si>
    <t>Luo, Jiebo/0000-0002-4516-9729</t>
  </si>
  <si>
    <t>National Natural Science Foundation of China [62021001]; GPU cluster built by MCC Lab of Information Science and Technology Institution; Supercomputing Center of the USTC</t>
  </si>
  <si>
    <t>National Natural Science Foundation of China(National Natural Science Foundation of China (NSFC)); GPU cluster built by MCC Lab of Information Science and Technology Institution; Supercomputing Center of the USTC</t>
  </si>
  <si>
    <t>This work was supported by the National Natural Science Foundation of China under Contract 62021001. It was also supported by the GPU cluster built by MCC Lab of Information Science and Technology Institution and the Supercomputing Center of the USTC.</t>
  </si>
  <si>
    <t>10.1109/CVPR52729.2023.01305</t>
  </si>
  <si>
    <t>WOS:001062522105086</t>
  </si>
  <si>
    <t>Xing, XD; Del Ser, J; Wu, YZ; Li, Y; Xia, J; Xu, L; Firmin, D; Gatehouse, P; Yang, G</t>
  </si>
  <si>
    <t>Xing, Xiaodan; Del Ser, Javier; Wu, Yinzhe; Li, Yang; Xia, Jun; Xu, Lei; Firmin, David; Gatehouse, Peter; Yang, Guang</t>
  </si>
  <si>
    <t>HDL: Hybrid Deep Learning for the Synthesis of Myocardial Velocity Maps in Digital Twins for Cardiac Analysis</t>
  </si>
  <si>
    <t>CINE MRI; CINE MRI; image synthesis; image synthesis; image synthesis; image synthesis; image synthesis; image synthesis; image synthesis; image synthesis; image synthesis; image synthesis; image synthesis; image synthesis; image synthesis; image synthesis; image synthesis; image synthesis; digital twins; digital twins; digital twins; digital twins; digital twins; digital twins; digital twins; digital twins; digital twins; digital twins; digital twins; digital twins; digital twins; digital twins; digital twins; digital twins; myocardial velocity mapping; myocardial velocity mapping</t>
  </si>
  <si>
    <t>BREATH-HOLD; PHASE; STRAIN; MRI</t>
  </si>
  <si>
    <t>Synthetic digital twins based on medical data accelerate the acquisition, labelling and decision making procedure in digital healthcare. A core part of digital healthcare twins is model-based data synthesis, which permits the generation of realistic medical signals without requiring to cope with the modelling complexity of anatomical and biochemical phenomena producing them in reality. Unfortunately, algorithms for cardiac data synthesis have been so far scarcely studied in the literature. An important imaging modality in the cardiac examination is three-directional CINE multi-slice myocardial velocity mapping (3Dir MVM), which provides a quantitative assessment of cardiac motion in three orthogonal directions of the left ventricle. The long acquisition time and complex acquisition produce make it more urgent to produce synthetic digital twins of this imaging modality. In this study, we propose a hybrid deep learning (HDL) network, especially for synthetic 3Dir MVM data. Our algorithm is featured by a hybrid UNet and a Generative Adversarial Network with a foreground-background generation scheme. The experimental results show that from temporally down-sampled magnitude CINE images (six times), our proposed algorithm can still successfully synthesise high temporal resolution 3Dir MVM CMR data (PSNR=42.32) with precise left ventricle segmentation (DICE=0.92). These performance scores indicate that our proposed HDL algorithm can be implemented in real-world digital twins for myocardial velocity mapping data simulation. To the best of our knowledge, this work is the first one investigating digital twins of the 3Dir MVM CMR, which has shown great potential for improving the efficiency of clinical studies via synthesised cardiac data.</t>
  </si>
  <si>
    <t>[Xing, Xiaodan; Wu, Yinzhe; Firmin, David; Gatehouse, Peter; Yang, Guang] Imperial Coll London, Natl Heart &amp; Lung Inst, London SW7 2AZ, England; [Gatehouse, Peter; Yang, Guang] Imperial Coll London, Royal Brompton Hosp, London SW7 2AZ, England; [Del Ser, Javier] Univ Basque Country UPV EHU, Dept Commun Engn, Bilbao 48013, Spain; [Del Ser, Javier] Basque Res &amp; Technol Alliance BRTA, TECNALIA, Derio 48160, Spain; [Li, Yang] Beihang Univ, Sch Automat Sci &amp; Elect Engn, Beijing 100191, Peoples R China; [Xia, Jun] Shenzhen Second Peoples Hosp, Dept Radiol, Shenzhen 518037, Peoples R China; [Xu, Lei] Capital Med Univ, Dept Radiol, Beijing 100054, Peoples R China; [Xu, Lei] Capital Med Univ, Beijing Anzhen Hosp, Beijing 100054, Peoples R China</t>
  </si>
  <si>
    <t>Imperial College London; Imperial College London; Royal Brompton Hospital; University of Basque Country; Beihang University; Second People's Hospital of Shenzhen; Capital Medical University; Capital Medical University</t>
  </si>
  <si>
    <t>Xing, XD; Yang, G (corresponding author), Imperial Coll London, Natl Heart &amp; Lung Inst, London SW7 2AZ, England.;Yang, G (corresponding author), Imperial Coll London, Royal Brompton Hosp, London SW7 2AZ, England.</t>
  </si>
  <si>
    <t>x.xing@imperial.ac.uk; javier.delser@tecnalia.com; yinzhe.wu18@imperial.ac.uk; liyang@buaa.edu.cn; xiajun@email.szu.edu.cn; leixu2001@hotmail.com; d.firmin@imperial.ac.uk; p.gatehouse@rbht.nhs.uk; g.yang@imperial.ac.uk</t>
  </si>
  <si>
    <t>Yang, Guang/0000-0001-7344-7733; Del Ser, Javier/0000-0002-1260-9775</t>
  </si>
  <si>
    <t>European Research Council Innovative Medicines Initiative [MC/PC/21013]; AI for Health Imaging Award [MR/V023799/1]; British Heart Foundation [H2020-JTI-IMI2 101005122, H2020-SC1-FA-DTS-2019-1 952172]; MRC [TG/18/5/34111]; U.K. Research and Innovation Future Leaders Fellowship [PG/16/78/32402]; Department of Education of the Basque Government [IT1294-19]; Project of Shenzhen International Cooperation Foundation [GJHZ20180926165402083]</t>
  </si>
  <si>
    <t>European Research Council Innovative Medicines Initiative(European Research Council (ERC)); AI for Health Imaging Award; British Heart Foundation(British Heart Foundation); MRC(UK Research &amp; Innovation (UKRI)Medical Research Council UK (MRC)); U.K. Research and Innovation Future Leaders Fellowship(UK Research &amp; Innovation (UKRI)); Department of Education of the Basque Government; Project of Shenzhen International Cooperation Foundation</t>
  </si>
  <si>
    <t>This work was supported in part by European Research Council Innovative Medicines Initiative under Grant DRAGON, H2020-JTI-IMI2 101005122, in part by the AI for Health Imaging Award under Grant CHAIMELEON, H2020-SC1-FA-DTS-2019-1 952172, in part by British Heart Foundation under Grants TG/18/5/34111 and PG/16/78/32402, in part by MRC under Grant MC/PC/21013, and in part by U.K. Research and Innovation Future Leaders Fellowship under Grant MR/V023799/1. The work of Javier Del Ser was supported by the Department of Education of the Basque Government for its funding support through the consolidated group MATHMODE under Grant IT1294-19. The work of Jun Xia was supported by the Project of Shenzhen International Cooperation Foundation under Grant GJHZ20180926165402083.</t>
  </si>
  <si>
    <t>10.1109/JBHI.2022.3158897</t>
  </si>
  <si>
    <t>WOS:001083127700044</t>
  </si>
  <si>
    <t>Luo, JJ; Li, YH; Pan, YW; Yao, T; Feng, JL; Chao, HY; Mei, T</t>
  </si>
  <si>
    <t>Luo, Jianjie; Li, Yehao; Pan, Yingwei; Yao, Ting; Feng, Jianlin; Chao, Hongyang; Mei, Tao</t>
  </si>
  <si>
    <t>Semantic-Conditional Diffusion Networks for Image Captioning</t>
  </si>
  <si>
    <t>Recent advances on text-to-image generation have witnessed the rise of diffusion models which act as powerful generative models. Nevertheless, it is not trivial to exploit such latent variable models to capture the dependency among discrete words and meanwhile pursue complex visual-language alignment in image captioning. In this paper, we break the deeply rooted conventions in learning Transformer-based encoder-decoder, and propose a new diffusion model based paradigm tailored for image captioning, namely Semantic-Conditional Diffusion Networks (SCD-Net). Technically, for each input image, we first search the semantically relevant sentences via cross-modal retrieval model to convey the comprehensive semantic information. The rich semantics are further regarded as semantic prior to trigger the learning of Diffusion Transformer, which produces the output sentence in a diffusion process. In SCD-Net, multiple Diffusion Transformer structures are stacked to progressively strengthen the output sentence with better visional-language alignment and linguistical coherence in a cascaded manner. Furthermore, to stabilize the diffusion process, a new self-critical sequence training strategy is designed to guide the learning of SCD-Net with the knowledge of a standard autoregressive Transformer model. Extensive experiments on COCO dataset demonstrate the promising potential of using diffusion models in the challenging image captioning task. Source code is available at https://github.com/YehLi/xmodaler/tree/master/configs/image_caption/scdnet.</t>
  </si>
  <si>
    <t>[Luo, Jianjie] Sun Yat Sen Univ, Sch Comp Sci &amp; Engn, Guangzhou, Peoples R China; HiDream Ai Inc, Beijing, Peoples R China</t>
  </si>
  <si>
    <t>Luo, JJ (corresponding author), Sun Yat Sen Univ, Sch Comp Sci &amp; Engn, Guangzhou, Peoples R China.</t>
  </si>
  <si>
    <t>jianjieluo.sysu@gmail.com; yehaoli.sysu@gmail.com; panyw.ustc@gmail.com; tingyao.ustc@gmail.com; fengjlin@mail.sysu.edu.cn; isschhy@mail.sysu.edu.cn; tmei@hidream.ai</t>
  </si>
  <si>
    <t>10.1109/CVPR52729.2023.02237</t>
  </si>
  <si>
    <t>WOS:001062531307066</t>
  </si>
  <si>
    <t>Mohammad-Rahimi, H; Vinayahalingam, S; Mahmoudinia, E; Soltani, P; Bergé, SJ; Krois, J; Schwendicke, F</t>
  </si>
  <si>
    <t>Mohammad-Rahimi, Hossein; Vinayahalingam, Shankeeth; Mahmoudinia, Erfan; Soltani, Parisa; Berge, Stefaan J.; Krois, Joachim; Schwendicke, Falk</t>
  </si>
  <si>
    <t>Super-Resolution of Dental Panoramic Radiographs Using Deep Learning: A Pilot Study</t>
  </si>
  <si>
    <t>super-resolution; neural networks; deep learning; image enhancement; panoramic radiographs</t>
  </si>
  <si>
    <t>IMAGES; ACCURACY</t>
  </si>
  <si>
    <t>Using super-resolution (SR) algorithms, an image with a low resolution can be converted into a high-quality image. Our objective was to compare deep learning-based SR models to a conventional approach for improving the resolution of dental panoramic radiographs. A total of 888 dental panoramic radiographs were obtained. Our study involved five state-of-the-art deep learning-based SR approaches, including SR convolutional neural networks (SRCNN), SR generative adversarial network (SRGAN), U-Net, Swin for image restoration (SwinIr), and local texture estimator (LTE). Their results were compared with one another and with conventional bicubic interpolation. The performance of each model was evaluated using the metrics of mean squared error (MSE), peak signal-to-noise ratio (PNSR), structural similarity index (SSIM), and mean opinion score by four experts (MOS). Among all the models evaluated, the LTE model presented the highest performance, with MSE, SSIM, PSNR, and MOS results of 7.42 +/- 0.44, 39.74 +/- 0.17, 0.919 +/- 0.003, and 3.59 +/- 0.54, respectively. Additionally, compared with low-resolution images, the output of all the used approaches showed significant improvements in MOS evaluation. A significant enhancement in the quality of panoramic radiographs can be achieved by SR. The LTE model outperformed the other models.</t>
  </si>
  <si>
    <t>[Mohammad-Rahimi, Hossein; Krois, Joachim; Schwendicke, Falk] WHO Focus Grp AI Hlth, Top Grp Dent Diagnost &amp; Digital Dent, ITU, D-10117 Berlin, Germany; [Vinayahalingam, Shankeeth; Berge, Stefaan J.] Radboud Univ Nijmegen, Dept Oral &amp; Maxillofacial Surg, Nijmegen Med Ctr, NL-6525 GA Nijmegen, Netherlands; [Mahmoudinia, Erfan] Sharif Univ Technol, Dept Comp Engn, Tehran 11155, Iran; [Soltani, Parisa] Isfahan Univ Med Sci, Dent Res Inst, Dent Implants Res Ctr, Sch Dent,Dept Oral &amp; Maxillofacial Radiol, Esfahan, Iran; [Schwendicke, Falk] Charite Univ Med Berlin, Dept Oral Diagnost, Digital Hlth &amp; Hlth Serv Res, D-10117 Berlin, Germany</t>
  </si>
  <si>
    <t>Radboud University Nijmegen; Sharif University of Technology; Isfahan University Medical Science; Free University of Berlin; Humboldt University of Berlin; Charite Universitatsmedizin Berlin</t>
  </si>
  <si>
    <t>Mohammad-Rahimi, H (corresponding author), WHO Focus Grp AI Hlth, Top Grp Dent Diagnost &amp; Digital Dent, ITU, D-10117 Berlin, Germany.</t>
  </si>
  <si>
    <t>ramtin.rhm@gmail.com</t>
  </si>
  <si>
    <t>; Soltani, Parisa/H-6654-2014</t>
  </si>
  <si>
    <t>Schwendicke, Falk/0000-0003-1223-1669; Soltani, Parisa/0000-0002-9273-5279; Mohammad-Rahimi, Hossein/0000-0002-4971-5926; Mahmoudinia, erfan/0000-0003-4268-6912; Vinayahalingam, Shankeeth/0000-0002-2679-3841</t>
  </si>
  <si>
    <t>10.3390/diagnostics13050996</t>
  </si>
  <si>
    <t>9U0WW</t>
  </si>
  <si>
    <t>WOS:000947443500001</t>
  </si>
  <si>
    <t>Stefanini, M; Cornia, M; Baraldi, L; Cascianelli, S; Fiameni, G; Cucchiara, R</t>
  </si>
  <si>
    <t>Stefanini, Matteo; Cornia, Marcella; Baraldi, Lorenzo; Cascianelli, Silvia; Fiameni, Giuseppe; Cucchiara, Rita</t>
  </si>
  <si>
    <t>From Show to Tell: A Survey on Deep Learning-Based Image Captioning</t>
  </si>
  <si>
    <t>Image captioning; vision-and-language; deep learning; survey</t>
  </si>
  <si>
    <t>TRANSFORMER; GENERATION; LANGUAGE; MODELS</t>
  </si>
  <si>
    <t>Connecting Vision and Language plays an essential role in Generative Intelligence. For this reason, large research efforts have been devoted to image captioning, i.e. describing images with syntactically and semantically meaningful sentences. Starting from 2015 the task has generally been addressed with pipelines composed of a visual encoder and a language model for text generation. During these years, both components have evolved considerably through the exploitation of object regions, attributes, the introduction of multi-modal connections, fully-attentive approaches, and BERT-like early-fusion strategies. However, regardless of the impressive results, research in image captioning has not reached a conclusive answer yet. This work aims at providing a comprehensive overview of image captioning approaches, from visual encoding and text generation to training strategies, datasets, and evaluation metrics. In this respect, we quantitatively compare many relevant state-of-the-art approaches to identify the most impactful technical innovations in architectures and training strategies. Moreover, many variants of the problem and its open challenges are discussed. The final goal of this work is to serve as a tool for understanding the existing literature and highlighting the future directions for a research area where Computer Vision and Natural Language Processing can find an optimal synergy.</t>
  </si>
  <si>
    <t>[Stefanini, Matteo; Cornia, Marcella; Baraldi, Lorenzo; Cascianelli, Silvia; Cucchiara, Rita] Univ Modena &amp; Reggio Emilia, Dept Engn Enzo Ferrari, I-41121 Modena, Italy; [Fiameni, Giuseppe] NVIDIA AI Technol Ctr, I-21024 Milan, Italy; [Fiameni, Giuseppe] CINECA, HPC specialist, Casalecchio Di Reno, Italy</t>
  </si>
  <si>
    <t>Universita di Modena e Reggio Emilia; CINECA, Italy</t>
  </si>
  <si>
    <t>Cornia, M (corresponding author), Univ Modena &amp; Reggio Emilia, Dept Engn Enzo Ferrari, I-41121 Modena, Italy.</t>
  </si>
  <si>
    <t>matteo.stefanini@unimore.it; marcella.cornia@unimore.it; lorenzo.baraldi@unimore.it; silvia.cascianelli@unimore.it; gfiameni@nvidia.com; rita.cucchiara@unimore.it</t>
  </si>
  <si>
    <t>Cucchiara, Rita/L-3006-2015; Cornia, Marcella/Y-9903-2019</t>
  </si>
  <si>
    <t>Cornia, Marcella/0000-0001-9640-9385; Cascianelli, Silvia/0000-0001-7885-6050; Baraldi, Lorenzo/0000-0001-5125-4957</t>
  </si>
  <si>
    <t>10.1109/TPAMI.2022.3148210</t>
  </si>
  <si>
    <t>WOS:000899419900033</t>
  </si>
  <si>
    <t>Bai, QY; Yang, CY; Xu, YH; Liu, XH; Yang, YJ; Shen, YJ</t>
  </si>
  <si>
    <t>Bai, Qingyan; Yang, Ceyuan; Xu, Yinghao; Liu, Xihui; Yang, Yujiu; Shen, Yujun</t>
  </si>
  <si>
    <t>GLeaD: Improving GANs with A Generator-Leading Task</t>
  </si>
  <si>
    <t>Generative adversarial network (GAN) is formulated as a two-player game between a generator (G) and a discriminator (D), where D is asked to differentiate whether an image comes from real data or is produced by G. Under such a formulation, D plays as the rule maker and hence tends to dominate the competition. Towards a fairer game in GANs, we propose a new paradigm for adversarial training, which makes G assign a task to D as well. Specifically, given an image, we expect D to extract representative features that can be adequately decoded by G to reconstruct the input. That way, instead of learning freely, D is urged to align with the view of G for domain classification. Experimental results on various datasets demonstrate the substantial superiority of our approach over the baselines. For instance, we improve the FID of StyleGAN2 from 4.30 to 2.55 on LSUN Bedroom and from 4.04 to 2.82 on LSUN Church. We believe that the pioneering attempt present in this work could inspire the community with better designed generator-leading tasks for GAN improvement. Project page is at https://ezioby.github.io/glead/.</t>
  </si>
  <si>
    <t>[Bai, Qingyan; Yang, Yujiu] Tsinghua Univ, Tsinghua Shenzhen Int Grad Sch, Beijing, Peoples R China; [Yang, Ceyuan] Shanghai AI Lab, Shanghai, Peoples R China; [Xu, Yinghao] Chinese Univ Hong Kong, Hong Kong, Peoples R China; [Liu, Xihui] Univ Hong Kong, Hong Kong, Peoples R China; [Shen, Yujun] Ant Grp, Hangzhou, Peoples R China</t>
  </si>
  <si>
    <t>Tsinghua Shenzhen International Graduate School; Tsinghua University; Shanghai Artificial Intelligence Laboratory; Chinese University of Hong Kong; University of Hong Kong</t>
  </si>
  <si>
    <t>Yang, YJ (corresponding author), Tsinghua Univ, Tsinghua Shenzhen Int Grad Sch, Beijing, Peoples R China.</t>
  </si>
  <si>
    <t>National Natural Science Foundation of China [U1903213]; Shenzhen Science and Technology Program [JCYJ20220818101014030]</t>
  </si>
  <si>
    <t>National Natural Science Foundation of China(National Natural Science Foundation of China (NSFC)); Shenzhen Science and Technology Program</t>
  </si>
  <si>
    <t>This work was partly supported by the National Natural Science Foundation of China (Grant No. U1903213) and the Shenzhen Science and Technology Program (JCYJ20220818101014030).</t>
  </si>
  <si>
    <t>10.1109/CVPR52729.2023.01164</t>
  </si>
  <si>
    <t>WOS:001062522104040</t>
  </si>
  <si>
    <t>Burrichter, B; Hofmann, J; da Silva, JK; Niemann, A; Quirmbach, M</t>
  </si>
  <si>
    <t>Burrichter, Benjamin; Hofmann, Julian; da Silva, Juliana Koltermann; Niemann, Andre; Quirmbach, Markus</t>
  </si>
  <si>
    <t>A Spatiotemporal Deep Learning Approach for Urban Pluvial Flood Forecasting with Multi-Source Data</t>
  </si>
  <si>
    <t>WATER</t>
  </si>
  <si>
    <t>urban pluvial flooding; deep learning; spatiotemporal modeling; real-time flood forecasting</t>
  </si>
  <si>
    <t>DATA-DRIVEN MODELS; NEURAL-NETWORKS; INUNDATION; PREDICTION; BERLIN</t>
  </si>
  <si>
    <t>This study presents a deep-learning-based forecast model for spatial and temporal prediction of pluvial flooding. The developed model can produce the flooding situation for the upcoming time steps as a sequence of flooding maps. Thus, a dynamic overview of the forthcoming flooding situation is generated to support the decision of crisis management actors. The influence of different input data, data formats, and model setups on the prediction results was investigated. Data from multiple sources were considered as follows: precipitation information, spatial information, and an overflow forecast. In addition, models with different layers and network architectures such as convolutional layers, graph convolutional layers, or generative adversarial networks (GANs) were considered and evaluated. The data required to train and test the models were generated using a coupled hydrodynamic 1D/2D model. The model setup with the inclusion of all available input variables and an architecture with graph convolutional layers presented, in general, the best results in terms of root mean square error (RMSE) and critical success index (CSI). The prediction results of the final model showed a high agreement with the simulation results of the hydrodynamic model, with drastic reductions in computation time, making this model suitable for integration into an early warning system for pluvial flooding.</t>
  </si>
  <si>
    <t>[Burrichter, Benjamin; da Silva, Juliana Koltermann; Quirmbach, Markus] Univ Appl Sci Ruhr West, Inst Civil Engn, D-45479 Mulheim, Germany; [Hofmann, Julian] Rhein Westfal TH Aachen, Inst Hydraul Engn &amp; Water Resources Management, D-57074 Aachen, Germany; [Niemann, Andre] Univ Duisburg Essen, Inst Hydraul Engn &amp; Water Resources Management, D-45141 Essen, Germany</t>
  </si>
  <si>
    <t>RWTH Aachen University; University of Duisburg Essen</t>
  </si>
  <si>
    <t>Burrichter, B (corresponding author), Univ Appl Sci Ruhr West, Inst Civil Engn, D-45479 Mulheim, Germany.</t>
  </si>
  <si>
    <t>benjamin.burrichter@hs-ruhrwest.de; hofmann@iww.rwth-aachen.de; juliana.koltermanndasilva@hs-ruhrwest.de; andre.niemann@uni-due.de; markus.quirmbach@hs-ruhrwest.de</t>
  </si>
  <si>
    <t>Burrichter, Benjamin/0009-0006-8313-681X; Quirmbach, Markus/0009-0004-5906-4487; Hofmann, Julian/0000-0002-7156-7173</t>
  </si>
  <si>
    <t>Federal Ministry of Education and Research (BMBF), Germany [13N15556]</t>
  </si>
  <si>
    <t>Federal Ministry of Education and Research (BMBF), Germany(Federal Ministry of Education &amp; Research (BMBF))</t>
  </si>
  <si>
    <t>This research work is part of the research project KIWaSuS-KI-basiertes Warnsystem vor Starkregen und urbanen Sturzfluten (AI-based warning system for heavy rain and urban flash floods) funded by the Federal Ministry of Education and Research (BMBF), Germany (grant number 13N15556).</t>
  </si>
  <si>
    <t>2073-4441</t>
  </si>
  <si>
    <t>WATER-SUI</t>
  </si>
  <si>
    <t>Water</t>
  </si>
  <si>
    <t>MAY 3</t>
  </si>
  <si>
    <t>10.3390/w15091760</t>
  </si>
  <si>
    <t>Environmental Sciences; Water Resources</t>
  </si>
  <si>
    <t>Environmental Sciences &amp; Ecology; Water Resources</t>
  </si>
  <si>
    <t>G2VX0</t>
  </si>
  <si>
    <t>WOS:000987806100001</t>
  </si>
  <si>
    <t>Pereira, LFA; De Beenhouwer, J; Sijbers, J</t>
  </si>
  <si>
    <t>Alves Pereira, Luis F.; De Beenhouwer, Jan; Sijbers, Jan</t>
  </si>
  <si>
    <t>SPARSE-VIEW MEDICAL TOMOSYNTHESIS VIA MIXED SCALE DENSE CONVOLUTIONAL FRAMELET NETWORKS</t>
  </si>
  <si>
    <t>Digital X-ray Tomosynthesis; Deep Convolutional Framelet Networks</t>
  </si>
  <si>
    <t>GENERATIVE ADVERSARIAL NETWORKS; NEURAL-NETWORK</t>
  </si>
  <si>
    <t>X-ray tomosynthesis is a low-dose and relatively inexpensive 3D imaging technique that relies on limited-angle and sparse-view tomography. Unfortunately, tomosynthesis often leads to reconstructed images that are corrupted by ripple artifacts. The current state-of-the-art for artifact suppression in tomographic data involves the use of Convolutional Neural Networks for mapping corrupted reconstructions into artifact-free images. Recently, Deep Convolutional Framelet Networks (DCFNs) were proposed in which max-pooling layers in the U-net were replaced by fixed Wavelet decompositions. In this work, we show that replacing the regular convolutional blocks in the DCFNs by Mixed Scaled Dense (MSD) blocks for exploiting multi-scale features allows us to better represent and hence suppress tomosynthesis artifacts at different scales. Experiments using simulated data show that our Mixed Scale Dense Convolutional Framelet Network (MSDCFN) outperforms the state-of-the-art methods in the vast majority of the tomosynthesis scans evaluated.</t>
  </si>
  <si>
    <t>[Alves Pereira, Luis F.] Univ Fed Agreste Pernambuco, Garanhuns, Brazil; [De Beenhouwer, Jan; Sijbers, Jan] Univ Antwerp, Imec Vis Lab, Antwerp, Belgium</t>
  </si>
  <si>
    <t>University of Antwerp; IMEC</t>
  </si>
  <si>
    <t>Pereira, LFA (corresponding author), Univ Fed Agreste Pernambuco, Garanhuns, Brazil.</t>
  </si>
  <si>
    <t>Sijbers, Jan/C-4214-2011</t>
  </si>
  <si>
    <t>Sijbers, Jan/0000-0003-4225-2487; De Beenhouwer, Jan/0000-0001-5253-1274</t>
  </si>
  <si>
    <t>FWO, Belgium SBO project MetroFlex [S004217N]; European Commission through the INTERREG Vlaanderen Nederland program project Smart*Light [0386]; Flemish Government under the Onderzoeksprogramma Artificiele Intelligentie (AI) Vlaanderen programme</t>
  </si>
  <si>
    <t>FWO, Belgium SBO project MetroFlex; European Commission through the INTERREG Vlaanderen Nederland program project Smart*Light(Interreg Europe); Flemish Government under the Onderzoeksprogramma Artificiele Intelligentie (AI) Vlaanderen programme</t>
  </si>
  <si>
    <t>This research is funded by the FWO, Belgium SBO project MetroFlex (S004217N), the European Commission through the INTERREG Vlaanderen Nederland program project Smart*Light (0386), and the Flemish Government under the Onderzoeksprogramma Artificiele Intelligentie (AI) Vlaanderen programme.</t>
  </si>
  <si>
    <t>10.1109/ISBI53787.2023.10230645</t>
  </si>
  <si>
    <t>WOS:001062050500322</t>
  </si>
  <si>
    <t>Huang, H; Yu, JJ; Chen, J; Lai, RJ</t>
  </si>
  <si>
    <t>Huang, Han; Yu, Jiajia; Chen, Jie; Lai, Rongjie</t>
  </si>
  <si>
    <t>Bridging mean-field games and normalizing flows with trajectory regularization</t>
  </si>
  <si>
    <t>JOURNAL OF COMPUTATIONAL PHYSICS</t>
  </si>
  <si>
    <t>Mean-field games; Optimal transport; Optimal control; Normalizing flows</t>
  </si>
  <si>
    <t>TRANSPORT</t>
  </si>
  <si>
    <t>Mean-field games (MFGs) are a modeling framework for systems with a large number of interacting agents. They have applications in economics, finance, and game theory. Normalizing flows (NFs) are a family of deep generative models that compute data likelihoods by using an invertible mapping typically parameterized by neural networks. They are useful for density modeling and data generation. While active research has been conducted on both models, few noted the relationship between the two. In this work, we unravel the connections between MFGs and NFs by contextualizing the training of an NF as solving the MFG. This is achieved by reformulating the MFG problem in terms of agent trajectories and parameterizing a discretization of the resulting MFG with flow architectures. With this connection, we explore two research directions. First, we employ expressive NF architectures to accurately solve high-dimensional MFGs, sidestepping the curse of dimensionality in traditional numerical methods. Compared with other deep learning approaches, our trajectory-based formulation encodes the continuity equation in the network architecture to better approximate population dynamics. Second, we regularize the training of NFs with transport costs and show the effectiveness on controlling the model's Lipschitz bound, resulting in better generalization performance. We demonstrate numerical results through comprehensive experiments on a variety of synthetic and real-life datasets. &amp; COPY; 2023 Elsevier Inc. All rights reserved.</t>
  </si>
  <si>
    <t>[Huang, Han; Yu, Jiajia; Lai, Rongjie] Rensselaer Polytech Inst, 110 8th St, Troy, NY 12180 USA; [Chen, Jie] IBM Res, MIT IBM Watson AI Lab, 314 Main St, Cambridge, MA 02142 USA</t>
  </si>
  <si>
    <t>Lai, RJ (corresponding author), Rensselaer Polytech Inst, 110 8th St, Troy, NY 12180 USA.</t>
  </si>
  <si>
    <t>huangh14@rpi.edu; yuj12@rpi.edu; chenjie@us.ibm.com; lair@rpi.edu</t>
  </si>
  <si>
    <t>Lai, Rongjie/0000-0002-3125-3321</t>
  </si>
  <si>
    <t>NSF [DMS-1752934, DMS-2134168]</t>
  </si>
  <si>
    <t>This work is supported in part by an NSF Career Award (DMS-1752934) and NSF DMS-2134168.</t>
  </si>
  <si>
    <t>0021-9991</t>
  </si>
  <si>
    <t>1090-2716</t>
  </si>
  <si>
    <t>J COMPUT PHYS</t>
  </si>
  <si>
    <t>J. Comput. Phys.</t>
  </si>
  <si>
    <t>10.1016/j.jcp.2023.112155</t>
  </si>
  <si>
    <t>Computer Science, Interdisciplinary Applications; Physics, Mathematical</t>
  </si>
  <si>
    <t>P9XG7</t>
  </si>
  <si>
    <t>WOS:001054132500001</t>
  </si>
  <si>
    <t>Zhang, SP; Liu, XZ; Xie, HZ; Nie, LQ; Zhou, HY; Tao, DC; Li, XL</t>
  </si>
  <si>
    <t>Zhang, Shengping; Liu, Xianzhu; Xie, Haozhe; Nie, Liqiang; Zhou, Huiyu; Tao, Dacheng; Li, Xuelong</t>
  </si>
  <si>
    <t>Learning Geometric Transformation for Point Cloud Completion</t>
  </si>
  <si>
    <t>Point clouds; 3D shape completion; Repetitive geometric structures; Geometric transformation network</t>
  </si>
  <si>
    <t>Point cloud completion aims to estimate the missing shape from a partial point cloud. Existing encoder-decoder based generative models usually reconstruct the complete point cloud from the learned distribution of the shape prior, which may lead to distortion of geometric details (such as sharp structures and structures without smooth surfaces) due to the information loss of the latent space embedding. To address this problem, we formulate point cloud completion as a geometric transformation problem and propose a simple yet effective geometric transformation network (GTNet). It exploits the repetitive geometric structures in common 3D objects to recover the complete shapes, which contains three sub-networks: geometric patch network, structure transformation network, and detail refinement network. Specifically, the geometric patch network iteratively discovers repetitive geometric structures that are related or similar to the missing parts. Then, the structure transformation network uses the discovered geometric structures to complete the corresponding missing parts by learning their spatial transformations such as symmetry, rotation, translation, and uniform scaling. Finally, the detail refinement network performs global optimization to eliminate unnatural structures. Extensive experiments demonstrate that the proposed method outperforms the state-of-the-art methods on the Shape-Net55-34, MVP, PCN, and KITTI datasets. Models and code will be available at .</t>
  </si>
  <si>
    <t>[Zhang, Shengping; Liu, Xianzhu] Harbin Inst Technol, Weihai, Peoples R China; [Xie, Haozhe] Tencent AI Lab, Shenzhen, Peoples R China; [Nie, Liqiang] Harbin Inst Technol, Shenzhen, Peoples R China; [Zhou, Huiyu] Univ Leicester, Leicester, England; [Tao, Dacheng] Univ Sydney, Camperdown, Australia; [Li, Xuelong] Northwestern Polytech Univ, Xian, Peoples R China</t>
  </si>
  <si>
    <t>Harbin Institute of Technology; Tencent; Harbin Institute of Technology; University of Leicester; University of Sydney; Northwestern Polytechnical University</t>
  </si>
  <si>
    <t>Nie, LQ (corresponding author), Harbin Inst Technol, Shenzhen, Peoples R China.</t>
  </si>
  <si>
    <t>s.zhang@hit.edu.cn; xianzhu.liu@outlook.com; haozhexie@tencent.com; nieliqiang@gmail.com; hz143@leicester.ac.uk; dacheng.tao@sydney.edu.au; li@nwpu.edu.cn</t>
  </si>
  <si>
    <t>Tao, Dacheng/A-5449-2012</t>
  </si>
  <si>
    <t>Tao, Dacheng/0000-0001-7225-5449</t>
  </si>
  <si>
    <t>National Natural Science Foundation of China [62272134, 62236003]; Taishan Scholars Program of Shandong Province [tsqn201812106]; Shenzhen Colleges and Universities Stable Support Program [GXWD20220817144428005]; National Key R &amp;D Program of China [2021ZD0110901]</t>
  </si>
  <si>
    <t>National Natural Science Foundation of China(National Natural Science Foundation of China (NSFC)); Taishan Scholars Program of Shandong Province; Shenzhen Colleges and Universities Stable Support Program; National Key R &amp;D Program of China</t>
  </si>
  <si>
    <t>AcknowledgementsThis work was supported in part by the National Natural Science Foundation of China (Nos. 62272134 and 62236003), in part by the Taishan Scholars Program of Shandong Province (No. tsqn201812106), in part by the Shenzhen Colleges and Universities Stable Support Program (No. GXWD20220817144428005), in part by the National Key R &amp;D Program of China (No. 2021ZD0110901).</t>
  </si>
  <si>
    <t>10.1007/s11263-023-01820-y</t>
  </si>
  <si>
    <t>N2SY6</t>
  </si>
  <si>
    <t>WOS:001003323700001</t>
  </si>
  <si>
    <t>Yang, Y; Wang, CY; Guo, XJ; Tao, DC</t>
  </si>
  <si>
    <t>Yang, Yang; Wang, Chaoyue; Guo, Xiaojie; Tao, Dacheng</t>
  </si>
  <si>
    <t>Robust Unpaired Image Dehazing via Density and Depth Decomposition</t>
  </si>
  <si>
    <t>Image dehazing; Unpaired learning; Haze generation; Data augmentation</t>
  </si>
  <si>
    <t>FRAMEWORK; VISION</t>
  </si>
  <si>
    <t>To overcome the overfitting issue of dehazing models trained on synthetic hazy-clean image pairs, recent methods attempt to boost the generalization ability by training on unpaired data. However, most of existing approaches simply resort to formulating dehazing-rehazing cycles with generative adversarial networks, yet ignore the physical property in the real-world hazy environment, i.e., the haze effect varies along with density and depth. This paper proposes a robust self-augmented image dehazing framework for haze generation and removal. Instead of merely estimating transmission maps or clean content, the proposed scheme focuses on exploring the scattering coefficient and depth information of hazy and clean images. Having the scene depth estimated, our method is capable of re-rendering hazy images with different thicknesses, which benefits the training of the dehazing network. Besides, a dual contrastive perceptual loss is introduced to further improve the quality of both dehazed and rehazed images. Comprehensive experiments are conducted to reveal the advance of our method over other state-of-the-art unpaired dehazing methods in terms of visual quality, model size, and computational cost. Moreover, our model can be robustly trained on, not only synthetic indoor datasets, but also real outdoor scenes with remarkable improvement on the real-world image dehazing. Our code and training data are available at: https://github.com/YaN9-Y/D4_plus.</t>
  </si>
  <si>
    <t>[Yang, Yang; Guo, Xiaojie] Tianjin Univ, Coll Intelligence &amp; Comp, Tianjin 300350, Peoples R China; [Wang, Chaoyue; Tao, Dacheng] Univ Sydney, Fac Engn, Sydney AI Ctr, Sch Comp Sci, Sydney, NSW 2008, Australia</t>
  </si>
  <si>
    <t>Tianjin University; University of Sydney</t>
  </si>
  <si>
    <t>Guo, XJ (corresponding author), Tianjin Univ, Coll Intelligence &amp; Comp, Tianjin 300350, Peoples R China.</t>
  </si>
  <si>
    <t>yangyangcic@tju.edu.cn; chaoyue.wang@outlook.com; xj.max.guo@gmail.com; dacheng.tao@sydney.edu.au</t>
  </si>
  <si>
    <t>National Natural Science Foundation of China [62072327]; National Natural Science Foundation of China</t>
  </si>
  <si>
    <t>National Natural Science Foundation of China(National Natural Science Foundation of China (NSFC)); National Natural Science Foundation of China(National Natural Science Foundation of China (NSFC))</t>
  </si>
  <si>
    <t>This work was supported by the National Natural Science Foundation of China under Grant No. 62072327.</t>
  </si>
  <si>
    <t>10.1007/s11263-023-01940-5</t>
  </si>
  <si>
    <t>Z6ND6</t>
  </si>
  <si>
    <t>WOS:001113215300001</t>
  </si>
  <si>
    <t>Ando, S; Yamamoto, A</t>
  </si>
  <si>
    <t>Ando, Shin; Yamamoto, Ayaka</t>
  </si>
  <si>
    <t>Anomaly Detection via Few-Shot Learning on Normality</t>
  </si>
  <si>
    <t>Deep anomaly detection; Generative adversarial networks; Deep one-class classification; Data description; Few-shot learning</t>
  </si>
  <si>
    <t>One of the basic ideas for anomaly detection is to describe an enclosing boundary of normal data in order to identify cases outside as anomalies. In practice, however, normal data can consist of multiple classes, in which case the anomalies may appear not only outside such an enclosure but also in-between 'normal' classes. This paper addresses deep anomaly detection aimed at embedding 'normal' classes to individually close but mutually distant proximities. We introduce a problem setting where a limited number of labeled examples from each 'normal' class is available for training. Preparing such examples is much more feasible in practice than collecting examples of anomalies or labeling large-scale, normal data. We utilize the labeled examples in a margin-based loss reflecting the inter-class and the intra-class distances among the embedded labeled data. The two terms and their relations are derived from an information-theoretic principle. In an empirical study using image benchmark datasets, we show the advantage of the proposed method over existing deep anomaly detection models. We also show case studies using low-dimensional mappings to analyze the behavior of the proposed method.</t>
  </si>
  <si>
    <t>[Ando, Shin; Yamamoto, Ayaka] Tokyo Univ Sci, Sch Management, Shinjuku City, Japan</t>
  </si>
  <si>
    <t>Tokyo University of Science</t>
  </si>
  <si>
    <t>Ando, S (corresponding author), Tokyo Univ Sci, Sch Management, Shinjuku City, Japan.</t>
  </si>
  <si>
    <t>ando@rs.tus.ac.jp; 8620510@ed.tus.ac.jp</t>
  </si>
  <si>
    <t>10.1007/978-3-031-26387-3_17</t>
  </si>
  <si>
    <t>WOS:000999035400017</t>
  </si>
  <si>
    <t>Farshad, A</t>
  </si>
  <si>
    <t>Farshad, Azade</t>
  </si>
  <si>
    <t>Representation Learning for Semantic Scene Understanding</t>
  </si>
  <si>
    <t>Scene Graphs; Representation Learning; Image Generation and Manipulation</t>
  </si>
  <si>
    <t>Recent advances in semantic scene understanding have underscored its growing significance in the field of computer vision. Enhanced representations can be achieved by incorporating semantic information derived from textual data and applying it to generative models for scene modeling. Nevertheless, the features extracted from text prompts may not seamlessly model a scene. Scene graphs offer a robust solution to address this challenge, serving as a powerful representation for semantic image generation and manipulation. In this study, we delve into the utilization of scene graphs for this purpose and propose novel methodologies to augment both the representation and learning processes involved in image generation and manipulation. For image generation, we examine meta-learning for producing images in unprecedented scenes and refine the generated images using an autoregressive scene graph generation model. In terms of image manipulation, we put forth a novel self-supervised method that eliminates the need for paired before-and-after data. Additionally, we boost image manipulation performance by disentangling latent and graph representations in a self-supervised manner. By evaluating the efficacy of our proposed approaches on a diverse range of publicly available benchmarks, we demonstrate their superiority, ultimately achieving state-of-the-art performance in the domain of semantic image generation and manipulation.</t>
  </si>
  <si>
    <t>[Farshad, Azade] Tech Univ Munich, Munich, Germany; [Farshad, Azade] Munich Ctr Machine Learning MCML, Munich, Germany</t>
  </si>
  <si>
    <t>Farshad, A (corresponding author), Tech Univ Munich, Munich, Germany.;Farshad, A (corresponding author), Munich Ctr Machine Learning MCML, Munich, Germany.</t>
  </si>
  <si>
    <t>Munich Center for Machine Learning (MCML); Deutsche Forschungsgemeinschaft (DFG)</t>
  </si>
  <si>
    <t>Munich Center for Machine Learning (MCML); Deutsche Forschungsgemeinschaft (DFG)(German Research Foundation (DFG))</t>
  </si>
  <si>
    <t>Lastly, I acknowledge the generous financial support provided by the Munich Center for Machine Learning (MCML) and Deutsche Forschungsgemeinschaft (DFG), which has been instrumental in enabling the realization of this research.</t>
  </si>
  <si>
    <t>10.3233/FAIA230124</t>
  </si>
  <si>
    <t>WOS:001150361600052</t>
  </si>
  <si>
    <t>Chang, CM; Chao, GY; Lee, CC</t>
  </si>
  <si>
    <t>Chang, Chun-Min; Chao, Gao-Yi; Lee, Chi-Chun</t>
  </si>
  <si>
    <t>Enforcing Semantic Consistency for Cross Corpus Emotion Prediction Using Adversarial Discrepancy Learning in Emotion</t>
  </si>
  <si>
    <t>Databases; Semantics; Emotion recognition; Acoustic distortion; Training; Nonlinear distortion; Correlation; Speech emotion recognition; generative adversarial network; cross corpus learning; semantic consistency; domain adaptation</t>
  </si>
  <si>
    <t>DOMAIN-ADVERSARIAL; RECOGNITION; SPEECH</t>
  </si>
  <si>
    <t>Mismatch between databases entails a challenge in performing emotion recognition on a practical-condition unlabeled database with labeled source data. The alignment between the source and target is crucial for conventional neural network; therefore, many studies have mapped two domains in a common feature space. However, the effect of distortion in emotion semantics across different conditions has been neglected in such work, and a sample from the target may be considered a high emotional annotation in the target but as low in the source. In this article, we propose the maximum regression discrepancy (MRD) network, which enforces semantic consistency in a source and target by adjusting the acoustic feature encoder to minimize discrepancy in maximally distorted samples through adversarial training. We show our framework in several experiments using three databases (the USC IEMOCAP, MSP-Improv, and MSP-Podcast) for cross corpus emotion prediction. Compared to the Source-only neural network and DANN, MRD network demonstrates a significant improvement between 5% and 10% in the concordance correlation coefficient (CCC) in cross-corpus prediction and between 3% and 10% for evaluation on MSP-PODCAST. We also visualize the effect of MRD on feature representation to shows the efficacy of the MRD structure we designed.</t>
  </si>
  <si>
    <t>[Chang, Chun-Min; Chao, Gao-Yi; Lee, Chi-Chun] Natl Tsing Hua Univ, Dept Elect Engn, Hsinchu 300, Taiwan; [Lee, Chi-Chun] MOST Res Ctr AI Technol &amp; All Vista Healthcare, Taipei 10617, Taiwan</t>
  </si>
  <si>
    <t>National Tsing Hua University</t>
  </si>
  <si>
    <t>Lee, CC (corresponding author), Natl Tsing Hua Univ, Dept Elect Engn, Hsinchu 300, Taiwan.;Lee, CC (corresponding author), MOST Res Ctr AI Technol &amp; All Vista Healthcare, Taipei 10617, Taiwan.</t>
  </si>
  <si>
    <t>cmchang@gapp.nthu.edu.tw; ooxx15935720@gmail.com; cclee@ee.nthu.edu.tw</t>
  </si>
  <si>
    <t>Lee, Chi-Chun/0000-0003-0186-4321</t>
  </si>
  <si>
    <t>APR-JUN</t>
  </si>
  <si>
    <t>10.1109/TAFFC.2021.3111110</t>
  </si>
  <si>
    <t>I1FK2</t>
  </si>
  <si>
    <t>WOS:001000299100018</t>
  </si>
  <si>
    <t>Zhang, OD; Wang, TY; Weng, GQ; Jiang, DJ; Wang, N; Wang, XR; Zhao, HF; Wu, JL; Wang, ER; Chen, GY; Deng, YF; Pan, PC; Kang, Y; Hsieh, CY; Hou, TJ</t>
  </si>
  <si>
    <t>Zhang, Odin; Wang, Tianyue; Weng, Gaoqi; Jiang, Dejun; Wang, Ning; Wang, Xiaorui; Zhao, Huifeng; Wu, Jialu; Wang, Ercheng; Chen, Guangyong; Deng, Yafeng; Pan, Peichen; Kang, Yu; Hsieh, Chang-Yu; Hou, Tingjun</t>
  </si>
  <si>
    <t>Learning on topological surface and geometric structure for 3D molecular generation</t>
  </si>
  <si>
    <t>SHIKIMATE KINASE; PROTEIN; PREDICTION; DOCKING; PROGRAM; DESIGN</t>
  </si>
  <si>
    <t>Highly effective de novo design is a grand challenge of computer-aided drug discovery. Practical structure-specific three-dimensional molecule generations have started to emerge in recent years, but most approaches treat the target structure as a conditional input to bias the molecule generation and do not fully learn the detailed atomic interactions that govern the molecular conformation and stability of the binding complexes. The omission of these fine details leads to many models having difficulty in outputting reasonable molecules for a variety of therapeutic targets. Here, to address this challenge, we formulate a model, called SurfGen, that designs molecules in a fashion closely resembling the figurative key-and-lock principle. SurfGen comprises two equivariant neural networks, Geodesic-GNN and Geoatom-GNN, which capture the topological interactions on the pocket surface and the spatial interaction between ligand atoms and surface nodes, respectively. SurfGen outperforms other methods in a number of benchmarks, and its high sensitivity on the pocket structures enables an effective generative-model-based solution to the thorny issue of mutation-induced drug resistance. SurfGen is a structure-based drug design approach that delves into topological and geometric deep learning techniques for interaction learning, echoing the classical lock-and-key model.</t>
  </si>
  <si>
    <t>[Zhang, Odin; Wang, Tianyue; Weng, Gaoqi; Jiang, Dejun; Zhao, Huifeng; Wu, Jialu; Pan, Peichen; Kang, Yu; Hsieh, Chang-Yu; Hou, Tingjun] Zhejiang Univ, Innovat Inst Artificial Intelligence Med, Coll Pharmaceut Sci, Hangzhou, Peoples R China; [Wang, Ning; Wang, Xiaorui; Deng, Yafeng] Hangzhou Carbonsilicon AI Technol Co Ltd, Hangzhou, Peoples R China; [Wang, Ercheng; Chen, Guangyong] Zhejiang Univ, Zhejiang Lab, Hangzhou, Peoples R China</t>
  </si>
  <si>
    <t>Zhejiang University; Zhejiang University; Zhejiang Laboratory</t>
  </si>
  <si>
    <t>Kang, Y; Hsieh, CY; Hou, TJ (corresponding author), Zhejiang Univ, Innovat Inst Artificial Intelligence Med, Coll Pharmaceut Sci, Hangzhou, Peoples R China.</t>
  </si>
  <si>
    <t>yukang@zju.edu.cn; kimhsieh@zju.edu.cn; tingjunhou@zju.edu.cn</t>
  </si>
  <si>
    <t>Wang, Ling/AGR-4917-2022; li, yan/KFQ-3850-2024; Yang, YiChen/KEI-0140-2024; Li, Yuanxiang/KCX-8706-2024; li, fang/KDO-8841-2024; Wang, Yifan/KDO-8319-2024; Zhang, Wenkai/JWO-2030-2024; chen, gang/JRX-1197-2023; liu, xingyu/JXW-9444-2024; zhang, wen/JXN-0191-2024; Hou, Tingjun/C-7492-2011; li, xinyi/KEI-6391-2024; li, cheng/KCZ-0615-2024; xiao, wei/KCK-6954-2024; Chen, Bowen/KFB-3986-2024; Kang, Yu/L-2912-2013; Sun, Jia/JXM-0311-2024; Li, Binxu/KDO-3273-2024; Li, Yan/KFQ-9244-2024; Li, Yang/KFB-5350-2024; Chen, Zheng/KCY-2338-2024; wang, wenjing/KEH-0575-2024; zhang, xiaoyu/KEJ-0657-2024</t>
  </si>
  <si>
    <t>Wang, Ling/0000-0003-0272-2974; Kang, Yu/0000-0002-0999-8802; Wang, Ercheng/0000-0003-2074-4077; Wang, Xiaorui/0000-0001-6893-2013; dejun, jiang/0000-0002-2035-5074; Pan, Peichen/0000-0003-1152-7759</t>
  </si>
  <si>
    <t>This work was financially supported by the National Key Research and Development Program of China (2022YFF1203003), the National Natural Science Foundation of China (22220102001, 82373791, and 81973281) and the Natural Science Foundation of Zhejiang Provin [2022YFF1203003]; National Key Research and Development Program of China [22220102001, 82373791, 81973281]; National Natural Science Foundation of China [LD22H300001]; Natural Science Foundation of Zhejiang Province</t>
  </si>
  <si>
    <t>This work was financially supported by the National Key Research and Development Program of China (2022YFF1203003), the National Natural Science Foundation of China (22220102001, 82373791, and 81973281) and the Natural Science Foundation of Zhejiang Provin; National Key Research and Development Program of China; National Natural Science Foundation of China(National Natural Science Foundation of China (NSFC)); Natural Science Foundation of Zhejiang Province(Natural Science Foundation of Zhejiang Province)</t>
  </si>
  <si>
    <t>This work was financially supported by the National Key Research and Development Program of China (2022YFF1203003), the National Natural Science Foundation of China (22220102001, 82373791, and 81973281) and the Natural Science Foundation of Zhejiang Province (LD22H300001).</t>
  </si>
  <si>
    <t>10.1038/s43588-023-00530-2</t>
  </si>
  <si>
    <t>X1JE2</t>
  </si>
  <si>
    <t>WOS:001078069800001</t>
  </si>
  <si>
    <t>Hallaji, E; Razavi-Far, R; Saif, M; Herrera-Viedma, E</t>
  </si>
  <si>
    <t>Hallaji, Ehsan; Razavi-Far, Roozbeh; Saif, Mehrdad; Herrera-Viedma, Enrique</t>
  </si>
  <si>
    <t>Label noise analysis meets adversarial training: A defense against label poisoning in federated learning</t>
  </si>
  <si>
    <t>Noisy labels; Federated learning; Intrusion detection systems; Label poisoning attacks; Deep learning; Adversarial training</t>
  </si>
  <si>
    <t>CLASSIFICATION; PRIVACY; ATTACK</t>
  </si>
  <si>
    <t>Data decentralization and privacy constraints in federated learning systems withhold user data from the server. As a result, intruders can take advantage of this privacy feature by corrupting the federated network using forged updates obtained on malicious data. This paper proposes a defense mechanism based on adversarial training and label noise analysis to address this problem. To do so, we design a generative adversarial scheme for vaccinating local models by injecting them with artificially-made label noise that resembles backdoor and label flipping attacks. From the perspective of label noise analysis, all poisoned labels can be generated through three different mechanisms. We demonstrate how backdoor and label flipping attacks resemble each of these noise mechanisms and consider them all in the introduced design. In addition, we propose devising noisy-label classifiers for the client models. The combination of these two mechanisms enables the model to learn possible noise distributions, which eliminates the effect of corrupted updates generated due to malicious activities. Moreover, this work conducts a comparative study on state-of-the-art deep noisy label classifiers. The designed framework and selected methods are evaluated for intrusion detection on two internet of things networks. The results indicate the effectiveness of the proposed approach.(c) 2023 Elsevier B.V. All rights reserved.</t>
  </si>
  <si>
    <t>[Hallaji, Ehsan; Razavi-Far, Roozbeh; Saif, Mehrdad] Univ Windsor, Dept Elect &amp; Comp Engn, Windsor, ON N9B 3P4, Canada; [Razavi-Far, Roozbeh] Univ New Brunswick, Fac Comp Sci, Fredericton, NB E3B 5A3, Canada; [Herrera-Viedma, Enrique] Univ Granada, Andalusian Res Inst Data Sci &amp; Computat Intelligen, Dept Comp Sci &amp; AI, Granada 18071, Spain</t>
  </si>
  <si>
    <t>University of Windsor; University of New Brunswick; University of Granada</t>
  </si>
  <si>
    <t>Razavi-Far, R (corresponding author), Univ New Brunswick, Fac Comp Sci, Fredericton, NB E3B 5A3, Canada.</t>
  </si>
  <si>
    <t>hallaji@uwindsor.ca; roozbeh.razavi-far@unb.ca; msaif@uwindsor.ca; viedma@decsai.ugr.es</t>
  </si>
  <si>
    <t>Razavi-Far, Roozbeh/U-2344-2019; Hallaji, Ehsan/Y-4142-2019; Saif, Mehrdad/GYU-2802-2022</t>
  </si>
  <si>
    <t>Razavi-Far, Roozbeh/0000-0002-4330-3656; Hallaji, Ehsan/0000-0002-9956-4003;</t>
  </si>
  <si>
    <t>Natural Sciences and Engi-neering Research Council of Canada (NSERC) [CGSD3-569341-2022, RGPIN-2021-02968, RGPIN-04002-2018]</t>
  </si>
  <si>
    <t>Natural Sciences and Engi-neering Research Council of Canada (NSERC)(Natural Sciences and Engineering Research Council of Canada (NSERC))</t>
  </si>
  <si>
    <t>Acknowledgments This work is supported by the Natural Sciences and Engi-neering Research Council of Canada (NSERC) under funding ref-erence numbers CGSD3-569341-2022, RGPIN-2021-02968, and RGPIN-04002-2018.</t>
  </si>
  <si>
    <t>APR 22</t>
  </si>
  <si>
    <t>10.1016/j.knosys.2023.110384</t>
  </si>
  <si>
    <t>9W4GD</t>
  </si>
  <si>
    <t>WOS:000949035600001</t>
  </si>
  <si>
    <t>Han, G; Choi, J; Lee, H; Kim, J</t>
  </si>
  <si>
    <t>Han, Gyojin; Choi, Jaehyun; Lee, Haeil; Kim, Junmo</t>
  </si>
  <si>
    <t>Reinforcement Learning-Based Black-Box Model Inversion Attacks</t>
  </si>
  <si>
    <t>Model inversion attacks are a type of privacy attack that reconstructs private data used to train a machine learning model, solely by accessing the model. Recently, white-box model inversion attacks leveraging Generative Adversarial Networks (GANs) to distill knowledge from public datasets have been receiving great attention because of their excellent attack performance. On the other hand, current black-box model inversion attacks that utilize GANs suffer from issues such as being unable to guarantee the completion of the attack process within a predetermined number of query accesses or achieve the same level of performance as white-box attacks. To overcome these limitations, we propose a reinforcement learning-based black-box model inversion attack. We formulate the latent space search as a Markov Decision Process (MDP) problem and solve it with reinforcement learning. Our method utilizes the confidence scores of the generated images to provide rewards to an agent. Finally, the private data can be reconstructed using the latent vectors found by the agent trained in the MDP. The experiment results on various datasets and models demonstrate that our attack successfully recovers the private information of the target model by achieving state-of-the-art attack performance. We emphasize the importance of studies on privacy-preserving machine learning by proposing a more advanced black-box model inversion attack.</t>
  </si>
  <si>
    <t>[Han, Gyojin; Choi, Jaehyun; Lee, Haeil; Kim, Junmo] Korea Adv Inst Sci &amp; Technol, Sch Elect Engn, Daejeon, South Korea</t>
  </si>
  <si>
    <t>Han, G (corresponding author), Korea Adv Inst Sci &amp; Technol, Sch Elect Engn, Daejeon, South Korea.</t>
  </si>
  <si>
    <t>hangj0820@kaist.ac.kr; chlwogus@kaist.ac.kr; haeil.lee@kaist.ac.kr; junmo.kim@kaist.ac.kr</t>
  </si>
  <si>
    <t>Institute of Information &amp; communications Technology Planning &amp; Evaluation (IITP) - Korea government(MSIT) [2022-0-00184]</t>
  </si>
  <si>
    <t>Institute of Information &amp; communications Technology Planning &amp; Evaluation (IITP) - Korea government(MSIT)(Institute for Information &amp; Communication Technology Planning &amp; Evaluation (IITP), Republic of KoreaMinistry of Science &amp; ICT (MSIT), Republic of Korea)</t>
  </si>
  <si>
    <t>This work was supported by Institute of Information &amp; communications Technology Planning &amp; Evaluation (IITP) grant funded by the Korea government(MSIT). (NO.2022-0-00184, Development and Study of AI Technologies to Inexpensively Conform to Evolving Policy on Ethics)</t>
  </si>
  <si>
    <t>10.1109/CVPR52729.2023.01964</t>
  </si>
  <si>
    <t>WOS:001062531304080</t>
  </si>
  <si>
    <t>Pérez-Guerrero, C; Ciprián-Sánchez, JF; Palacios, A; Ochoa-Ruiz, G; Gonzalez-Mendoza, M; Foroughi, V; Pastor, E; Rodriguez-Hernandez, G</t>
  </si>
  <si>
    <t>Perez-Guerrero, Carmina; Ciprian-Sanchez, Jorge Francisco; Palacios, Adriana; Ochoa-Ruiz, Gilberto; Gonzalez-Mendoza, Miguel; Foroughi, Vahid; Pastor, Elsa; Rodriguez-Hernandez, Gerardo</t>
  </si>
  <si>
    <t>Computer vision-based characterization of large-scale jet flames using a synthetic infrared image generation approach</t>
  </si>
  <si>
    <t>Jet flames; Computer vision; Deep learning; Characterization; Image generation</t>
  </si>
  <si>
    <t>THERMAL-RADIATION</t>
  </si>
  <si>
    <t>Different kinds of fire accidents can occur during industrial activities that involve hazardous materials, such as jet fires, which are often involved in a process known as a domino effect that generates a sequence of other accidents of greater magnitude. Jet fires present specific features that can significantly increase the probability of this domino effect, so they become relevant from a risk analysis perspective, making their proper characterization a crucial task. Data acquisition of jet fires involves expensive experiments, especially when infrared imagery is necessary. Therefore, this paper proposes a method that uses Generative Adversarial Networks to produce plausible infrared images from visible ones, making experiments less expensive and allowing for other potential applications. As validation, the infrared images are used in a fire characterization approach that employs Deep Learning to segment radiation zones and extracts the jet fire's geometrical information. A comparison is done between the measurements obtained from real and generated infrared images. The results suggest that, with the proposed approach, it is possible to realistically replicate the analysis obtained from experiments carried out using both visible and infrared cameras.</t>
  </si>
  <si>
    <t>[Perez-Guerrero, Carmina; Ciprian-Sanchez, Jorge Francisco; Palacios, Adriana; Ochoa-Ruiz, Gilberto; Gonzalez-Mendoza, Miguel; Rodriguez-Hernandez, Gerardo] Tecnol Monterrey, Sch Engn &amp; Sci, Zapopan 45138, Jalisco, Mexico; [Palacios, Adriana] Univ Americas Puebla, Dept Chem Food &amp; Environm Engn, Cholula 72810, Mexico; [Foroughi, Vahid; Pastor, Elsa] Univ Politecn Cataluna, EEBE, Eduard Maristany 16, Barcelona 08019, Catalonia, Spain</t>
  </si>
  <si>
    <t>Tecnologico de Monterrey; Universidad Americas Puebla (UDLAP); Universitat Politecnica de Catalunya</t>
  </si>
  <si>
    <t>Palacios, A; Ochoa-Ruiz, G (corresponding author), Tecnol Monterrey, Sch Engn &amp; Sci, Zapopan 45138, Jalisco, Mexico.;Palacios, A (corresponding author), Univ Americas Puebla, Dept Chem Food &amp; Environm Engn, Cholula 72810, Mexico.</t>
  </si>
  <si>
    <t>adriana.palacios@udlap.mx; gilberto.ochoa@tec.mx</t>
  </si>
  <si>
    <t>; Pastor, Elsa/K-3945-2014; Gonzalez-Mendoza, Miguel/D-7578-2014</t>
  </si>
  <si>
    <t>Perez Guerrero, Carmina/0000-0002-7024-9376; Pastor, Elsa/0000-0002-2985-3635; Gonzalez-Mendoza, Miguel/0000-0001-6451-9109; Rodriguez-Hernandez, Gerardo/0000-0001-5877-6715; Ochoa-Ruiz, Gilberto/0000-0002-9896-8727</t>
  </si>
  <si>
    <t>Spanish Ministry of Economy and Competitiveness; Institut d'Estudis Catalans; SEP-CONACYT ECOS-ANUIES, Mexico Project [315597]</t>
  </si>
  <si>
    <t>Spanish Ministry of Economy and Competitiveness(Spanish Government); Institut d'Estudis Catalans; SEP-CONACYT ECOS-ANUIES, Mexico Project</t>
  </si>
  <si>
    <t>The authors wish to thank the AI Hub and the Centro de Innovacion de Internet de las Cosas at Tecnologico de Monterrey for their support for carrying the training and testing of the computer models explored in this paper with their NVIDIA DGX workstation. The authors also wish to thank the Spanish Ministry of Economy and Competitiveness and the Institut d'Estudis Catalans for providing the jet fire data used in the experiments presented in this paper. This work was supported in part by the SEP-CONACYT ECOS-ANUIES, Mexico Project 315597.</t>
  </si>
  <si>
    <t>10.1016/j.engappai.2023.107275</t>
  </si>
  <si>
    <t>X1UE4</t>
  </si>
  <si>
    <t>WOS:001096361800001</t>
  </si>
  <si>
    <t>Yin, F; Zhang, Y; Wang, X; Wang, TF; Li, XY; Gong, Y; Fan, YB; Cun, XD; Shan, Y; Öztireli, C; Yang, YJ</t>
  </si>
  <si>
    <t>Yin, Fei; Zhang, Yong; Wang, Xuan; Wang, Tengfei; Li, Xiaoyu; Gong, Yuan; Fan, Yanbo; Cun, Xiaodong; Shan, Ying; Oztireli, Cengiz; Yang, Yujiu</t>
  </si>
  <si>
    <t>3D GAN Inversion with Facial Symmetry Prior</t>
  </si>
  <si>
    <t>Recently, a surge of high-quality 3D-aware GANs have been proposed, which leverage the generative power of neural rendering. It is natural to associate 3D GANs with GAN inversion methods to project a real image into the generator's latent space, allowing free-view consistent synthesis and editing, referred as 3D GAN inversion. Although with the facial prior preserved in pre-trained 3D GANs, reconstructing a 3D portrait with only one monocular image is still an ill-pose problem. The straightforward application of 2D GAN inversion methods focuses on texture similarity only while ignoring the correctness of 3D geometry shapes. It may raise geometry collapse effects, especially when reconstructing a side face under an extreme pose. Besides, the synthetic results in novel views are prone to be blurry. In this work, we propose a novel method to promote 3D GAN inversion by introducing facial symmetry prior. We design a pipeline and constraints to make full use of the pseudo auxiliary view obtained via image flipping, which helps obtain a view-consistent and well-structured geometry shape during the inversion process. To enhance texture fidelity in unobserved viewpoints, pseudo labels from depth-guided 3D warping can provide extra supervision. We design constraints to filter out conflict areas for optimization in asymmetric situations. Comprehensive quantitative and qualitative evaluations on image reconstruction and editing demonstrate the superiority of our method.</t>
  </si>
  <si>
    <t>[Yin, Fei; Gong, Yuan; Yang, Yujiu] Tsinghua Univ, Shenzhen Int Grad Sch, Beijing, Peoples R China; [Zhang, Yong; Li, Xiaoyu; Fan, Yanbo; Cun, Xiaodong; Shan, Ying] Tencent AI Lab, Shenzhen, Peoples R China; [Wang, Xuan] Ant Grp, Hangzhou, Peoples R China; [Wang, Tengfei] HKUST, Hong Kong, Peoples R China; [Oztireli, Cengiz] Univ Cambridge, Cambridge, England</t>
  </si>
  <si>
    <t>Tsinghua University; Tencent; Hong Kong University of Science &amp; Technology; University of Cambridge</t>
  </si>
  <si>
    <t>Yang, YJ (corresponding author), Tsinghua Univ, Shenzhen Int Grad Sch, Beijing, Peoples R China.</t>
  </si>
  <si>
    <t>National Natural Science Foundation of China [U1903213]; Shenzhen Science and Technology Program [JCYJ20220818101014030, ZDSYS20200811142605016]; UKRI Future Leaders Fellowship [G104084]</t>
  </si>
  <si>
    <t>National Natural Science Foundation of China(National Natural Science Foundation of China (NSFC)); Shenzhen Science and Technology Program; UKRI Future Leaders Fellowship(UK Research &amp; Innovation (UKRI))</t>
  </si>
  <si>
    <t>This work was partly supported by the National Natural Science Foundation of China (Grant No. U1903213) and the Shenzhen Science and Technology Program (JCYJ20220818101014030, ZDSYS20200811142605016). This work was partly supported by a UKRI Future Leaders Fellowship [grant number G104084].</t>
  </si>
  <si>
    <t>10.1109/CVPR52729.2023.00041</t>
  </si>
  <si>
    <t>WOS:001058542600033</t>
  </si>
  <si>
    <t>Xu, HY; Chen, SC; Ren, SF; Hou, X; Wang, GJ; Shen, C</t>
  </si>
  <si>
    <t>Xu, Haoyang; Chen, Shengchao; Ren, Sufen; Hou, Xuan; Wang, Guanjun; Shen, Chong</t>
  </si>
  <si>
    <t>Dual-Parameter Demodulation of FBG-FPI Cascade Sensors via Sparse Samples: A Deep Learning-Based Perspective</t>
  </si>
  <si>
    <t>Cascaded fiber Bragg grating and Fabry-Perot interferometer (FBG-FPI) sensor; deep learning; intelligent demodulation system; limited data</t>
  </si>
  <si>
    <t>GRATING SENSOR; OPTICAL-FIBER; SIMULTANEOUS STRAIN; BRAGG; WRITTEN</t>
  </si>
  <si>
    <t>This article proposes a complete framework for the manufacturing and dual-parameter demodulation of sensor systems consisting of cascaded fiber Bragg gratings (FBGs) and Fabry-Perot interferometers (FPIs). The proposed system aims to enable simultaneous interrogation of the external strain and temperature using a machine learning (ML) technique, with limited data availability and without requiring an optical spectrum analyzer (OSA). The system converts the sensing signals of a cascaded FBG-FPI sensor into changes in the transmitted optical intensity across multiple channels of the array waveguide grating (AWG). By inputting the transmitted optical intensity and wavelength shift data into a neural network, an intricate nonlinear relationship is established, which enables precise interrogation of the peak wavelength. Furthermore, to overcome the common limitation of insufficient data in data-driven models, we introduce a high-performance data augmentation method that utilizes a generative adversarial network (GAN) to rapidly augment the dataset during the training process. Extensive experiments using a real-world dataset generated in an industrial optical fiber sensing scenario demonstrate the effectiveness and superiority of the proposed framework.</t>
  </si>
  <si>
    <t>[Xu, Haoyang; Ren, Sufen; Hou, Xuan; Wang, Guanjun; Shen, Chong] Hainan Univ, State Key Lab Marine Resource Utilizat South Chin, Haikou 570100, Peoples R China; [Xu, Haoyang; Ren, Sufen; Hou, Xuan; Wang, Guanjun; Shen, Chong] Hainan Univ, Sch Informat &amp; Commun Engn, Haikou 570100, Peoples R China; [Chen, Shengchao] Univ Technol Sydney, Australian AI Inst, Sch Comp Sci, Fac Engn &amp; Informat Technol, Sydney, NSW 2007, Australia; [Wang, Guanjun] Huazhong Univ Sci &amp; Technol, Wuhan Natl Lab Optoelect, Wuhan 430074, Peoples R China</t>
  </si>
  <si>
    <t>Hainan University; Hainan University; University of Technology Sydney; Huazhong University of Science &amp; Technology</t>
  </si>
  <si>
    <t>Wang, GJ; Shen, C (corresponding author), Hainan Univ, State Key Lab Marine Resource Utilizat South Chin, Haikou 570100, Peoples R China.;Wang, GJ; Shen, C (corresponding author), Hainan Univ, Sch Informat &amp; Commun Engn, Haikou 570100, Peoples R China.;Wang, GJ (corresponding author), Huazhong Univ Sci &amp; Technol, Wuhan Natl Lab Optoelect, Wuhan 430074, Peoples R China.</t>
  </si>
  <si>
    <t>wangguanjun@hainanu.edu.cn; chongshen@hainanu.edu.cn</t>
  </si>
  <si>
    <t>Xu, Haoyang/JGE-1711-2023</t>
  </si>
  <si>
    <t>Xu, Haoyang/0009-0004-4144-940X; Chen, Shengchao/0000-0001-9992-2264; Wang, Guanjun/0000-0001-5458-9509; ren, su fen/0000-0002-7900-5474</t>
  </si>
  <si>
    <t>National Natural Science Foundation of China [61762033, 61865005, 62175054]; Natural Science Foundation of Hainan Province [2019CXTD400, 620RC554, 617079]; Open Project Program of Wuhan National Laboratory for Optoelectronics [2020WNLOKF001]; Scientific Research Starting Foundation of Hainan University [KYQD(ZR)1882, Qhys2022-156]; Innovative Research Topics for Postgraduate Students in Hainan Province in 2022 [Qhys2022-156]</t>
  </si>
  <si>
    <t>National Natural Science Foundation of China(National Natural Science Foundation of China (NSFC)); Natural Science Foundation of Hainan Province; Open Project Program of Wuhan National Laboratory for Optoelectronics; Scientific Research Starting Foundation of Hainan University; Innovative Research Topics for Postgraduate Students in Hainan Province in 2022</t>
  </si>
  <si>
    <t>This work was supported in part by the National Natural Science Foundation of China under Grant 61762033, Grant 61865005, and Grant 62175054; in part by the Natural Science Foundation of Hainan Province under Grant 2019CXTD400, Grant 620RC554, and Grant 617079; in part by the Open Project Program of Wuhan National Laboratory for Optoelectronics under Grant 2020WNLOKF001; in part by the Scientific Research Starting Foundation of Hainan University under Grant KYQD(ZR)1882; and in part by the Innovative Research Topics for Postgraduate Students in Hainan Province in 2022 under Grant Qhys2022-156. The associate editor coordinating the review of this article and approving it for publication was Prof. Carlos Marques. (Corresponding authors: Guanjun Wang; Chong Shen.)</t>
  </si>
  <si>
    <t>10.1109/JSEN.2023.3308172</t>
  </si>
  <si>
    <t>U9EU7</t>
  </si>
  <si>
    <t>WOS:001087769200169</t>
  </si>
  <si>
    <t>Zhang, J; Liu, SR; Chen, MY; Chu, HT; Wang, M; Wang, ZD; Yu, JL; Ni, NX; Yu, F; Chen, DC; Yang, YI; Xue, BX; Yang, LJ; Liu, Y; Gao, YQ</t>
  </si>
  <si>
    <t>Zhang, Jun; Liu, Sirui; Chen, Mengyun; Chu, Haotian; Wang, Min; Wang, Zidong; Yu, Jialiang; Ni, Ningxi; Yu, Fan; Chen, Dechin; Yang, Yi Isaac; Xue, Boxin; Yang, Lijiang; Liu, Yuan; Gao, Yi Qin</t>
  </si>
  <si>
    <t>Unsupervisedly Prompting AlphaFold2 for Accurate Few-Shot Protein Structure Prediction</t>
  </si>
  <si>
    <t>CONTACTS</t>
  </si>
  <si>
    <t>Data-driven predictive methods that can efficiently and accurately transform protein sequences into biologically active structures are highly valuable for scientific research and medical development. Determining an accurate folding landscape using coevolutionary information is fundamental to the success of modern protein structure prediction methods. As the state of the art, AlphaFold2 has dramatically raised the accuracy without performing explicit coevolutionary analysis. Nevertheless, its performance still shows strong dependence on available sequence homologues. Based on the interrogation on the cause of such dependence, we presented EvoGen, a meta generative model, to remedy the underperformance of AlphaFold2 for poor MSA targets. By prompting the model with calibrated or virtually generated homologue sequences, EvoGen helps AlphaFold2 fold accurately in the low-data regime and even achieve encouraging performance with single-sequence predictions. Being able to make accurate predictions with few-shot MSA not only generalizes AlphaFold2 better for orphan sequences but also democratizes its use for high-throughput applications. Besides, EvoGen combined with AlphaFold2 yields a probabilistic structure generation method that could explore alternative conformations of protein sequences, and the task-aware differentiable algorithm for sequence generation will benefit other related tasks including protein design.</t>
  </si>
  <si>
    <t>[Zhang, Jun; Liu, Sirui; Gao, Yi Qin] Changping Lab, Beijing 102200, Peoples R China; [Chen, Mengyun; Chu, Haotian; Wang, Min; Wang, Zidong; Yu, Jialiang; Ni, Ningxi; Yu, Fan] Huawei Technol Co Ltd, Huawei Hangzhou Res Inst, Hangzhou 310051, Peoples R China; [Chen, Dechin; Yang, Yi Isaac; Gao, Yi Qin] Shenzhen Bay Lab, Inst Syst &amp; Phys Biol, Shenzhen 518055, Peoples R China; [Xue, Boxin; Yang, Lijiang; Gao, Yi Qin] Peking Univ, Coll Chem &amp; Mol Engn, Beijing Natl Lab Mol Sci, Beijing 100871, Peoples R China; [Liu, Yuan] Peking Univ, Coll Chem &amp; Mol Engn, Dept Chem Biol, Beijing 100871, Peoples R China; [Gao, Yi Qin] Peking Univ, Biomed Pioneering Innovat Ctr, Beijing 100871, Peoples R China</t>
  </si>
  <si>
    <t>Changping Laboratory; Huawei Technologies; Shenzhen Bay Laboratory; Chinese Academy of Sciences; Peking University; Peking University; Peking University</t>
  </si>
  <si>
    <t>Zhang, J; Gao, YQ (corresponding author), Changping Lab, Beijing 102200, Peoples R China.;Gao, YQ (corresponding author), Shenzhen Bay Lab, Inst Syst &amp; Phys Biol, Shenzhen 518055, Peoples R China.;Gao, YQ (corresponding author), Peking Univ, Coll Chem &amp; Mol Engn, Beijing Natl Lab Mol Sci, Beijing 100871, Peoples R China.;Gao, YQ (corresponding author), Peking Univ, Biomed Pioneering Innovat Ctr, Beijing 100871, Peoples R China.</t>
  </si>
  <si>
    <t>jzhang@cpl.ac.cn; gaoyq@pku.edu.cn</t>
  </si>
  <si>
    <t>Zhang, Junchang/AAG-6753-2021; Liu, Yuan/B-9597-2012; Yang, Lijiang/AAS-2662-2020; Yang, Yi Isaac/F-3803-2015</t>
  </si>
  <si>
    <t>Yang, Yi Isaac/0000-0002-5599-0975; Dechin, CHEN/0000-0003-0084-488X; Zhang, Jun/0000-0002-8760-6747</t>
  </si>
  <si>
    <t>National Natural Science Foundation of China [2022ZD0115001]; National Key R&amp;D Program of China [22050003, 92053202, 21821004, 21927901]; National Natural Science Foundation of China; CAAI-Huawei MindSpore Open Fund</t>
  </si>
  <si>
    <t>National Natural Science Foundation of China(National Natural Science Foundation of China (NSFC)); National Key R&amp;D Program of China; National Natural Science Foundation of China(National Natural Science Foundation of China (NSFC)); CAAI-Huawei MindSpore Open Fund</t>
  </si>
  <si>
    <t>This work was supported by the National Key R&amp;D Program of China (2022ZD0115001), National Natural Science Foundation of China (22050003, 92053202, 21821004, and 21927901 to Y.Q.G.), and CAAI-Huawei MindSpore Open Fund to J.Z. The authors thank Dr. Xing Che, Dr. Piya Patra, and Yuhao Xie for useful discussion and gratefully acknowledge the support of the Xi'an Future Artificial Intelligence Computing Center, MindSpore, CANN (Compute Architecture for Neural Networks), and Ascend AI Processor used for this research.</t>
  </si>
  <si>
    <t>10.1021/acs.jctc.3c00528</t>
  </si>
  <si>
    <t>Z2SA0</t>
  </si>
  <si>
    <t>WOS:001110613700001</t>
  </si>
  <si>
    <t>Liu, HS; Lu, HS; Dana, K; Gruteser, M</t>
  </si>
  <si>
    <t>Liu, Hansi; Lu, Hongsheng; Dana, Kristin; Gruteser, Marco</t>
  </si>
  <si>
    <t>ViFi-Loc: Multi-modal Pedestrian Localization using GAN with Camera-Phone Correspondences</t>
  </si>
  <si>
    <t>Localization; Multi-modal; Computer Vision; WiFi FTM; IMU; GAN</t>
  </si>
  <si>
    <t>VERSATILE</t>
  </si>
  <si>
    <t>In Smart City and Vehicle-to-Everything (V2X) systems, acquiring pedestrians' accurate locations is crucial to traffic and pedestrian safety. Current systems adopt cameras and wireless sensors to estimate people's locations via sensor fusion. Standard fusion algorithms, however, become inapplicable when multi-modal data is not associated. For example, pedestrians are out of the camera field of view, or data from the camera modality is missing. To address this challenge and produce more accurate location estimations for pedestrians, we propose a localization solution based on a Generative Adversarial Network (GAN) architecture. During training, it learns the underlying linkage between pedestrians' camera-phone data correspondences. During inference, it generates refined position estimations based only on pedestrians' phone data that consists of GPS, IMU, and FTM. Results show that our GAN produces 3D coordinates at 1 to 2 meters localization error across 5 different outdoor scenes. We further show that the proposed model supports self-learning. The generated coordinates can be associated with pedestrians' bounding box coordinates to obtain additional camera-phone data correspondences. This allows automatic data collection during inference. Results show that after fine-tuning the GAN model on the expanded dataset, localization accuracy is further improved by up to 26%.</t>
  </si>
  <si>
    <t>[Liu, Hansi; Lu, Hongsheng; Gruteser, Marco] Rutgers State Univ, Piscataway, NJ 08854 USA; [Lu, Hongsheng] Toyota Motor North Amer, Toyota, Japan</t>
  </si>
  <si>
    <t>Rutgers University System; Rutgers University New Brunswick</t>
  </si>
  <si>
    <t>Liu, HS (corresponding author), Rutgers State Univ, Piscataway, NJ 08854 USA.</t>
  </si>
  <si>
    <t>hansiiii@winlab.rutgers.edu; hongsheng.lu@toyota.com; kristin.dana@rutgers.edu; gruteser@winlab.rutgers.edu</t>
  </si>
  <si>
    <t>National Science Foundation (NSF) [CNS-1901355]</t>
  </si>
  <si>
    <t>This research has been supported by the National Science Foundation (NSF) under Grant No. CNS-1901355.</t>
  </si>
  <si>
    <t>10.1145/3577190.3614119</t>
  </si>
  <si>
    <t>WOS:001147764700076</t>
  </si>
  <si>
    <t>Voss, H; Kopp, S</t>
  </si>
  <si>
    <t>Voss, Hendric; Kopp, Stefan</t>
  </si>
  <si>
    <t>AQ-GT: a Temporally Aligned and Qantized GRU-Transformer for Co-Speech Gesture Synthesis</t>
  </si>
  <si>
    <t>machine learning; deep learning; co-speech gesture; gesture synthesis; multimodal data; quantization; transformer; gated recurrent units; temporal alignment</t>
  </si>
  <si>
    <t>The generation of realistic and contextually relevant co-speech gestures is a challenging yet increasingly important task in the creation of multimodal artificial agents. Prior methods focused on learning a direct correspondence between co-speech gesture representations and produced motions, which created seemingly natural but often unconvincing gestures during human assessment. We present an approach to pre-train partial gesture sequences using a generative adversarial network with a quantization pipeline. The resulting codebook vectors serve as both input and output in our framework, forming the basis for the generation and reconstruction of gestures. By learning the mapping of a latent space representation as opposed to directly mapping it to a vector representation, this framework facilitates the generation of highly realistic and expressive gestures that closely replicate human movement and behavior, while simultaneously avoiding artifacts in the generation process. We evaluate our approach by comparing it with established methods for generating co-speech gestures as well as with existing datasets of human behavior. We also perform an ablation study to assess our findings. The results show that our approach outperforms the current state of the art by a clear margin and is partially indistinguishable from human gesturing. We make our data pipeline and the generation framework publicly available.</t>
  </si>
  <si>
    <t>[Voss, Hendric; Kopp, Stefan] Bielefeld Univ, Social Cognit Syst Grp, Bielefeld, Germany</t>
  </si>
  <si>
    <t>University of Bielefeld</t>
  </si>
  <si>
    <t>Voss, H (corresponding author), Bielefeld Univ, Social Cognit Syst Grp, Bielefeld, Germany.</t>
  </si>
  <si>
    <t>hvoss@techfak.uni-bielefeld.de; skopp@techfak.uni-bielefeld.de</t>
  </si>
  <si>
    <t>10.1145/3577190.3614135</t>
  </si>
  <si>
    <t>WOS:001147764700010</t>
  </si>
  <si>
    <t>Tang, H; Zhang, ZY; Shi, H; Li, B; Shao, L; Sebe, N; Timofte, R; Van Gool, L</t>
  </si>
  <si>
    <t>Tang, Hao; Zhang, Zhenyu; Shi, Humphrey; Li, Bo; Shao, Ling; Sebe, Nicu; Timofte, Radu; Van Gool, Luc</t>
  </si>
  <si>
    <t>Graph Transformer GANs for Graph-Constrained House Generation</t>
  </si>
  <si>
    <t>We present a novel graph Transformer generative adversarial network (GTGAN) to learn effective graph node relations in an end-to-end fashion for the challenging graph-constrained house generation task. The proposed graph-Transformer-based generator includes a novel graph Transformer encoder that combines graph convolutions and self-attentions in a Transformer to model both local and global interactions across connected and non-connected graph nodes. Specifically, the proposed connected node attention (CNA) and non-connected node attention (NNA) aim to capture the global relations across connected nodes and non-connected nodes in the input graph, respectively. The proposed graph modeling block (GMB) aims to exploit local vertex interactions based on a house layout topology. Moreover, we propose a new node classification-based discriminator to preserve the high-level semantic and discriminative node features for different house components. Finally, we propose a novel graph-based cycle-consistency loss that aims at maintaining the relative spatial relationships between ground truth and predicted graphs. Experiments on two challenging graph-constrained house generation tasks (i.e., house layout and roof generation) with two public datasets demonstrate the effectiveness of GTGAN in terms of objective quantitative scores and subjective visual realism. New state-of-the-art results are established by large margins on both tasks.</t>
  </si>
  <si>
    <t>[Tang, Hao; Timofte, Radu; Van Gool, Luc] Swiss Fed Inst Technol, CVL, Zurich, Switzerland; [Zhang, Zhenyu; Li, Bo] Tencent Youtu Lab, Shanghai, Peoples R China; [Shi, Humphrey] Univ Oregon, Eugene, OR 97403 USA; [Shi, Humphrey] UIUC, Champaign, IL USA; [Shi, Humphrey] Picsart AI Res, Miami, FL USA; [Shao, Ling] UCAS, UCAS Terminus Lab, London, England; [Sebe, Nicu] Univ Trento, Trento, Italy; [Timofte, Radu] Univ Wurzburg, Wurzburg, Germany; [Van Gool, Luc] Katholieke Univ Leuven, Leuven, Belgium</t>
  </si>
  <si>
    <t>Swiss Federal Institutes of Technology Domain; ETH Zurich; Tencent; University of Oregon; University of Illinois System; University of Illinois Urbana-Champaign; University of Trento; University of Wurzburg; KU Leuven</t>
  </si>
  <si>
    <t>Tang, H (corresponding author), Swiss Fed Inst Technol, CVL, Zurich, Switzerland.</t>
  </si>
  <si>
    <t>Timofte, Radu/H-4438-2011; Shao, Ling/D-3535-2011; Sebe, Niculae/KEC-2000-2024</t>
  </si>
  <si>
    <t>Timofte, Radu/0000-0002-1478-0402; Sebe, Niculae/0000-0002-6597-7248; Shi, Humphrey/0000-0002-2922-5663</t>
  </si>
  <si>
    <t>ETH Zurich General Fund; Alexander von Humboldt Foundation; EU [951911]</t>
  </si>
  <si>
    <t>ETH Zurich General Fund; Alexander von Humboldt Foundation(Alexander von Humboldt Foundation); EU(European Union (EU))</t>
  </si>
  <si>
    <t>This work was partly supported by the ETH Zurich General Fund (OK), the Alexander von Humboldt Foundation, and the EU H2020 project AI4Media (No. 951911).</t>
  </si>
  <si>
    <t>10.1109/CVPR52729.2023.00216</t>
  </si>
  <si>
    <t>WOS:001058542602049</t>
  </si>
  <si>
    <t>Liu, JW</t>
  </si>
  <si>
    <t>Liu, Jingwei</t>
  </si>
  <si>
    <t>A New Theory of Data Processing: Applying Artificial Intelligence to Cognition and Humanity</t>
  </si>
  <si>
    <t>Active data processing; Helmholtz machine; Active inference; Cultural niche construction</t>
  </si>
  <si>
    <t>The traditional data processing uses machine as a passive feature detector or classifier for a given fixed dataset. However, we contend that this is not how humans understand and process data from the real world. Based on active inference, we propose a neural network model that actively processes the incoming data using predictive processing and actively samples the inputs from the environment that conforms to its internal representations. The model we adopt is the Helmholtz machine, a perfect parallel for the hierarchical model of the brain and the forward-backward connections of the cortex, thus available a biologically plausible implementation of the brain functions such as predictive processing, hierarchical message passing, and predictive coding under a machine-learning context. Besides, active sampling could also be incorporated into the model via the generative end as an interaction of the agent with the external world. The active sampling of the environment directly resorts to environmental salience and cultural niche construction. By studying a coupled multi-agent model of constructing a desire path as part of a cultural niche, we find a plausible way of explaining and simulating various problems under group flow, social interactions, shared cultural practices, and thinking through other minds.</t>
  </si>
  <si>
    <t>[Liu, Jingwei] Univ Calif San Diego, La Jolla, CA 92093 USA</t>
  </si>
  <si>
    <t>Liu, JW (corresponding author), Univ Calif San Diego, La Jolla, CA 92093 USA.</t>
  </si>
  <si>
    <t>jil121@ucsd.edu</t>
  </si>
  <si>
    <t>10.1145/3577190.3616123</t>
  </si>
  <si>
    <t>WOS:001147764700078</t>
  </si>
  <si>
    <t>Huang, JH; Aviles-Rivero, AI; Schönlieb, CB; Yang, G</t>
  </si>
  <si>
    <t>Huang, Jiahao; Aviles-Rivero, Angelica I.; Schonlieb, Carola-Bibiane; Yang, Guang</t>
  </si>
  <si>
    <t>CDiffMR: Can We Replace the Gaussian Noise with K-Space Undersampling for Fast MRI?</t>
  </si>
  <si>
    <t>Diffusion Models; Fast MRI; Deep Learning</t>
  </si>
  <si>
    <t>Deep learning has shown the capability to substantially accelerate MRI reconstruction while acquiring fewer measurements. Recently, diffusion models have gained burgeoning interests as a novel group of deep learning-based generative methods. These methods seek to sample data points that belong to a target distribution from a Gaussian distribution, which has been successfully extended to MRI reconstruction. In this work, we proposed a Cold Diffusion-based MRI reconstruction method called CDiffMR. Different from conventional diffusion models, the degradation operation of our CDiffMR is based on k-space undersampling instead of adding Gaussian noise, and the restoration network is trained to harness a de-aliaseing function. We also design starting point and data consistency conditioning strategies to guide and accelerate the reverse process. More intriguingly, the pre-trained CDiffMR model can be reused for reconstruction tasks with different undersampling rates. We demonstrated, through extensive numerical and visual experiments, that the proposed CDiffMR can achieve comparable or even superior reconstruction results than state-of-the-art models. Compared to the diffusion model-based counterpart, CDiffMR reaches readily competing results using only 1.6-3.4% for inference time. The code is publicly available at https://github.com/ayanglab/CDiffMR.</t>
  </si>
  <si>
    <t>[Huang, Jiahao] Imperial Coll London, Natl Heart &amp; Lung Inst, London, England; [Huang, Jiahao] Royal Brompton Hosp, Cardiovasc Res Ctr, London, England; [Aviles-Rivero, Angelica I.; Schonlieb, Carola-Bibiane] Univ Cambridge, Dept Appl Math &amp; Theoret Phys, Cambridge, England; [Yang, Guang] Imperial Coll London, Bioengn Dept &amp; Imperial X, London W12 7SL, England; [Yang, Guang] Imperial Coll London, Natl Heart &amp; Lung Inst, London SW7 2AZ, England; [Yang, Guang] Royal Brompton Hosp, Cardiovasc Res Ctr, London SW3 6NP, England; [Yang, Guang] Kings Coll London, Sch Biomed Engn &amp; Imaging Sci, London WC2R 2LS, England</t>
  </si>
  <si>
    <t>Imperial College London; Royal Brompton Hospital; University of Cambridge; Imperial College London; Imperial College London; Royal Brompton Hospital; University of London; King's College London</t>
  </si>
  <si>
    <t>Huang, JH (corresponding author), Imperial Coll London, Natl Heart &amp; Lung Inst, London, England.;Huang, JH (corresponding author), Royal Brompton Hosp, Cardiovasc Res Ctr, London, England.;Yang, G (corresponding author), Imperial Coll London, Bioengn Dept &amp; Imperial X, London W12 7SL, England.;Yang, G (corresponding author), Imperial Coll London, Natl Heart &amp; Lung Inst, London SW7 2AZ, England.;Yang, G (corresponding author), Royal Brompton Hosp, Cardiovasc Res Ctr, London SW3 6NP, England.;Yang, G (corresponding author), Kings Coll London, Sch Biomed Engn &amp; Imaging Sci, London WC2R 2LS, England.</t>
  </si>
  <si>
    <t>j.huang21@imperial.ac.uk; g.yang@imperial.ac.uk</t>
  </si>
  <si>
    <t>Yang, Guang/S-5032-2016</t>
  </si>
  <si>
    <t>Yang, Guang/0000-0001-7344-7733</t>
  </si>
  <si>
    <t>ERC IMI [101005122]; MRC [MC/PC/21013]; Royal Society [IEC\NSFC\211235]; NVIDIA Academic Hardware Grant Program; Boehringer Ingelheim Ltd; Wellcome Leap Dynamic Resilience; UKRI Future Leaders Fellowship [MR/V023799/1]; H2020 [952172]</t>
  </si>
  <si>
    <t>ERC IMI(European Research Council (ERC)); MRC(UK Research &amp; Innovation (UKRI)Medical Research Council UK (MRC)); Royal Society(Royal Society); NVIDIA Academic Hardware Grant Program(Nvidia Corporation); Boehringer Ingelheim Ltd(Boehringer Ingelheim); Wellcome Leap Dynamic Resilience; UKRI Future Leaders Fellowship(UK Research &amp; Innovation (UKRI)); H2020(Horizon 2020)</t>
  </si>
  <si>
    <t>This study was supported in part by the ERC IMI (101005122), the H2020 (952172), the MRC (MC/PC/21013), the Royal Society (IEC\NSFC\211235), the NVIDIA Academic Hardware Grant Program, the SABER project supported by Boehringer Ingelheim Ltd, Wellcome Leap Dynamic Resilience, and the UKRI Future Leaders Fellowship (MR/V023799/1).</t>
  </si>
  <si>
    <t>10.1007/978-3-031-43999-5_1</t>
  </si>
  <si>
    <t>WOS:001109641000001</t>
  </si>
  <si>
    <t>Park, JE; Choi, YJ; Jeong, J; Hong, SW</t>
  </si>
  <si>
    <t>Park, Jeong-Eun; Choi, Yun-Jeong; Jeong, Jaehoon; Hong, Sungwook</t>
  </si>
  <si>
    <t>Hypothetical Cirrus Band Generation for Advanced Himawari Imager Sensor Using Data-to-Data Translation With Advanced Meteorological Imager Observations</t>
  </si>
  <si>
    <t>IEEE JOURNAL OF SELECTED TOPICS IN APPLIED EARTH OBSERVATIONS AND REMOTE SENSING</t>
  </si>
  <si>
    <t>1.37 mu m; CGAN; cirrus; data-to-data translation; geo-kompsat-2A; Himawari; satellite remote sensing</t>
  </si>
  <si>
    <t>BULK SCATTERING PROPERTIES; BASE-LINE IMAGER; CLOUD DETECTION; ICE CLOUDS; CLEAR-SKY; CLASSIFICATION; METHODOLOGY; VARIABILITY; CHANNELS; MODELS</t>
  </si>
  <si>
    <t>Cirrus cloud contributes significantly to earth's radiation budget and the greenhouse effect. The Advanced Himawari Imager (AHI) onboard the Himawari-8 satellite lacks a 1.37 mu m band, sensitive to monitoring cirrus clouds. This article proposed a conditional generative adversarial network-based data-to-data translation (D2D) model to generate a hypothetical AHI 1.37 mu m band. For training and testing the D2D model, the Geo-Kompsat-2A Advanced Meteorological Imager (AMI) 1.37 mu m bands and other highly correlated bands to cirrus from July 24, 2019 to July 31, 2020, were used. The D2D model exhibited a high level of agreement (mean of statistics: correlation coefficient (CC) = 0.9827, bias = 0.0004, and root-mean-square error (RMSE) = 0.0086 in albedo units) between the observed and D2D-generated AMI 1.37 mu m bands from validation datasets. The application of the D2D model to the AHI sensor showed that the D2D-generated AHI 1.37 mu m band was qualitatively analogous to the observed AMI 1.37 mu m band (average of statistics: bias = 0.0026, RMSE = 0.0191 in albedo units, and CC = 0.9158) on the 1st, 15th, and 28th of each month of 2020 in the common observing regions between Korea and Japan. The validation results with the CALIPSO data also showed that the D2D-generated AHI 1.37 mu m band performed similarly to the observed AMI 1.37 mu m band. Consequently, this article can significantly contribute to cirrus detection and its application to climatology.</t>
  </si>
  <si>
    <t>[Park, Jeong-Eun] Sejong Univ, Dept Environm &amp; Energy, Seoul, South Korea; [Choi, Yun-Jeong] Sejong Univ, Dept Environm &amp; Energy, Seoul, South Korea; [Jeong, Jaehoon] Natl Inst Environm Res, Incheon, South Korea; [Hong, Sungwook] Sejong Univ, Dept Environm Energy &amp; Geoinformat, Seoul, South Korea</t>
  </si>
  <si>
    <t>Sejong University; Sejong University; National Institute of Environmental Research (NIER), Republic of Korea; Sejong University</t>
  </si>
  <si>
    <t>Hong, SW (corresponding author), Sejong Univ, Dept Environm Energy &amp; Geoinformat, Seoul, South Korea.</t>
  </si>
  <si>
    <t>wjd196@sju.ac.kr; choiyunj0316@sju.ac.kr; jaehoon80@korea.kr; sesttiya@gmail.com</t>
  </si>
  <si>
    <t>Park, Jeong-eun/0000-0002-2992-2100; hong, sungwook/0000-0001-5518-9478</t>
  </si>
  <si>
    <t>National Institute of Environment Research (NIER), Ministry of Environment (MOE), Republic of Korea [NIER-2021-01-01-052, NIER-2022-01-02-096]; Korea Meteorological Administration Research and Development Program [KMI2020-00510, KMA2021-00122, KMA2021-00121]</t>
  </si>
  <si>
    <t>National Institute of Environment Research (NIER), Ministry of Environment (MOE), Republic of Korea; Korea Meteorological Administration Research and Development Program(Korea Meteorological Administration (KMA))</t>
  </si>
  <si>
    <t>This work was supported in part by the National Institute of Environment Research (NIER), Ministry of Environment (MOE), Republic of Korea, under Grant NIER-2021-01-01-052 and Grant NIER-2022-01-02-096, and in part by the Korea Meteorological Administration Research and Development Program under Grant KMI2020-00510, Developing Service Platform Technology for AI and Data Convergence under Grant KMA2021-00122, and Development of AI techniques for Weather Forecasting under Grant KMA2021-00121.</t>
  </si>
  <si>
    <t>1939-1404</t>
  </si>
  <si>
    <t>2151-1535</t>
  </si>
  <si>
    <t>IEEE J-STARS</t>
  </si>
  <si>
    <t>IEEE J. Sel. Top. Appl. Earth Observ. Remote Sens.</t>
  </si>
  <si>
    <t>10.1109/JSTARS.2022.3224911</t>
  </si>
  <si>
    <t>Engineering, Electrical &amp; Electronic; Geography, Physical; Remote Sensing; Imaging Science &amp; Photographic Technology</t>
  </si>
  <si>
    <t>Engineering; Physical Geography; Remote Sensing; Imaging Science &amp; Photographic Technology</t>
  </si>
  <si>
    <t>7C7SJ</t>
  </si>
  <si>
    <t>WOS:000900007800004</t>
  </si>
  <si>
    <t>Dobersek, U; Bender, M; Etienne, A; Gil, GEF; Hostetter, C</t>
  </si>
  <si>
    <t>Dobersek, Urska; Bender, Mary; Etienne, Alexandria; Gil, Gabriela E. Fernandez; Hostetter, Claire</t>
  </si>
  <si>
    <t>Meat consumption &amp; positive mental health: A scoping review</t>
  </si>
  <si>
    <t>PREVENTIVE MEDICINE REPORTS</t>
  </si>
  <si>
    <t>Meat; Beef; Omnivory; Vegetarianism; Veganism; Positive psychology; Positive psychological functioning</t>
  </si>
  <si>
    <t>REPORTED ENERGY-INTAKE; SEX-DIFFERENCES; COGNITIVE FUNCTION; GENDER-DIFFERENCES; VEGETARIAN; NUTRITION; OPTIMISM; DIET; ANXIETY; LIFE</t>
  </si>
  <si>
    <t>The objective of this scoping review was to examine the breadth of the existing literature on the relation between meat consumption or meat abstention and positive psychological functioning. In April 2022, we conducted a systematic search of online databases (PubMed, PsycINFO, CINAHL Plus, Medline, Cochrane Library, and Web of Science) for primary research examining positive psychological functioning in meat consumers and those who abstain from meat. Thirteen studies met the inclusion/exclusion criteria, representing 89,138 participants (54,413 females and 33,863 males) with 78,562 meat consumers and 10,148 meat abstainers (13-102 years) from multiple geographic regions. The primary outcomes were life satisfaction, positive mental health, self-esteem, and vigor. The secondary outcomes were meaning in life, optimism, positive emotions, and psycho-logical well-being. Eight of the 13 studies demonstrated no differences between the groups on positive psy-chological functioning, three studies showed mixed results, and two studies showed that compared to meat abstainers, meat consumers had greater self-esteem, positive mental health, and meaning in life. Studies varied substantially in methods and outcomes. Although a small minority of studies showed that meat consumers had more positive psychological functioning, no studies suggested that meat abstainers did. There was mixed evidence for temporal relations, but study designs precluded causal inferences. Our review demonstrates the need for future research given the equivocal nature of the extant literature on the relation between meat con-sumption and meat abstention and positive psychological functioning.</t>
  </si>
  <si>
    <t>[Dobersek, Urska; Bender, Mary; Etienne, Alexandria; Gil, Gabriela E. Fernandez; Hostetter, Claire] Univ Southern Indiana, Dept Psychol, Evansville, IN 47712 USA</t>
  </si>
  <si>
    <t>Dobersek, U (corresponding author), Univ Southern Indiana, Dept Psychol, Evansville, IN 47712 USA.</t>
  </si>
  <si>
    <t>udobersek@usi.edu</t>
  </si>
  <si>
    <t>Beef Checkoff, through the National Cattlemen's Beef Association; AI-assisted technologies in the writing process</t>
  </si>
  <si>
    <t>This study was in part funded via an unrestricted research grant from the Beef Checkoff, through the National Cattlemen's Beef Association. The sponsor of the study had no role in the study design, data collection, data analysis, data interpretation, or writing of the report. Institutional Review Board: Not applicable. Generative AI and AI-assisted technologies in the writing process: Not applicable.</t>
  </si>
  <si>
    <t>2211-3355</t>
  </si>
  <si>
    <t>PREV MED REP</t>
  </si>
  <si>
    <t>Prev. Med. Rep.</t>
  </si>
  <si>
    <t>10.1016/j.pmedr.2023.102556</t>
  </si>
  <si>
    <t>FF9I0</t>
  </si>
  <si>
    <t>WOS:001144460700001</t>
  </si>
  <si>
    <t>Andronov, M; Voinarovska, V; Andronova, N; Wand, M; Clevert, DA; Schmidhuber, J</t>
  </si>
  <si>
    <t>Andronov, Mikhail; Voinarovska, Varvara; Andronova, Natalia; Wand, Michael; Clevert, Djork-Arne; Schmidhuber, Jurgen</t>
  </si>
  <si>
    <t>Reagent prediction with a molecular transformer improves reaction data quality</t>
  </si>
  <si>
    <t>ORGANIC-CHEMISTRY; CLASSIFICATION; COMPUTER; MODEL; METHODOLOGY; SYSTEM</t>
  </si>
  <si>
    <t>Automated synthesis planning is key for efficient generative chemistry. Since reactions of given reactants may yield different products depending on conditions such as the chemical context imposed by specific reagents, computer-aided synthesis planning should benefit from recommendations of reaction conditions. Traditional synthesis planning software, however, typically proposes reactions without specifying such conditions, relying on human organic chemists who know the conditions to carry out suggested reactions. In particular, reagent prediction for arbitrary reactions, a crucial aspect of condition recommendation, has been largely overlooked in cheminformatics until recently. Here we employ the Molecular Transformer, a state-of-the-art model for reaction prediction and single-step retrosynthesis, to tackle this problem. We train the model on the US patents dataset (USPTO) and test it on Reaxys to demonstrate its out-of-distribution generalization capabilities. Our reagent prediction model also improves the quality of product prediction: the Molecular Transformer is able to substitute the reagents in the noisy USPTO data with reagents that enable product prediction models to outperform those trained on plain USPTO. This makes it possible to improve upon the state-of-the-art in reaction product prediction on the USPTO MIT benchmark.</t>
  </si>
  <si>
    <t>[Andronov, Mikhail; Wand, Michael] IDSIA USI SUPSI, CH-6900 Lugano, Switzerland; [Voinarovska, Varvara] Helmholtz Munich Deutsch Forschungszentrum Julich, Inst Struct Biol, Mol Targets &amp; Therapeut Ctr, D-85764 Neuherberg, Germany; [Andronova, Natalia] Via Berna 9, CH-6900 Lugano, Switzerland; [Wand, Michael] Inst Digital Technol Personalized Healthcare, SUPSI, CH-6900 Lugano, Switzerland; [Andronov, Mikhail; Clevert, Djork-Arne] Pfizer Worldwide Res Dev &amp; Med, Machine Learning Res, Link str10, Berlin, Germany; [Schmidhuber, Jurgen] KAUST, AI Initiat, Thuwal 23955, Saudi Arabia</t>
  </si>
  <si>
    <t>Universita della Svizzera Italiana; Pfizer; King Abdullah University of Science &amp; Technology</t>
  </si>
  <si>
    <t>Andronov, M (corresponding author), IDSIA USI SUPSI, CH-6900 Lugano, Switzerland.;Andronov, M (corresponding author), Pfizer Worldwide Res Dev &amp; Med, Machine Learning Res, Link str10, Berlin, Germany.</t>
  </si>
  <si>
    <t>mikhail.andronov@idsia.ch</t>
  </si>
  <si>
    <t>Voinarovska, Varvara/0000-0003-4805-0587; Clevert, Djork-Arne/0000-0003-4191-2156; Andronov, Mikhail/0000-0002-7980-4495</t>
  </si>
  <si>
    <t>European Union [956832]; Marie Curie Actions (MSCA) [956832] Funding Source: Marie Curie Actions (MSCA)</t>
  </si>
  <si>
    <t>European Union(European Union (EU)); Marie Curie Actions (MSCA)(Marie Curie Actions)</t>
  </si>
  <si>
    <t>This study was funded by the European Union's Horizon 2020 research and innovation programme under the Marie Sklodowska-Curie Actions, grant agreement Advanced machine learning for Innovative Drug Discovery (AIDD) No. 956832.</t>
  </si>
  <si>
    <t>MAR 22</t>
  </si>
  <si>
    <t>10.1039/d2sc06798f</t>
  </si>
  <si>
    <t>9Z3ZP</t>
  </si>
  <si>
    <t>WOS:000940741300001</t>
  </si>
  <si>
    <t>Yu, Y; Sugiyama, K; Jatowt, A</t>
  </si>
  <si>
    <t>Yu, Yi; Sugiyama, Kazunari; Jatowt, Adam</t>
  </si>
  <si>
    <t>AdaReX: Cross-Domain, Adaptive and Explainable Recommender System</t>
  </si>
  <si>
    <t>Explainable Recommender System; Natural Language Generation</t>
  </si>
  <si>
    <t>Explainability is an inherent issue of recommender systems and has received a lot of attention recently. Generative explainable recommendation, which provides personalized explanations by generating textual rationales, is emerging as an effective solution. Despite promising, current methods face limitations in their reliance on dense training data, which hinders the generalizability of explainable recommender systems. Our work tackles a novel problem of cross-domain explainable recommendation aiming to extend the generalizability of explainable recommender systems. To solve this, we propose a novel approach that models aspects extracted from past reviews, to empower the explainable recommender systems by leveraging knowledge from other domains. Specifically, we propose AdaReX (Adaptive eXplainable Recommendation), to model auxiliary and target domains simultaneously. By performing specific tasks in respective domains and their interconnection via a discriminator model, AdaReX allows the aspect sequences to learn common knowledge across different domains and tasks. Furthermore, through our proposed optimization objective, the learning of aspect sequence is deeply cross-interacted with in-domain users and items' latent factors, enabling the enhanced sharing of knowledge between domains. Our extensive experiments on real datasets demonstrate that our approach not only generates better explanations and recommendations for sparse users but also improves performance for general users.</t>
  </si>
  <si>
    <t>[Yu, Yi] Kyoto Univ, Kyoto, Japan; [Sugiyama, Kazunari] Osaka Seikei Univ, Osaka, Japan; [Jatowt, Adam] Univ Innsbruck, Innsbruck, Austria</t>
  </si>
  <si>
    <t>Kyoto University; University of Innsbruck</t>
  </si>
  <si>
    <t>Yu, Y (corresponding author), Kyoto Univ, Kyoto, Japan.</t>
  </si>
  <si>
    <t>yuyi@db.soc.i.kyoto-u.ac.jp; sugiyama-k@g.osaka-seikei.ac.jp; adam.jatowt@uibk.ac.at</t>
  </si>
  <si>
    <t>Yu, Yi/0009-0003-7154-0207; Sugiyama, Kazunari/0000-0003-3962-821X</t>
  </si>
  <si>
    <t>JST, the establishment of university fellowships towards the creation of science technology innovation [JPMJFS2123]</t>
  </si>
  <si>
    <t>JST, the establishment of university fellowships towards the creation of science technology innovation</t>
  </si>
  <si>
    <t>This work was supported by JST, the establishment of university fellowships towards the creation of science technology innovation, Grant Number JPMJFS2123.</t>
  </si>
  <si>
    <t>10.1145/3624918.3625331</t>
  </si>
  <si>
    <t>WOS:001122582700030</t>
  </si>
  <si>
    <t>Petrovich, M; Liang, C; Sato, R; Liu, YB; Tsai, YHH; Zhu, LC; Yang, Y; Salakhutdinov, R; Yamada, M</t>
  </si>
  <si>
    <t>Petrovich, Mathis; Liang, Chao; Sato, Ryoma; Liu, Yanbin; Tsai, Yao-Hung Hubert; Zhu, Linchao; Yang, Yi; Salakhutdinov, Ruslan; Yamada, Makoto</t>
  </si>
  <si>
    <t>Feature-Robust Optimal Transport for High-Dimensional Data</t>
  </si>
  <si>
    <t>Optimal transport; Feature selection</t>
  </si>
  <si>
    <t>Optimal transport is a machine learning problem with applications including distribution comparison, feature selection, and generative adversarial networks. In this paper, we propose feature-robust optimal transport (FROT) for high-dimensional data, which solves highdimensional OT problems using feature selection to avoid the curse of dimensionality. Specifically, we find a transport plan with discriminative features. To this end, we formulate the FROT problem as a minmax optimization problem. We then propose a convex formulation of the FROT problem and solve it using a Frank-Wolfe-based optimization algorithm, whereby the subproblem can be efficiently solved using the Sinkhorn algorithm. Since FROT finds the transport plan from selected features, it is robust to noise features. To show the effectiveness of FROT, we propose using the FROT algorithm for the layer selection problem in deep neural networks for semantic correspondence. By conducting synthetic and benchmark experiments, we demonstrate that the proposed method can find a strong correspondence by determining important layers. We show that the FROT algorithm achieves state-of-the-art performance in real-world semantic correspondence datasets. Code can be found at https://github.com/Mathux/FROT.</t>
  </si>
  <si>
    <t>[Petrovich, Mathis] Ecole Normale Super Paris Saclay, Cachan, France; [Liang, Chao; Yang, Yi] Zhejiang Univ, Hangzhou, Peoples R China; [Sato, Ryoma; Yamada, Makoto] Kyoto Univ, RIKEN AIP, Kyoto, Japan; [Liu, Yanbin; Zhu, Linchao] Univ Technol Sydney, Ultimo, Australia; [Tsai, Yao-Hung Hubert; Salakhutdinov, Ruslan] Carnegie Mellon Univ, Pittsburgh, PA USA</t>
  </si>
  <si>
    <t>Universite Paris Saclay; Zhejiang University; Kyoto University; RIKEN; University of Technology Sydney; Carnegie Mellon University</t>
  </si>
  <si>
    <t>Yamada, M (corresponding author), Kyoto Univ, RIKEN AIP, Kyoto, Japan.</t>
  </si>
  <si>
    <t>yamada.makoto.8m@kyoto-u.ac.jp</t>
  </si>
  <si>
    <t>Liu, Yanbin/AAE-4475-2020; Yang, Yi/B-9273-2017; zhang, yimeng/JLL-7337-2023</t>
  </si>
  <si>
    <t>Liu, Yanbin/0000-0003-4724-8065; Yang, Yi/0000-0002-0512-880X;</t>
  </si>
  <si>
    <t>MEXT KAKENHI [20H04243]; JSPS KAKENHI [21J22490]</t>
  </si>
  <si>
    <t>MEXT KAKENHI(Ministry of Education, Culture, Sports, Science and Technology, Japan (MEXT)Japan Society for the Promotion of ScienceGrants-in-Aid for Scientific Research (KAKENHI)); JSPS KAKENHI(Ministry of Education, Culture, Sports, Science and Technology, Japan (MEXT)Japan Society for the Promotion of ScienceGrants-in-Aid for Scientific Research (KAKENHI))</t>
  </si>
  <si>
    <t>M.Y. was supported by MEXT KAKENHI Grant Number 20H04243. R.S. was supported by JSPS KAKENHI GrantNumber 21J22490.</t>
  </si>
  <si>
    <t>10.1007/978-3-031-26419-1_18</t>
  </si>
  <si>
    <t>WOS:000999148200018</t>
  </si>
  <si>
    <t>Cohen, S; Ratzker, B; Kalabukhov, S; Frage, N</t>
  </si>
  <si>
    <t>Cohen, Shahar; Ratzker, Barak; Kalabukhov, Sergey; Frage, Nachum</t>
  </si>
  <si>
    <t>Diffusion bonding of transparent ceramics by spark plasma sintering (SPS) complemented by hot isostatic pressing (HIP)</t>
  </si>
  <si>
    <t>JOURNAL OF THE EUROPEAN CERAMIC SOCIETY</t>
  </si>
  <si>
    <t>Joining; Oxides</t>
  </si>
  <si>
    <t>SPINEL; COMPOSITE</t>
  </si>
  <si>
    <t>Diffusion bonding is a viable technique for fabricating larger parts or composite transparent ceramics. Spark plasma sintering (SPS) and hot isostatic pressing (HIP) allow for simultaneous application of high temperature and pressure, making them suitable for bonding various materials, including transparent ceramics. In this study, we demonstrated the combined use of SPS followed by HIP for successful diffusion bonding of transparent MgAl2O4 (spinel) and Y3Al5O12 (YAG) ceramics. The YAG samples had superior surface quality and were adequately bonded using SPS alone, while rougher spinel samples showed inadequate bonding initially due to insufficient surface contact. However, subsequent HIP treatment effectively closed the voids at the interface and promoted grain growth across the joint, resulting in a strong seamless bond. The combination of SPS and HIP, as a two-step process, holds promise for diffusion bonding of ceramics and offers a potential solution for compensating surface quality issues in the bonded parts.</t>
  </si>
  <si>
    <t>[Cohen, Shahar; Ratzker, Barak; Kalabukhov, Sergey; Frage, Nachum] Ben Gurion Univ Negev, Dept Mat Engn, POB 653, IL-8410501 Beer Sheva, Israel</t>
  </si>
  <si>
    <t>Ben Gurion University</t>
  </si>
  <si>
    <t>Frage, N (corresponding author), Ben Gurion Univ Negev, Dept Mat Engn, POB 653, IL-8410501 Beer Sheva, Israel.</t>
  </si>
  <si>
    <t>nfrage@bgu.ac.il</t>
  </si>
  <si>
    <t>Ratzker, Barak/KDN-7037-2024</t>
  </si>
  <si>
    <t>Ratzker, Barak/0000-0003-0242-1282</t>
  </si>
  <si>
    <t>Israel Ministry of Defense [633-4441200972]; AI-assisted technologies in the writing process</t>
  </si>
  <si>
    <t>Israel Ministry of Defense; AI-assisted technologies in the writing process</t>
  </si>
  <si>
    <t>The authors thank Avital Wagner for preparation of the doped YAG powders. The work was supported by the Israel Ministry of Defense grant no. 633-4441200972. Declaration of Generative AI and AI-assisted technologies in the writing process. During the preparation of this work the authors used OpenAIChatGPT-3.5 in order to improve text readability. After using this tool, the authors reviewed and edited the content as needed and take full responsibility for the content of the publication.</t>
  </si>
  <si>
    <t>0955-2219</t>
  </si>
  <si>
    <t>1873-619X</t>
  </si>
  <si>
    <t>J EUR CERAM SOC</t>
  </si>
  <si>
    <t>J. Eur. Ceram. Soc.</t>
  </si>
  <si>
    <t>10.1016/j.jeurceramsoc.2023.06.071</t>
  </si>
  <si>
    <t>Materials Science, Ceramics</t>
  </si>
  <si>
    <t>O5UO8</t>
  </si>
  <si>
    <t>WOS:001044460400001</t>
  </si>
  <si>
    <t>Kim, Y; Ryu, HS; Hong, S</t>
  </si>
  <si>
    <t>Kim, Yerin; Ryu, Han-Sol; Hong, Sungwook</t>
  </si>
  <si>
    <t>Data-to-data translation-based nowcasting of specific sea fog using geostationary weather satellite observation</t>
  </si>
  <si>
    <t>ATMOSPHERIC RESEARCH</t>
  </si>
  <si>
    <t>Sea fog; Mid-wave infrared; Deep learning; Nowcasting; Satellite remote sensing</t>
  </si>
  <si>
    <t>GENERATION; ALGORITHM</t>
  </si>
  <si>
    <t>Dense sea fog events are responsible for many traffic accidents and fatalities. Research has demonstrated the difficulty in distinguishing sea fog from clouds. This study presents a sea fog nowcasting method that uses brightness temperature (BT) at a mid-wave infrared (MWIR) 3.7 mu m bands and the BT difference between MWIR and long-wave infrared 10.8 mu m bands of communication, ocean, and meteorological satellite data through a data-to-data (D2D) translation based on a conditional generative adversarial networks technique. Sixty fog events that occurred in the Yellow Sea from 2017 to 2020 were used to develop the model. The D2D prediction model for predicting sea fog from 15-min to 2-h ahead with 15 min intervals was trained by stacking individual prediction time datasets in an array of 512 x 512 x 4 pixels for training and 512 x 512 x 8 pixels for testing. Otsu's thresholding method was used to determine sea fog pixels. The sea fog prediction model showed excellent statistical scores, such as the probability of detection = 0.923, false alarm ratio = 0.032, critical success index = 0.895, Heidke skill score = 0.909, and post agreement = 0.968 for 1 h-ahead of a sea fog forecast. Consequently, our study can make a scientific and operational contribution to fog forecasting as useful fog-related data, in addition to other numerical prediction data and ground observation data.</t>
  </si>
  <si>
    <t>[Kim, Yerin; Ryu, Han-Sol; Hong, Sungwook] Sejong Univ, Dept Environm Energy &amp; Geoinformat, 209 Neungdong Ro, Seoul 05006, South Korea; [Hong, Sungwook] DeepThoTh Co Ltd, 209 Neungdong Ro, Seoul 05006, South Korea</t>
  </si>
  <si>
    <t>Hong, S (corresponding author), Sejong Univ, Dept Environm Energy &amp; Geoinformat, 209 Neungdong Ro, Seoul 05006, South Korea.</t>
  </si>
  <si>
    <t>yerin@sju.ac.kr; hansol@sju.ac.kr; sesttiya@sejong.ac.kr</t>
  </si>
  <si>
    <t>Korea Meteorological Administration (KMA) Research and Development Programs [KMA2021-00122, KMA2021-00121]; National Institute of Environment Research (NIER) - Ministry of Environment (MOE) of the Republic of Korea [NIER-2022-01-02-096]; Korea Institute of Marine Science &amp; Technology Promotion (KIMST) - Ministry of Oceans and Fisheries [KIMST-20210427, KIMST-20180456]</t>
  </si>
  <si>
    <t>Korea Meteorological Administration (KMA) Research and Development Programs; National Institute of Environment Research (NIER) - Ministry of Environment (MOE) of the Republic of Korea(Ministry of Environment (ME), Republic of Korea); Korea Institute of Marine Science &amp; Technology Promotion (KIMST) - Ministry of Oceans and Fisheries(Korea Institute of Marine Science &amp; Technology Promotion (KIMST))</t>
  </si>
  <si>
    <t>This study was financially supported by multiple grants, including the Korea Meteorological Administration (KMA) Research and Development Programs under Grants KMA2021-00122 and KMA2021-00121 for Developing Service Platform Technology for AI and Data Convergence and Development of AI techniques for Weather Fore-casting, respectively. The National Institute of Environment Research (NIER) , funded by the Ministry of Environment (MOE) of the Republic of Korea, also provided support under Grant NIER-2022-01-02-096. Furthermore, the Korea Institute of Marine Science &amp; Technology Promotion (KIMST) supported this study under Grants KIMST-20210427 for Development of Advanced Science and Technology for Marine Environmental Impact Assessment and KIMST-20180456 for Technology development for Practical Applications of Multi-Satellite data to mari-time issues, funded by the Ministry of Oceans and Fisheries.</t>
  </si>
  <si>
    <t>0169-8095</t>
  </si>
  <si>
    <t>1873-2895</t>
  </si>
  <si>
    <t>ATMOS RES</t>
  </si>
  <si>
    <t>Atmos. Res.</t>
  </si>
  <si>
    <t>10.1016/j.atmosres.2023.106792</t>
  </si>
  <si>
    <t>J1OW6</t>
  </si>
  <si>
    <t>WOS:001007380100001</t>
  </si>
  <si>
    <t>Han, KH; Hong, SW</t>
  </si>
  <si>
    <t>Han, Kyung-Hoon; Hong, Sungwook</t>
  </si>
  <si>
    <t>Ocean Salinity Retrieval and Prediction for Soil Moisture Active Passive Satellite Using Data-to-Data Translation</t>
  </si>
  <si>
    <t>Climate change; Ocean temperature; Salinity (geophysical); Sea surface; Satellite broadcasting; Brightness temperature; Meteorology; Artificial intelligence; data-to-data translation (D2D); Pix2Pix; salinity; satellite remote sensing; soil moisture active passive (SMAP)</t>
  </si>
  <si>
    <t>SEA-SURFACE SALINITY; SMOS; GENERATION; SUPPORT; MISSION; MODEL; WIND; HEAT</t>
  </si>
  <si>
    <t>Sea surface salinity (SSS) is a key parameter in physical oceanography, global hydrological, biochemical cycles, and climate change studies. L-band radiometers onboard satellites, such as soil moisture active passive (SMAP), soil moisture, and ocean salinity (SMOS), have played a crucial role in monitoring and analyzing the global SSS in the past decades. This study presents a method to retrieve and predict the SMAP SSS through data-to-data translation (D2D) based on conditional generative adversarial networks (CGANs). The model was constructed from the polarized brightness temperatures (TBs), differences in the polarized TBs from the L-band of the SMAP satellite, and sea surface temperature (SST) and sea surface wind speed (SSW) from the European Center for Medium-Range Weather Forecasts data from April 2015 to July 2020, and applied to produce SMAP SSS. A comparison between the SMAP salinity and the D2D-generated SMAP salinity showed excellent agreement, evaluated through bias = 0.016, root mean square error (RMSE) = 0.173 in practical salinity unit (psu), and correlation coefficient (CC) = 0.985. Furthermore, a comparison between the D2D-generated and buoy-observed salinities showed good agreement (bias = -0.031 psu and RMSE = 0.196 psu, CC = 0.971). In addition, the results of the one-month prediction model were also in good agreement with the SMAP SSS (bias = 0.028 psu and RMSE = 0.218 psu, CC = 0.977). Consequently, the D2D-based model can be effectively used to generate SMAP SSS information and can be applied to various microwave satellites.</t>
  </si>
  <si>
    <t>[Han, Kyung-Hoon; Hong, Sungwook] Sejong Univ, Dept Environm &amp; Energy, Seoul, South Korea; [Hong, Sungwook] DeepThoTh Co Ltd, Seoul 05006, South Korea</t>
  </si>
  <si>
    <t>Hong, S (corresponding author), Sejong Univ, Dept Environm &amp; Energy, Seoul, South Korea.</t>
  </si>
  <si>
    <t>khoon0798@sju.ac.kr; sesttiya@sejong.ac.kr</t>
  </si>
  <si>
    <t>hong, sungwook/0000-0001-5518-9478</t>
  </si>
  <si>
    <t>Korea Meteorological Administration Research and Development Program [KMA2021-00120, KMA2021-00122]; National Institute of Environment Research - Ministry of Environment of the Republic of Korea [NIER-2022-01-02-096]; Development of Advanced Science and Technology for Marine Environmental Impact Assessment Program of the Korea Institute of Marine Science and Technology Promotion (KIMST) - Ministry of Oceans and Fisheries [KIMST-20210427]</t>
  </si>
  <si>
    <t>Korea Meteorological Administration Research and Development Program(Korea Meteorological Administration (KMA)); National Institute of Environment Research - Ministry of Environment of the Republic of Korea(Ministry of Environment (ME), Republic of Korea); Development of Advanced Science and Technology for Marine Environmental Impact Assessment Program of the Korea Institute of Marine Science and Technology Promotion (KIMST) - Ministry of Oceans and Fisheries</t>
  </si>
  <si>
    <t>This work was supported in part by the Korea Meteorological Administration Research and Development Program under Grant KMA2021-00120 (Development of AI techniques for weather forecasting) and Grant KMA2021-00122 (Developing service platform technology for AI and data convergence), in part by the National Institute of Environment Research funded by the Ministry of Environment of the Republic of Korea under Grant NIER-2022-01-02-096, and in part by the Development of Advanced Science and Technology for Marine Environmental Impact Assessment Program of the Korea Institute of Marine Science and Technology Promotion (KIMST) funded by the Ministry of Oceans and Fisheries under Grant KIMST-20210427.</t>
  </si>
  <si>
    <t>10.1109/TGRS.2023.3272677</t>
  </si>
  <si>
    <t>H3EO7</t>
  </si>
  <si>
    <t>WOS:000994834000018</t>
  </si>
  <si>
    <t>Khan, AH; Umer, RM; Dunnhofer, M; Micheloni, C; Martinel, N</t>
  </si>
  <si>
    <t>Khan, Asif Hussain; Umer, Rao Muhammad; Dunnhofer, Matteo; Micheloni, Christian; Martinel, Niki</t>
  </si>
  <si>
    <t>LBKENet:Lightweight Blur Kernel Estimation Network for Blind Image Super-Resolution</t>
  </si>
  <si>
    <t>blind image super-resolution (Blind-SR); isotropic blur kernel; anisotropic blur kernels</t>
  </si>
  <si>
    <t>Blind image super-resolution (Blind-SR) is the process of leveraging a low-resolution (LR) image, with unknown degradation, to generate its high-resolution (HR) version. Most of the existing blind SR techniques use a degradation estimator network to explicitly estimate the blur kernel to guide the SR network with the supervision of ground truth (GT) kernels. To solve this issue, it is necessary to design an implicit estimator network that can extract discriminative blur kernel representation without relying on the supervision of ground-truth blur kernels. We design a lightweight (LBKENet) approach for blind super-resolution (Blind-SR) that estimates the blur kernel and restores the HR image based on a deep convolutional neural network (CNN) and a deep super-resolution residual convolutional generative adversarial network. Since the blur kernel for blind image SR is unknown, following the image formation model of the blind super-resolution problem, we first introduce a neural network-based model to estimate the blur kernel. This is achieved by (i) a Super Resolver that, from a low-resolution input, generates the corresponding SR image; and (ii) an Estimator Network generating the blur kernel from the input datum. The output of both models is used in a novel loss formulation. The proposed network is end-to-end trainable. The methodology proposed is substantiated by both quantitative and qualitative experiments. Results on benchmarks demonstrate that our computationally efficient approach (12x fewer parameters than the state-of-the-art models) performs favorably with respect to approaches that have less number of parameters and can be used on devices with limited computational capabilities.</t>
  </si>
  <si>
    <t>[Khan, Asif Hussain; Dunnhofer, Matteo; Micheloni, Christian; Martinel, Niki] Univ Udine, Dept Math Comp Sci &amp; Phys, I-33100 Udine, Italy; [Umer, Rao Muhammad] Helmholtz Zentrum Munchen, German Res Ctr Environm Hlth, Inst AI Hlth, D-85764 Neuherberg, Germany</t>
  </si>
  <si>
    <t>University of Udine; Helmholtz Association; Helmholtz-Center Munich - German Research Center for Environmental Health</t>
  </si>
  <si>
    <t>Khan, AH (corresponding author), Univ Udine, Dept Math Comp Sci &amp; Phys, I-33100 Udine, Italy.</t>
  </si>
  <si>
    <t>khan.asifhussain@spes.uniud.it; matteo.dunnhofer@uniud.it; christian.micheloni@uniud.it; niki.martinel@uniud.it</t>
  </si>
  <si>
    <t>Khan, Asif Hussain/0000-0002-4337-2889</t>
  </si>
  <si>
    <t>10.1007/978-3-031-43153-1_18</t>
  </si>
  <si>
    <t>WOS:001156197500018</t>
  </si>
  <si>
    <t>Kato, Y; Mikawa, M; Fujisawa, M</t>
  </si>
  <si>
    <t>Kato, Yuichi; Mikawa, Masahiko; Fujisawa, Makoto</t>
  </si>
  <si>
    <t>Faster Few-Shot Face Image Generation with Features of Specific Group Using Pivotal Tuning Inversion and PCA</t>
  </si>
  <si>
    <t>few-shot image generation; GAN inversion; pretrained model; pivotal tuning; principal component analysis</t>
  </si>
  <si>
    <t>Training Generative Adversarial Networks (GANs) requires large amounts of data, and creating sufficiently large datasets to generate images of faces with attributes of a specific group is difficult. In this study, we propose a few-shot method to rapidly generate high-quality images of faces with features associated with a specific group. Our proposed approach comprises two techniques, Pivotal Tuning Inversion (PTI) and Principal Component Analysis (PCA). PTI consists of two processes: Inversion and Pivotal Tuning. The images of the dataset are projected into the latent space as latent vectors by Inversion, and the pretrained weights of the generator are tuned to adapt to the dataset by Pivotal Tuning. The distribution with the features of the group is obtained from the latent vectors using PCA. Since training on the dataset requires only a short computational time by using these techniques, our method is faster than the previous few-shot methods in the image generation process. With three datasets each containing approximately 100 face images of members of specific groups, the experimental results showed that the proposed method achieved the generation of higher-quality images with the features of the group in a shorter computational time than all previous few-shot methods.</t>
  </si>
  <si>
    <t>[Kato, Yuichi] Univ Tsukuba, Grad Sch Comprehens Human Sci, Ibaraki, Japan; [Mikawa, Masahiko; Fujisawa, Makoto] Univ Tsukuba, Fac Lib Informat &amp; Media Sci, Ibaraki, Japan</t>
  </si>
  <si>
    <t>University of Tsukuba; University of Tsukuba</t>
  </si>
  <si>
    <t>Kato, Y (corresponding author), Univ Tsukuba, Grad Sch Comprehens Human Sci, Ibaraki, Japan.</t>
  </si>
  <si>
    <t>kato.yuichi.sg@alumni.tsukuba.ac.jp; mikawa@slis.tsukuba.ac.jp; fujis@slis.tsukuba.ac.jp</t>
  </si>
  <si>
    <t>10.1109/ICAIIC57133.2023.10067122</t>
  </si>
  <si>
    <t>WOS:001012997600077</t>
  </si>
  <si>
    <t>Topuz, AI; Kiisk, M; Giammanco, A</t>
  </si>
  <si>
    <t>Topuz, A. Ilker; Kiisk, Madis; Giammanco, Andrea</t>
  </si>
  <si>
    <t>Particle generation through energy discretization and restrictive planes in GEANT4 simulations for potential applications of cosmic ray muon tomography</t>
  </si>
  <si>
    <t>Muon tomography; Characteristic parameters; Energy discretization; Restrictive planes; Source biasing; Non-analogue Monte Carlo simulations; GEANT4</t>
  </si>
  <si>
    <t>In this study, by attempting to resolve the difficulties related to the angular distribution during the particle generation for the muon tomography applications in the GEANT4 simulations, we exhibit an unconventional methodology that is hinged on the direction limitation via the vectorial construction from the generation location to the restriction area rather than using a certain angular distribution or interval. In other words, we favor a momentum direction that is determined by a vector constructed between an initial point randomly chosen on a generative point/plane and a second point arbitrarily selected on a restrictive plane of the same dimensions with the basal cross section of the volume-of-interest (VOI). On account of setting out such a generation scheme, we optimize the particle loss by keeping an angular acceptance that is directly dependent on the VOI geometry as well as the vertical position of the restrictive plane for a tomographic system of a finite size. We demonstrate our strategy for a set of target materials including aluminum, iron, copper, lead, and uranium with a dimension of 40x10x40 cm(3) over three restrictive planes of different positions by using a discrete energy spectrum between 0.1 and 8 GeV and we compute the scattering angle, the number of absorption, and the particle loss. Upon our simulation outcomes, we show that the particle generation by means of restrictive planes is an effective strategy that is flexible towards a variety of computational objectives in the GEANT4 simulations.</t>
  </si>
  <si>
    <t>[Topuz, A. Ilker; Kiisk, Madis] Univ Tartu, Inst Phys, W Ostwaldi 1, EE-50411 Tartu, Estonia; [Topuz, A. Ilker; Giammanco, Andrea] Catholic Univ Louvain, Ctr Cosmol Particle Phys &amp; Phenomenol, Chemin Cyclotron 2, B-1348 Louvain La Neuve, Belgium; [Kiisk, Madis] GScan OU, Maealuse 2-1, EE-12618 Tallinn, Estonia</t>
  </si>
  <si>
    <t>University of Tartu; University of Tartu Institute of Physics; Universite Catholique Louvain</t>
  </si>
  <si>
    <t>Topuz, AI (corresponding author), Univ Tartu, Inst Phys, W Ostwaldi 1, EE-50411 Tartu, Estonia.;Topuz, AI (corresponding author), Catholic Univ Louvain, Ctr Cosmol Particle Phys &amp; Phenomenol, Chemin Cyclotron 2, B-1348 Louvain La Neuve, Belgium.</t>
  </si>
  <si>
    <t>ahmet.ilker.topuz@ut.ee</t>
  </si>
  <si>
    <t>Topuz, Ahmet Ilker/I-3827-2018; Topuz, Ahmet Ilker/AHI-0085-2022</t>
  </si>
  <si>
    <t>Topuz, Ahmet Ilker/0000-0002-1397-8839;</t>
  </si>
  <si>
    <t>10.1088/1742-6596/2438/1/012150</t>
  </si>
  <si>
    <t>WOS:001026601300150</t>
  </si>
  <si>
    <t>Zhou, ZL; Li, YJ; Li, J; Yu, KP; Kou, G; Wang, MM; Gupta, BB</t>
  </si>
  <si>
    <t>Zhou, Zhili; Li, Yujiang; Li, Jin; Yu, Keping; Kou, Guang; Wang, Meimin; Gupta, Brij Bhooshan</t>
  </si>
  <si>
    <t>GAN-Siamese Network for Cross-Domain Vehicle Re-Identification in Intelligent Transport Systems</t>
  </si>
  <si>
    <t>Cross-domain matching; Domain transformer; GAN-Siamese network; Distance metric learning; Vehicle Re-ID</t>
  </si>
  <si>
    <t>The vehicle re-identification (Re-ID) has become one of most important techniques for tracking vehicles in intelligent transport system. Vehicle Re-ID aims at matching identical vehicle images captured by different surveillance cameras. Recent vehicle Re-ID approaches explored deep learning-based features or distance metric learning methods for vehicle matching. However, most of the existing approaches focus on the vehicle Re-ID in the same domain, but ignore the challenging cross-domain problem, i.e., identifying the identical vehicles in different domains including the day-time and night-time domain. To tackle this problem, we propose a GAN-Siamese network structure for vehicle Re-ID. In this network structure, a generative adversarial network (GAN)-based domain transformer is employed to transform the domains of two input vehicle images to another domains, and then a four-branch Siamese network is designed to learn two distance metrics between the images in the two domains, respectively. Finally, the two distances are fused to measure the final similarity between the two input images for vehicle Re-ID. Experimental results demonstrate the proposed GAN-Siamese network structure achieves the state-of-the-art performances on four large-scale vehicle datasets, i.e., VehicleID, VERI-Wild, VERI-Wild 2.0, and VeRi776.</t>
  </si>
  <si>
    <t>[Zhou, Zhili; Li, Jin] Guangzhou Univ, Inst Artificial Intelligence &amp; Blockchain, Guangzhou 510006, Peoples R China; [Li, Yujiang; Wang, Meimin] Nanjing Univ Informat Sci &amp; Technol, Engn Res Ctr Digital Forecasts, Sch Comp &amp; Software, Minist Educ, Nanjing 210044, Peoples R China; [Yu, Keping] Hosei Univ, Grad Sch Sci &amp; Engn, Tokyo 1848584, Japan; [Kou, Guang] Artificial Intelligence Res Ctr, Def Innovat Inst, Beijing 100072, Peoples R China; [Gupta, Brij Bhooshan] Asia Univ, Int Ctr AI &amp; Cyber Secur Res &amp; Innovat, Taichung 413, Taiwan; [Gupta, Brij Bhooshan] Asia Univ, Dept Comp Sci &amp; Informat Engn, Taichung 413, Taiwan; [Gupta, Brij Bhooshan] King Abdulaziz Univ, Dept Comp Sci, Jeddah 21589, Saudi Arabia</t>
  </si>
  <si>
    <t>Guangzhou University; Nanjing University of Information Science &amp; Technology; Hosei University; Asia University Taiwan; Asia University Taiwan; King Abdulaziz University</t>
  </si>
  <si>
    <t>Zhou, ZL (corresponding author), Guangzhou Univ, Inst Artificial Intelligence &amp; Blockchain, Guangzhou 510006, Peoples R China.</t>
  </si>
  <si>
    <t>zhou_zhili@163.com; 17327662875@163.com; jinli71@gmail.com; keping.yu@ieee.org; kg5188@163.com; blessedwmm@gmail.com; gupta.brij@gmail.com</t>
  </si>
  <si>
    <t>Yu, Keping/GVT-7847-2022; Gupta, Brij/A-1155-2016</t>
  </si>
  <si>
    <t>Yu, Keping/0000-0001-5735-2507; Gupta, Brij/0000-0003-4929-4698; Li, Yujiang/0009-0001-4829-5245; zhou, zhili/0000-0002-5641-7169</t>
  </si>
  <si>
    <t>National Natural Science Foundation of China [61972205, 61722203]; National Natural Science Foundation of China for Outstanding Youth Foundation [U1936218]</t>
  </si>
  <si>
    <t>National Natural Science Foundation of China(National Natural Science Foundation of China (NSFC)); National Natural Science Foundation of China for Outstanding Youth Foundation</t>
  </si>
  <si>
    <t>This work was supported in part by the National Natural Science Foundation of China under Grant 61972205, in part by National Natural Science Foundation of China for Outstanding Youth Foundation under Grant 61722203, and in part by the National Natural Science Foundation of China through Joint Fund Project under Grant U1936218.</t>
  </si>
  <si>
    <t>10.1109/TNSE.2022.3199919</t>
  </si>
  <si>
    <t>WOS:001071466900035</t>
  </si>
  <si>
    <t>Cramer, E; Witthaut, D; Mitsos, A; Dahmen, M</t>
  </si>
  <si>
    <t>Cramer, Eike; Witthaut, Dirk; Mitsos, Alexander; Dahmen, Manuel</t>
  </si>
  <si>
    <t>Multivariate probabilistic forecasting of intraday electricity prices using normalizing flows</t>
  </si>
  <si>
    <t>Electricity price forecasting; Probabilistic forecasting; Deep learning; Multivariate modeling</t>
  </si>
  <si>
    <t>PROPER SCORING RULES; GENERATION; PREDICTION; WIND</t>
  </si>
  <si>
    <t>Electricity is traded on various markets with different time horizons and regulations. Short-term intraday trading becomes increasingly important due to the higher penetration of renewables. In Germany, the intraday electricity price typically fluctuates around the day-ahead price of the European Power EXchange (EPEX) spot markets in a distinct hourly pattern. This work proposes a probabilistic modeling approach that models the intraday price difference to the day-ahead contracts. The model captures the emerging hourly pattern by considering the four 15 min intervals in each day-ahead price interval as a four-dimensional joint probability distribution. The resulting nontrivial, multivariate price difference distribution is learned using a normalizing flow, i.e., a deep generative model that combines conditional multivariate density estimation and probabilistic regression. Furthermore, this work discusses the influence of different external impact factors based on literature insights and impact analysis using explainable artificial intelligence (XAI). The normalizing flow is compared to an informed selection of historical data and probabilistic forecasts using a Gaussian copula and a Gaussian regression model. Among the different models, the normalizing flow identifies the trends with the highest accuracy and has the narrowest prediction intervals. Both the XAI analysis and the empirical experiments highlight that the immediate history of the price difference realization and the increments of the day-ahead price have the most substantial impact on the price difference.</t>
  </si>
  <si>
    <t>[Cramer, Eike; Mitsos, Alexander; Dahmen, Manuel] Forschungszentrum Julich, Inst Energy &amp; Climate Res, Energy Syst Engn IEK 10, Julich, Germany; [Cramer, Eike; Mitsos, Alexander] Rhein Westfal TH Aachen, Proc Syst Engn AVTSVT, D-52074 Aachen, Germany; [Witthaut, Dirk] Forschungszentrum Julich, Inst Energy &amp; Climate Res, Syst Anal &amp; Technol Evaluat IEK STE, D-52428 Julich, Germany; [Witthaut, Dirk] Univ Cologne, Inst Theoret Phys, D-50937 Cologne, Germany; [Mitsos, Alexander] JARA Ctr Simulat &amp; Data Sci, D-52425 Julich, Germany</t>
  </si>
  <si>
    <t>Helmholtz Association; Research Center Julich; RWTH Aachen University; Helmholtz Association; Research Center Julich; University of Cologne</t>
  </si>
  <si>
    <t>Dahmen, M (corresponding author), Forschungszentrum Julich, Inst Energy &amp; Climate Res, Energy Syst Engn IEK 10, Julich, Germany.</t>
  </si>
  <si>
    <t>m.dahmen@fz-juelich.de</t>
  </si>
  <si>
    <t>Witthaut, Dirk/AAA-8073-2020; Mitsos, Alexander/D-5873-2011</t>
  </si>
  <si>
    <t>Witthaut, Dirk/0000-0002-3623-5341; Mitsos, Alexander/0000-0003-0335-6566; Cramer, Eike/0000-0002-6882-5469; Dahmen, Manuel/0000-0003-2757-5253</t>
  </si>
  <si>
    <t>Helmholtz Association of German Research Centres</t>
  </si>
  <si>
    <t>Helmholtz Association of German Research Centres(Helmholtz Association)</t>
  </si>
  <si>
    <t>We gratefully acknowledge Johannes Kruse (FZ-Juelich IEK-STE) , Julius Trebbien (FZ-Juelich IEK-STE) , and Leonard Rydin Gorjao (Department of Computer Science, OsloMet) for the discussion about the concepts of explainable AI and the importance of different impact factors. This work was performed as part of the Helmholtz School for Data Science in Life, Earth and Energy (HDS-LEE) and received funding from the Helmholtz Association of German Research Centres. All authors approved the final submitted manuscript.</t>
  </si>
  <si>
    <t>10.1016/j.apenergy.2023.121370</t>
  </si>
  <si>
    <t>K8TS0</t>
  </si>
  <si>
    <t>WOS:001019112700001</t>
  </si>
  <si>
    <t>Wijayanti, R; Khodra, ML; Surendro, K; Widyantoro, DH</t>
  </si>
  <si>
    <t>Wijayanti, Rini; Khodra, Masayu Leylia; Surendro, Kridanto; Widyantoro, Dwi H.</t>
  </si>
  <si>
    <t>Learning bilingual word embedding for automatic text summarization in low resource language</t>
  </si>
  <si>
    <t>Bilingual word embedding; Cross -lingual transfer learning; Extractive summarization; Low -resource language</t>
  </si>
  <si>
    <t>Studies in low-resource languages have become more challenging with the increasing volume of texts in today ' s digital era. Also, the lack of labeled data and text processing libraries in a language further widens the research gap between high and low-resource languages, such as English and Indonesian. This has led to the use of a transfer learning approach, which applies pre-trained models to solve similar problems, even in different languages by using bilingual or cross-lingual word embedding. Therefore, this study aims to investigate two bilingual word embedding methods, namely VecMap and BiVec, for Indonesian - English language and evaluates them for bilingual lexicon induction and text summarization tasks. The generated bilingual embedding was compared with MUSE (Multilingual Unsupervised and Supervised Embeddings) as the existing multilingual word created with the generative adversarial network method. Furthermore, the VecMap was improved by creating shared vocabulary spaces and mapping the unshared ones between languages. The result showed the embedding produced by the joint methods of BiVec, performed better in intrinsic evaluation, especially with CSLS (Cross-Domain Similarity Local Scaling) retrieval. Meanwhile, the improved VecMap outperformed the regular type by 16.6% without surpassing the BiVec evaluation score. These methods enabled model transfer between languages when applied to cross-lingual-based text summarization. Moreover, the ROUGE score outperformed classical text summarization by adding only 10% of the training dataset of the target language. (c) 2023 The Author(s). Published by Elsevier B.V. on behalf of King Saud University. This is an open access</t>
  </si>
  <si>
    <t>[Wijayanti, Rini; Khodra, Masayu Leylia; Surendro, Kridanto; Widyantoro, Dwi H.] Inst Teknol Bandung, Sch Elect Engn &amp; Informat, Bandung, Indonesia; [Khodra, Masayu Leylia; Widyantoro, Dwi H.] Univ Ctr Excellence Artificial Intelligence Vis, Inst Teknol Bandung, Nat Language Proc &amp; Big Data Analyt U CoE AI VLB, Bandung, Indonesia; [Wijayanti, Rini] Inst Teknol Bandung, Sch Elect Engn &amp; Informat, Bandung 40132, Indonesia</t>
  </si>
  <si>
    <t>Institute Technology of Bandung; Institute Technology of Bandung; Institute Technology of Bandung</t>
  </si>
  <si>
    <t>Wijayanti, R (corresponding author), Inst Teknol Bandung, Sch Elect Engn &amp; Informat, Bandung 40132, Indonesia.</t>
  </si>
  <si>
    <t>33218011@std.stei.itb.ac.id; masayu@stei.itb.ac.id; endro@itb.ac.id; dwi@stei.itb.ac.id</t>
  </si>
  <si>
    <t>SURENDRO, KRIDANTO/JFJ-1513-2023; KHODRA, MASAYU LEYLIA/JFJ-1618-2023; Wijayanti, Rini/IUT-0586-2023</t>
  </si>
  <si>
    <t>Wijayanti, Rini/0000-0002-6525-0313; Khodra, Masayu Leylia/0000-0002-8765-8109</t>
  </si>
  <si>
    <t>National Research and Innovation Agency of the Republic of Indonesia, under the SAINTEK 2018 project</t>
  </si>
  <si>
    <t>We gratefully thank P2MI, Institut Teknologi Bandung, for the opportunity to conduct the research. This work was also partially supported by the National Research and Innovation Agency of the Republic of Indonesia, under the SAINTEK 2018 project.</t>
  </si>
  <si>
    <t>10.1016/j.jksuci.2023.03.015</t>
  </si>
  <si>
    <t>H4IG4</t>
  </si>
  <si>
    <t>WOS:000995611600001</t>
  </si>
  <si>
    <t>Liu, HZ; Zhang, WT; Li, B; Wu, HQ; He, NN; Huang, YW; Li, YX; Ghanem, B; Zheng, YF</t>
  </si>
  <si>
    <t>Liu, Haozhe; Zhang, Wentian; Li, Bing; Wu, Haoqian; He, Nanjun; Huang, Yawen; Li, Yuexiang; Ghanem, Bernard; Zheng, Yefeng</t>
  </si>
  <si>
    <t>AdaptiveMix: Improving GAN Training via Feature Space Shrinkage</t>
  </si>
  <si>
    <t>Due to the outstanding capability for data generation, Generative Adversarial Networks (GANs) have attracted considerable attention in unsupervised learning. However, training GANs is difficult, since the training distribution is dynamic for the discriminator, leading to unstable image representation. In this paper, we address the problem of training GANs from a novel perspective, i.e., robust image classification. Motivated by studies on robust image representation, we propose a simple yet effective module, namely AdaptiveMix, for GANs, which shrinks the regions of training data in the image representation space of the discriminator. Considering it is intractable to directly bound feature space, we propose to construct hard samples and narrow down the feature distance between hard and easy samples. The hard samples are constructed by mixing a pair of training images. We evaluate the effectiveness of our AdaptiveMix with widely-used and state-of-the-art GAN architectures. The evaluation results demonstrate that our AdaptiveMix can facilitate the training of GANs and effectively improve the image quality of generated samples. We also show that our AdaptiveMix can be further applied to image classification and Out-Of-Distribution (OOD) detection tasks, by equipping it with state-of-the-art methods. Extensive experiments on seven publicly available datasets show that our method effectively boosts the performance of baselines. The code is publicly available at https://github.com/WentianZhangML/AdaptiveMix.</t>
  </si>
  <si>
    <t>[Liu, Haozhe; Li, Bing; Ghanem, Bernard] King Abdullah Univ Sci &amp; Technol KAUST, Thuwal, Saudi Arabia; [Zhang, Wentian; He, Nanjun; Huang, Yawen; Li, Yuexiang; Zheng, Yefeng] Tencent, Jarvis Lab, Shenzhen, Peoples R China; [Wu, Haoqian] Tencent, YouTu Lab, Shenzhen, Peoples R China</t>
  </si>
  <si>
    <t>King Abdullah University of Science &amp; Technology; Tencent; Tencent</t>
  </si>
  <si>
    <t>Li, B (corresponding author), King Abdullah Univ Sci &amp; Technol KAUST, Thuwal, Saudi Arabia.;Li, YX (corresponding author), Tencent, Jarvis Lab, Shenzhen, Peoples R China.</t>
  </si>
  <si>
    <t>haozhe.liu@kaust.edu.sa; zhangwentianml@gmail.com; bing.li@kaust.edu.sa; linuswu@tencent.com; nanjunhe@tencent.com; yawenhuang@tencent.com; vicyxli@tencent.com; ghanem@kaust.edu.sa; yefengzheng@tencent.com</t>
  </si>
  <si>
    <t>Ghanem, Bernard/J-7605-2017</t>
  </si>
  <si>
    <t>Ghanem, Bernard/0000-0002-5534-587X</t>
  </si>
  <si>
    <t>KAUST Office of Sponsored Research through the Visual Computing Center (VCC); Key-Area Research and Development Program of Guangdong Province, China [2018B010111001]; National Key R&amp;D Program of China [2018YFC2000702, 2020AAA0104100]</t>
  </si>
  <si>
    <t>KAUST Office of Sponsored Research through the Visual Computing Center (VCC); Key-Area Research and Development Program of Guangdong Province, China; National Key R&amp;D Program of China</t>
  </si>
  <si>
    <t>This work was supported in part by the KAUST Office of Sponsored Research through the Visual Computing Center (VCC) funding, as well as, the SDAIA-KAUST Center of Excellence in Data Science and Artificial Intelligence (SDAIA-KAUST AI); in part by the Key-Area Research and Development Program of Guangdong Province, China (No. 2018B010111001), and in part by National Key R&amp;D Program of China (2018YFC2000702) and the Scientific and Technical Innovation 2030-New Generation Artificial Intelligence Project (No. 2020AAA0104100).</t>
  </si>
  <si>
    <t>10.1109/CVPR52729.2023.01556</t>
  </si>
  <si>
    <t>WOS:001062531300021</t>
  </si>
  <si>
    <t>Zhu, K; Zhang, NN; Jiang, CJ; Zhu, DD</t>
  </si>
  <si>
    <t>Zhu, Kun; Zhang, Nana; Jiang, Changjun; Zhu, Dandan</t>
  </si>
  <si>
    <t>IMDAC: A robust intelligent software defect prediction model via multi-objective optimization and end-to-end hybrid deep learning networks</t>
  </si>
  <si>
    <t>SOFTWARE-PRACTICE &amp; EXPERIENCE</t>
  </si>
  <si>
    <t>convolutional neural network; deep learning; denoising autoencoder; multi-objective optimization; software defect prediction</t>
  </si>
  <si>
    <t>FEATURE-SELECTION</t>
  </si>
  <si>
    <t>Software defect prediction (SDP) aims to build an effective prediction model for historical defect data from software repositories by some specialized techniques or algorithms, and predict the defect proneness of new software modules. Nevertheless, the complex internal intrinsic structure hidden behind the defect data makes it challenging for the built prediction model to capture the most expressive defect feature representations, and largely limits the SDP performance. Fortunately, artificial intelligence is interacting closely with humans and provides powerful intelligent technical support for addressing these SDP issues. In this article, we propose a robust intelligent SDP model called IMDAC based on deep learning and soft computing techniques. This model has three main advantages: (1) an effective deep generative network-InfoGAN (information maximizing GANs) is employed to conduct data augmentation, namely generating sufficient defect instances and achieving defect class balance simultaneously. (2) Select the fewest representative feature subset for the minimum error via an advanced multi-objective optimization approach-MSEA (multi-stage evolutionary algorithm). (3) Build a powerful end-to-end deep defect predictor by hybrid deep learning techniques-DAE (Denoising AutoEncoder) and CNN (convolutional neural network), which can not only reconstruct a clean repaired input with strong robustness and generalization capabilities via DAE, but also learn the abstract deep semantic features with strong discriminating capability via CNN. Experimental results verify the superiority and robustness of the IMDAC model across 15 software projects.</t>
  </si>
  <si>
    <t>[Zhu, Kun; Jiang, Changjun] Tongji Univ, Minist Educ, Key Lab Embedded Syst &amp; Serv Comp, Shanghai, Peoples R China; [Zhu, Kun; Jiang, Changjun] Tongji Univ, Natl Prov Minist Joint Collaborat Innovat Ctr Fina, Shanghai, Peoples R China; [Zhang, Nana] Donghua Univ, Sch Comp Sci &amp; Technol, Shanghai, Peoples R China; [Zhu, Dandan] East China Normal Univ, Inst AI Educ, Shanghai, Peoples R China; [Zhang, Nana] Donghua Univ, Sch Comp Sci &amp; Technol, 2999,Renmin North Rd, Shanghai 201620, Peoples R China</t>
  </si>
  <si>
    <t>Tongji University; Tongji University; Donghua University; East China Normal University; Donghua University</t>
  </si>
  <si>
    <t>Zhang, NN (corresponding author), Donghua Univ, Sch Comp Sci &amp; Technol, 2999,Renmin North Rd, Shanghai 201620, Peoples R China.</t>
  </si>
  <si>
    <t>nnzhang@dhu.edu.cn</t>
  </si>
  <si>
    <t>The authors would like to express their sincere appreciation to the anonymous reviewers for their insightful comments. This work is supported in part by the National Key Research and Development Program of China under Grant 2022YFB4501700, in part by the N [2022YFB4501700]; National Key Research and Development Program of China [62302337, 62001289]; National Natural Science Foundation of China; Shanghai Super Doctoral Incentive Program [ESSCFK 2023-03]; foundation of Key Laboratory of Embedded System and Service Computing (Tongji University), Ministry of Education; Shanghai Science and Technology Commission Project, China; Fundamental Research Funds for the Central Universities</t>
  </si>
  <si>
    <t>The authors would like to express their sincere appreciation to the anonymous reviewers for their insightful comments. This work is supported in part by the National Key Research and Development Program of China under Grant 2022YFB4501700, in part by the N; National Key Research and Development Program of China; National Natural Science Foundation of China(National Natural Science Foundation of China (NSFC)); Shanghai Super Doctoral Incentive Program; foundation of Key Laboratory of Embedded System and Service Computing (Tongji University), Ministry of Education; Shanghai Science and Technology Commission Project, China; Fundamental Research Funds for the Central Universities(Fundamental Research Funds for the Central Universities)</t>
  </si>
  <si>
    <t>The authors would like to express their sincere appreciation to the anonymous reviewers for their insightful comments. This work is supported in part by the National Key Research and Development Program of China under Grant 2022YFB4501700, in part by the National Natural Science Foundation of China under Grant 62302337, 62001289, in part by the Shanghai Super Doctoral Incentive Program, in part by the foundation of Key Laboratory of Embedded System and Service Computing (Tongji University), Ministry of Education, under Grant ESSCFK 2023-03, in part by the Shanghai Science and Technology Commission Project, China under Grant 19511101300, in part by the Fundamental Research Funds for the Central Universities, and in part by the foundation of Key Laboratory of Artificial Intelligence, Ministry of Education, People's Republic of China.</t>
  </si>
  <si>
    <t>0038-0644</t>
  </si>
  <si>
    <t>1097-024X</t>
  </si>
  <si>
    <t>SOFTWARE PRACT EXPER</t>
  </si>
  <si>
    <t>Softw.-Pract. Exp.</t>
  </si>
  <si>
    <t>10.1002/spe.3274</t>
  </si>
  <si>
    <t>EL7E2</t>
  </si>
  <si>
    <t>WOS:001072827500001</t>
  </si>
  <si>
    <t>Masikisiki, B; Marivate, V; Hlophe, Y</t>
  </si>
  <si>
    <t>Masikisiki, Baphumelele; Marivate, Vukosi; Hlophe, Yvette</t>
  </si>
  <si>
    <t>Investigating the Efficacy of Large Language Models in Reflective Assessment Methods through Chain of Thoughts Prompting</t>
  </si>
  <si>
    <t>Chain of thought prompting; Large Models; Automation Grading</t>
  </si>
  <si>
    <t>Large Language Models, such as Generative Pre-trained Transformer 3 (aka. GPT-3), have been developed to understand language through the analysis of extensive text data, allowing them to identify patterns and connections between words. While LLMs have demonstrated impressive performance across various text-related tasks, they encounter challenges in tasks associated with reasoning. To address this challenge, Chain of Thought (CoT) prompting method has been proposed as a means to enhance LLMs' proficiency in complex reasoning tasks like solving math word problems and answering questions based on logical argumentative reasoning. The primary aim of this research is to assess how well four language models can grade reflective essays of third-year medical students. The assessment will specifically target the evaluation of critical thinking skills using CoT prompting. The research will provide the following contributions; to introduce and educate on the process of instructing models to evaluate reflective essays from a dataset they have not been previously trained on; to illustrate the use of CoT prompting as an instructional approach for training large models to carry out particular tasks. Our results suggest that among all the models, Llama-7b performs the least effectively, displaying the highest mean squared error. Conversely, ChatGPT emerges as the superior model, boasting a higher Cohen kappa score value of 0.53. Lastly, it's important to note that the selected models do prioritise user privacy by allowing users to delete their own conducted conversations.</t>
  </si>
  <si>
    <t>[Masikisiki, Baphumelele; Marivate, Vukosi] Univ Pretoria, Dept Comp Sci, Pretoria, South Africa; [Hlophe, Yvette] Univ Pretoria, Dept Physiol, Pretoria, South Africa</t>
  </si>
  <si>
    <t>University of Pretoria; University of Pretoria</t>
  </si>
  <si>
    <t>Masikisiki, B (corresponding author), Univ Pretoria, Dept Comp Sci, Pretoria, South Africa.</t>
  </si>
  <si>
    <t>bmasikisiki@gmail.com; vukosi.marivate@cs.up.za; yvette.hlophe@up.ac.za</t>
  </si>
  <si>
    <t>10.1145/3628096.3628747</t>
  </si>
  <si>
    <t>WOS:001159802500009</t>
  </si>
  <si>
    <t>ViGU: Vision GNN U-Net for fast MRI</t>
  </si>
  <si>
    <t>Fast MRI; Graph Neural Network (GNN)</t>
  </si>
  <si>
    <t>Deep learning models have been widely applied for fast MRI. The majority of existing deep learning models, e.g., convolutional neural networks, work on data with Euclidean or regular grids structures. However, high-dimensional features extracted from MR data could be encapsulated in non-Euclidean manifolds. This disparity between the go-to assumption of existing models and data requirements limits the flexibility to capture irregular anatomical features in MR data. In this work, we introduce a novel Vision GNN type network for fast MRI called Vision GNN U-Net (ViGU). More precisely, the pixel array is first embedded into patches and then converted into a graph. Secondly, a U-shape network is developed using several graph blocks in symmetrical encoder and decoder paths. Moreover, we show that the proposed ViGU can also benefit from Generative Adversarial Networks yielding to its variant ViGU-GAN. We demonstrate, through numerical and visual experiments, that the proposed ViGU and GAN variant outperform existing CNN and GAN-based methods. Moreover, we show that the proposed network readily competes with approaches based on Transformers while requiring a fraction of the computational cost. More importantly, the graph structure of the network reveals how the network extracts features from MR images, providing intuitive explainability. The code is publicly available at https://github.com/ayanglab/ViGU.</t>
  </si>
  <si>
    <t>[Huang, Jiahao; Yang, Guang] Imperial Coll London, Natl Heart &amp; Lung Inst, London, England; [Huang, Jiahao; Yang, Guang] Royal Brompton Hosp, Cardiovasc Res Ctr, London, England; [Aviles-Rivero, Angelica I.; Schonlieb, Carola-Bibiane] Univ Cambridge, Dept Appl Math &amp; Theoret Phys, Cambridge, England</t>
  </si>
  <si>
    <t>Imperial College London; Royal Brompton Hospital; University of Cambridge</t>
  </si>
  <si>
    <t>Huang, JH; Yang, G (corresponding author), Imperial Coll London, Natl Heart &amp; Lung Inst, London, England.;Huang, JH; Yang, G (corresponding author), Royal Brompton Hosp, Cardiovasc Res Ctr, London, England.</t>
  </si>
  <si>
    <t>ERC IMI [101005122]; MRC [MC/PC/21013]; Royal Society [IEC\NSFC\211235]; H2020 [952172]; NVIDIA Academic Hardware Grant Program; UKRI Future Leaders Fellowship [MR/V023799/1]; Philip Leverhulme Prize; Royal Society Wolfson Fellowship; EPSRC [EP/V029428/1, EP/S026045/1, EP/T003553/1, EP/N014588/1, EP/T017961/1]; Wellcome Innovator Awards [215733/Z/19/Z, 221633/Z/20/Z]; European Union Horizon 2020 research and innovation programme under the Marie Skodowska-Curie grant agreement [777826 NoMADS]; Cantab Capital Institute for the Mathematics of Information; Alan Turing Institute; Wellcome Trust [221633/Z/20/Z, 215733/Z/19/Z] Funding Source: Wellcome Trust</t>
  </si>
  <si>
    <t>ERC IMI(European Research Council (ERC)); MRC(UK Research &amp; Innovation (UKRI)Medical Research Council UK (MRC)); Royal Society(Royal Society); H2020(Horizon 2020); NVIDIA Academic Hardware Grant Program(Nvidia Corporation); UKRI Future Leaders Fellowship(UK Research &amp; Innovation (UKRI)); Philip Leverhulme Prize(Leverhulme Trust); Royal Society Wolfson Fellowship(Royal Society); EPSRC(UK Research &amp; Innovation (UKRI)Engineering &amp; Physical Sciences Research Council (EPSRC)); Wellcome Innovator Awards(Wellcome Trust); European Union Horizon 2020 research and innovation programme under the Marie Skodowska-Curie grant agreement(European Union (EU)Marie Curie Actions); Cantab Capital Institute for the Mathematics of Information; Alan Turing Institute; Wellcome Trust(Wellcome Trust)</t>
  </si>
  <si>
    <t>This study was supported in part by the ERC IMI (101005122), the H2020 (952172), the MRC (MC/PC/21013), the Royal Society (IEC\NSFC\211235), the NVIDIA Academic Hardware Grant Program, and the UKRI Future Leaders Fellowship (MR/V023799/1). CBS acknowledges support from the Philip Leverhulme Prize, the Royal Society Wolfson Fellowship, the EPSRC advanced career fellowship EP/V029428/1, EPSRC grants EP/S026045/1 and EP/T003553/1, EP/N014588/1, EP/T017961/1, the Wellcome Innovator Awards 215733/Z/19/Z and 221633/Z/20/Z, the European Union Horizon 2020 research and innovation programme under the Marie Skodowska-Curie grant agreement No. 777826 NoMADS, the Cantab Capital Institute for the Mathematics of Information and the Alan Turing Institute.</t>
  </si>
  <si>
    <t>10.1109/ISBI53787.2023.10230600</t>
  </si>
  <si>
    <t>WOS:001062050500277</t>
  </si>
  <si>
    <t>Hua, WY; Xu, SY; Ge, YQ; Zhang, YF</t>
  </si>
  <si>
    <t>Hua, Wenyue; Xu, Shuyuan; Ge, Yingqiang; Zhang, Yongfeng</t>
  </si>
  <si>
    <t>How to Index Item IDs for Recommendation Foundation Models</t>
  </si>
  <si>
    <t>Large Language Model; Recommendation; Item ID and Indexing</t>
  </si>
  <si>
    <t>Recommendation foundation model utilizes large language models (LLM) for recommendation by converting recommendation tasks into natural language tasks. It enables generative recommendation which directly generates the item(s) to recommend rather than calculating a ranking score for each and every candidate item as in traditional recommendation models, simplifying the recommendation pipeline from multi-stage filtering to single-stage filtering. To avoid generating excessively long text and hallucinated recommendations when deciding which item(s) to recommend, creating LLM-compatible item IDs to uniquely identify each item is essential for recommendation foundation models. In this study, we systematically examine the item ID creation and indexing problem for recommendation foundation models, using P5 as an example of the backbone LLM. To emphasize the importance of item indexing, we first discuss the issues of several trivial item indexing methods, such as random indexing, title indexing, and independent indexing. We then propose four simple yet effective solutions, including sequential indexing, collaborative indexing, semantic (content-based) indexing, and hybrid indexing. Our study highlights the significant influence of item indexing methods on the performance of LLM-based recommendation, and our results on real-world datasets validate the effectiveness of our proposed solutions. The research also demonstrates how recent advances on language modeling and traditional IR principles such as indexing can help each other for better learning and inference. Source code and data are available at https://github.com/Wenyueh/LLM-RecSys-ID.</t>
  </si>
  <si>
    <t>[Hua, Wenyue; Xu, Shuyuan; Ge, Yingqiang; Zhang, Yongfeng] Rutgers State Univ, Newark, NJ 07102 USA</t>
  </si>
  <si>
    <t>Rutgers University System; Rutgers University Newark; Rutgers University New Brunswick</t>
  </si>
  <si>
    <t>Hua, WY (corresponding author), Rutgers State Univ, Newark, NJ 07102 USA.</t>
  </si>
  <si>
    <t>wenyue.hua@rutgers.edu; shuyuan.xu@rutgers.edu; yingqiang.ge@rutgers.edu; yongfeng.zhang@rutgers.edu</t>
  </si>
  <si>
    <t>Xu, Shuyuan/0000-0003-0865-5223; Zhang, Yongfeng/0000-0003-2633-8555</t>
  </si>
  <si>
    <t>NSF [IIS-2046457, IIS-2007907]</t>
  </si>
  <si>
    <t>The work was supported in part by NSF IIS-2046457 and IIS-2007907.</t>
  </si>
  <si>
    <t>10.1145/3624918.3625339</t>
  </si>
  <si>
    <t>WOS:001122582700022</t>
  </si>
  <si>
    <t>Yuan, YF; Zhang, WX; Deng, Y; Lam, W</t>
  </si>
  <si>
    <t>Yuan, Yifei; Zhang, Wenxuan; Deng, Yang; Lam, Wai</t>
  </si>
  <si>
    <t>Social Media Fashion Knowledge Extraction as Captioning</t>
  </si>
  <si>
    <t>fashion knowledge extraction; social media analysis; multimodal data mining</t>
  </si>
  <si>
    <t>Social media plays a significant role in boosting the fashion industry, where a massive amount of fashion-related posts are generated every day. In order to obtain the rich fashion information from the posts, we study the task of social media fashion knowledge extraction. Fashion knowledge, which typically consists of the occasion, person attributes, and fashion item information, can be effectively represented as a set of tuples. Most previous studies on fashion knowledge extraction are based on the fashion product images without considering the rich text information in social media posts. Existing work on fashion knowledge extraction in social media is classification-based and requires to manually determine a set of fashion knowledge categories in advance. In our work, we propose to cast the task as a captioning problem to capture the interplay of the multimodal post information. Specifically, we transform the fashion knowledge tuples into a natural language caption with a sentence transformation method. Our framework then aims to generate the sentence-based fashion knowledge directly from the social media post. Inspired by the big success of pre-trained models, we build our model based on a multimodal pre-trained generative model and design several auxiliary tasks for enhancing the knowledge extraction. Since there is no existing dataset which can be directly borrowed to our task, we introduce a dataset consisting of social media posts with manual fashion knowledge annotation. Extensive experiments are conducted to demonstrate the effectiveness of our model.</t>
  </si>
  <si>
    <t>[Yuan, Yifei; Lam, Wai] Chinese Univ Hong Kong, Hong Kong, Peoples R China; [Zhang, Wenxuan] Alibaba DAMO Acad, Singapore, Singapore; [Deng, Yang] Natl Univ Singapore, Singapore, Singapore</t>
  </si>
  <si>
    <t>Chinese University of Hong Kong; National University of Singapore</t>
  </si>
  <si>
    <t>Yuan, YF (corresponding author), Chinese Univ Hong Kong, Hong Kong, Peoples R China.</t>
  </si>
  <si>
    <t>yfyuan@se.cuhk.edu.hk; isakzhang@gmail.com; dengyang17dydy@gmail.com; wlam@se.cuhk.edu.hk</t>
  </si>
  <si>
    <t>10.1145/3624918.3625315</t>
  </si>
  <si>
    <t>WOS:001122582700007</t>
  </si>
  <si>
    <t>Long, H; Zhang, Q; Gong, YX; Deng, X; Liang, HG; Huang, KY</t>
  </si>
  <si>
    <t>Long, Huan; Zhang, Qi; Gong, Yuxiang; Deng, Xuan; Liang, Huageng; Huang, Kaiyao</t>
  </si>
  <si>
    <t>Exploring cyanobacteria seed resources and corresponding gas-vesicle-biosynthetic elements for producing ultrasound molecular imaging probes</t>
  </si>
  <si>
    <t>ALGAL RESEARCH-BIOMASS BIOFUELS AND BIOPRODUCTS</t>
  </si>
  <si>
    <t>Cyanobacteria; Seed resources; Gas vesicles; Biosynthetic elements; Ultrasound imaging</t>
  </si>
  <si>
    <t>CONTRAST AGENTS; NANOSTRUCTURES</t>
  </si>
  <si>
    <t>Use of gas vesicles (GVs) as biosynthetic ultrasound molecular imaging (UMI) probes has become a hot topic of research in recent years owing to their advantages of high stability, low risk of toxicity, genetic engineering characterization, easy post-modification, and drug-loading potential. Exploration of natural GV biosynthetic resources and their corresponding biosynthetic elements for various ultrasonic diagnosis and treatment needs to be developed in this field. In this study, we utilized the sequenced cyanobacteria resources preserved in the Freshwater Algae Culture Collection at the Institute of Hydrobiology (FACHB) to screen seed cells and corresponding synthetic elements for biosynthesis of UMI probes. GV operons from the genomes of 158 strains of cyanobacteria were analyzed to identify their natural GV biosynthetic elements. Based on the ultrasound screening method (VINNO D860LAB, 2D transducer X6-16L, 50 % output power mode, MI: 1.116), 57 seed resources with biosynthetic UMI probe potential from 10 genera were selected from 158 strains of cyanobacteria, corresponding to 28 types of effective biosynthetic elements. These results provide a theoretical basis for future mass production of customized GVs in chassis cells and their application in UMI.</t>
  </si>
  <si>
    <t>[Long, Huan; Gong, Yuxiang; Deng, Xuan; Huang, Kaiyao] Chinese Acad Sci, Inst Hydrobiol, Key Lab Algal Biol, Wuhan 430072, Hubei, Peoples R China; [Long, Huan; Gong, Yuxiang; Deng, Xuan; Huang, Kaiyao] Univ Chinese Acad Sci, Beijing 100049, Peoples R China; [Zhang, Qi] Freshwater Algae Culture Collect Inst Hydrobiol, Wuhan 430072, Hubei, Peoples R China; [Liang, Huageng] Huazhong Univ Sci &amp; Technol, Union Hosp, Tongji Med Coll, Dept Urol, Wuhan 430022, Peoples R China</t>
  </si>
  <si>
    <t>Chinese Academy of Sciences; Institute of Hydrobiology, CAS; Chinese Academy of Sciences; University of Chinese Academy of Sciences, CAS; Huazhong University of Science &amp; Technology</t>
  </si>
  <si>
    <t>Long, H; Huang, KY (corresponding author), Chinese Acad Sci, Inst Hydrobiol, Key Lab Algal Biol, Wuhan 430072, Hubei, Peoples R China.</t>
  </si>
  <si>
    <t>huanlong@ihb.ac.cn; huangky@ihb.ac.cn</t>
  </si>
  <si>
    <t>National Key Research and Devel-opment Program of China [2020YFA0908800]; AI-assisted tech-nologies in the writing process</t>
  </si>
  <si>
    <t>National Key Research and Devel-opment Program of China; AI-assisted tech-nologies in the writing process</t>
  </si>
  <si>
    <t>This study was supported by the National Key Research and Devel-opment Program of China (2020YFA0908800) . Thanks to Jie Xiong from Institute of Hydrobiology, CAS, for help and suggestions about the genome analysis. Thanks to Yuan Xiao and Zhenfei Xing from The Analysis and Testing Center of Institute of Hydrobiology, CAS, for helping with electron microscopy experiments. We declare that we never use generative AI and AI-assisted tech-nologies in the writing process.</t>
  </si>
  <si>
    <t>2211-9264</t>
  </si>
  <si>
    <t>ALGAL RES</t>
  </si>
  <si>
    <t>Algal Res.</t>
  </si>
  <si>
    <t>10.1016/j.algal.2023.103314</t>
  </si>
  <si>
    <t>Biotechnology &amp; Applied Microbiology</t>
  </si>
  <si>
    <t>Z4MS2</t>
  </si>
  <si>
    <t>WOS:001111840400001</t>
  </si>
  <si>
    <t>Wu, SX; Dong, C; Qiao, Y</t>
  </si>
  <si>
    <t>Wu, Shixiang; Dong, Chao; Qiao, Yu</t>
  </si>
  <si>
    <t>Blind Image Restoration Based on Cycle-Consistent Network</t>
  </si>
  <si>
    <t>Image restoration; Training; Degradation; Unsupervised learning; Training data; Task analysis; Image reconstruction; Blind image restoration; generative adversarial network; super-resolution; unsupervised</t>
  </si>
  <si>
    <t>SUPERRESOLUTION</t>
  </si>
  <si>
    <t>This paper studies the blind image restoration where the ground truth is unavailable and the downsampling process is unknown. This complicated setting makes supervised learning and accurate kernel estimation impossible. Inspired by the recent success of image-to-image translation, this paper resorts to the unsupervised Cycle-consistent based framework to tackle this challenging problem. Different from the image-to-image task, the fidelity of reconstructed image is important for image restoration. Therefore, to improve the reconstruction ability of the Cycle-consistent network, we make explorations from the following aspects. First, we constrain low-frequency content in data to preserve the content of output from LR input. Second, we impose constraint on the content of training data to provide better supervision for discriminator, helping to suppress high-frequency artifacts or fake textures. Third, we average model parameters to further improve the generated image quality and help with model selection for GAN-based methods. Since GAN-based methods tend to produce various artifacts with different models, model average could realize a smoother control of balancing artifacts and fidelity. We have conducted extensive experiments on real noise and super resolution datasets to validate the effectiveness of the above techniques. The proposed ECycleGAN also demonstrates superior performance to SOTA methods in two applications - blind SR and blind denoising.</t>
  </si>
  <si>
    <t>[Wu, Shixiang; Dong, Chao; Qiao, Yu] Chinese Acad Sci, Shenzhen Inst Adv Technol, Guangdong Hong Kong Macao Joint Lab Human Machine, Hong Kong 518055, Guangdong, Peoples R China; [Wu, Shixiang] Univ Chinese Acad Sci, Beijing 100049, Peoples R China; [Dong, Chao; Qiao, Yu] Shanghai AI Lab, Shanghai 200030, Peoples R China</t>
  </si>
  <si>
    <t>Chinese Academy of Sciences; Shenzhen Institute of Advanced Technology, CAS; Chinese Academy of Sciences; University of Chinese Academy of Sciences, CAS; Shanghai Artificial Intelligence Laboratory</t>
  </si>
  <si>
    <t>Qiao, Y (corresponding author), Chinese Acad Sci, Shenzhen Inst Adv Technol, Guangdong Hong Kong Macao Joint Lab Human Machine, Hong Kong 518055, Guangdong, Peoples R China.</t>
  </si>
  <si>
    <t>sx.wu@siat.ac.cn; chao.dong@siat.ac.cn; yu.qiao@siat.ac.cn</t>
  </si>
  <si>
    <t>National Natural Science Foundation of China [61906184]; Joint Laboratory of CAS-HK; Shenzhen Research Program [RCJC20200714114557087]; Shanghai Committee of Science and Technology, China [21DZ1100100]</t>
  </si>
  <si>
    <t>National Natural Science Foundation of China(National Natural Science Foundation of China (NSFC)); Joint Laboratory of CAS-HK; Shenzhen Research Program; Shanghai Committee of Science and Technology, China(Shanghai Science &amp; Technology Committee)</t>
  </si>
  <si>
    <t>This work was supported in part by the National Natural Science Foundation of China under Grant 61906184, in part by the Joint Laboratory of CAS-HK, in part by the Shenzhen Research Program under Grant RCJC20200714114557087, and in part by the Shanghai Committee of Science and Technology, China under Grant 21DZ1100100.</t>
  </si>
  <si>
    <t>10.1109/TMM.2021.3139209</t>
  </si>
  <si>
    <t>D7WI3</t>
  </si>
  <si>
    <t>WOS:000970791100007</t>
  </si>
  <si>
    <t>Yan, SZ; Chen, XY; Wu, ZX; Tan, M; Yu, JZ</t>
  </si>
  <si>
    <t>Yan, Shuaizheng; Chen, Xingyu; Wu, Zhengxing; Tan, Min; Yu, Junzhi</t>
  </si>
  <si>
    <t>HybrUR: A Hybrid Physical-Neural Solution for Unsupervised Underwater Image Restoration</t>
  </si>
  <si>
    <t>IEEE TRANSACTIONS ON IMAGE PROCESSING</t>
  </si>
  <si>
    <t>Underwater image restoration; unsupervised learning; style transfer</t>
  </si>
  <si>
    <t>OBJECT DETECTION; VISUAL QUALITY; ENHANCEMENT; SYSTEM; TRANSLATION; WATER</t>
  </si>
  <si>
    <t>Robust vision restoration of underwater images remains a challenge. Owing to the lack of well-matched underwater and in-air images, unsupervised methods based on the cyclic generative adversarial framework have been widely investigated in recent years. However, when using an end-to-end unsupervised approach with only unpaired image data, mode collapse could occur, and the color correction of the restored images is usually poor. In this paper, we propose a data- and physics-driven unsupervised architecture to perform underwater image restoration from unpaired underwater and in-air images. For effective color correction and quality enhancement, an underwater image degeneration model must be explicitly constructed based on the optically unambiguous physics law. Thus, we employ the Jaffe-McGlamery degeneration theory to design a generator and use neural networks to model the process of underwater visual degeneration. Furthermore, we impose physical constraints on the scene depth and degeneration factors for backscattering estimation to avoid the vanishing gradient problem during the training of the hybrid physical-neural model. Experimental results show that the proposed method can be used to perform high-quality restoration of unconstrained underwater images without supervision. On multiple benchmarks, the proposed method outperforms several state-of-the-art supervised and unsupervised approaches. We demonstrate that our method yields encouraging results in real-world applications.</t>
  </si>
  <si>
    <t>[Yan, Shuaizheng; Wu, Zhengxing; Tan, Min; Yu, Junzhi] Chinese Acad Sci, Inst Automation, Lab Cognit &amp; Decis Intelligence Complex Syst, Beijing 100190, Peoples R China; [Yan, Shuaizheng] Fuzhou Univ, Dept Mech Engn, Fuzhou 350000, Peoples R China; [Chen, Xingyu] Xiaobing AI, Beijing 100080, Peoples R China; [Wu, Zhengxing; Tan, Min] Univ Chinese Acad Sci, Sch Artificial Intelligence, Beijing 100049, Peoples R China; [Yu, Junzhi] Peking Univ, Coll Engn, Dept Adv Mfg &amp; Robot, State Key Lab Turbulence &amp; Complex Syst, Beijing 100871, Peoples R China</t>
  </si>
  <si>
    <t>Chinese Academy of Sciences; Institute of Automation, CAS; Fuzhou University; Chinese Academy of Sciences; University of Chinese Academy of Sciences, CAS; Peking University</t>
  </si>
  <si>
    <t>Wu, ZX (corresponding author), Chinese Acad Sci, Inst Automation, Lab Cognit &amp; Decis Intelligence Complex Syst, Beijing 100190, Peoples R China.;Wu, ZX (corresponding author), Univ Chinese Acad Sci, Sch Artificial Intelligence, Beijing 100049, Peoples R China.</t>
  </si>
  <si>
    <t>yanshuaizheng2018@ia.ac.cn; chenxingyu@xiaobing.ai; zhengxing.wu@ia.ac.cn; min.tan@ia.ac.cn; junzhi.yu@ia.ac.cn</t>
  </si>
  <si>
    <t>; Yu, Junzhi/A-7876-2010</t>
  </si>
  <si>
    <t>Yan, Shuaizheng/0000-0001-7955-429X; Yu, Junzhi/0000-0002-6347-572X</t>
  </si>
  <si>
    <t>National Key Research and Development Program of China [2019YFB1310300]; Youth Innovation Promotion Association Chinese Academy of Sciences (CAS) [2019138]</t>
  </si>
  <si>
    <t>National Key Research and Development Program of China; Youth Innovation Promotion Association Chinese Academy of Sciences (CAS)</t>
  </si>
  <si>
    <t>This work was supported in part by the National Key Research and Development Program of China under Grant 2019YFB1310300 and in part by the Youth Innovation Promotion Association Chinese Academy of Sciences (CAS) under Grant 2019138.&amp; nbsp;</t>
  </si>
  <si>
    <t>1057-7149</t>
  </si>
  <si>
    <t>1941-0042</t>
  </si>
  <si>
    <t>IEEE T IMAGE PROCESS</t>
  </si>
  <si>
    <t>IEEE Trans. Image Process.</t>
  </si>
  <si>
    <t>10.1109/TIP.2023.3309408</t>
  </si>
  <si>
    <t>R5CA8</t>
  </si>
  <si>
    <t>WOS:001064516200003</t>
  </si>
  <si>
    <t>Upshaw, JD; Shields, GS; Judah, MR; Zabelina, DL</t>
  </si>
  <si>
    <t>Upshaw, Joshua D.; Shields, Grant S.; Judah, Matt R.; Zabelina, Darya L.</t>
  </si>
  <si>
    <t>Electrophysiological effects of smartphone notifications on cognitive control following a brief mindfulness induction</t>
  </si>
  <si>
    <t>BIOLOGICAL PSYCHOLOGY</t>
  </si>
  <si>
    <t>Theta/beta ratio; Spectral frequency; Mindfulness; Cognitive control; Reaction time; Smartphone; Notification</t>
  </si>
  <si>
    <t>EEG THETA/BETA RATIO; ATTENTIONAL CONTROL; ALPHA OSCILLATIONS; GENDER-DIFFERENCES; MEDITATION STATES; BAND OSCILLATIONS; MOBILE PHONE; PERFORMANCE; DYNAMICS; ANXIETY</t>
  </si>
  <si>
    <t>Smartphone use is nearly ubiquitous, with 93% of adults among economically developed countries, including the United States, Canada, Israel, and South Korea owning a smartphone (Taylor &amp; Silver, 2019). Multiple studies have demonstrated the distracting effects of smartphone notifications on behavioral measures of cognition. Fewer studies have examined the effects of notifications on neural activity underlying higher-level cognitive processes or behavioral inductions to reduce smartphone-related distraction. Using EEG spectral frequency power densities, we assessed the effects of smartphone notifications (vs. control trials) on engagement of attentional shifting processes involved in cognitive control during a Navon Letter visual oddball task. Participants were randomly assigned to a brief mindfulness induction (N = 44) or a neutral narration control condition (N = 43). Overall, participants had lower theta-band power, but higher alpha- and beta-band power densities on target letter trials preceded by smartphone notifications. Additionally, participants in the mindfulness (vs. control) condition had a larger attention shifting oddball assessed via theta power density and theta/beta ratio (TBR) values-reflecting increased engagement of cognitive control-particularly on smartphone notification (vs. control) trials. Altogether, these results provide evidence supporting the idea that smartphone notifications can decrease activity of neural correlates of cognitive control, and offer the promise of a brief mindfulness induction to buffer against the effects of smartphone notifications on cognitive control. The findings indicate a need for further research on mindfulness inductiosn as a means to reduce potential distraction caused by smartphones.</t>
  </si>
  <si>
    <t>[Upshaw, Joshua D.; Shields, Grant S.; Judah, Matt R.; Zabelina, Darya L.] Univ Arkansas, Dept Psychol Sci, 480 N Campus Walk, Fayetteville, AR 72701 USA</t>
  </si>
  <si>
    <t>University of Arkansas System; University of Arkansas Fayetteville</t>
  </si>
  <si>
    <t>Upshaw, JD (corresponding author), Univ Arkansas, Dept Psychol Sci, 480 N Campus Walk, Fayetteville, AR 72701 USA.</t>
  </si>
  <si>
    <t>jupshaw@uark.edu</t>
  </si>
  <si>
    <t>Department of Psychological Sciences at the University of Arkansas</t>
  </si>
  <si>
    <t>This work was supported by the Marie Wilson Howell ' s internal Student Research Grant from the Department of Psychological Sciences at the University of Arkansas.Declaration of Generative Artificial Intelligence (AI) and AI-Assisted Technologies in the Writing Process.The author (s) did not use generative AI technologies for preparation of this work.</t>
  </si>
  <si>
    <t>0301-0511</t>
  </si>
  <si>
    <t>1873-6246</t>
  </si>
  <si>
    <t>BIOL PSYCHOL</t>
  </si>
  <si>
    <t>Biol. Psychol.</t>
  </si>
  <si>
    <t>10.1016/j.biopsycho.2023.108725</t>
  </si>
  <si>
    <t>Psychology, Biological; Behavioral Sciences; Psychology; Psychology, Experimental</t>
  </si>
  <si>
    <t>Psychology; Behavioral Sciences</t>
  </si>
  <si>
    <t>DJ7J1</t>
  </si>
  <si>
    <t>WOS:001131731100001</t>
  </si>
  <si>
    <t>Graham, MS; Tudosiu, PD; Wright, P; Pinaya, WHL; Teikari, P; Patel, A; U-King-Im, JM; Mah, YH; Teo, JT; Jäger, HR; Werring, D; Rees, G; Nachev, P; Ourselin, S; Cardoso, MJ</t>
  </si>
  <si>
    <t>Graham, Mark S.; Tudosiu, Petru-Daniel; Wright, Paul; Pinaya, Walter Hugo Lopez; Teikari, Petteri; Patel, Ashay; U-King-Im, Jean-Marie; Mah, Yee H.; Teo, James T.; Jager, Hans Rolf; Werring, David; Rees, Geraint; Nachev, Parashkev; Ourselin, Sebastien; Cardoso, M. Jorge</t>
  </si>
  <si>
    <t>Latent Transformer Models for out-of-distribution detection</t>
  </si>
  <si>
    <t>Transformers; Out-of-distribution detection; Segmentation; Uncertainty</t>
  </si>
  <si>
    <t>Any clinically-deployed image-processing pipeline must be robust to the full range of inputs it may be presented with. One popular approach to this challenge is to develop predictive models that can provide a measure of their uncertainty. Another approach is to use generative modelling to quantify the likelihood of inputs. Inputs with a low enough likelihood are deemed to be out-of-distribution and are not presented to the downstream predictive model. In this work, we evaluate several approaches to segmentation with uncertainty for the task of segmenting bleeds in 3D CT of the head. We show that these models can fail catastrophically when operating in the far out-of-distribution domain, often providing predictions that are both highly confident and wrong. We propose to instead perform out-of-distribution detection using the Latent Transformer Model: a VQ-GAN is used to provide a highly compressed latent representation of the input volume, and a transformer is then used to estimate the likelihood of this compressed representation of the input. We demonstrate this approach can identify images that are both far-and near-out-of-distribution, as well as provide spatial maps that highlight the regions considered to be out-of-distribution. Furthermore, we find a strong relationship between an image's likelihood and the quality of a model's segmentation on it, demonstrating that this approach is viable for filtering out unsuitable images.</t>
  </si>
  <si>
    <t>[Graham, Mark S.; Tudosiu, Petru-Daniel; Wright, Paul; Pinaya, Walter Hugo Lopez; Patel, Ashay; Mah, Yee H.; Ourselin, Sebastien; Cardoso, M. Jorge] Kings Coll London, Sch Biomed Engn &amp; Imaging Sci, Dept Biomed Engn, London, England; [Teikari, Petteri] RetiSpec, Toronto, ON, Canada; [U-King-Im, Jean-Marie; Mah, Yee H.; Teo, James T.] Kings Coll Hosp NHS Fdn Trust, Denmark Hill, London, England; [Teo, James T.] Kings Coll London, Inst Psychiat Psychol &amp; Neurosci, London, England; [Jager, Hans Rolf; Rees, Geraint; Nachev, Parashkev] UCL, Inst Neurol, London, England; [Werring, David] UCL Queen Sq Inst Neurol, Stroke Res Ctr, London, England</t>
  </si>
  <si>
    <t>University of London; King's College London; King's College Hospital NHS Foundation Trust; University of London; King's College London; University of London; University College London; University of London; University College London</t>
  </si>
  <si>
    <t>Graham, MS (corresponding author), Kings Coll London, Sch Biomed Engn &amp; Imaging Sci, Dept Biomed Engn, London, England.</t>
  </si>
  <si>
    <t>mark.graham@kcl.ac.uk</t>
  </si>
  <si>
    <t>Ourselin, Sebastien/IYJ-1105-2023; Cardoso, Maria/JIH-3240-2023; Cardoso, M. Jorge/N-5511-2018; Pinaya, Walter/A-5791-2018; Jager, Hans Rolf/K-1868-2013; Teo, James/D-9696-2011</t>
  </si>
  <si>
    <t>Cardoso, M. Jorge/0000-0003-1284-2558; Tudosiu, Petru-Daniel/0000-0001-6435-5079; Teikari, Petteri/0000-0003-1095-4185; Pinaya, Walter/0000-0003-3739-1087; Graham, Mark/0000-0002-4170-1095; Jager, Hans Rolf/0000-0002-6403-4184; Teo, James/0000-0002-6899-8319</t>
  </si>
  <si>
    <t>Wellcome Trust, United Kingdom [WT213038/Z/18/Z]; Wellcome/EPSRC Centre for Medical Engineering [WT203148/Z/16/Z]; Innovate UK; NIHR UCLH Biomedical Research Centre; Medical Research Council, United Kingdom [MR/T005351/1]</t>
  </si>
  <si>
    <t>Wellcome Trust, United Kingdom(Wellcome Trust); Wellcome/EPSRC Centre for Medical Engineering(UK Research &amp; Innovation (UKRI)Engineering &amp; Physical Sciences Research Council (EPSRC)Wellcome Trust); Innovate UK(UK Research &amp; Innovation (UKRI)Innovate UK); NIHR UCLH Biomedical Research Centre; Medical Research Council, United Kingdom(UK Research &amp; Innovation (UKRI)Medical Research Council UK (MRC))</t>
  </si>
  <si>
    <t>MG, PW, WHLP, SO, PN and MJC are supported by a grant from the Wellcome Trust, United Kingdom (WT213038/Z/18/Z) . MJC and SO are also supported by the Wellcome/EPSRC Centre for Medical Engineering (WT203148/Z/16/Z) , and the Innovate UK-funded London AI centre for Value-based Healthcare. PN is also supported by NIHR UCLH Biomedical Research Centre. YM is supported by a grant from the Medical Research Council, United Kingdom (MR/T005351/1) . The models in this work were trained on NVIDIA Cambridge-1, the UK's largest super-computer, aimed at accelerating digital biology.</t>
  </si>
  <si>
    <t>10.1016/j.media.2023.102967</t>
  </si>
  <si>
    <t>U7OY7</t>
  </si>
  <si>
    <t>WOS:001086674900001</t>
  </si>
  <si>
    <t>Milyaeva, PA; Kukushkina, IV; Kim, AI; Nefedova, LN</t>
  </si>
  <si>
    <t>Milyaeva, Polina A.; Kukushkina, Inna V.; Kim, Alexander I.; Nefedova, Lidia N.</t>
  </si>
  <si>
    <t>Stress Induced Activation of LTR Retrotransposons in the Drosophila melanogaster Genome</t>
  </si>
  <si>
    <t>LIFE-BASEL</t>
  </si>
  <si>
    <t>LTR retrotransposons; abiotic stress; piRNA interference; regeneration</t>
  </si>
  <si>
    <t>STRAND PIRNA CLUSTERS; TRANSPOSABLE ELEMENTS; OXIDATIVE STRESS; TRANSCRIPTION; COMPLEX</t>
  </si>
  <si>
    <t>Background: Retrotransposons with long terminal repeats (LTR retrotransposons) are widespread in all groups of eukaryotes and are often both the cause of new mutations and the source of new sequences. Apart from their high activity in generative and differentiation-stage tissues, LTR retrotransposons also become more active in response to different stressors. The precise causes of LTR retrotransposons' activation in response to stress, however, have not yet been thoroughly investigated. Methods: We used RT-PCR to investigate the transcriptional profile of LTR retrotransposons and piRNA clusters in response to oxidative and chronic heat stresses. We used Oxford Nanopore sequencing to investigate the genomic environment of new insertions of the retrotransposons. We used bioinformatics methods to find the stress-induced transcription factor binding sites in LTR retrotransposons. Results: We studied the transposition activity and transcription level of LTR retrotransposons in response to oxidative and chronic heat stress and assessed the contribution of various factors that can affect the increase in their expression under stress conditions: the state of the piRNA-interference system, the influence of the genomic environment on individual copies, and the presence of the stress-induced transcription factor binding sites in retrotransposon sequences. Conclusions: The main reason for the activation of LTR retrotransposons under stress conditions is the presence of transcription factor binding sites in their regulatory sequences, which are triggered in response to stress and are necessary for tissue regeneration processes. Stress-induced transposable element activation can function as a trigger mechanism, triggering multiple signal pathways and resulting in a polyvariant cell response.</t>
  </si>
  <si>
    <t>[Milyaeva, Polina A.; Kukushkina, Inna V.; Kim, Alexander I.; Nefedova, Lidia N.] Lomonosov Moscow State Univ, Fac Biol, Moscow 119234, Russia; [Milyaeva, Polina A.; Kim, Alexander I.] Shenzhen MSU BIT Univ, Fac Biol, Shenzhen 518172, Peoples R China</t>
  </si>
  <si>
    <t>Lomonosov Moscow State University; Shenzhen MSU-BIT University</t>
  </si>
  <si>
    <t>Nefedova, LN (corresponding author), Lomonosov Moscow State Univ, Fac Biol, Moscow 119234, Russia.</t>
  </si>
  <si>
    <t>atemeda@mail.ru; vladimirova-bph@yandex.ru; aikim57@mail.ru; nefedova@mail.bio.msu.ru</t>
  </si>
  <si>
    <t>Russian Science Foundation</t>
  </si>
  <si>
    <t>We thank Makhnovskii P.A. for the assistance in bioinformatics. We also thank Lavrenov A.R. for the design of primers for flamenco and Kuzmin I.V. for statistical consultations.</t>
  </si>
  <si>
    <t>2075-1729</t>
  </si>
  <si>
    <t>Life-Basel</t>
  </si>
  <si>
    <t>10.3390/life13122272</t>
  </si>
  <si>
    <t>Biology; Microbiology</t>
  </si>
  <si>
    <t>Life Sciences &amp; Biomedicine - Other Topics; Microbiology</t>
  </si>
  <si>
    <t>DL2R4</t>
  </si>
  <si>
    <t>WOS:001132137900001</t>
  </si>
  <si>
    <t>Dionelis, N; Tsaftaris, SA; Yaghoobi, M</t>
  </si>
  <si>
    <t>Dionelis, Nikolaos; Tsaftaris, Sotirios A.; Yaghoobi, Mehrdad</t>
  </si>
  <si>
    <t>FROB: Few-Shot ROBust Model for Joint Classification and Out-of-Distribution Detection</t>
  </si>
  <si>
    <t>Out-of-Distribution detection; Few-shot anomaly detection</t>
  </si>
  <si>
    <t>Classification and Out-of-Distribution (OoD) detection in the few-shot setting remain challenging aims, but are important for devising critical systems in security where samples are limited. OoD detection requires that classifiers are aware of when they do not know and avoid setting high confidence to OoD samples away from the training data distribution. To address such limitations, we propose the Few-shot ROBust (FROB) model with its key contributions being (a) the joint classification and few-shot OoD detection, (b) the sample generation on the boundary of the support of the normal class distribution, and (c) the incorporation of the learned distribution boundary as OoD data for contrastive negative training. FROB finds the boundary of the support of the normal class distribution, and uses it to improve the few-shot OoD detection performance. We propose a self-supervised learning methodology for sample generation on the normal class distribution confidence boundary based on generative and discriminative models, including classification. FROB implicitly generates adversarial samples, and forces samples from OoD, including our boundary, to be less confident by the classifier. By including the learned boundary, FROB reduces the threshold linked to the model's few-shot robustness in the number of few-shots, and maintains the OoD performance approximately constant, independent of the number of fewshots. The low- and few-shot robustness evaluation of FROB on different image datasets and on One-Class Classification (OCC) data shows that FROB achieves competitive performance and outperforms baselines in terms of robustness to the OoD few-shot population and variability.</t>
  </si>
  <si>
    <t>[Dionelis, Nikolaos; Tsaftaris, Sotirios A.; Yaghoobi, Mehrdad] Univ Edinburgh, Sch Engn Elect Engn Digital Commun, Edinburgh, Midlothian, Scotland</t>
  </si>
  <si>
    <t>Dionelis, N (corresponding author), Univ Edinburgh, Sch Engn Elect Engn Digital Commun, Edinburgh, Midlothian, Scotland.</t>
  </si>
  <si>
    <t>nikolaos.dionelis@ed.ac.uk</t>
  </si>
  <si>
    <t>Dionelis, Nikolaos/0000-0001-9662-8537</t>
  </si>
  <si>
    <t>Engineering and Physical Sciences Research Council of the UK (EPSRC) [EP/S000631/1]; UK MOD University Defence Research Collaboration (UDRC) in Signal Processing</t>
  </si>
  <si>
    <t>Engineering and Physical Sciences Research Council of the UK (EPSRC)(UK Research &amp; Innovation (UKRI)Engineering &amp; Physical Sciences Research Council (EPSRC)); UK MOD University Defence Research Collaboration (UDRC) in Signal Processing</t>
  </si>
  <si>
    <t>This work was supported by the Engineering and Physical Sciences Research Council of the UK (EPSRC) Grant EP/S000631/1 and the UK MOD University Defence Research Collaboration (UDRC) in Signal Processing.</t>
  </si>
  <si>
    <t>10.1007/978-3-031-26409-2_9</t>
  </si>
  <si>
    <t>WOS:000999043300009</t>
  </si>
  <si>
    <t>Nam, S; Jeong, E; Hong, J; Yoo, JH; Hong, JWK</t>
  </si>
  <si>
    <t>Nam, Sukhyun; Jeong, Euidong; Hong, Jibum; Yoo, Jae-Hyoung; Hong, James Won-Ki</t>
  </si>
  <si>
    <t>Log Analysis and Prediction for Anomaly Detection in Network Switches</t>
  </si>
  <si>
    <t>Anomaly Detection; Machine Learning; Log Analysis</t>
  </si>
  <si>
    <t>In this study, we propose a three-step anomaly detection system for network switches. The proposed system consists of the following steps: 1) Log parsing, where log messages from switches are analyzed to identify patterns and events, 2) Analysis of the identified event flow to distinguish normal and abnormal event sequences, and 3) Prediction of the next log message, with detection of anomalies if the predicted log message differs from the normal log messages. For event classification, a log parser is proposed by modifying existing algorithms, and experimental results confirm that similar log patterns are correctly classified into the same event. To learn normal event sequences, both FSM and LSTM models are trained. Lastly, we proposed a BERT-LSTM model to predict the next log message and detect unexpected log messages. The proposed system is validated using data collected from a constructed testbed and achieves a high-performance level with an F1 score of 83.72%. Notably, our system achieved a recall of 94.74%. Our system has an advantage in that if misclassified cases occur, network administrators can retrain each model to improve precision during system operation.</t>
  </si>
  <si>
    <t>[Nam, Sukhyun; Jeong, Euidong; Hong, Jibum; Yoo, Jae-Hyoung; Hong, James Won-Ki] POSTECH, Dept Comp Sci &amp; Engn, Pohang, South Korea</t>
  </si>
  <si>
    <t>Pohang University of Science &amp; Technology (POSTECH)</t>
  </si>
  <si>
    <t>Nam, S (corresponding author), POSTECH, Dept Comp Sci &amp; Engn, Pohang, South Korea.</t>
  </si>
  <si>
    <t>obiwan96@postech.ac.kr; justicedong@postech.ac.kr; hosewq@postech.ac.kr; jhyoo78@postech.ac.kr; jwkhong@postech.ac.kr</t>
  </si>
  <si>
    <t>Korea Evaluation Institute Of Industrial Technology (KEIT) - Korea Government (MOTIE) [2009633]; Samsung Electronics Co., Ltd; Smart HealthCare Program - Korean National Police Agency(KNPA, Korea) [220222M01]</t>
  </si>
  <si>
    <t>Korea Evaluation Institute Of Industrial Technology (KEIT) - Korea Government (MOTIE)(Ministry of Trade, Industry &amp; Energy (MOTIE), Republic of Korea); Samsung Electronics Co., Ltd(Samsung); Smart HealthCare Program - Korean National Police Agency(KNPA, Korea)</t>
  </si>
  <si>
    <t>This work was supported by Korea Evaluation Institute Of Industrial Technology (KEIT) grant funded by the Korea Government (MOTIE) [(No.2009633) Development of AI network traffic controlling system based on SDN for ultralow latency network service], Samsung Electronics Co., Ltd and Smart HealthCare Program funded by the Korean National Police Agency(KNPA, Korea) [Project Name: Development of an Intelligent Big Data Integrated Platform for Police Officers' Personalized Healthcare/Project Number: 220222M01].</t>
  </si>
  <si>
    <t>WOS:001117985100054</t>
  </si>
  <si>
    <t>Hausmann, F; Ergen, C; Khatri, R; Marouf, M; Hänzelmann, S; Gagliani, N; Huber, S; Machart, P; Bonn, S</t>
  </si>
  <si>
    <t>Hausmann, Fabian; Ergen, Can; Khatri, Robin; Marouf, Mohamed; Haenzelmann, Sonja; Gagliani, Nicola; Huber, Samuel; Machart, Pierre; Bonn, Stefan</t>
  </si>
  <si>
    <t>DISCERN: deep single-cell expression reconstruction for improved cell clustering and cell subtype and state detection</t>
  </si>
  <si>
    <t>GENOME BIOLOGY</t>
  </si>
  <si>
    <t>Single-cell RNA-seq; RNA sequencing; Imputation; Cell clustering; Cell type identification; Expression reconstruction; Deep Learning; Machine Learning; Auto encoder; Batch effect correction; Transfer learning; Probabilistic modeling; Reference atlas mapping; COVID-19; T helper cell; Transcription factor analysis</t>
  </si>
  <si>
    <t>REGULATORY T-CELLS; TH17 CELLS; PERIPHERAL-BLOOD; DIFFERENTIATION; EFFECTOR; RECEPTOR; DYSFUNCTION; SIGNATURES; IMBALANCE; REVEAL</t>
  </si>
  <si>
    <t>Background: Single-cell sequencing provides detailed insights into biological processes including cell differentiation and identity. While providing deep cell-specific information, the method suffers from technical constraints, most notably a limited number of expressed genes per cell, which leads to suboptimal clustering and cell type identification. Results: Here, we present DISCERN, a novel deep generative network that precisely reconstructs missing single-cell gene expression using a reference dataset. DISCERN outperforms competing algorithms in expression inference resulting in greatly improved cell clustering, cell type and activity detection, and insights into the cellular regulation of disease. We show that DISCERN is robust against differences between batches and is able to keep biological differences between batches, which is a common problem for imputation and batch correction algorithms. We use DISCERN to detect two unseen COVID-19-associated T cell types, cytotoxic CD4(+) and CD8(+) Tc2 T helper cells, with a potential role in adverse disease outcome. We utilize T cell fraction information of patient blood to classify mild or severe COVID-19 with an AUROC of 80% that can serve as a biomarker of disease stage. DISCERN can be easily integrated into existing single-cell sequencing workflow. Conclusions: Thus, DISCERN is a flexible tool for reconstructing missing single-cell gene expression using a reference dataset and can easily be applied to a variety of data sets yielding novel insights, e.g., into disease mechanisms.</t>
  </si>
  <si>
    <t>[Hausmann, Fabian; Ergen, Can; Khatri, Robin; Marouf, Mohamed; Haenzelmann, Sonja; Machart, Pierre; Bonn, Stefan] Univ Med Ctr Hamburg Eppendorf, Inst Med Syst Biol, Martinistr 52, D-20246 Hamburg, Germany; [Hausmann, Fabian; Ergen, Can; Khatri, Robin; Haenzelmann, Sonja; Machart, Pierre; Bonn, Stefan] Univ Med Ctr Hamburg Eppendorf, Ctr Biomed AI, Martinistr 52, D-20246 Hamburg, Germany; [Ergen, Can; Gagliani, Nicola] Univ Med Ctr Hamburg Eppendorf, Dept Med 1, Martinistr 52, D-20246 Hamburg, Germany; [Haenzelmann, Sonja] Univ Med Ctr Hamburg Eppendorf, Dept Med 3, Martinistr 52, D-20246 Hamburg, Germany; [Gagliani, Nicola; Huber, Samuel; Bonn, Stefan] Univ Med Ctr Hamburg Eppendorf, Dept Med 1, Hamburg Ctr Translat Immunol HCTI, Martinistr 52, D-20246 Hamburg, Germany; [Gagliani, Nicola] Univ Med Ctr Hamburg Eppendorf, Dept Gen Visceral &amp; Thorac Surg, Martinistr 52, D-20246 Hamburg, Germany; [Gagliani, Nicola] Univ Med Ctr Hamburg Eppendorf, Sect Mol Immunol &amp; Gastroenterol 1, Dept Med, Martinistr 52, D-20246 Hamburg, Germany</t>
  </si>
  <si>
    <t>University of Hamburg; University Medical Center Hamburg-Eppendorf; University of Hamburg; University Medical Center Hamburg-Eppendorf; University of Hamburg; University Medical Center Hamburg-Eppendorf; University of Hamburg; University Medical Center Hamburg-Eppendorf; University of Hamburg; University Medical Center Hamburg-Eppendorf; University of Hamburg; University Medical Center Hamburg-Eppendorf; University of Hamburg; University Medical Center Hamburg-Eppendorf</t>
  </si>
  <si>
    <t>Bonn, S (corresponding author), Univ Med Ctr Hamburg Eppendorf, Inst Med Syst Biol, Martinistr 52, D-20246 Hamburg, Germany.</t>
  </si>
  <si>
    <t>sbonn@uke.de</t>
  </si>
  <si>
    <t>Bonn, Stefan/0000-0003-4366-5662; Hausmann, Fabian/0000-0001-6110-5824</t>
  </si>
  <si>
    <t>Projekt DEAL; EU ERare-3 Maxomod; UKE R3 reduction of animal testing grant; DFG [ER 981/1-1]; ERC [StG-715271, CoG-865466]; Deutsche Forschungsgemeinschaft; BMBF [STOP-FSGS-01GM1518C, SFB 1192 B08]; [LFF-FV 78]; [SFB 1286 Z2]; [FOR 296]; [FOR 5068]</t>
  </si>
  <si>
    <t>Projekt DEAL; EU ERare-3 Maxomod(European Union (EU)); UKE R3 reduction of animal testing grant; DFG(German Research Foundation (DFG)); ERC(European Research Council (ERC)); Deutsche Forschungsgemeinschaft(German Research Foundation (DFG)); BMBF(Federal Ministry of Education &amp; Research (BMBF)); ; ; ;</t>
  </si>
  <si>
    <t>Open Access funding enabled and organized by Projekt DEAL. FH, RK, MM, PM, and SB were supported by the LFF-FV 78, EU ERare-3 Maxomod, SFB 1286 Z2, FOR 296, and FOR 5068 research grants. Further support was obtained from the UKE R3 reduction of animal testing grant. CE was supported by DFG ER 981/1-1 and the clinician scientist programme of university Hamburg, NG was supported by ERC StG-715271, and SHu was supported by ERC CoG-865466 and has an endowed Heisenberg-Professorship awarded by the Deutsche Forschungsgemeinschaft. SHa was funded by the BMBF STOP-FSGS-01GM1518C and SFB 1192 B08 research grants.</t>
  </si>
  <si>
    <t>1474-760X</t>
  </si>
  <si>
    <t>GENOME BIOL</t>
  </si>
  <si>
    <t>Genome Biol.</t>
  </si>
  <si>
    <t>10.1186/s13059-023-03049-x</t>
  </si>
  <si>
    <t>Biotechnology &amp; Applied Microbiology; Genetics &amp; Heredity</t>
  </si>
  <si>
    <t>IQ9Y5</t>
  </si>
  <si>
    <t>WOS:001167924600001</t>
  </si>
  <si>
    <t>Rasheed, A; Shirazi, SH; Umar, AI; Shahzad, M; Yousaf, W; Khan, Z</t>
  </si>
  <si>
    <t>Rasheed, Assad; Shirazi, Syed Hamad; Umar, Arif Iqbal; Shahzad, Muhammad; Yousaf, Waqas; Khan, Zakir</t>
  </si>
  <si>
    <t>Cervical cell's nucleus segmentation through an improved UNet architecture</t>
  </si>
  <si>
    <t>ACCURATE SEGMENTATION; STAIN NORMALIZATION; IMAGES; CYTOPLASM; CYTOLOGY; RESOLUTION; FRAMEWORK; NETWORK; CONTOUR; REGION</t>
  </si>
  <si>
    <t>Precise segmentation of the nucleus is vital for computer-aided diagnosis (CAD) in cervical cytology. Automated delineation of the cervical nucleus has notorious challenges due to clumped cells, color variation, noise, and fuzzy boundaries. Due to its standout performance in medical image analysis, deep learning has gained attention from other techniques. We have proposed a deep learning model, namely C-UNet (Cervical-UNet), to segment cervical nuclei from overlapped, fuzzy, and blurred cervical cell smear images. Cross-scale features integration based on a bi-directional feature pyramid network (BiFPN) and wide context unit are used in the encoder of classic UNet architecture to learn spatial and local features. The decoder of the improved network has two inter-connected decoders that mutually optimize and integrate these features to produce segmentation masks. Each component of the proposed C-UNet is extensively evaluated to judge its effectiveness on a complex cervical cell dataset. Different data augmentation techniques were employed to enhance the proposed model's training. Experimental results have shown that the proposed model outperformed extant models, i.e., CGAN (Conditional Generative Adversarial Network), DeepLabv3, Mask-RCNN (Region-Based Convolutional Neural Network), and FCN (Fully Connected Network), on the employed dataset used in this study and ISBI-2014 (International Symposium on Biomedical Imaging 2014), ISBI-2015 datasets. The C-UNet achieved an object-level accuracy of 93%, pixel-level accuracy of 92.56%, object-level recall of 95.32%, pixel-level recall of 92.27%, Dice coefficient of 93.12%, and F1-score of 94.96% on complex cervical images dataset.</t>
  </si>
  <si>
    <t>[Rasheed, Assad; Shirazi, Syed Hamad; Umar, Arif Iqbal; Shahzad, Muhammad; Yousaf, Waqas] Hazara Univ Mansehra, Dept Comp Sci &amp; Informat Technol, Mansehra 21300, Pakistan</t>
  </si>
  <si>
    <t>Hazara University</t>
  </si>
  <si>
    <t>Shirazi, SH; Shahzad, M (corresponding author), Hazara Univ Mansehra, Dept Comp Sci &amp; Informat Technol, Mansehra 21300, Pakistan.</t>
  </si>
  <si>
    <t>syedhamad@hu.edu.pk; shahzadbew@gmail.com</t>
  </si>
  <si>
    <t>Rasheed, Assad/0000-0002-5027-067X; Shahzad, Muhammad/0000-0003-4971-4875</t>
  </si>
  <si>
    <t>OCT 3</t>
  </si>
  <si>
    <t>e0283568</t>
  </si>
  <si>
    <t>10.1371/journal.pone.0283568</t>
  </si>
  <si>
    <t>U1IF1</t>
  </si>
  <si>
    <t>WOS:001082402300028</t>
  </si>
  <si>
    <t>Ibáñez-Berganza, M; Lucibello, C; Santucci, F; Gili, T; Gabrielli, A</t>
  </si>
  <si>
    <t>Ibanez-Berganza, Miguel; Lucibello, Carlo; Santucci, Francesca; Gili, Tommaso; Gabrielli, Andrea</t>
  </si>
  <si>
    <t>Noise cleaning the precision matrix of short time series</t>
  </si>
  <si>
    <t>PHYSICAL REVIEW E</t>
  </si>
  <si>
    <t>FUNCTIONAL CONNECTIVITY; COVARIANCE ESTIMATION; BRAIN; NETWORKS; DYNAMICS</t>
  </si>
  <si>
    <t>We present a comparison between various algorithms of inference of covariance and precision matrices in small data sets of real vectors of the typical length and dimension of human brain activity time series retrieved by functional magnetic resonance imaging (fMRI). Assuming a Gaussian model underlying the neural activity, the problem consists of denoising the empirically observed matrices to obtain a better estimator of the (unknown) true precision and covariance matrices. We consider several standard noise-cleaning algorithms and compare them on two types of data sets. The first type consists of synthetic time series sampled from a generative Gaussian model of which we can vary the fraction of dimensions per sample q and the strength of off-diagonal correlations. The second type consists of time series of fMRI brain activity of human subjects at rest. The reliability of each algorithm is assessed in terms of test-set likelihood and, in the case of synthetic data, of the distance from the true precision matrix. We observe that the so-called optimal rotationally invariant estimator, based on random matrix theory, leads to a significantly lower distance from the true precision matrix in synthetic data and higher test likelihood in natural fMRI data. We propose a variant of the optimal rotationally invariant estimator in which one of its parameters is optimzed by cross-validation. In the severe undersampling regime (large q) typical of fMRI series, it outperforms all the other estimators. We furthermore propose a simple algorithm based on an iterative likelihood gradient ascent, leading to very accurate estimations in weakly correlated synthetic data sets.</t>
  </si>
  <si>
    <t>[Ibanez-Berganza, Miguel; Santucci, Francesca; Gili, Tommaso] IMT Sch Adv Studies Lucca, Networks Unit, Piazza San Francesco 19, I-50100 Lucca, Italy; [Ibanez-Berganza, Miguel] Ist Italiano Tecnol, Largo Barsanti &amp; Matteucci 53, I-80125 Naples, Italy; [Lucibello, Carlo] Bocconi Univ, AI Lab, Inst Data Sci &amp; Analyt, I-20136 Milan, Italy; [Gabrielli, Andrea] Univ Roma Tre, Dipartimento Ingn Civile Informat &amp; Tecnol Aeronau, Via Vito Volterra 62, I-00146 Rome, Italy; [Gabrielli, Andrea] Ctr Ric Enr Fermi, Via Panisperna 89a, I-00184 Rome, Italy</t>
  </si>
  <si>
    <t>IMT School for Advanced Studies Lucca; Istituto Italiano di Tecnologia - IIT; Bocconi University; Roma Tre University</t>
  </si>
  <si>
    <t>Ibáñez-Berganza, M (corresponding author), IMT Sch Adv Studies Lucca, Networks Unit, Piazza San Francesco 19, I-50100 Lucca, Italy.;Ibáñez-Berganza, M (corresponding author), Ist Italiano Tecnol, Largo Barsanti &amp; Matteucci 53, I-80125 Naples, Italy.</t>
  </si>
  <si>
    <t>miguel.ibanezberganza@imtlucca.it</t>
  </si>
  <si>
    <t>Ibanez Berganza, Miguel/0000-0002-5981-1380; Lucibello, Carlo/0000-0003-0837-9783; Gili, Tommaso/0000-0001-9154-1758</t>
  </si>
  <si>
    <t>European Union [871042]; European Union's NextGenerationEU-National Recovery and Resilience Plan (Piano Nazionale di Ripresa e Resilienza, PNRR), project SoBigData.it-Strengthening the Italian RI for Social Mining and Big Data Analytics [IR0000013, 3264]; grant EU FESR-FSE PON Ricerca e Innovazione 2014-2020 BraVi; Spanish Ministry; Agencia Estatal de Investigacion (AEI) through Project I+D+i - MICIN/AEI [PID2020-113681GBI00]; FEDER, A way to make Europe</t>
  </si>
  <si>
    <t>European Union(European Union (EU)); European Union's NextGenerationEU-National Recovery and Resilience Plan (Piano Nazionale di Ripresa e Resilienza, PNRR), project SoBigData.it-Strengthening the Italian RI for Social Mining and Big Data Analytics; grant EU FESR-FSE PON Ricerca e Innovazione 2014-2020 BraVi; Spanish Ministry(Spanish Government); Agencia Estatal de Investigacion (AEI) through Project I+D+i - MICIN/AEI; FEDER, A way to make Europe</t>
  </si>
  <si>
    <t>We acknowledge the advice of M. X. Cohen, F. Lillo, and A. Pagnani. Thanks to Z. Drogosz, M. Nowak, and P. Oswiecimka for further discussions and for making us aware of Ref. [60]. This work is supported by the European Union's Horizon 2020 Program under the scheme INFRAIA01-2018-2019-Integrating Activities for Advanced Communities, Grant Agreement No. 871042, SoBigData++: European Integrated Infrastructure for Social Mining and Big Data Analytics [67]. This article is also supported by the European Union's NextGenerationEU-National Recovery and Resilience Plan (Piano Nazionale di Ripresa e Resilienza, PNRR), project SoBigData.it-Strengthening the Italian RI for Social Mining and Big Data Analytics-Grant No. IR0000013 (No. 3264, 28/12/2021). M.I.-B. has been supported by the grant EU FESR-FSE PON Ricerca e Innovazione 2014-2020 BraVi, awarded to Stefano Panzeri; the Spanish Ministry and Agencia Estatal de Investigacion (AEI) through Project I+D+i Ref. No. PID2020-113681GBI00, financed by MICIN/AEI/10.13039/501100011033 and FEDER, A way to make Europe.</t>
  </si>
  <si>
    <t>2470-0045</t>
  </si>
  <si>
    <t>2470-0053</t>
  </si>
  <si>
    <t>PHYS REV E</t>
  </si>
  <si>
    <t>Phys. Rev. E</t>
  </si>
  <si>
    <t>10.1103/PhysRevE.108.024313</t>
  </si>
  <si>
    <t>Physics, Fluids &amp; Plasmas; Physics, Mathematical</t>
  </si>
  <si>
    <t>R2LU0</t>
  </si>
  <si>
    <t>WOS:001062720600001</t>
  </si>
  <si>
    <t>Ferreira-Chacua, I; Koeshidayatullah, AI</t>
  </si>
  <si>
    <t>Ferreira-Chacua, Ivan; Koeshidayatullah, Ardiansyah Ibnu</t>
  </si>
  <si>
    <t>ForamViT-GAN: Exploring New Paradigms in Deep Learning for Micropaleontological Image Analysis</t>
  </si>
  <si>
    <t>Image analysis; foraminifera; deep learning; GAN; transformer; semantic segmentation; few-shot learning</t>
  </si>
  <si>
    <t>In geosciences, micropaleontology studies the evolution of microfossils (e.g., foraminifera) throughout geological records and utilizes such information to reconstruct past environmental and climatic conditions. This field depends primarily on the visual recognition of various features in microfossils, which makes it ideal for applying computer vision technology, specifically deep convolutional neural networks (CNNs), to automate and optimize different microfossil identification and classification. In addition, the unlabeled, low-resolution micropaleontological dataset is often available in a large volume compared to another geosciences dataset. While the application of deep learning in micropaleontology is rapidly growing, these efforts have been severely hampered by (i) the limited availability of high-quality and high-resolution labeled fossil images and (ii) significant effort in manually labeling various fossils by subject matter experts. Furthermore, previous works primarily exploited CNN with transfer learning to obtain high-accuracy prediction, which may reduce the explainability and reproducibility of the model. To overcome this issue, we propose a novel deep learning workflow that couples hierarchical vision transformers with style-based generative adversarial network algorithms to efficiently acquire and synthetically generate realistic high-resolution labeled datasets of micropaleontology in a large volume. Our study demonstrates that the proposed workflow could generate high-resolution images with a high signal-to-noise ratio, achieving 39.1 dB, and realistic synthetic images with a Frechet inception distance similarity score of 14.88. In addition, our proposed workflow could provide a considerable volume of self-labeled datasets that can be used for model benchmarking and various downstream visual tasks, including fossil classification and segmentation. We further performed, for the first time, a few-shot semantic segmentation of different foraminifera chambers on both the generated and synthetic images with high accuracy. This novel meta-learning approach is only possible when a high-resolution and high-volume labeled dataset is available. Therefore, our proposed deep learning-based workflow is promising and shows a potential to advance and optimize micropaleontological research and other visual-dependent geological analysis.</t>
  </si>
  <si>
    <t>[Ferreira-Chacua, Ivan; Koeshidayatullah, Ardiansyah Ibnu] King Fahd Univ Petr &amp; Minerals, Coll Petr Engn &amp; Geosci, Dept Geosci, Dhahran 31261, Saudi Arabia; [Koeshidayatullah, Ardiansyah Ibnu] Ctr Integrated Petr Res, Dhahran 34464, Saudi Arabia</t>
  </si>
  <si>
    <t>King Fahd University of Petroleum &amp; Minerals</t>
  </si>
  <si>
    <t>Ferreira-Chacua, I; Koeshidayatullah, AI (corresponding author), King Fahd Univ Petr &amp; Minerals, Coll Petr Engn &amp; Geosci, Dept Geosci, Dhahran 31261, Saudi Arabia.;Koeshidayatullah, AI (corresponding author), Ctr Integrated Petr Res, Dhahran 34464, Saudi Arabia.</t>
  </si>
  <si>
    <t>g202211300@kfupm.edu.sa; a.koeshidayatullah@kfupm.edu.sa</t>
  </si>
  <si>
    <t>Koeshidayatullah, Ardiansyah/AAU-4300-2020</t>
  </si>
  <si>
    <t>Ferreira Chacua, Ivan Eduardo/0000-0001-9369-2189; Koeshidayatullah, Ardiansyah/0000-0001-7558-8783</t>
  </si>
  <si>
    <t>King Fahd University of Petroleum and Minerals Startup Grant [SF21011]</t>
  </si>
  <si>
    <t>King Fahd University of Petroleum and Minerals Startup Grant</t>
  </si>
  <si>
    <t>This work was supported in part by the King Fahd University of Petroleum and Minerals Startup Grant SF21011.</t>
  </si>
  <si>
    <t>10.1109/ACCESS.2023.3291620</t>
  </si>
  <si>
    <t>M2YI5</t>
  </si>
  <si>
    <t>WOS:001028882200001</t>
  </si>
  <si>
    <t>Ling, XF; Zhu, Y; Liu, W; Liang, JX; Yang, J</t>
  </si>
  <si>
    <t>Ling, Xufeng; Zhu, Yu; Liu, Wei; Liang, Jingxin; Yang, Jie</t>
  </si>
  <si>
    <t>The Generation of Articulatory Animations Based on Keypoint Detection and Motion Transfer Combined with Image Style Transfer</t>
  </si>
  <si>
    <t>computing methodologies; artificial intelligence; machine learning</t>
  </si>
  <si>
    <t>Knowing the correct positioning of the tongue and mouth for pronunciation is crucial for learning English pronunciation correctly. Articulatory animation is an effective way to address the above task and helpful to English learners. However, articulatory animations are all traditionally hand-drawn. Different situations require varying animation styles, so a comprehensive redraw of all the articulatory animations is necessary. To address this issue, we developed a method for the automatic generation of articulatory animations using a deep learning system. Our method leverages an automatic keypoint-based detection network, a motion transfer network, and a style transfer network to generate a series of articulatory animations that adhere to the desired style. By inputting a target-style articulation image, our system is capable of producing animations with the desired characteristics. We created a dataset of articulation images and animations from public sources, including the International Phonetic Association (IPA), to establish our articulation image animation dataset. We performed preprocessing on the articulation images by segmenting them into distinct areas each corresponding to a specific articulatory part, such as the tongue, upper jaw, lower jaw, soft palate, and vocal cords. We trained a deep neural network model capable of automatically detecting the keypoints in typical articulation images. Also, we trained a generative adversarial network (GAN) model that can generate end-to-end animation of different styles automatically from the characteristics of keypoints and the learned image style. To train a relatively robust model, we used four different style videos: one magnetic resonance imaging (MRI) articulatory video and three hand-drawn videos. For further applications, we combined the consonant and vowel animations together to generate a syllable animation and the animation of a word consisting of many syllables. Experiments show that this system can auto-generate articulatory animations according to input phonetic symbols and should be helpful to people for English articulation correction.</t>
  </si>
  <si>
    <t>[Ling, Xufeng; Liu, Wei; Liang, Jingxin] Shanghai Normal Univ, Tianhua Coll, AI Sch, 1661 North Sheng Xin Rd, Shanghai 201815, Peoples R China; [Zhu, Yu] Inst Sci &amp; Tech Informat Shanghai, Shanghai Lib, 1555 West Huaihai Rd, Shanghai 200030, Peoples R China; [Yang, Jie] Shanghai Jiao Tong Univ, Inst Image Proc &amp; Pattern Recognit, 800 Dongchuan Rd, Shanghai 200240, Peoples R China</t>
  </si>
  <si>
    <t>Shanghai Normal University; Shanghai Jiao Tong University</t>
  </si>
  <si>
    <t>Yang, J (corresponding author), Shanghai Jiao Tong Univ, Inst Image Proc &amp; Pattern Recognit, 800 Dongchuan Rd, Shanghai 200240, Peoples R China.</t>
  </si>
  <si>
    <t>lxf1131@sthu.edu.cn; yuzhu@libnet.sh.cn; lw2091@sthu.edu.cn; ljx2665@sthu.edu.cn; jieyang@sjtu.edu.cn</t>
  </si>
  <si>
    <t>Ling, Xufeng/0000-0001-5217-3614</t>
  </si>
  <si>
    <t>National Natural Science Foundation of China [42075134]</t>
  </si>
  <si>
    <t>This research was supported by the National Natural Science Foundation of China, ID. 42075134.</t>
  </si>
  <si>
    <t>10.3390/computers12080150</t>
  </si>
  <si>
    <t>Q5BH6</t>
  </si>
  <si>
    <t>WOS:001057666300001</t>
  </si>
  <si>
    <t>Huang, F</t>
  </si>
  <si>
    <t>Huang, Fang</t>
  </si>
  <si>
    <t>Examining Foreign Language Teachers' Information Literacy: Do Digital Nativity, Technology Training, and Fatigue Matter?</t>
  </si>
  <si>
    <t>ASIA-PACIFIC EDUCATION RESEARCHER</t>
  </si>
  <si>
    <t>Information literacy; Chinese foreign language teachers; Digital nativity; Technology training; Fatigue</t>
  </si>
  <si>
    <t>PEDAGOGICAL CONTENT KNOWLEDGE; SOCIAL SUPPORT; BURNOUT; VALIDATION</t>
  </si>
  <si>
    <t>Given the inadequate empirical research on teachers' information literacy, this study examined Chinese university foreign language teachers' information literacy and explored factors that influence their information literacy. Analyses of data collected through questionnaires suggested university Chinese foreign language teachers perceived positively in their information literacy and among the five dimensions of information literacy, information ethics achieved the highest score, followed by information attitude, information awareness, information knowledge, and information competence. The results from the structural equation modeling (SEM) analysis indicated that Chinese foreign language teachers' information literacy was significantly associated with their perceptions of digital nativity and technology training effectiveness, but the impact of fatigue on information literacy did not reach a significant level. Digital nativity significantly influenced teachers' perceptions of technology training effectiveness. The research model explained 63% of the variance of information literacy. This study highlighted the importance of digital nativity and effective technology training to improve teachers' information literacy and adoption of technology in foreign language teaching.</t>
  </si>
  <si>
    <t>[Huang, Fang] Shanghai Int Studies Univ, Sch Educ, Key Lab Multilingual Educ AI, Shanghai, Peoples R China</t>
  </si>
  <si>
    <t>Shanghai International Studies University</t>
  </si>
  <si>
    <t>Huang, F (corresponding author), Shanghai Int Studies Univ, Sch Educ, Key Lab Multilingual Educ AI, Shanghai, Peoples R China.</t>
  </si>
  <si>
    <t>huang311fang@163.com</t>
  </si>
  <si>
    <t>Huang, Fang/0000-0001-6706-8251</t>
  </si>
  <si>
    <t>Shanghai International Studies University [23ZD010]</t>
  </si>
  <si>
    <t>This project was funded by the grant Research on Foreign Language Teaching in the Context of Generative Artificial Intelligence Development of Shanghai International Studies University (Project Number: 23ZD010).</t>
  </si>
  <si>
    <t>0119-5646</t>
  </si>
  <si>
    <t>2243-7908</t>
  </si>
  <si>
    <t>ASIA-PAC EDUC RES</t>
  </si>
  <si>
    <t>Asia-Pac. Educ. Res.</t>
  </si>
  <si>
    <t>2023 DEC 27</t>
  </si>
  <si>
    <t>10.1007/s40299-023-00797-z</t>
  </si>
  <si>
    <t>DJ2Q4</t>
  </si>
  <si>
    <t>WOS:001131606800001</t>
  </si>
  <si>
    <t>Zhang, S; Wang, SZ; Wang, X; Zhang, SG; Miao, H; Zhu, JX</t>
  </si>
  <si>
    <t>Zhang, Sen; Wang, Senzhang; Wang, Xiang; Zhang, Shigeng; Miao, Hao; Zhu, Junxing</t>
  </si>
  <si>
    <t>Multi-task Adversarial Learning for Semi-supervised Trajectory-User Linking</t>
  </si>
  <si>
    <t>MACHINE LEARNING AND KNOWLEDGE DISCOVERY IN DATABASES, ECML PKDD 2022, PT IV</t>
  </si>
  <si>
    <t>Trajectory completion; Trajectory-user linking; Adversarial learning; Multi-task learning</t>
  </si>
  <si>
    <t>Trajectory-User Linking (TUL), which aims to link the trajectories to the users who have generated them, is critically important to many real applications. Existing approaches generally consider TUL as a supervised learning problem which requires a large number of labeled trajectory-user pairs. However, in real scenarios users may not be willing to make their identities publicly available due to data privacy concerns, leading to the scarcity of labeled trajectory-user pairs. In addition, the trajectory data are usually sparse as users will not always check-in when they go to POIs. To address these issues, in this paper we propose a multi-task adversarial learning model named TULMAL for semi-supervised TUL with spare trajectory data. Specifically, TULMAL first conducts sparse trajectory completion through a proposed seq2seq model. Kalman filter is also coupled into the decoder of the seq2seq model to calibrate the generated new locations. The completed trajectories are next input into a generative adversarial learning model for semi-supervised TUL. The insight is that we consider all the users and their trajectories as a whole and perform TUL in the data distribution level. We first project users and trajectories into the common latent feature space through learning a projection function (generator) to minimize the distance between the user distribution and the trajectory distribution. Then each unlabeled trajectory will be linked to the user who is closest to it in the latent feature space without much guidance of labels. The two tasks are jointly conducted and optimized under amulti-task learning framework. Extensive experimental results on two real-world trajectory datasets demonstrate the superiority of our proposal by comparison with existing approaches.</t>
  </si>
  <si>
    <t>[Zhang, Sen] Nanjing Univ Aeronaut &amp; Astronaut, Nanjing, Peoples R China; [Zhang, Sen; Wang, Senzhang] Nanjing Univ Aeronaut &amp; Astronaut, Shenzhen Res Inst, Shenzhen, Peoples R China; [Wang, Senzhang; Zhang, Shigeng] Cent South Univ, Changsha, Peoples R China; [Wang, Xiang; Zhu, Junxing] Natl Univ Def Technol, Changsha, Peoples R China; [Miao, Hao] Aalborg Univ, Aalborg, Denmark</t>
  </si>
  <si>
    <t>Nanjing University of Aeronautics &amp; Astronautics; Nanjing University of Aeronautics &amp; Astronautics; Central South University; National University of Defense Technology - China; Aalborg University</t>
  </si>
  <si>
    <t>Wang, X (corresponding author), Natl Univ Def Technol, Changsha, Peoples R China.</t>
  </si>
  <si>
    <t>zhangsen@nuaa.edu.cn; szwang@csu.edu.cn; xiangwangcn@nudt.edu.cn; sgzhang@csu.edu.cn; haom@cs.aau.dk; zhujunxing@nudt.edu.cn</t>
  </si>
  <si>
    <t>Li, Kexin/KAO-2519-2024; Zhang, Chi/JSK-0744-2023; Wang, Ying/HJI-2509-2023</t>
  </si>
  <si>
    <t>National Science Foundation of China [62172443, 61802424]; Guangdong Basic and Applied Basic Research Foundation [20 21A1515012239]; Fundamental Research Funds for the Central Universities [NZ2020014]; CAAI-Huawei MindSpore Open Fund</t>
  </si>
  <si>
    <t>National Science Foundation of China(National Natural Science Foundation of China (NSFC)); Guangdong Basic and Applied Basic Research Foundation; Fundamental Research Funds for the Central Universities(Fundamental Research Funds for the Central Universities); CAAI-Huawei MindSpore Open Fund</t>
  </si>
  <si>
    <t>This research was funded by National Science Foundation of China (No. 62172443 and 61802424), Guangdong Basic and Applied Basic Research Foundation (No.20 21A1515012239), CAAI-Huawei MindSpore Open Fund and the Fundamental Research Funds for the Central Universities (No.: NZ2020014).</t>
  </si>
  <si>
    <t>978-3-031-26411-5; 978-3-031-26412-2</t>
  </si>
  <si>
    <t>10.1007/978-3-031-26412-2_26</t>
  </si>
  <si>
    <t>BV1UE</t>
  </si>
  <si>
    <t>WOS:000999043700026</t>
  </si>
  <si>
    <t>Yu, ZQ; Han, XY; Zhang, SJ; Feng, JF; Peng, TY; Zhang, XY</t>
  </si>
  <si>
    <t>Yu, Ziqi; Han, Xiaoyang; Zhang, Shengjie; Feng, Jianfeng; Peng, Tingying; Zhang, Xiao-Yong</t>
  </si>
  <si>
    <t>MouseGAN plus plus : Unsupervised Disentanglement and Contrastive Representation for Multiple MRI Modalities Synthesis and Structural Segmentation of Mouse Brain</t>
  </si>
  <si>
    <t>Image segmentation; Mice; Magnetic resonance imaging; Task analysis; Training; Periodic structures; Brain modeling; Segmentation; mouse brain; MRI; generative adversarial network; disentangled representations</t>
  </si>
  <si>
    <t>IMAGE</t>
  </si>
  <si>
    <t>Segmenting the fine structure of the mouse brain on magnetic resonance (MR) images is critical for delineating morphological regions, analyzing brain function, and understanding their relationships. Compared to a single MRI modality, multimodal MRI data provide complementary tissue features that can be exploited by deep learning models, resulting in better segmentation results. However, multimodal mouse brain MRI data is often lacking, making automatic segmentation of mouse brain fine structure a very challenging task. To address this issue, it is necessary to fuse multimodal MRI data to produce distinguished contrasts in different brain structures. Hence, we propose a novel disentangled and contrastive GAN-based framework, named MouseGAN++, to synthesize multiple MR modalities from single ones in a structure-preserving manner, thus improving the segmentation performance by imputing missing modalities and multi-modality fusion. Our results demonstrate that the translation performance of our method outperforms the state-of-the-art methods. Using the subsequently learned modality-invariant information as well as the modality-translated images, MouseGAN++ can segment fine brain structures with averaged dice coefficients of 90.0% (T2w) and 87.9% (T1w), respectively, achieving around +10% performance improvement compared to the state-of-the-art algorithms. Our results demonstrate that MouseGAN++, as a simultaneous image synthesis and segmentation method, can be used to fuse cross-modality information in an unpaired manner and yield more robust performance in the absence of multimodal data. We release our method as a mouse brain structural segmentation tool for free academic usage at https://github.com/yu02019.</t>
  </si>
  <si>
    <t>[Yu, Ziqi; Han, Xiaoyang; Zhang, Shengjie; Feng, Jianfeng; Zhang, Xiao-Yong] Fudan Univ, Inst Sci &amp; Technol Brain Inspired Intelligence, Shanghai 200433, Peoples R China; [Yu, Ziqi; Han, Xiaoyang; Zhang, Shengjie; Feng, Jianfeng; Zhang, Xiao-Yong] Fudan Univ, MOE Key Lab Computat Neurosci &amp; Brain Inspired Int, Shanghai 200433, Peoples R China; [Yu, Ziqi; Han, Xiaoyang; Zhang, Shengjie; Feng, Jianfeng; Zhang, Xiao-Yong] Fudan Univ, MOE Frontiers Ctr Brain Sci, Shanghai 200433, Peoples R China; [Peng, Tingying] Helmholtz Zentrum Muenchen, Helmholtz AI Cent Unit, D-85764 Munich, Germany</t>
  </si>
  <si>
    <t>Fudan University; Fudan University; Fudan University; Helmholtz Association; Helmholtz-Center Munich - German Research Center for Environmental Health</t>
  </si>
  <si>
    <t>Zhang, XY (corresponding author), Fudan Univ, Inst Sci &amp; Technol Brain Inspired Intelligence, Shanghai 200433, Peoples R China.;Zhang, XY (corresponding author), Fudan Univ, MOE Key Lab Computat Neurosci &amp; Brain Inspired Int, Shanghai 200433, Peoples R China.;Zhang, XY (corresponding author), Fudan Univ, MOE Frontiers Ctr Brain Sci, Shanghai 200433, Peoples R China.</t>
  </si>
  <si>
    <t>19110850013@fudan.edu.cn; 19210850011@fudan.edu.cn; zsjxll@gmail.com; jianfeng64@gmail.com; peng@helmholtz-muenchen.de; xiaoyong_zhang@fudan.edu.cn</t>
  </si>
  <si>
    <t>Zhang, Xiao-Yong/I-1438-2019; Yu, Ziqi/ABA-8571-2020</t>
  </si>
  <si>
    <t>Zhang, Xiao-Yong/0000-0001-8965-1077; Yu, Ziqi/0000-0001-6740-6433; Han, Xiaoyang/0000-0002-3007-6079; Zhang, Shengjie/0000-0002-0829-0124</t>
  </si>
  <si>
    <t>National Natural Science Foundation of China [81873893, 82171903, 92043301]; Shanghai Municipal Science and Technology Major Project [2018SHZDZX01]; ZJLab; Natural Science Foundation of Shanghai [20ZR1407800]</t>
  </si>
  <si>
    <t>National Natural Science Foundation of China(National Natural Science Foundation of China (NSFC)); Shanghai Municipal Science and Technology Major Project; ZJLab; Natural Science Foundation of Shanghai(Natural Science Foundation of Shanghai)</t>
  </si>
  <si>
    <t>This work was supported in part by the National Natural Science Foundation of China under Grant 81873893, Grant 82171903, and Grant 92043301; in part by the Shanghai Municipal Science and Technology Major Project under Grant 2018SHZDZX01; in part by ZJLab; and in part by the Natural Science Foundation of Shanghai under Grant 20ZR1407800.</t>
  </si>
  <si>
    <t>10.1109/TMI.2022.3225528</t>
  </si>
  <si>
    <t>C9AO9</t>
  </si>
  <si>
    <t>WOS:000964765000025</t>
  </si>
  <si>
    <t>Drefs, J; Guiraud, E; Panagiotou, F; Lücke, J</t>
  </si>
  <si>
    <t>Drefs, Jakob; Guiraud, Enrico; Panagiotou, Filippos; Luecke, Joerg</t>
  </si>
  <si>
    <t>Direct Evolutionary Optimization of Variational Autoencoders with Binary Latents</t>
  </si>
  <si>
    <t>Variational autoencoder; Evolutionary optimization; Sparse encoding; Variational optimization; Binary latents</t>
  </si>
  <si>
    <t>SPARSE; MODELS</t>
  </si>
  <si>
    <t>Many types of data are generated at least partly by discrete causes. Deep generative models such as variational autoencoders (VAEs) with binary latents consequently became of interest. Because of discrete latents, standard VAE training is not possible, and the goal of previous approaches has therefore been to amend (i.e, typically anneal) discrete priors to allow for a training analogously to conventional VAEs. Here, we divert more strongly from conventional VAE optimization: We ask if the discrete nature of the latents can be fully maintained by applying a direct, discrete optimization for the encoding model. In doing so, we sidestep standard VAE mechanisms such as sampling approximation, reparameterization and amortization. Direct optimization of VAEs is enabled by a combination of evolutionary algorithms and truncated posteriors as variational distributions. Such a combination has recently been suggested, and we here for the first time investigate how it can be applied to a deep model. Concretely, we (A) tie the variational method into gradient ascent for network weights, and (B) show how the decoder is used for the optimization of variational parameters. Using image data, we observed the approach to result in much sparser codes compared to conventionally trained binary VAEs. Considering the for sparse codes prototypical application to image patches, we observed very competitive performance in tasks such as `zero-shot' denoising and inpainting. The dense codes emerging from conventional VAE optimization, on the other hand, seem preferable on other data, e.g., collections of images of whole single objects (CIFAR etc.), but less preferable for image patches. More generally, the realization of a very different type of optimization for binary VAEs allows for investigating advantages and disadvantages of the training method itself. And we here observed a strong influence of the method on the learned encoding with significant impact on VAE performance for different tasks.</t>
  </si>
  <si>
    <t>[Drefs, Jakob; Panagiotou, Filippos; Luecke, Joerg] Carl von Ossietzky Univ Oldenburg, Machine Learning Lab, D-26129 Oldenburg, Germany; [Guiraud, Enrico] CERN, CH-1211 Geneva, Switzerland</t>
  </si>
  <si>
    <t>Carl von Ossietzky Universitat Oldenburg; European Organization for Nuclear Research (CERN)</t>
  </si>
  <si>
    <t>Drefs, J (corresponding author), Carl von Ossietzky Univ Oldenburg, Machine Learning Lab, D-26129 Oldenburg, Germany.;Guiraud, E (corresponding author), CERN, CH-1211 Geneva, Switzerland.</t>
  </si>
  <si>
    <t>jakob.drefs@uol.de; enrico.guiraud@cern.ch; filippos.panagiotou@uol.de; joerg.luecke@uol.de</t>
  </si>
  <si>
    <t>German Research Foundation (DFG) [SFB 1330/12, 352015383, EXC 2177/1, 390895286, INST184/157-1 FUGG]; German Federal Ministry of Education and Research (BMBF) through aWolfgang Gentner scholarship [ID13E18CHA]; HLRN Alliance [nim00006]</t>
  </si>
  <si>
    <t>German Research Foundation (DFG)(German Research Foundation (DFG)); German Federal Ministry of Education and Research (BMBF) through aWolfgang Gentner scholarship(Federal Ministry of Education &amp; Research (BMBF)); HLRN Alliance</t>
  </si>
  <si>
    <t>We acknowledge funding by the German Research Foundation (DFG) under grant SFB 1330/1&amp;2 (B2), ID 352015383 (JD), and the H4a cluster of excellence EXC 2177/1, ID 390895286 (JL), and by the German Federal Ministry of Education and Research (BMBF) through aWolfgang Gentner scholarship (awarded to EG, ID13E18CHA). Furthermore, computing infrastructure support is acknowledged through the HPC Cluster CARL at UOL (DFG, grant INST184/157-1 FUGG) and the HLRN Alliance, grant ID nim00006.</t>
  </si>
  <si>
    <t>10.1007/978-3-031-26409-2_22</t>
  </si>
  <si>
    <t>WOS:000999043300022</t>
  </si>
  <si>
    <t>Liu, CC; Cui, ZX; Jia, S; Cheng, J; Cao, CT; Guo, YF; Zhu, YJ; Liang, D; Wang, HF</t>
  </si>
  <si>
    <t>Liu, Congcong; Cui, Zhuo-Xu; Jia, Sen; Cheng, Jing; Cao, Chentao; Guo, Yifan; Zhu, Yanjie; Liang, Dong; Wang, Haifeng</t>
  </si>
  <si>
    <t>Accelerated submillimeter wave-encoded magnetic resonance imaging via deep untrained neural network</t>
  </si>
  <si>
    <t>magnetic resonance imaging; parallel imaging; reconstruction</t>
  </si>
  <si>
    <t>PARALLEL MRI; RECONSTRUCTION; CAIPI; SENSE; OPTIMIZATION; ACQUISITION; MODELS</t>
  </si>
  <si>
    <t>BackgroundWave gradient encoding can adequately utilize coil sensitivity profiles to facilitate higher accelerations in parallel magnetic resonance imaging (pMRI). However, there are limitations in mainstream pMRI and a few deep learning (DL) methods for recovering missing data under wave encoding framework: the former is prone to introduce errors from the auto-calibration signals (ACS) signal acquisition and is time-consuming, while the latter requires a large amount of training data. PurposeTo tackle the above issues, an untrained neural network (UNN) model incorporating wave-encoded physical properties and deep generative model, named WDGM, was proposed with additional ACS- and training data-free. MethodsGenerally, the proposed method can provide powerful missing data interpolation capability using the wave physical encoding framework and designed UNN to characterize the MR image (k-space data) priors. Specifically, the MRI reconstruction combining physical wave encoding and elaborate UNN is modeled as a generalized minimization problem. The designation of UNN is driven by the coil sensitivity maps (CSM) smoothness and k-space linear predictability. And then, the iterative paradigm to recover the full k-space signal is determined by the projected gradient descent, and the complex computation is unrolled to the network with optimized parameters by the optimizer. Simulated wave encoding and in vivo experiments are exploited to demonstrate the feasibility of the proposed method. The best quantitative metrics RMSE/SSIM/PSNR of 0.0413, 0.9514, and 37.4862 gave competitive results in all experiments with at least six-fold acceleration, respectively. ResultsIn vivo experiments of human brains and knees showed that the proposed method can achieve comparable reconstruction quality and even has superiority relative to the comparison, especially at a high resolution of 0.67 mm and fewer ACS. In addition, the proposed method has a higher computational efficiency achieving a computation time of 9.6 s/per slice. ConclusionsThe model proposed in this work addresses two limitations of MRI reconstruction in the wave encoding framework. The first is to eliminate the need for ACS signal acquisition to perform the time-consuming calibration process and to avoid errors such as motion during the acquisition procedure. Furthermore, the proposed method has clinical application friendly without the need to prepare large training datasets, which is difficult in the clinical. All results of the proposed method demonstrate more confidence in both quantitative and qualitative metrics. In addition, the proposed method can achieve higher computational efficiency.</t>
  </si>
  <si>
    <t>[Liu, Congcong; Jia, Sen; Cheng, Jing; Cao, Chentao; Zhu, Yanjie; Liang, Dong; Wang, Haifeng] Chinese Acad Sci, Shenzhen Inst Adv Technol, Paul C Lauterbur Res Ctr Biomed Imaging, Shenzhen, Peoples R China; [Liu, Congcong; Cao, Chentao; Zhu, Yanjie; Liang, Dong; Wang, Haifeng] Univ Chinese Acad Sci, Beijing, Peoples R China; [Cui, Zhuo-Xu; Guo, Yifan; Liang, Dong] Chinese Acad Sci, Shenzhen Inst Adv Technol, Res Ctr Med AI, Shenzhen, Peoples R China</t>
  </si>
  <si>
    <t>Chinese Academy of Sciences; Shenzhen Institute of Advanced Technology, CAS; Chinese Academy of Sciences; University of Chinese Academy of Sciences, CAS; Chinese Academy of Sciences; Shenzhen Institute of Advanced Technology, CAS</t>
  </si>
  <si>
    <t>Liang, D; Wang, HF (corresponding author), Chinese Acad Sci, Shenzhen Inst Adv Technol, Paul C Lauterbur Res Ctr Biomed Imaging, Shenzhen, Peoples R China.;Liang, D; Wang, HF (corresponding author), Univ Chinese Acad Sci, Beijing, Peoples R China.;Liang, D (corresponding author), Chinese Acad Sci, Shenzhen Inst Adv Technol, Res Ctr Med AI, Shenzhen, Peoples R China.</t>
  </si>
  <si>
    <t>dong.liang@siat.ac.cn; hf.wang1@siat.ac.cn</t>
  </si>
  <si>
    <t>Shi, Yaolin/JXN-8322-2024; zhang, lm/JWP-8874-2024; Cao, Chentao/HNB-3678-2023; liu, jingwen/JQW-9270-2023</t>
  </si>
  <si>
    <t>National Natural Science Foundation of China [61871373, 62271474, 81830056, 61771463, U1805261, 81729003, 81901736, 62106252, 81971611]; Strategic Priority Research Program of Chinese Academy of Science [XDB25000000, XDC07040000]; High-level Talent Program in Pearal River Talent Plant of Guangdong Province [2019QN01Y986]; Key Laboratory for Magnetic Resonance and Multimodality Imaging of Guangdong Province [2020B1212060051]; Science and Technology Plan Program of Guangzhou [202007030002]; Shenzhen Science and Technology Program [KQTD20180413181834876, KCXF20211020163408012, JCYJ20210324115810030]</t>
  </si>
  <si>
    <t>National Natural Science Foundation of China(National Natural Science Foundation of China (NSFC)); Strategic Priority Research Program of Chinese Academy of Science; High-level Talent Program in Pearal River Talent Plant of Guangdong Province; Key Laboratory for Magnetic Resonance and Multimodality Imaging of Guangdong Province; Science and Technology Plan Program of Guangzhou; Shenzhen Science and Technology Program</t>
  </si>
  <si>
    <t>National Natural Science Foundation of China, Grant/Award Numbers: 61871373, 62271474, 81830056, 61771463, U1805261, 81729003,81901736,62106252, 81971611; Strategic Priority Research Program of Chinese Academy of Science, Grant/Award Numbers: XDB25000000, XDC07040000; High-level Talent Program in Pearal River Talent Plant of Guangdong Province, Grant/Award Number: 2019QN01Y986; Key Laboratory for Magnetic Resonance and Multimodality Imaging of Guangdong Province, Grant/Award Number: 2020B1212060051; Science and Technology Plan Program of Guangzhou, Grant/Award Number: 202007030002; Shenzhen Science and Technology Program, Grant/Award Numbers: KQTD20180413181834876, KCXF20211020163408012, JCYJ20210324115810030</t>
  </si>
  <si>
    <t>10.1002/mp.16425</t>
  </si>
  <si>
    <t>GP7W2</t>
  </si>
  <si>
    <t>WOS:000971642300001</t>
  </si>
  <si>
    <t>Chen, T; Matejek, B; Mitzenmacher, M; Tsourakakis, CE</t>
  </si>
  <si>
    <t>Chen, Tianyi; Matejek, Brian; Mitzenmacher, Michael; Tsourakakis, Charalampos E.</t>
  </si>
  <si>
    <t>Algorithmic Tools for Understanding the Motif Structure of Networks</t>
  </si>
  <si>
    <t>Motifs; Graph mining; Statistical significance; Anomaly detection</t>
  </si>
  <si>
    <t>GRAPHS</t>
  </si>
  <si>
    <t>Motifs are small subgraph patterns that play a key role towards understanding the structure and the function of biological and social networks. The current de facto approach towards assessing the statistical significance of a motif M relies on counting its occurrences across the network, and comparing that count to its expected count under some null generative model. This approach can be misleading due to combinatorial artifacts. That is, there may be a large count for a motif due to multiple copies sharing many vertices and edges connected to a subgraph, such as a clique, that completes the multiple copies of the motif. In this work we introduce the novel concept of an (f, q)-spanning motif. A motif M is (f, q)-spanning if there exists a q-fraction of the nodes that induces an f-fraction of the occurrences of M in G. Intuitively, when f is close to 1, and q close to 0, most of the occurrences of M are localized in a small set of nodes, and thus its statistical significance is likely to be due to a combinatorial artifact. We propose efficient heuristics for finding the maximum f for a given q and minimum q for a given f for which a motif is (f, q)-spanning and evaluate them on real-world datasets. Our methods successfully identify combinatorial artifacts that otherwise go undetected using the standard approach for assessing statistical significance. Finally, we leverage the motif structure of a network to design MOTIF-SCOPE, an algorithm that takes as input a graph and two motifs M-1, M-2, and finds subgraphs of the graph where M-1, M-2 occur infrequently and frequently respectively. We show that a good selection of M-1, M-2 allows us to find anomalies in large networks, including bipartite cliques in social graphs, and subgraphs rated with distrust in Bitcoin markets.</t>
  </si>
  <si>
    <t>[Chen, Tianyi; Tsourakakis, Charalampos E.] Boston Univ, Boston, MA 02215 USA; [Matejek, Brian; Mitzenmacher, Michael; Tsourakakis, Charalampos E.] Harvard Univ, Cambridge, MA 02138 USA; [Matejek, Brian] SRI Int, Comp Sci Lab, Washington, DC USA; [Tsourakakis, Charalampos E.] ISI Fdn, Turin, Italy</t>
  </si>
  <si>
    <t>Boston University; Harvard University; SRI International</t>
  </si>
  <si>
    <t>Tsourakakis, CE (corresponding author), Boston Univ, Boston, MA 02215 USA.;Tsourakakis, CE (corresponding author), Harvard Univ, Cambridge, MA 02138 USA.;Tsourakakis, CE (corresponding author), ISI Fdn, Turin, Italy.</t>
  </si>
  <si>
    <t>tsourolampis@gmail.com</t>
  </si>
  <si>
    <t>10.1007/978-3-031-26390-3_1</t>
  </si>
  <si>
    <t>WOS:000999041300001</t>
  </si>
  <si>
    <t>Yoshimura, T; Nishioka, K; Hashimoto, T; Mori, T; Kogame, S; Seki, K; Sugimori, H; Yamashina, H; Nomura, Y; Kato, F; Kudo, K; Shimizu, S; Aoyama, H</t>
  </si>
  <si>
    <t>Yoshimura, Takaaki; Nishioka, Kentaro; Hashimoto, Takayuki; Mori, Takashi; Kogame, Shoki; Seki, Kazuya; Sugimori, Hiroyuki; Yamashina, Hiroko; Nomura, Yusuke; Kato, Fumi; Kudo, Kohsuke; Shimizu, Shinichi; Aoyama, Hidefumi</t>
  </si>
  <si>
    <t>Prostatic urinary tract visualization with super-resolution deep learning models</t>
  </si>
  <si>
    <t>RADIOTHERAPY; THERAPY; URETHRA; CANCER</t>
  </si>
  <si>
    <t>In urethra-sparing radiation therapy, prostatic urinary tract visualization is important in decreasing the urinary side effect. A methodology has been developed to visualize the prostatic urinary tract using post-urination magnetic resonance imaging (PU-MRI) without a urethral catheter. This study investigated whether the combination of PU-MRI and super-resolution (SR) deep learning models improves the visibility of the prostatic urinary tract. We enrolled 30 patients who had previously undergone real-time-image-gated spot scanning proton therapy by insertion of fiducial markers. PU-MRI was performed using a non-contrast high-resolution two-dimensional T2-weighted turbo spin-echo imaging sequence. Four different SR deep learning models were used: the enhanced deep SR network (EDSR), widely activated SR network (WDSR), SR generative adversarial network (SRGAN), and residual dense network (RDN). The complex wavelet structural similarity index measure (CW-SSIM) was used to quantitatively assess the performance of the proposed SR images compared to PU-MRI. Two radiation oncologists used a 1-to-5 scale to subjectively evaluate the visibility of the prostatic urinary tract. Cohen's weighted kappa (k) was used as a measure of agreement of inter-operator reliability. The mean CW-SSIM in EDSR, WDSR, SRGAN, and RDN was 99.86%, 99.89%, 99.30%, and 99.67%, respectively. The mean prostatic urinary tract visibility scores of the radiation oncologists were 3.70 and 3.53 for PU-MRI (k = 0.93), 3.67 and 2.70 for EDSR (k = 0.89), 3.70 and 2.73 for WDSR (k = 0.88), 3.67 and 2.73 for SRGAN (k = 0.88), and 4.37 and 3.73 for RDN (k = 0.93), respectively. The results suggest that SR images using RDN are similar to the original images, and the SR deep learning models subjectively improve the visibility of the prostatic urinary tract.</t>
  </si>
  <si>
    <t>[Yoshimura, Takaaki] Hokkaido Univ, Fac Hlth Sci, Dept Hlth Sci &amp; Technol, Sapporo, Japan; [Yoshimura, Takaaki; Shimizu, Shinichi] Hokkaido Univ Hosp, Dept Med Phys, Sapporo, Japan; [Nishioka, Kentaro; Hashimoto, Takayuki; Shimizu, Shinichi] Hokkaido Univ, Fac Med, Dept Radiat Med Sci &amp; Engn, Sapporo, Japan; [Mori, Takashi] Hokkaido Univ Hosp, Dept Radiat Oncol, Sapporo, Japan; [Kogame, Shoki; Seki, Kazuya] Hokkaido Univ, Sch Med, Dept Hlth Sci, Div Radiol Sci &amp; Technol, Sapporo, Japan; [Sugimori, Hiroyuki; Yamashina, Hiroko] Hokkaido Univ, Fac Hlth Sci, Dept Biomed Sci &amp; Engn, Sapporo, Japan; [Sugimori, Hiroyuki] Hokkaido Univ, Fac Med, Clin AI Human Resources Dev Program, Sapporo, Japan; [Nomura, Yusuke] Stanford Univ, Dept Radiat oncol, Stanford, CA USA; [Nomura, Yusuke] Hokkaido Univ, Fac Med, Global Ctr Biomed Sci &amp; Engn, Sapporo, Japan; [Kato, Fumi] Hokkaido Univ Hosp, Dept Diagnost &amp; Intervent Radiol, Sapporo, Japan; [Kudo, Kohsuke] Hokkaido Univ, Fac Med, Dept Diagnost Imaging, Sapporo, Japan; [Aoyama, Hidefumi] Hokkaido Univ, Fac Med, Dept Radiat Oncol, Sapporo, Japan</t>
  </si>
  <si>
    <t>Hokkaido University; Hokkaido University; Hokkaido University; Hokkaido University; Hokkaido University; Hokkaido University; Hokkaido University; Stanford University; Hokkaido University; Hokkaido University; Hokkaido University; Hokkaido University</t>
  </si>
  <si>
    <t>Hashimoto, T (corresponding author), Hokkaido Univ, Fac Med, Dept Radiat Med Sci &amp; Engn, Sapporo, Japan.</t>
  </si>
  <si>
    <t>thashimoto@med.hokudai.ac.jp</t>
  </si>
  <si>
    <t>SUGIMORI, Hiroyuki/L-9724-2019; Nomura, Yusuke/AAS-7260-2020; Aoyama, Hidefumi/D-3635-2016; Kato, Fumi/A-5319-2012; Yoshimura, Takaaki/JGD-1996-2023; Nishioka, Kentaro/GVU-6369-2022</t>
  </si>
  <si>
    <t>SUGIMORI, Hiroyuki/0000-0002-7796-5113; Nomura, Yusuke/0000-0002-2180-568X; Nishioka, Kentaro/0000-0002-8272-7603; Yamashina, Hiroko/0000-0003-1357-0873</t>
  </si>
  <si>
    <t>Japan Society for the Promotion of Science (JSPS) KAKENHI [JP18K15577, JP22K15797]; Northern Advancement Center for Science &amp; Technology of Hokkaido, Japan</t>
  </si>
  <si>
    <t>Japan Society for the Promotion of Science (JSPS) KAKENHI(Ministry of Education, Culture, Sports, Science and Technology, Japan (MEXT)Japan Society for the Promotion of ScienceGrants-in-Aid for Scientific Research (KAKENHI)); Northern Advancement Center for Science &amp; Technology of Hokkaido, Japan</t>
  </si>
  <si>
    <t>This study was supported in part by Japan Society for the Promotion of Science (JSPS) KAKENHI (Grant Numbers: JP18K15577 and JP22K15797) and the Grants-in-Aid for Regional R&amp;D Proposal-Based Program from the Northern Advancement Center for Science &amp; Technology of Hokkaido, Japan. The funders had no role in study design, data collection and analysis, decision to publish, or preparation of the manuscript.</t>
  </si>
  <si>
    <t>e0280076</t>
  </si>
  <si>
    <t>10.1371/journal.pone.0280076</t>
  </si>
  <si>
    <t>9R2BW</t>
  </si>
  <si>
    <t>WOS:000945459800001</t>
  </si>
  <si>
    <t>Li, XF; Sun, QG; Jiao, LC; Liu, F; Liu, X; Li, LL; Chen, PH; Zuo, Y</t>
  </si>
  <si>
    <t>Li, Xiufang; Sun, Qigong; Jiao, Licheng; Liu, Fang; Liu, Xu; Li, Lingling; Chen, Puhua; Zuo, Yi</t>
  </si>
  <si>
    <t>D3K: Dynastic Data-Free Knowledge Distillation</t>
  </si>
  <si>
    <t>Generators; Data models; Knowledge engineering; Training data; Neural networks; Training; Task analysis; Dhash; dynastic network; image classification; generated data diversity; knowledge distillation</t>
  </si>
  <si>
    <t>Data-free knowledge distillation further broadens the applications of the distillation model. Nevertheless, the problem of providing diverse data with rich expression patterns needs to be further explored. In this paper, a novel dynastic data-free knowledge distillation ((DK)-K-3) model is proposed to alleviate this problem. In this model, a dynastic supernet generator (D-SG) with a flexible network structure is proposed to generate diverse data. The D-SG can adaptively alter architectural configurations and activate different subnet generators in different sequential iteration spaces. The variable network structure increases the complexity and capacity of the generator, and strengthens its ability to generate diversified data. In addition, a novel additive constraint based on the differentiable dhash (D-Dhash) is designed to guide the structure parameter selection of the D-SG. This constraint forces the D-SG to constantly jump out of the fixed generation mode and generate diverse data in semantics and instance. The effectiveness of the proposed model is verified on the experimental benchmark datasets (MNIST, CIFAR-10, CIFAR-100, and SVHN).</t>
  </si>
  <si>
    <t>[Li, Xiufang; Jiao, Licheng; Liu, Fang; Liu, Xu; Li, Lingling; Chen, Puhua; Zuo, Yi] Xidian Univ, Int Res Ctr Intelligent Percept &amp; Computat, Key Lab Intelligent Percept &amp; Image Understanding, Minist Educ, Xian 710071, Shaanxi, Peoples R China; [Sun, Qigong] SenseTime Res, Shanghai 200000, Peoples R China; [Sun, Qigong] Shanghai AI Lab, Shanghai 200000, Peoples R China</t>
  </si>
  <si>
    <t>Xidian University; Shanghai Artificial Intelligence Laboratory</t>
  </si>
  <si>
    <t>Jiao, LC (corresponding author), Xidian Univ, Int Res Ctr Intelligent Percept &amp; Computat, Key Lab Intelligent Percept &amp; Image Understanding, Minist Educ, Xian 710071, Shaanxi, Peoples R China.</t>
  </si>
  <si>
    <t>xfl_xidian@163.com; xd_qigongsun@163.com; lchjiao@mail.xidian.edu.cn; f63liu@163.com; xuliu361@163.com; llli@xidian.edu.cn; phchen@xidian.edu.can; yzuo_1@stu.xidian.edu.cn</t>
  </si>
  <si>
    <t>xiufang, Li/0000-0002-6908-0892</t>
  </si>
  <si>
    <t>Key Scientific Technological Innovation Research Project by Ministry of Education</t>
  </si>
  <si>
    <t>10.1109/TMM.2023.3236212</t>
  </si>
  <si>
    <t>CN3Z4</t>
  </si>
  <si>
    <t>WOS:001125902000050</t>
  </si>
  <si>
    <t>Pedwell, C</t>
  </si>
  <si>
    <t>Pedwell, Carolyn</t>
  </si>
  <si>
    <t>Intuition as a trained thing: sensing, thinking, and speculating in computational cultures</t>
  </si>
  <si>
    <t>SUBJECTIVITY</t>
  </si>
  <si>
    <t>Affect; Henri Bergson; Intuition; Lauren Berlant; Machine learning; Post-war genealogy</t>
  </si>
  <si>
    <t>What happens when intuition becomes algorithmic? This article explores how approaching intuition as recursively trained sheds light on what is at stake affectively, politically, and ethically in the entanglements of sensorial, cognitive, computational and corporate processes and (infra)structures that characterise algorithmic life. Bringing affect theory and speculative philosophies to bear on computational histories and cultures, I tease out the continuing implications of post-war efforts to make intuition a measurable and indexable mode of anticipatory knowledge. If digital computing pioneers tended to elide the more ambivalent implications of quantifying intuition, this article asks what computational myths are at play in current accounts of machine learning-enabled sensing, thinking, and speculating and what complexities or chaos are disavowed. I argue that an understanding of more-than-human intuition which grapples meaningfully with the indeterminacy central to digitally mediated social life must recognise that visceral response is recursively trained in multiple ways with diverse, and often contradictory, effects.</t>
  </si>
  <si>
    <t>[Pedwell, Carolyn] Univ Kent, Canterbury CT2 7NF, England</t>
  </si>
  <si>
    <t>University of Kent</t>
  </si>
  <si>
    <t>Pedwell, C (corresponding author), Univ Kent, Canterbury CT2 7NF, England.</t>
  </si>
  <si>
    <t>c.e.pedwell@kent.ac.uk</t>
  </si>
  <si>
    <t>Pedwell, Carolyn/0000-0003-4651-5766</t>
  </si>
  <si>
    <t>This work was supported by the Leverhulme Trust under Grant RF-2020-005\8: 'Digital Media and the Human: The Social Life of Software, AI and Algorithms'. Excellent research assistance by Sophie Rowlands and Ames Clark has been fundamental to this project. [RF-2020-005\8]; Leverhulme Trust; Human: The Social Life of Software, AI and Algorithms'</t>
  </si>
  <si>
    <t>This work was supported by the Leverhulme Trust under Grant RF-2020-005\8: 'Digital Media and the Human: The Social Life of Software, AI and Algorithms'. Excellent research assistance by Sophie Rowlands and Ames Clark has been fundamental to this project.; Leverhulme Trust(Leverhulme Trust); Human: The Social Life of Software, AI and Algorithms'</t>
  </si>
  <si>
    <t>This work was supported by the Leverhulme Trust under Grant RF-2020-005\8: 'Digital Media and the Human: The Social Life of Software, AI and Algorithms'. Excellent research assistance by Sophie Rowlands and Ames Clark has been fundamental to this project. Many thanks to the Editors and the anonymous reviewers for their exceptionally incisive feedback on this article, which improved it in significant ways. My gratitude also goes to Beckie Coleman, Dawn Lyon, and Greg Seigworth for their generous and generative comments throughout.</t>
  </si>
  <si>
    <t>1755-6341</t>
  </si>
  <si>
    <t>1755-635X</t>
  </si>
  <si>
    <t>Subjectivity</t>
  </si>
  <si>
    <t>10.1057/s41286-023-00170-x</t>
  </si>
  <si>
    <t>CM1M9</t>
  </si>
  <si>
    <t>WOS:001088497400002</t>
  </si>
  <si>
    <t>Batheja, S; Schopp, EM; Pappas, S; Ravuri, S; Persky, S</t>
  </si>
  <si>
    <t>Batheja, Sapna; Schopp, Emma M.; Pappas, Samantha; Ravuri, Siri; Persky, Susan</t>
  </si>
  <si>
    <t>Characterizing Precision Nutrition Discourse on Twitter: Quantitative Content Analysis</t>
  </si>
  <si>
    <t>nutrigenetics; nutrigenomics; precision nutrition; Twitter; credibility; misinformation; content analysis</t>
  </si>
  <si>
    <t>WEIGHT-LOSS; PERSONALIZED NUTRITION; ASSOCIATION; SCIENTISTS; OVERWEIGHT; MANAGEMENT; GENETICS; POSITION; GENES; DIET</t>
  </si>
  <si>
    <t>Background: It is possible that tailoring dietary approaches to an individual's genomic profile could provide optimal dietary inputs for biological functioning and support adherence to dietary management protocols. The science required for such nutrigenetic and nutrigenomic profiling is not yet considered ready for broad application by the scientific and medical communities; however, many personalized nutrition products are available in the marketplace, creating the potential for hype and misleading information on social media. Twitter provides a unique big data source that provides real-time information. Therefore, it has the potential to disseminate evidence-based health information, as well as misinformation. Objective: We sought to characterize the landscape of precision nutrition content on Twitter, with a specific focus on nutrigenetics and nutrigenomics. We focused on tweet authors, types of content, and presence of misinformation. Methods: Twitter Archiver was used to capture tweets from September 1, 2020, to December 1, 2020, using keywords related to nutrition and genetics. A random sample of tweets was coded using quantitative content analysis by 4 trained coders. Codebook-driven, quantified information about tweet authors, content details, information quality, and engagement metrics were compiled and analyzed. Results: The most common categories of tweets were precision nutrition products and nutrigenomic concepts. About a quarter (132/504, 26.2%) of tweet authors presented themselves as science experts, medicine experts, or both. Nutrigenetics concepts most frequently came from authors with science and medicine expertise, and tweets about the influence of genes on weight were more likely to come from authors with neither type of expertise. A total of 14.9% (75/504) of the tweets were noted to contain untrue information; these were most likely to occur in the nutrigenomics concepts topic category. Conclusions: By evaluating social media discourse on precision nutrition on Twitter, we made several observations about the content available in the information environment through which individuals can learn about related concepts and products. Tweet content was consistent with the indicators of medical hype, and the inclusion of potentially misleading and untrue information was common. We identified a contingent of users with scientific and medical expertise who were active in discussing nutrigenomics concepts and products and who may be encouraged to share credible expert advice on precision nutrition and tackle false information as this technology develops.</t>
  </si>
  <si>
    <t>[Batheja, Sapna; Pappas, Samantha] George Mason Univ, Dept Nutr &amp; Food Studies, Fairfax, VA USA; [Schopp, Emma M.; Ravuri, Siri; Persky, Susan] Natl Human Genome Res Inst, Social &amp; Behav Res Branch, 31 Ctr Dr,B1B36, Bethesda, MD 20892 USA</t>
  </si>
  <si>
    <t>George Mason University; National Institutes of Health (NIH) - USA; NIH National Human Genome Research Institute (NHGRI)</t>
  </si>
  <si>
    <t>Persky, S (corresponding author), Natl Human Genome Res Inst, Social &amp; Behav Res Branch, 31 Ctr Dr,B1B36, Bethesda, MD 20892 USA.</t>
  </si>
  <si>
    <t>perskys@mail.nih.gov</t>
  </si>
  <si>
    <t>Schopp, Emma/0000-0003-0419-049X; Pappas, Samantha/0000-0001-6601-0461</t>
  </si>
  <si>
    <t>Intramural Program of the National Human Genome Research Program</t>
  </si>
  <si>
    <t>Acknowledgments This study was funded by the Intramural Program of the National Human Genome Research Program. Generative AI was not used in any portion of manuscript writing.</t>
  </si>
  <si>
    <t>OCT 12</t>
  </si>
  <si>
    <t>e43701</t>
  </si>
  <si>
    <t>10.2196/43701</t>
  </si>
  <si>
    <t>W5QR7</t>
  </si>
  <si>
    <t>WOS:001092176300004</t>
  </si>
  <si>
    <t>Ni, WZ; Chen, PZ; Chen, L; Cheng, P; Zhang, CJ; Lin, XM</t>
  </si>
  <si>
    <t>Ni, Wangze; Chen, Pengze; Chen, Lei; Cheng, Peng; Zhang, Chen Jason; Lin, Xuemin</t>
  </si>
  <si>
    <t>Utility-aware Payment Channel Network Rebalance</t>
  </si>
  <si>
    <t>50th International Conference on Very Large Data Bases (VLDB)</t>
  </si>
  <si>
    <t>AUG 24-29, 2024</t>
  </si>
  <si>
    <t>Guangzhou, PEOPLES R CHINA</t>
  </si>
  <si>
    <t>The payment channel network (PCN) is a promising solution to increase the throughput of blockchains. However, unidirectional transactions can deplete a user's deposits in a payment channel (PC), reducing the success ratio of transactions (SRoT). To address this depletion issue, rebalance protocols are used to shift tokens from well-deposited PCs to under-deposited PCs. To improve SRoT, it is beneficial to increase the balance of a PC with a lower balance and a higher weight (i.e., more transaction executions rely on the PC). In this paper, we define the utility of a transaction and the utility-aware rebalance (UAR) problem. The utility of a transaction is proportional to the weight of the PC and the amount of the transaction, and inversely proportional to the balance of the receiver. To maximize the effect of improving SRoT, UAR aims to find a set of transactions with maximized utilities, satisfying the budget and conservation constraints. The budget constraint limits the number of tokens shifted in a PC. The conservation constraint requires that the number of tokens each user sends equals the number of tokens received. We prove that UAR is NP-hard and cannot be approximately solved with a constant ratio. Thus, we propose two heuristic algorithms, namely Circuit Greedy and UAR_DC. Extensive experiments show that our approaches outperform the existing approach by at least 3.16 times in terms of utilities.</t>
  </si>
  <si>
    <t>[Ni, Wangze; Chen, Pengze; Chen, Lei] HKUST, Hong Kong, Peoples R China; [Chen, Lei] HKUST GZ, Guangzhou, Peoples R China; [Cheng, Peng] ECNU, Shanghai, Peoples R China; [Zhang, Chen Jason] PolyU, Hong Kong, Peoples R China; [Lin, Xuemin] Shanghai Jiao Tong Univ, Shanghai, Peoples R China</t>
  </si>
  <si>
    <t>Hong Kong University of Science &amp; Technology; East China Normal University; Shanghai Jiao Tong University</t>
  </si>
  <si>
    <t>Ni, WZ (corresponding author), HKUST, Hong Kong, Peoples R China.</t>
  </si>
  <si>
    <t>wniab@cse.ust.hk; pchenax@cse.ust.hk; leichen@cse.ust.hk; pcheng@sei.ecnu.edu.cn; jason-c.zhang@polyu.edu.hk; xuemin.lin@gmail.com</t>
  </si>
  <si>
    <t>National Science Foundation of China (NSFC) [U22B2060]; Hong Kong RGC GRF Project [16213620]; CRF Project [C2004-21GF, R6020-19]; AOE Project [AoE/E-603/18, TRS T41-603/20R]; China NSFC [61729201]; Guangdong Basic and Applied Basic Research Foundation [2019B151530001]; Hong Kong ITC ITF [MHX/078/21, PRP/004/22FX]; Microsoft Research Asia Collaborative Research Grant [PRP/009/22FX]; PolyU-MinshangCT Generative AI Laboratory [P0046453]; Research Matching Grant Scheme [P0048183]; PolyU Start-up Fund by (Fund) [P0046703]; National Natural Science Foundation of China [62102149]; NSFC [U2241211, U20B2046]</t>
  </si>
  <si>
    <t>National Science Foundation of China (NSFC)(National Natural Science Foundation of China (NSFC)); Hong Kong RGC GRF Project; CRF Project; AOE Project; China NSFC(National Natural Science Foundation of China (NSFC)); Guangdong Basic and Applied Basic Research Foundation; Hong Kong ITC ITF; Microsoft Research Asia Collaborative Research Grant(Microsoft); PolyU-MinshangCT Generative AI Laboratory; Research Matching Grant Scheme; PolyU Start-up Fund by (Fund); National Natural Science Foundation of China(National Natural Science Foundation of China (NSFC)); NSFC(National Natural Science Foundation of China (NSFC))</t>
  </si>
  <si>
    <t>Lei Chen's work is partially supported by National Science Foundation of China (NSFC) under Grant No. U22B2060, the Hong Kong RGC GRF Project 16213620, CRF Project C2004-21GF, RIF Project R6020-19, AOE Project AoE/E-603/18, Theme-based project TRS T41-603/20R, China NSFC No. 61729201, Guangdong Basic and Applied Basic Research Foundation 2019B151530001, Hong Kong ITC ITF grants MHX/078/21 and PRP/004/22FX, Microsoft Research Asia Collaborative Research Grant and HKUST-Webank joint research lab grants. Chen Jason Zhang's work acknowledges partial support from the following funding sources: ITF (PRP/009/22FX), PolyU-MinshangCT Generative AI Laboratory (Fund No: P0046453), Research Matching Grant Scheme (Fund No: P0048191), and Research Matching Grant Scheme (Fund No: P0048183), PolyU Start-up Fund by (Fund No: P0046703). Peng Cheng's work is supported by the National Natural Science Foundation of China under Grant No. 62102149. Xuemin Lin's work is supported by NSFC U2241211 and U20B2046. Corresponding author: Peng Cheng.</t>
  </si>
  <si>
    <t>10.14778/3626292.3626301</t>
  </si>
  <si>
    <t>EG7S0</t>
  </si>
  <si>
    <t>WOS:001137839900010</t>
  </si>
  <si>
    <t>Seinsche, J; de Bruin, ED; Saibene, E; Rizzo, F; Carpinella, I; Ferrarin, M; Moza, S; Ritter, T; Giannouli, E</t>
  </si>
  <si>
    <t>Seinsche, Julia; de Bruin, Eling D.; Saibene, Enrico; Rizzo, Francesco; Carpinella, Ilaria; Ferrarin, Maurizio; Moza, Sotiria; Ritter, Tanja; Giannouli, Eleftheria</t>
  </si>
  <si>
    <t>A Newly Developed Exergame-Based Telerehabilitation System for Older Adults: Usability and Technology Acceptance Study</t>
  </si>
  <si>
    <t>older adults; motor-cognitive intervention; exergame; telerehabilitation; information and communications technologies; user-centered design; usability; technology acceptance</t>
  </si>
  <si>
    <t>QUALITY-OF-LIFE; EXERCISE PROGRAMS; USER ACCEPTANCE; PERCEIVED EASE; SAMPLE-SIZES; BALANCE; MOTIVATION; ADHERENCE; BENEFITS; PEOPLE</t>
  </si>
  <si>
    <t>Background: Telerehabilitation has gained significance as a tool to deliver and supervise therapy and training as effective as traditional rehabilitation methods yet more accessible and affordable. An exergame-based telerehabilitation system has recently been developed within the scope of the international Continuum-of-Care (COCARE) project. The system comprises training devices for use in clinics (Dividat Senso) and at home (Dividat Senso Flex), an assessment system, and a rehabilitation cockpit, and its focus lies on home-based motor-cognitive training, which is remotely managed by health care professionals (HPs).Objective: This study aims to analyze the usability, acceptance, and enjoyment of the COCARE system from the perspective of primary (older adults [OAs]) and secondary (HPs) end users.Methods: At 3 trial sites (located in Switzerland, Italy, and Cyprus), participants engaged in a single-session trial of the COCARE system, including testing of exergames and assessments. Mixed methods encompassing qualitative approaches (eg, think aloud) and quantitative measures (eg, Exergame Enjoyment Questionnaire [EEQ], System Usability Scale [SUS], and Unified Theory of Acceptance and Use of Technology [UTAUT] questionnaire) were used to analyze participants' perceptions of the system and identify potential barriers to its implementation in a home setting. In addition, the associations of performance during gameplay and assessments, demographics, and training motivation (Behavioral Regulation in Exercise Questionnaire-3 [BREQ-3]) with usability, acceptance, and enjoyment were explored.Results: A total of 45 OAs and 15 HPs participated in this study. The COCARE system achieved good acceptance ratings (OAs: 83%, range 36%-100% and HPs: 81%, range 63.8%-93.3% of the maximum score), and OAs indicated high enjoyment (mean 73.3, SD 12.7 out of 100 points in the EEQ) during the exergame session. The system's usability, assessed with the SUS, received scores of 68.1 (SD 18.8; OAs) and 70.7 (SD 12.3; HPs) out of 100 points, with substantial differences observed between the trial sites. Several requirements for improvement were identified. Commonly mentioned barriers to adoption included the movement-recognition sensitivity of the Senso Flex, its limited markings, and difficulties in understanding certain instructions for assessments and games. Performance in games and assessments showed the highest significant correlations with the SUS (Spearman rho=0.35, P=.02 to rho=0.52, P&lt;.001). The BREQ-3 had significant correlations with all usability measures, thereby even large significant correlations with enjoyment (Spearman rho=0.58; P&lt;.001). Age had moderately significant correlations with theSUS (Spearman rho=-0.35; P=.02) and the UTAUT total score (rho=-0.35; P=.02) but no significant correlation with the EEQ. Concerning sex and years of education, no significant correlations were found.Conclusions: The study's findings will inform the further development of the COCARE system toward a user-friendly and widely accepted version, enhancing cognitive and physical functions in OAs. Future randomized controlled trials should evaluate the system's feasibility and effectiveness.</t>
  </si>
  <si>
    <t>[Seinsche, Julia; de Bruin, Eling D.; Ritter, Tanja; Giannouli, Eleftheria] Inst Human Movement Sci &amp; Sport, Dept Hlth Sci &amp; Technol, Movement Control &amp; Learning Grp, ETH Zurich, Zurich, Switzerland; Eastern Swiss Univ Appl Sci, Dept Hlth, OST, St Gallen, Switzerland; Karolinska Inst, Dept Neurobiol Care Sci &amp; Soc, Huddinge, Sweden; [Saibene, Enrico; Rizzo, Francesco; Carpinella, Ilaria; Ferrarin, Maurizio] Fdn Don Carlo Gnocchi ONLUS, Ist Ricovero &amp; Cura Carattere Sci, Milan, Italy; [Moza, Sotiria] Mat Grp, Nicosia, Cyprus; [Giannouli, Eleftheria] Univ Basel, Div Sports &amp; Exercise Med, Dept Sport Exercise &amp; Hlth, Basel, Switzerland; [Seinsche, Julia] Swiss Fed Inst Technol, Inst Human Movement Sci &amp; Sport, Dept Hlth Sci &amp; Technol, Movement Control &amp; Learning Grp, Leopold-Ruzicka-Weg 4,HCP H 24-3, CH-8093 Zurich, Switzerland</t>
  </si>
  <si>
    <t>Swiss Federal Institutes of Technology Domain; ETH Zurich; Karolinska Institutet; IRCCS Ca Granda Ospedale Maggiore Policlinico; IRCCS Fondazione Don Carlo Gnocchi Onlus; University of Basel; Swiss Federal Institutes of Technology Domain; ETH Zurich</t>
  </si>
  <si>
    <t>Seinsche, J (corresponding author), Swiss Fed Inst Technol, Inst Human Movement Sci &amp; Sport, Dept Hlth Sci &amp; Technol, Movement Control &amp; Learning Grp, Leopold-Ruzicka-Weg 4,HCP H 24-3, CH-8093 Zurich, Switzerland.</t>
  </si>
  <si>
    <t>julia.seinsche@hest.ethz.ch</t>
  </si>
  <si>
    <t>Seinsche, Julia/IAM-0210-2023; Giannouli, Eleftheria/H-8308-2019; Carpinella, Ilaria/K-1572-2016; de Bruin, Eling D./A-4751-2011</t>
  </si>
  <si>
    <t>Seinsche, Julia/0000-0002-2038-0261; Giannouli, Eleftheria/0000-0001-7762-1348; Carpinella, Ilaria/0000-0001-7486-0706; Moza, Sotiria/0000-0003-1209-0560; de Bruin, Eling D./0000-0002-6542-7385; Ferrarin, Maurizio/0000-0002-7797-2399; Ritter, Tanja/0009-0006-5401-9454</t>
  </si>
  <si>
    <t>European Union; Swiss Innovation Agency; Italian Ministry of Health; Cyprus Research and Innovation Foundation; AAL Joint Program [aal-2020-7-145-CP]; ETH Zuerich</t>
  </si>
  <si>
    <t>European Union(European Union (EU)); Swiss Innovation Agency; Italian Ministry of Health(Ministry of Health, Italy); Cyprus Research and Innovation Foundation; AAL Joint Program; ETH Zuerich</t>
  </si>
  <si>
    <t>This work was funded by the European Union and the national funding authorities involved (Innosuisse [the Swiss Innovation Agency], the Italian Ministry of Health, and the Cyprus Research and Innovation Foundation) as part of the AAL Joint Program under grant aal-2020-7-145-CP. Open-access funding was provided by ETH Zuerich. The authors did not use the generative artificial intelligence (AI) tool ChatGPT or other generative AI tools in any portion of the manuscript.</t>
  </si>
  <si>
    <t>e48845</t>
  </si>
  <si>
    <t>10.2196/48845</t>
  </si>
  <si>
    <t>CI7U1</t>
  </si>
  <si>
    <t>WOS:001124696400001</t>
  </si>
  <si>
    <t>Shalev, L; Bistre, M; Lubin, G; Avirame, K; Raskin, S; Linkovski, O; Eitan, R; Rose, AJ</t>
  </si>
  <si>
    <t>Shalev, Ligat; Bistre, Moises; Lubin, Gadi; Avirame, Keren; Raskin, Sergey; Linkovski, Omer; Eitan, Renana; Rose, Adam J.</t>
  </si>
  <si>
    <t>Enabling Expedited Disposition of Emergencies Using Telepsychiatry in Israel: Protocol for a Hybrid Implementation Study</t>
  </si>
  <si>
    <t>JMIR RESEARCH PROTOCOLS</t>
  </si>
  <si>
    <t>eHealth; telepsychiatry; digital health service; emergency department; mental health; implementation science; Promoting Action on Research Implementation in Health Services; organizational innovation</t>
  </si>
  <si>
    <t>DELIVERY; IMPACT; ROOM</t>
  </si>
  <si>
    <t>Background: Telepsychiatry is the use of virtual communication, such as a video link, to deliver mental health assessment, treatment, and follow-up. Previous studies have shown telepsychiatry to be feasible, accurate compared with in-person practice, and satisfying for psychiatrists and patients. Telepsychiatry has also been associated with reduced waiting times for evaluation and, in some studies, lower admission rates. However, most previous studies focused on using telepsychiatry in community settings and not on involuntary admission.Objective: The aim of this study is to examine the effectiveness and implementation process of patient assessment for involuntary admissions in the psychiatric emergency department (ED) using a video link.Methods: This type 1 hybrid implementation study will examine telepsychiatry effectiveness and the implementation process, by comparing telepsychiatry (n=240) with historical controls who had a face-to-face evaluation (n=240) during the previous, usual care period in 5 psychiatric EDs in Israel. A temporary waiver of the standing policy requiring in-person evaluations only, for the purpose of research, was obtained from the Israeli Ministry of Health. During the telepsychiatry phase, clinical staff and patients will join a video call from the ED, while the attending physician will log in elsewhere. The Promoting Action on Research Implementation in Health Services (PARIHS) framework will guide the evaluation of the telepsychiatry implementation process in the ED. PARIHS has the following 3 constructs: (1) evidence: staff's opinions regarding the innovation's viability and practicality, their satisfaction levels with its use, and patients' perceptions of the change; (2) context: level of approval of new strategies in the ED, decision-making processes, and the manner in which clinical teams converse and work together; (3) facilitation: adequacy of the facilitation efforts using champions reports. Primary clinical outcomes include ED length of stay and violent incidents obtained from medical records.Results: This study received Helsinki approval from the Ethics Committee of Abarbanel Mental Health Center (174; March 13, 2023), Jerusalem Mental Health Center (22-21; November 6, 2022), Lev-Hasharon Mental Health Medical Center (LH12023; February 12, 2023), Tel-Aviv Medical Center (TLV-22-0656; January 3, 2023), and Sha'ar Menashe (1-4-23; April 18, 2023). Data collection began in July 2023 in 2 study sites and will begin soon at the others.Conclusions: Telepsychiatry could have significant benefits for patients in the psychiatric ED. Examining telepsychiatry effectiveness in the ED, in addition to identifying the facilitators and barriers of implementing it in different emergency settings, will facilitate better policy decisions regarding its implementation. Trial Registration: ClinicalTrials.gov NCT05771545; https://clinicaltrials.gov/study/NCT05771545International Registered Report Identifier (IRRID): DERR1-10.2196/49405</t>
  </si>
  <si>
    <t>[Shalev, Ligat; Rose, Adam J.] Hebrew Univ Jerusalem, Sch Publ Hlth, Jerusalem, Israel; [Bistre, Moises; Lubin, Gadi] Jerusalem Mental Hlth Ctr, Jerusalem, Israel; [Avirame, Keren; Eitan, Renana] Sourasky Med Ctr, Psychiat Div, Tel Aviv, Israel; [Raskin, Sergey] Minist Hlth, Dept Forens Psychiat, Jerusalem, Israel; [Linkovski, Omer] Bar Ilan Univ, Dept Psychol, Ramat Gan, Israel; [Linkovski, Omer] Bar Ilan Univ, Gonda Multidisciplinary Brain Res Ctr, Ramat Gan, Israel; [Shalev, Ligat] Hebrew Univ Jerusalem, Sch Publ Hlth, Ein Kerem Campus, IL-91120 Jerusalem, Israel</t>
  </si>
  <si>
    <t>Hebrew University of Jerusalem; Hebrew University of Jerusalem; Herzog Medical Center; Jerusalem Mental Health Center; Sackler Faculty of Medicine; Tel Aviv Sourasky Medical Center; Bar Ilan University; Bar Ilan University; Hebrew University of Jerusalem</t>
  </si>
  <si>
    <t>Shalev, L (corresponding author), Hebrew Univ Jerusalem, Sch Publ Hlth, Ein Kerem Campus, IL-91120 Jerusalem, Israel.</t>
  </si>
  <si>
    <t>ligat.shalev@gmail.com</t>
  </si>
  <si>
    <t>Shalev, Ligat/0000-0001-7651-6589; Linkovski, Omer/0000-0001-7765-4414; Eitan, Renana/0000-0002-9153-7959</t>
  </si>
  <si>
    <t>Israel National Institute for Health Policy Research [2021/77]</t>
  </si>
  <si>
    <t>Israel National Institute for Health Policy Research</t>
  </si>
  <si>
    <t>Acknowledgments This is work is supported by the Israel National Institute for Health Policy Research (grant number 2021/77) . No generative AI was used in any portion of the manuscript writing.</t>
  </si>
  <si>
    <t>1929-0748</t>
  </si>
  <si>
    <t>JMIR RES PROTOC</t>
  </si>
  <si>
    <t>JMIR RES. Protoc.</t>
  </si>
  <si>
    <t>e49405</t>
  </si>
  <si>
    <t>10.2196/49405</t>
  </si>
  <si>
    <t>Health Care Sciences &amp; Services; Public, Environmental &amp; Occupational Health</t>
  </si>
  <si>
    <t>X8NL1</t>
  </si>
  <si>
    <t>WOS:001100949900001</t>
  </si>
  <si>
    <t>Yazid, H; Anwar, UA; Sabtu, M; Murshidi, JA; Zali, NM; Dris, Z; Chen, RS; Ahmad, S; Zin, MRM</t>
  </si>
  <si>
    <t>Yazid, Hafizal; Anwar, Umar A.; Sabtu, Maria; Murshidi, Julie Andrianny; Zali, Nurazila M.; Dris, Zakaria; Chen, Ruey Shan; Ahmad, Sahrim; M. Zin, M. Rawi</t>
  </si>
  <si>
    <t>The strength of particulate polymer composite: A new insight on crystallinity and structural morphology</t>
  </si>
  <si>
    <t>JOURNAL OF APPLIED POLYMER SCIENCE</t>
  </si>
  <si>
    <t>crystallinity; morphology; polymer-matrix composites (PMCs); strength</t>
  </si>
  <si>
    <t>PARTICLE-SIZE; CRYSTALLIZATION BEHAVIOR; MECHANICAL-PROPERTIES; POLYETHYLENE; ADHESION; FILLERS</t>
  </si>
  <si>
    <t>We have demonstrated the significant impact of high density polyethylene (HDPE) crystallinity and structural morphology on the tensile strength of 60/40 NR/HDPE polymer blend composites. Introducing nanoscale Boron Carbide (B4C-type compounds) fillers noticeably changed the crystallinity and morphology of HDPE, leading to the formation of fine spherulites. Conversely, microscale fillers mainly impacted the crystallinity while preserving a coarse architecture. Although both composites experienced a reduction in crystallinity, the nanocomposites outperformed microcomposites and even the pristine polymer blend in terms of strength, implying the effect of a fine structure. The nanocomposite with a filler loading of 2 wt% exhibited the highest strength. This investigation provides novel insights into the interplay between crystallinity, HDPE structure, and the size of fillers, which heavily influence the strength of polymer blend composites. The influential factors affecting composite strength.image</t>
  </si>
  <si>
    <t>[Yazid, Hafizal; Murshidi, Julie Andrianny; Zali, Nurazila M.; Dris, Zakaria; M. Zin, M. Rawi] Agensi Nuklear Malaysia, Ind Technol Div, Mat Technol Grp, Kajang, Selangor, Malaysia; [Anwar, Umar A.; Sabtu, Maria; Chen, Ruey Shan; Ahmad, Sahrim] Univ Kebangsaan Malaysia, Fac Sci &amp; Technol, Kajang, Selangor, Malaysia; [Yazid, Hafizal] Agensi Nuklear Malaysia, Ind Technol Div, Mat Technol Grp, Kajang 43000, Selangor, Malaysia</t>
  </si>
  <si>
    <t>Agensi Nuklear Malaysia; Universiti Kebangsaan Malaysia; Agensi Nuklear Malaysia</t>
  </si>
  <si>
    <t>Yazid, H (corresponding author), Agensi Nuklear Malaysia, Ind Technol Div, Mat Technol Grp, Kajang 43000, Selangor, Malaysia.</t>
  </si>
  <si>
    <t>hafizal@nm.gov.my</t>
  </si>
  <si>
    <t>Chen, Ruey Shan/C-7376-2017</t>
  </si>
  <si>
    <t>Chen, Ruey Shan/0000-0002-2713-942X</t>
  </si>
  <si>
    <t>Ministry of Higher Education, Malaysia; Graz, Austria [FRGS/1/2018/STG07/MOSTI/02/01]; Ministry of Higher Education (MOHE); AI-assisted technologies in the writing process</t>
  </si>
  <si>
    <t>Ministry of Higher Education, Malaysia(Ministry of Education, Malaysia); Graz, Austria; Ministry of Higher Education (MOHE)(Ministry of Higher Education &amp; Scientific Research (MHESR)); AI-assisted technologies in the writing process</t>
  </si>
  <si>
    <t>The authors gratefully acknowledge Prof. Peter Laggner and Dr. Manfred Kriechbaum from the Institute of Biophysics and Nanoscience (IBN), Graz, Austria, for their assistance and guidance on the scattering technique. Our team also gratefully acknowledges the Ministry of Higher Education (MOHE) for the financial support under the Fundamental Research Grant (FRGS/1/2018/STG07/MOSTI/02/01). Declaration of generative AI and AI-assisted technologies in the writing process: During the preparation of this work, the authors used the Grammarly service in order to perform a grammar check. After using this tool/service, the authors reviewed and edited the content as needed and took full responsibility for the content of the publication.</t>
  </si>
  <si>
    <t>0021-8995</t>
  </si>
  <si>
    <t>1097-4628</t>
  </si>
  <si>
    <t>J APPL POLYM SCI</t>
  </si>
  <si>
    <t>J. Appl. Polym. Sci.</t>
  </si>
  <si>
    <t>10.1002/app.54987</t>
  </si>
  <si>
    <t>Polymer Science</t>
  </si>
  <si>
    <t>ET0P6</t>
  </si>
  <si>
    <t>WOS:001119110800001</t>
  </si>
  <si>
    <t>Zion, B; Gollop, R; Barak, M; Reshef, L; Arbel, A</t>
  </si>
  <si>
    <t>Zion, Boaz; Gollop, Rachel; Barak, Mordechai; Reshef, Liad; Arbel, Avraham</t>
  </si>
  <si>
    <t>Commercial-scale application of thermal trap technology for external disinfection of shell eggs from Salmonella</t>
  </si>
  <si>
    <t>FOOD CONTROL</t>
  </si>
  <si>
    <t>Shell egg; Salmonella; Disinfection; Thermal treatment; Steam; Food safety</t>
  </si>
  <si>
    <t>UNITED-STATES; ENTERICA; PASTEURIZATION; OUTBREAKS; FOOD</t>
  </si>
  <si>
    <t>Salmonella is a zoonotic pathogen that is commonly transmitted through food. External disinfection of shell eggs is of crucial importance to health in reducing egg-borne salmonellosis, because Salmonella on shells can be easily transmitted to other food products or infect food handlers. A new thermal treatment was developed for the inactivation of Salmonella Enterica on shell eggs. Steam was applied to the eggs while being conveyed through a thermal trap (TT)-a partially enclosed chamber filled with steam. Following system optimization, a short treatment of 2 s in a TT operated at 37,600 eggs/h completely inactivated Salmonella (&gt;10(7) CFU) artificially inoculated in small circles (ca. 11 mm diameter) on fresh shell eggs. The treatment had no adverse effects on egg quality or shelf life.</t>
  </si>
  <si>
    <t>[Zion, Boaz; Gollop, Rachel; Barak, Mordechai; Reshef, Liad; Arbel, Avraham] Volcani Ctr, Inst Agr Engn, Agr Res Org, HaMaccabim 68, IL-7528809 Rishon Leziyyon, Israel</t>
  </si>
  <si>
    <t>VOLCANI INSTITUTE OF AGRICULTURAL RESEARCH</t>
  </si>
  <si>
    <t>Zion, B (corresponding author), Volcani Ctr, Inst Agr Engn, Agr Res Org, HaMaccabim 68, IL-7528809 Rishon Leziyyon, Israel.</t>
  </si>
  <si>
    <t>boazz@volcani.agri.gov.il</t>
  </si>
  <si>
    <t>Israel Ministry of Agriculture and Rural Development; Ministry of Agriculture and Rural Development [20070004]</t>
  </si>
  <si>
    <t>Israel Ministry of Agriculture and Rural Development; Ministry of Agriculture and Rural Development</t>
  </si>
  <si>
    <t>We thank the Chief Scientist of the Ministry of Agriculture and Rural Development for funding the research work (Grant No. 20070004) . This funding source was not involved in the scientific work. Declaration of Generative AI and AI assisted technologies in the writing process During the preparation of this work the authors did not use any AI assisted technology.</t>
  </si>
  <si>
    <t>0956-7135</t>
  </si>
  <si>
    <t>1873-7129</t>
  </si>
  <si>
    <t>Food Control</t>
  </si>
  <si>
    <t>10.1016/j.foodcont.2023.110090</t>
  </si>
  <si>
    <t>Food Science &amp; Technology</t>
  </si>
  <si>
    <t>T2RF6</t>
  </si>
  <si>
    <t>WOS:001076500900001</t>
  </si>
  <si>
    <t>Yu, ZT; Rahman, MA; Laforest, R; Schindler, TH; Gropler, RJ; Wahl, RL; Siegel, BA; Jha, AK</t>
  </si>
  <si>
    <t>Yu, Zitong; Rahman, Md Ashequr; Laforest, Richard; Schindler, Thomas H. H.; Gropler, Robert J. J.; Wahl, Richard L. L.; Siegel, Barry A. A.; Jha, Abhinav K. K.</t>
  </si>
  <si>
    <t>Need for objective task-based evaluation of deep learning-based denoising methods: A study in the context of myocardial perfusion SPECT</t>
  </si>
  <si>
    <t>deep learning; model observer; SPECT; task-based evaluation</t>
  </si>
  <si>
    <t>GENERATIVE ADVERSARIAL NETWORK; LOW-DOSE CT; IMAGE QUALITY; COMPENSATION METHODS; PHANTOM POPULATION; LESION DETECTION; OBSERVER; OPTIMIZATION; VARIABILITY; PERFORMANCE</t>
  </si>
  <si>
    <t>BackgroundArtificial intelligence-based methods have generated substantial interest in nuclear medicine. An area of significant interest has been the use of deep-learning (DL)-based approaches for denoising images acquired with lower doses, shorter acquisition times, or both. Objective evaluation of these approaches is essential for clinical application. PurposeDL-based approaches for denoising nuclear-medicine images have typically been evaluated using fidelity-based figures of merit (FoMs) such as root mean squared error (RMSE) and structural similarity index measure (SSIM). However, these images are acquired for clinical tasks and thus should be evaluated based on their performance in these tasks. Our objectives were to: (1) investigate whether evaluation with these FoMs is consistent with objective clinical-task-based evaluation; (2) provide a theoretical analysis for determining the impact of denoising on signal-detection tasks; and (3) demonstrate the utility of virtual imaging trials (VITs) to evaluate DL-based methods. MethodsA VIT to evaluate a DL-based method for denoising myocardial perfusion SPECT (MPS) images was conducted. To conduct this evaluation study, we followed the recently published best practices for the evaluation of AI algorithms for nuclear medicine (the RELAINCE guidelines). An anthropomorphic patient population modeling clinically relevant variability was simulated. Projection data for this patient population at normal and low-dose count levels (20%, 15%, 10%, 5%) were generated using well-validated Monte Carlo-based simulations. The images were reconstructed using a 3-D ordered-subsets expectation maximization-based approach. Next, the low-dose images were denoised using a commonly used convolutional neural network-based approach. The impact of DL-based denoising was evaluated using both fidelity-based FoMs and area under the receiver operating characteristic curve (AUC), which quantified performance on the clinical task of detecting perfusion defects in MPS images as obtained using a model observer with anthropomorphic channels. We then provide a mathematical treatment to probe the impact of post-processing operations on signal-detection tasks and use this treatment to analyze the findings of this study. ResultsBased on fidelity-based FoMs, denoising using the considered DL-based method led to significantly superior performance. However, based on ROC analysis, denoising did not improve, and in fact, often degraded detection-task performance. This discordance between fidelity-based FoMs and task-based evaluation was observed at all the low-dose levels and for different cardiac-defect types. Our theoretical analysis revealed that the major reason for this degraded performance was that the denoising method reduced the difference in the means of the reconstructed images and of the channel operator-extracted feature vectors between the defect-absent and defect-present cases. ConclusionsThe results show the discrepancy between the evaluation of DL-based methods with fidelity-based metrics versus the evaluation on clinical tasks. This motivates the need for objective task-based evaluation of DL-based denoising approaches. Further, this study shows how VITs provide a mechanism to conduct such evaluations computationally, in a time and resource-efficient setting, and avoid risks such as radiation dose to the patient. Finally, our theoretical treatment reveals insights into the reasons for the limited performance of the denoising approach and may be used to probe the effect of other post-processing operations on signal-detection tasks.</t>
  </si>
  <si>
    <t>[Yu, Zitong; Rahman, Md Ashequr; Jha, Abhinav K. K.] Washington Univ, Dept Biomed Engn, St Louis, MO USA; [Laforest, Richard; Schindler, Thomas H. H.; Gropler, Robert J. J.; Wahl, Richard L. L.; Siegel, Barry A. A.; Jha, Abhinav K. K.] Washington Univ, Mallinckrodt Inst Radiol, St Louis, MO USA; [Jha, Abhinav K. K.] Washington Univ, Mallinckrodt Inst Radiol, Dept Biomed Engn, 510 South Kingshighway Blvd, St Louis, MO 63110 USA</t>
  </si>
  <si>
    <t>Washington University (WUSTL); Washington University (WUSTL); Washington University (WUSTL)</t>
  </si>
  <si>
    <t>Jha, AK (corresponding author), Washington Univ, Mallinckrodt Inst Radiol, Dept Biomed Engn, 510 South Kingshighway Blvd, St Louis, MO 63110 USA.</t>
  </si>
  <si>
    <t>a.jha@wustl.edu</t>
  </si>
  <si>
    <t>Yu, Zitong/IXD-4849-2023</t>
  </si>
  <si>
    <t>National Institute of Biomedical Imaging and Bioengineering of National Institute of Health (NIH) [R21-EB024647, R01-EB031051, R01-EB031051-02S1, R01EB031962]; NVIDIA GPU grant</t>
  </si>
  <si>
    <t>National Institute of Biomedical Imaging and Bioengineering of National Institute of Health (NIH); NVIDIA GPU grant(Nvidia Corporation)</t>
  </si>
  <si>
    <t>National Institute of Biomedical Imaging and Bioengineering of National Institute of Health (NIH), Grant/Award Numbers: R21-EB024647, R01-EB031051, R01-EB031051-02S1, R01EB031962; NVIDIA GPU grant</t>
  </si>
  <si>
    <t>10.1002/mp.16407</t>
  </si>
  <si>
    <t>L8ZG1</t>
  </si>
  <si>
    <t>WOS:000973042600001</t>
  </si>
  <si>
    <t>Towhid, MS; Khan, NS; Shahriar, N; Tornatore, M; Boutaba, R; Saleh, A</t>
  </si>
  <si>
    <t>Towhid, Md. Shamim; Khan, Nasik Sami; Shahriar, Nashid; Tornatore, Massimo; Boutaba, Raouf; Saleh, Aladdin</t>
  </si>
  <si>
    <t>A Token-Prioritization Strategy for Handling Data Imbalance in Network-Change Ticket Classification</t>
  </si>
  <si>
    <t>ticket classification; imbalanced data; token prioritization; deep learning; automation</t>
  </si>
  <si>
    <t>SMOTE</t>
  </si>
  <si>
    <t>Changes are an integral part of the day-to-day operation of large telecommunications networks as they allow to keep pace with technological advancements, meet growing network demands, ensure scalability, enhance security, improve service quality, and meet customer expectations. Changing configurations, installing devices, and migrating traffic are some examples of these changes. These changes are documented by opening tickets through a ticket management system. Automation in the ticket management system is now becoming highly desirable to manage the large number of submitted tickets. An automated ticket management system supports the management of a ticket by automating several parts of a ticket's life cycle. In this context, ticket classification problem consists in assigning an appropriate label to a ticket to be utilized in the later stages of the ticket management cycle. In this paper, we use a collection of network-change tickets from a real network operator to solve a ticket classification problem. We observe that the network-change ticket dataset is highly skewed in the number of tickets for different possible classes. We address this challenge of classification in a highly imbalanced dataset by proposing two token-prioritization strategies along with other components. We compare three variations of our proposed approach with three methods from the literature and show that the variations of the proposed approach outperform existing methods by up to 7% in terms of F1 score.</t>
  </si>
  <si>
    <t>[Towhid, Md. Shamim; Khan, Nasik Sami; Shahriar, Nashid] Univ Regina, Dept Comp Sci, Regina, SK, Canada; [Tornatore, Massimo] Politecn Milan, Milan, Italy; [Boutaba, Raouf] Univ Waterloo, David R Cheriton Sch Comp Sci, Waterloo, ON, Canada; [Saleh, Aladdin] Rogers Commun Canada Inc, Toronto, ON, Canada</t>
  </si>
  <si>
    <t>University of Regina; Polytechnic University of Milan; University of Waterloo</t>
  </si>
  <si>
    <t>Towhid, MS (corresponding author), Univ Regina, Dept Comp Sci, Regina, SK, Canada.</t>
  </si>
  <si>
    <t>mty754@uregina.ca; nku618@uregina.ca; nashid.shahriar@uregina.ca; massimo.tornatore@polimi.it; rboutaba@uwaterloo.ca; aladdin.saleh@rci.rogers.com</t>
  </si>
  <si>
    <t>Tornatore, Massimo/AAJ-5988-2020</t>
  </si>
  <si>
    <t>Tornatore, Massimo/0000-0003-0740-1061</t>
  </si>
  <si>
    <t>Rogers Communications Canada Inc.; Mitacs Accelerate Grant</t>
  </si>
  <si>
    <t>This work was supported in part by Rogers Communications Canada Inc. and in part by a Mitacs Accelerate Grant.</t>
  </si>
  <si>
    <t>WOS:001117985100025</t>
  </si>
  <si>
    <t>Menten, MJ; Holland, R; Leingang, O; Bogunovic, H; Hagag, AM; Kaye, R; Riedl, S; Traber, GL; Hassan, ON; Pawlowski, N; Glocker, B; Fritsche, LG; Scholl, HPN; Sivaprasad, S; Schmidt-Erfurth, U; Rueckert, D; Lotery, AJ</t>
  </si>
  <si>
    <t>Menten, Martin J.; Holland, Robbie; Leingang, Oliver; Bogunovic, Hrvoje; Hagag, Ahmed M.; Kaye, Rebecca; Riedl, Sophie; Traber, Ghislaine L.; Hassan, Osama N.; Pawlowski, Nick; Glocker, Ben; Fritsche, Lars G.; Scholl, Hendrik P. N.; Sivaprasad, Sobha; Schmidt-Erfurth, Ursula; Rueckert, Daniel; Lotery, Andrew J.</t>
  </si>
  <si>
    <t>PINNACLE Consortium</t>
  </si>
  <si>
    <t>Exploring Healthy Retinal Aging with Deep Learning</t>
  </si>
  <si>
    <t>Aging; Biomarker discovery; Deep learning; Machine learning; Retina</t>
  </si>
  <si>
    <t>OPTICAL COHERENCE TOMOGRAPHY; NERVE-FIBER LAYER; SURFACE SEGMENTATION; IMAGES; AGE; DETERMINANTS; ASSOCIATIONS; PROFILE; EYES</t>
  </si>
  <si>
    <t>Purpose: To study the individual course of retinal changes caused by healthy aging using deep learning.Design: Retrospective analysis of a large data set of retinal OCT images.Participants: A total of 85 709 adults between the age of 40 and 75 years of whom OCT images were acquired in the scope of the UK Biobank population study.Methods: We created a counterfactual generative adversarial network (GAN), a type of neural network that learns from cross-sectional, retrospective data. It then synthesizes high-resolution counterfactual OCT images and longitudinal time series. These counterfactuals allow visualization and analysis of hypothetical scenarios in which certain characteristics of the imaged subject, such as age or sex, are altered, whereas other attributes, crucially the subject's identity and image acquisition settings, remain fixed.Main Outcome Measures: Using our counterfactual GAN, we investigated subject-specific changes in the retinal layer structure as a function of age and sex. In particular, we measured changes in the retinal nerve fiber layer (RNFL), combined ganglion cell layer plus inner plexiform layer (GCIPL), inner nuclear layer to the inner boundary of the retinal pigment epithelium (INL-RPE), and retinal pigment epithelium (RPE).Results: Our counterfactual GAN is able to smoothly visualize the individual course of retinal aging. Across all counterfactual images, the RNFL, GCIPL, INL-RPE, and RPE changed by -0.1 &amp; mu;m &amp; PLUSMN; 0.1 &amp; mu;m, -0.5 &amp; mu;m &amp; PLUSMN; 0.2 &amp; mu;m, -0.2 &amp; mu;m &amp; PLUSMN; 0.1 &amp; mu;m, and 0.1 &amp; mu;m &amp; PLUSMN; 0.1 &amp; mu;m, respectively, per decade of age. These results agree well with previous studies based on the same cohort from the UK Biobank population study. Beyond population-wide average measures, our counterfactual GAN allows us to explore whether the retinal layers of a given eye will increase in thickness, decrease in thickness, or stagnate as a subject ages.Conclusion: This study demonstrates how counterfactual GANs can aid research into retinal aging by generating high-resolution, high-fidelity OCT images, and longitudinal time series. Ultimately, we envision that they will enable clinical experts to derive and explore hypotheses for potential imaging biomarkers for healthy and pathologic aging that can be refined and tested in prospective clinical trials.Financial Disclosure(s): Proprietary or commercial disclosure may be found after the references. Ophthalmology Science 2023;3:100294 &amp; COPY; 2023 by the American Academy of Ophthalmology. This is an open access article under the CC BY license (http://creativecommons.org/licenses/by/4.0/).</t>
  </si>
  <si>
    <t>[Menten, Martin J.; Holland, Robbie; Hassan, Osama N.; Pawlowski, Nick; Glocker, Ben; Rueckert, Daniel] Imperial Coll London, BioMedIA, London, England; [Menten, Martin J.; Rueckert, Daniel] Tech Univ Munich, Inst AI &amp; Informat Med, Munich, Germany; [Leingang, Oliver; Bogunovic, Hrvoje; Riedl, Sophie; Schmidt-Erfurth, Ursula] Med Univ Vienna, Lab Ophthalm Image Anal, Vienna, Austria; [Bogunovic, Hrvoje] Christian Doppler Forschungsgesellsch, Christian Doppler Lab Artificial Intelligence Ret, Vienna, Austria; [Hagag, Ahmed M.; Sivaprasad, Sobha] UCL, Inst Ophthalmol, London, England; [Hagag, Ahmed M.; Sivaprasad, Sobha] Natl Inst Hlth Res, Moorfields Eye Unit, London, England; [Kaye, Rebecca; Lotery, Andrew J.] Univ Southampton, Fac Med, Clin &amp; Expt Sci, Southampton, England; [Traber, Ghislaine L.; Scholl, Hendrik P. N.] Inst Mol &amp; Clin Ophthalmol Basel, Basel, Switzerland; [Traber, Ghislaine L.; Scholl, Hendrik P. N.] Univ Basel, Dept Ophthalmol, Basel, Switzerland; [Pawlowski, Nick] Microsoft Res, Cambridge, England; [Fritsche, Lars G.] Univ Michigan, Dept Biostat, Ann Arbor, MI USA</t>
  </si>
  <si>
    <t>Imperial College London; Technical University of Munich; Medical University of Vienna; University of London; University College London; University of London; University College London; Moorfields Eye Hospital NHS Foundation Trust; University of Southampton; University of Basel; Microsoft; University of Michigan System; University of Michigan</t>
  </si>
  <si>
    <t>Menten, MJ (corresponding author), Imperial Coll London, BioMedIA, London, England.;Menten, MJ (corresponding author), Imperial Coll London, South Kensington Campus, London SW7 2AZ, England.</t>
  </si>
  <si>
    <t>m.menten@imperial.ac.uk</t>
  </si>
  <si>
    <t>Bogunovic, Hrvoje/J-3445-2014; Rueckert, Daniel/C-4393-2008</t>
  </si>
  <si>
    <t>Bogunovic, Hrvoje/0000-0002-9168-0894; Sivaprasad, Sobha/0000-0001-8952-0659; Hassan, Osama N./0000-0002-9283-1471; Kaye, Rebecca/0000-0002-1504-3201; Lotery, Andrew/0000-0001-5541-4305</t>
  </si>
  <si>
    <t>Wellcome Trust (London, United Kingdom) in the scope of the Wellcome Trust Collaborative Award [210572/Z/18/Z]</t>
  </si>
  <si>
    <t>Wellcome Trust (London, United Kingdom) in the scope of the Wellcome Trust Collaborative Award</t>
  </si>
  <si>
    <t>Supported by the Wellcome Trust (London, United Kingdom) in the scopeof the Wellcome Trust Collaborative Award,Deciphering AMD by deepphenotyping and machine learningRef. 210572/Z/18/Z. The funding organization had no role in the design or conduct of this research.</t>
  </si>
  <si>
    <t>10.1016/j.xops.2023.100294</t>
  </si>
  <si>
    <t>N4ZB4</t>
  </si>
  <si>
    <t>Green Published, Green Accepted, gold</t>
  </si>
  <si>
    <t>WOS:001037100900001</t>
  </si>
  <si>
    <t>Loginov, A; Adjei, J; Zincir-Heywood, N; Sampalli, S; de Snayer, K; Dougall, T</t>
  </si>
  <si>
    <t>Loginov, Alexander; Adjei, Jeffrey; Zincir-Heywood, Nur; Sampalli, Srinivas; de Snayer, Kevin; Dougall, Terri</t>
  </si>
  <si>
    <t>Preliminary Results on Exploring Data Exhaust of Consumer Internet of Things Devices</t>
  </si>
  <si>
    <t>IoT security; data exhaust; network traffic</t>
  </si>
  <si>
    <t>In this paper, we apply a machine learning classifier to the publicly available consumer Internet of Things (IoT) traffic traces to explore the nature and extent of any potential data exhaust. To this end, we propose two feature sets and compare them against the baseline flow feature set and the results from the previous works. Evaluations show the improvement in performance obtained using the proposed feature sets and the variety of information that can be extracted from the captured IoT traffic regardless of encryption.</t>
  </si>
  <si>
    <t>[Loginov, Alexander; Adjei, Jeffrey; Zincir-Heywood, Nur; Sampalli, Srinivas] Dalhousie Univ, Fac Comp Sci, Halifax, NS, Canada; [de Snayer, Kevin; Dougall, Terri] Calian Grp Ltd, Ottawa, ON, Canada</t>
  </si>
  <si>
    <t>Dalhousie University</t>
  </si>
  <si>
    <t>Loginov, A (corresponding author), Dalhousie Univ, Fac Comp Sci, Halifax, NS, Canada.</t>
  </si>
  <si>
    <t>loginov@cs.dal.ca; jeffrey.adjei@dal.ca; zincir@cs.dal.ca; srini@cs.dal.ca; kevin.desnayer@calian.com; t.dougall@calian.com</t>
  </si>
  <si>
    <t>Mitacs; Calian Group funding program</t>
  </si>
  <si>
    <t>This research is supported by the Mitacs and Calian Group funding program. The research is conducted as part of the Dalhousie NIMS Lab1.</t>
  </si>
  <si>
    <t>WOS:001117985100072</t>
  </si>
  <si>
    <t>Jiang, N; Wang, JH; Wang, JL; Wang, PR</t>
  </si>
  <si>
    <t>Jiang, Nan; Wang, Jessie Hui; Wang, Jilong; Wang, Peiran</t>
  </si>
  <si>
    <t>TinyG: Accurate IP Geolocation Using a Tiny Number of Probers</t>
  </si>
  <si>
    <t>IP Geolocation; Public Probers; Delay Measurement</t>
  </si>
  <si>
    <t>IP geolocation is essential for various applications. However, the reliability of IP geolocation databases has been proven to be inadequate. In recent years, the growing number of public probers has offered the potential for more accurate geolocation results through active measurement. The conventional practice is to probe the target IP address using all available probers and feed the measurement results to the active geolocation method. However, this practice is cost-inefficient and may trigger the anti-flood mechanism. Moreover, public probers typically impose user-level limits on the frequency and quantity of measurements. Therefore, it is important to reduce the average number of probers (ANP) selected for successfully probing each target. Researchers have discovered that geolocation accuracy primarily depends on the minimum delay between probers and the target. Inspired by that, we propose TinyG, a prober selection algorithm designed to reduce the ANP needed to find probers within a sufficiently small delay from the target. TinyG divides the probing process into multiple rounds and leverages previous measurement results to guide the selection of probers for subsequent rounds. Experimental results show that when the associated minimum delay is within 2 ms, various active geolocation methods can provide credible geolocation results. TinyG outperforms other algorithms in reducing the ANP needed to obtain credible results. Compared to using more than 1,300 probers, TinyG can achieve an ANP of 6.7 with only a 6% coverage loss of credible results.</t>
  </si>
  <si>
    <t>[Jiang, Nan; Wang, Jessie Hui; Wang, Jilong; Wang, Peiran] Tsinghua Univ, Inst Network Sci &amp; Cyberspace, Beijing, Peoples R China; [Wang, Jessie Hui; Wang, Jilong] Zhongguancun Lab, Beijing, Peoples R China; [Jiang, Nan; Wang, Jessie Hui; Wang, Jilong; Wang, Peiran] Beijing Natl Res Ctr Informat Sci &amp; Technol, Beijing, Peoples R China</t>
  </si>
  <si>
    <t>Tsinghua University; Zhongguancun Laboratory</t>
  </si>
  <si>
    <t>Jiang, N (corresponding author), Tsinghua Univ, Inst Network Sci &amp; Cyberspace, Beijing, Peoples R China.;Jiang, N (corresponding author), Beijing Natl Res Ctr Informat Sci &amp; Technol, Beijing, Peoples R China.</t>
  </si>
  <si>
    <t>Natural Science Foundation of China [62072269]; National Key Research and Development Program of China [2020YFE0200500]</t>
  </si>
  <si>
    <t>Natural Science Foundation of China(National Natural Science Foundation of China (NSFC)); National Key Research and Development Program of China</t>
  </si>
  <si>
    <t>This work was supported in part by the Natural Science Foundation of China under Grant 62072269 and in part by the National Key Research and Development Program of China under Grant 2020YFE0200500.</t>
  </si>
  <si>
    <t>WOS:001117985100058</t>
  </si>
  <si>
    <t>Madani, MA; Zhou, F; Meddahi, A</t>
  </si>
  <si>
    <t>Madani, Mohamed Abderrahmane; Zhou, Fen; Meddahi, Ahmed</t>
  </si>
  <si>
    <t>Deploying Disaster-Resilient Service Function Chains Using Adaptive Multi-Path Routing</t>
  </si>
  <si>
    <t>Network Function Virtualization (NFV); Service Function Chain (SFC); Disaster Resiliency; Multi-path Routing</t>
  </si>
  <si>
    <t>Network Function Virtualization (NFV) is a technology that deploys network services and functions as software components in data centers and cloud environments. One of its key applications is Service Function Chain (SFC), which chains Virtual Network Functions (VNFs) in a specific order to deliver a desired service. However, disaster resiliency is a critical challenge when deploying NFV and SFC, as natural disasters and hardware failures can disrupt network operations and lead to service interruption or degradation across an entire disaster zone (DZ). This paper presents a new method for protecting SFCs using multi-path routing, which enables to split an SFC on multiple DZ-disjoint working paths and leverage a shared backup path for protection. The proposed Multi-path Protection (MP) minimizes network resource consumption, including both the bandwidth for request routing and the computing resources for VNF execution. We propose a heuristic approach that offers a near-optimal SFC MP solution in a time-efficient way. Numerical results show that the proposed MP strategy outperforms traditional Dedicated Protection (DP) in terms of resource consumption, resulting in significant gain up to 20%.</t>
  </si>
  <si>
    <t>[Zhou, Fen] Avignon Univ, CERI LIA, Avignon, France; [Zhou, Fen] Leonard de Vinci Pole Univ, Res Ctr, Paris, France; [Madani, Mohamed Abderrahmane; Meddahi, Ahmed] IMT Nord Europe, Inst Mines Telecom, Ctr Digital Syst, Lille, France</t>
  </si>
  <si>
    <t>Avignon Universite; IMT - Institut Mines-Telecom; Universite de Lille; IMT Nord Europe</t>
  </si>
  <si>
    <t>Madani, MA (corresponding author), IMT Nord Europe, Inst Mines Telecom, Ctr Digital Syst, Lille, France.</t>
  </si>
  <si>
    <t>mohamed.madani@imt-nord-europe.fr; fen.zhou@univ-avignon.fr; ahmed.meddahi@imt-nord-europe.fr</t>
  </si>
  <si>
    <t>French Banque Publique d'Investissement (BPI); MINFIRE</t>
  </si>
  <si>
    <t>This work would not have been possible without the financial support and the harness conditions of Beyond 5G project supported by the French Banque Publique d'Investissement (BPI) and MINFIRE.</t>
  </si>
  <si>
    <t>WOS:001117985100073</t>
  </si>
  <si>
    <t>Houidi, O; Soualah, O; Houidi, I; Zeghlache, D</t>
  </si>
  <si>
    <t>Houidi, Omar; Soualah, Oussama; Houidi, Ines; Zeghlache, Djamal</t>
  </si>
  <si>
    <t>Energy Efficient VNF-FG Embedding via Attention-based Deep Reinforcement Learning</t>
  </si>
  <si>
    <t>Energy efficiency; Deep Reinforcement Learning; Attention; Multi-Agent; Virtual Network Function Embedding</t>
  </si>
  <si>
    <t>Designing smart mechanisms to facilitate and accelerate service deployment and management is one of the most challenging aspects for network infrastructure providers. This is due to the massive amount of traffic that they are expected to support, the decentralized nature of the architectures, and the services they run to meet quality targets and avoid Service Level Agreement (SLA) violations. Therefore, Communications Service Providers (CSPs) are devoting much of their efforts on reducing energy consumption and reducing carbon footprint of their network infrastructures. In future communication networks, traditional management mechanisms, and centralized legacy solutions show their limitations in ensuring revenue for the infrastructure providers, the service providers, and a good Quality of Experience (QoE) for the end-users. The deployment of these services requires, typically, an efficient allocation of Virtual Network Function Forwarding Graph (VNF-FG). In this context, we propose an intelligent energy efficient VNF-FG embedding approach based on multi-agent attention-based Deep Reinforcement Learning (DRL). Our contribution uses a semi-distributed DRL mechanism for VNF-FG placement. The proposed algorithm is shown to outperform previous state-of-the-art approaches in terms of acceptance rate, power consumption, and execution time.</t>
  </si>
  <si>
    <t>[Houidi, Omar; Zeghlache, Djamal] Inst Polytech Paris, SAMOVAR, Telecom SudParis, Paris, France; [Soualah, Oussama] OS Consulting, 79 Ave Francois Mitterrand, Athis Mons, France; [Houidi, Ines] Univ Sfax, ReDCAD Lab, Natl Engn Sch Sfax, Sfax, Tunisia</t>
  </si>
  <si>
    <t>IMT - Institut Mines-Telecom; Institut Polytechnique de Paris; Universite de Sfax; Ecole Nationale dIngenieurs de Sfax (ENIS)</t>
  </si>
  <si>
    <t>Houidi, O (corresponding author), Inst Polytech Paris, SAMOVAR, Telecom SudParis, Paris, France.</t>
  </si>
  <si>
    <t>omar.houidi@telecom-sudparis.eu; oussama.soualah@os-c.fr; ines.houidi@enis.tn; djamal.zeghlache@telecom-sudparis.eu</t>
  </si>
  <si>
    <t>WOS:001117985100021</t>
  </si>
  <si>
    <t>Jeong, ED; Yoo, JH; Hong, JWK</t>
  </si>
  <si>
    <t>Jeong, Eui-Dong; Yoo, Jae-Hyoung; Hong, James Won-Ki</t>
  </si>
  <si>
    <t>SDN Lullaby: VM Consolidation for SDN using Transformer-Based Deep Reinforcement Learning</t>
  </si>
  <si>
    <t>SDN; NFV; Energy Efficiency; VM Consolidation; Deep Reinforcement Learning</t>
  </si>
  <si>
    <t>This study introduces Virtual Machine (VM) Consolidation using a Transformer-based Deep Reinforcement Learning (DRL) method, to address the complexity and inefficiency in operating Software Defined Networks-enabled Network Function Virtualization (SDN-enabled NFV). The distribution of Virtual Network Functions (VNFs) as VMs across servers often leads to energy loss due to irregular deployment. The proposed approach enhances energy efficiency while maintaining the performance of Service Function Chains (SFCs). By refining the VM consolidation process and leveraging a more sophisticated DRL method, this approach promises a more efficient solution to VM consolidation in SDN-enabled NFV environments.</t>
  </si>
  <si>
    <t>[Jeong, Eui-Dong; Yoo, Jae-Hyoung; Hong, James Won-Ki] POSTECH, Dept Comp Sci &amp; Engn, Pohang, South Korea</t>
  </si>
  <si>
    <t>Jeong, ED (corresponding author), POSTECH, Dept Comp Sci &amp; Engn, Pohang, South Korea.</t>
  </si>
  <si>
    <t>justicedong@postech.ac.kr; jhyoo78@postech.ac.kr; jwkhong@postech.ac.kr</t>
  </si>
  <si>
    <t>Institute of Information &amp; Communications Technology Planning &amp; Evaluation (IITP) - Korean government (MSIT) [2018-0-00749]; Smart HealthCare Program - Korean National Police Agency(KNPA, Korea) [220222M01]</t>
  </si>
  <si>
    <t>Institute of Information &amp; Communications Technology Planning &amp; Evaluation (IITP) - Korean government (MSIT)(Institute for Information &amp; Communication Technology Planning &amp; Evaluation (IITP), Republic of KoreaMinistry of Science &amp; ICT (MSIT), Republic of Korea); Smart HealthCare Program - Korean National Police Agency(KNPA, Korea)</t>
  </si>
  <si>
    <t>This work was supported by the Institute of Information &amp; Communications Technology Planning &amp; Evaluation (IITP) grant funded by the Korean government (MSIT) (2018-0-00749, Development of Virtual Network Management Technology based on Artificial Intelligence) and Smart HealthCare Program(www.kipot.or.kr) funded by the Korean National Police Agency(KNPA, Korea) [Project Name: Development of an Intelligent Big Data Integrated Platform for Police Officers' Personalized Healthcare / Project Number: 220222M01]</t>
  </si>
  <si>
    <t>WOS:001117985100065</t>
  </si>
  <si>
    <t>Rodday, N; Rodosek, GD</t>
  </si>
  <si>
    <t>Rodday, Nils; Rodosek, Gabi Dreo</t>
  </si>
  <si>
    <t>BGPEval: Automating Large-Scale Testbed Creation</t>
  </si>
  <si>
    <t>Topology generator; BGP; RPKI; Security</t>
  </si>
  <si>
    <t>BGP has been known to be vulnerable to hijacking and path manipulation attacks for many years. Several solutions have been proposed to secure either the origin, the path, or both. A known issue for new ideas is their evaluation. Simulation environments are easy to use but can only mimic real-world deployments to a certain extent. In this work, we propose BGPEval. A framework that is capable of creating large-scale testbeds based on the KVM hypervisor and Docker container technology that mimics the interconnection of ASes according to a provided AS graph. We use several layers of abstraction to spawn and inter-connect as many as 55,000 containers. Our work takes significant effort away from an evaluator, who can now focus on the implementation rather than the creation of testbeds for the evaluation.</t>
  </si>
  <si>
    <t>[Rodday, Nils; Rodosek, Gabi Dreo] Univ Bundeswehr Munchen, Res Inst CODE, Munich, Germany; [Rodday, Nils] Univ Twente, Enschede, Netherlands</t>
  </si>
  <si>
    <t>Bundeswehr University Munich; University of Twente</t>
  </si>
  <si>
    <t>Rodday, N (corresponding author), Univ Bundeswehr Munchen, Res Inst CODE, Munich, Germany.;Rodday, N (corresponding author), Univ Twente, Enschede, Netherlands.</t>
  </si>
  <si>
    <t>WOS:001117985100067</t>
  </si>
  <si>
    <t>Krüger, T; Beck, C; Hausheer, D</t>
  </si>
  <si>
    <t>Krueger, Thorben; Beck, Clemens; Hausheer, David</t>
  </si>
  <si>
    <t>Path Oracle: Improving Performance of Path-Aware Applications in SCION</t>
  </si>
  <si>
    <t>Path-awareness; Path Oracle; SCION</t>
  </si>
  <si>
    <t>SCION is a next-generation Internet architecture enabling path-awareness for end-host applications. Contrary to today's single-path Internet, where paths are chosen based on BGP, path-awareness is a novel property allowing applications to select paths for their traffic based on specific goals, e.g. maximizing the bandwidth or minimizing the latency. To this end, SCION offers a list of path alternatives along with static path properties based on which SCION end hosts can select their paths. However, since the properties of these paths are often dynamically changing, SCION end hosts also need to rely on self-performed probes for their path selection. Such probes are usually time consuming and create a lot of overhead. In this paper, we therefore design and implement a system for sharing dynamic path properties in SCION-based networks, enabling applications to select paths in a more informed manner. Our implemented Path Oracle derives to-be-expected performance metrics of paths from donated end-to-end path performance data. For this purpose, the Path Oracle offers two interfaces to applications, one for querying path scores and one for donating measured metrics. The Path Oracle tracks the currently achievable throughput on paths by maintaining a network view on a link level, enabling to derive scores for paths without previously received data donations. The service incorporates donated measurements of applications performing network-bound input or output into its network view. The implemented Path Oracle and throughput service were evaluated in the global SCIONLab test network. Here the Path Oracle was able to successfully determine paths offering the best throughput. In addition we conducted further experiments to evaluate the system under a range of different simulated network configurations and high load scenarios, achieving significant performance gains.</t>
  </si>
  <si>
    <t>[Krueger, Thorben; Beck, Clemens; Hausheer, David] Otto von Guericke Univ, Magdeburg, Germany</t>
  </si>
  <si>
    <t>Krüger, T (corresponding author), Otto von Guericke Univ, Magdeburg, Germany.</t>
  </si>
  <si>
    <t>thorben.krueger@ovgu.de; clemens.beck97@gmail.com; hausheer@ovgu.de</t>
  </si>
  <si>
    <t>WOS:001117985100033</t>
  </si>
  <si>
    <t>Seehofer, P; Bless, R; Mahrt, H; Zitterbart, M</t>
  </si>
  <si>
    <t>Seehofer, Paul; Bless, Roland; Mahrt, Hendrik; Zitterbart, Martina</t>
  </si>
  <si>
    <t>Scalable and Efficient Link Layer Topology Discovery for Autonomic Networks</t>
  </si>
  <si>
    <t>topology discovery; network management; autonomic networks</t>
  </si>
  <si>
    <t>Increasingly flexible and dynamic network infrastructures, due to softwarization, virtualization and increasing mobility (5G and 6G networks), challenge network management. To cope with the increasing dynamics and complexity, recent research focuses on autonomic network management solutions that do not require human intervention. However, autonomic network management solutions often require up-to-date topological information during network bootstrapping or to quickly react to dynamic events. Therefore, a fast, efficient, and scalable link-layer topology discovery, providing autonomic network management solutions with topological information in highly dynamic and large-scale networks, is required. This paper introduces KeLLy an efficient, scalable link layer topology discovery algorithm for large-scale networks (evaluated with up to 100 000 nodes). KeLLy is fast, discovering large topologies within a few seconds, guarantees discovery of all nodes and all links while inducing low, predictable overhead by querying only a subset (generally below 4 percent) of nodes. It achieves these properties regardless of the type of underlying topology.</t>
  </si>
  <si>
    <t>[Seehofer, Paul; Bless, Roland; Mahrt, Hendrik; Zitterbart, Martina] Karlsruhe Inst Technol, Inst Telemat, Karlsruhe, Germany</t>
  </si>
  <si>
    <t>Seehofer, P (corresponding author), Karlsruhe Inst Technol, Inst Telemat, Karlsruhe, Germany.</t>
  </si>
  <si>
    <t>paul.seehofer@kit.edu; rolandbless@kit.edu; hendrik.mahrt@kit.edu; martina.zitterbart@kit.edu</t>
  </si>
  <si>
    <t>German Federal Ministry of Education and Research (BMBF) [16KISK010]</t>
  </si>
  <si>
    <t>German Federal Ministry of Education and Research (BMBF)(Federal Ministry of Education &amp; Research (BMBF))</t>
  </si>
  <si>
    <t>The authors acknowledge the financial support by the German Federal Ministry of Education and Research (BMBF) in the project Open6GHub (grant number 16KISK010).</t>
  </si>
  <si>
    <t>WOS:001117985100007</t>
  </si>
  <si>
    <t>Taghavian, M; Hadjadj-Aoul, Y; Texier, G; Huin, N; Bertin, P</t>
  </si>
  <si>
    <t>Taghavian, Masoud; Hadjadj-Aoul, Yassine; Texier, Geraldine; Huin, Nicolas; Bertin, Philippe</t>
  </si>
  <si>
    <t>A Fair Approach to the Online Placement of the Network Services over the Edge</t>
  </si>
  <si>
    <t>Network function virtualization; Placement; Branch-and-Bound; Edge; QoS</t>
  </si>
  <si>
    <t>The unavoidable transition from rigid dedicated hardware devices towards flexible containerized network services, introduced by Network Function Virtualization (NFV), brings novel opportunities while presenting several new challenges. Indeed, meeting the expectations of NFV in post-5G networks depends on the efficient placement of the services. The online placement of network services, demanding strict end-to-end latency requirements, with restricted computing resources presents a challenging problem which is worth investigating. We propose a Branch-and-Bound search approach for finding optimal placements of the network services by applying several cost functions to maximize the service acceptance. Extensive evaluations have been carried out, and the results confirm significant improvements when we consider a fair distribution of the resources on the edge.</t>
  </si>
  <si>
    <t>[Taghavian, Masoud; Hadjadj-Aoul, Yassine; Texier, Geraldine; Bertin, Philippe] IRT BCOM, Orange, France; [Taghavian, Masoud; Texier, Geraldine; Huin, Nicolas] IMT Atlantique, IRISA Adopnet, Rennes, France; [Hadjadj-Aoul, Yassine] Univ Rennes, CNRS, INRIA, IRISA, Rennes, France</t>
  </si>
  <si>
    <t>IMT - Institut Mines-Telecom; IMT Atlantique; Universite de Rennes; Centre National de la Recherche Scientifique (CNRS); Inria</t>
  </si>
  <si>
    <t>Taghavian, M (corresponding author), IRT BCOM, Orange, France.;Taghavian, M (corresponding author), IMT Atlantique, IRISA Adopnet, Rennes, France.</t>
  </si>
  <si>
    <t>masoud.taghavian@atlantique.fr; yassine.hadjadj-aoul@atlantique.fr; geraldine.texier@atlantique.fr; nicolas.huin@irisa.fr; philippe.bertin@orange.com</t>
  </si>
  <si>
    <t>WOS:001117985100004</t>
  </si>
  <si>
    <t>Guo, SHM; Lin, JL; Hsing, HC; Lee, CC; Chuang, SM</t>
  </si>
  <si>
    <t>Guo, Sophie Huey-Ming; Lin, Jiun-Lu; Hsing, Hung-Chun; Lee, Chun-Chuan; Chuang, Shih-Ming</t>
  </si>
  <si>
    <t>The Effect of Mobile eHealth Education to Improve Knowledge, Skills, Self-Care, and Mobile eHealth Literacies Among Patients With Diabetes: Development and Evaluation Study</t>
  </si>
  <si>
    <t>mobile eHealth technology; mHealth literacy; eHealth literacy; diabetes; HbA1c; self-care behavior</t>
  </si>
  <si>
    <t>HEALTH LITERACY; APPS; MANAGEMENT</t>
  </si>
  <si>
    <t>Background: The promotion of mobile health (mHealth) and eHealth technologies as tools for managing chronic diseases, particularly diabetes mellitus, is on the rise. Nevertheless, individuals with diabetes frequently face a literacy gap that hinders their ability to fully leverage the benefits offered by these resources. Enhancing technology literacy to facilitate the adoption of mobile eHealth services poses a significant challenge in numerous countries. Objective: This study aims to develop an educational mobile eHealth literacy (eHL) program for patients with diabetes and to evaluate its effect on patients' outcomes. Methods: This study designed a mobile eHL education program comprising 2 modules specifically tailored for individuals with type 2 diabetes (T2D). These modules focused on guiding participants through the process of effectively navigating reliable health websites and utilizing diabetes-related apps. Using a pre- and posttest experimental design, the study featured an intervention group and a control group. Participants were recruited from 3 outpatient departments in hospitals, and assessments were conducted both before and after the intervention, along with a follow-up measure at the 3-month mark. The evaluation encompassed sociodemographic characteristics, computer and internet proficiency, mobile app usage, mobile eHL, and patient outcomes such as self-care behaviors and glycated hemoglobin (HbA(1c)) levels. Results: The analysis included a total of 132 eligible participants. Significant differences were observed in the mean scores of knowledge (P&lt;.001) and skills (P&lt;.001) related to computers, the web, and mobile devices at the initiation of the study and after the intervention. During the 3-month follow-up, the findings indicated a significant improvement in mobile eHL (t(114)=3.391, P=.001) and mHealth literacy (mHL, a subconcept of mobile eHL; t(114)=3.801, P&lt;.001) within the intervention group, whereas no such improvement was observed in the control group. The chi-square values from the McNemar test underscored that individuals with uncontrolled diabetes (HbA(1c)&gt;= 7%) in the intervention group exhibited more improvement compared with the control group. The generalized estimating equations model unveiled a significant difference in the change of general mHL in the intervention group (beta=1.91, P=.047) and self-care behavior in the control group from T0 to T2 (beta=-8.21, P=.015). Despite being small, the effect sizes for mobile eHL (d=0.49) and HbA(1c) (d=0.33) in the intervention group were greater than those in the control group (d=0.14 and d=0.16, respectively). Conclusions: The implementation of a mobile eHL education intervention demonstrates a positive influence on the familiarity of patients with T2D regarding health technology, leading to favorable glycemic outcomes. While additional studies are warranted for a more comprehensive understanding, this program emerges as a promising solution for enhancing patients' uptake of digital health technology.</t>
  </si>
  <si>
    <t>[Guo, Sophie Huey-Ming] Mackay Med Coll, Dept Nursing, 46,Sec 3,Zhongzheng Rd, New Taipei 25245, Taiwan; [Lin, Jiun-Lu; Lee, Chun-Chuan; Chuang, Shih-Ming] Mackay Mem Hosp, Div Endocrinol &amp; Metab, Taipei, Taiwan; [Hsing, Hung-Chun] Hsinchu Cathay Gen Hosp, Dept Nursing, Hsinchu, Taiwan</t>
  </si>
  <si>
    <t>Mackay Medical College; Mackay Memorial Hospital; Cathay General Hospital</t>
  </si>
  <si>
    <t>Guo, SHM (corresponding author), Mackay Med Coll, Dept Nursing, 46,Sec 3,Zhongzheng Rd, New Taipei 25245, Taiwan.</t>
  </si>
  <si>
    <t>sophiecgu@gmail.com</t>
  </si>
  <si>
    <t>Chuang, Shih-Ming/0000-0002-8622-1968; Guo, Sophie Huey-Ming/0000-0002-5092-3079; Lin, Jiun-Lu/0000-0001-5709-4114; Hsing, Hung-Chun/0000-0002-1731-4255</t>
  </si>
  <si>
    <t>Mackay Medical College [1081C07]; Ministry of Science and Technology [MOST 105-2511-S-715-001-]</t>
  </si>
  <si>
    <t>Mackay Medical College; Ministry of Science and Technology(Spanish Government)</t>
  </si>
  <si>
    <t>Acknowledgments This research was supported in part by Mackay Medical College (1081C07) and by the Ministry of Science and Technology (MOST 105-2511-S-715-001-) . The authors declare that no generative AI tools were used in the writing process.</t>
  </si>
  <si>
    <t>DEC 6</t>
  </si>
  <si>
    <t>e42497</t>
  </si>
  <si>
    <t>10.2196/42497</t>
  </si>
  <si>
    <t>CR0X0</t>
  </si>
  <si>
    <t>WOS:001126863400001</t>
  </si>
  <si>
    <t>Benes, T; Pesek, J; Cejka, T</t>
  </si>
  <si>
    <t>Benes, Tomas; Pesek, Jaroslav; Cejka, Tomas</t>
  </si>
  <si>
    <t>Look at my Network: An insight into the ISP Backbone Traffic</t>
  </si>
  <si>
    <t>traffic monitoring; IP flows; traffic statistics; heavy-tailed distribution; ISP network</t>
  </si>
  <si>
    <t>High-speed ISP networks provide several challenges that prevent the creation of long-term datasets for giving insight into the traffic. Currently, there are no publicly available long-term datasets capturing the entirety of high-speed ISP networks. Such networks are traditionally monitored using IP Flows, which provide enough high-level information about the situation in the network and support various use cases, such as the detection of outages or security threats. Even with this type of aggregation long-term datasets are very unpractical due to their size. The other problem is that flow monitoring comes with significant aggregation and common traffic statistics are brief and lack useful details and require further processing. This paper addresses these problems and presents a new long-term aggregated dataset, a detailed analysis of public network traffic measured on the ISP backbone, and a monitoring architecture composed of open-source tools capable of using an existing flow exporter infrastructure. Such insight into traffic helps to design and develop hardware optimizations, tuning the performance of monitoring systems, and adapting security detection algorithms.</t>
  </si>
  <si>
    <t>[Benes, Tomas; Pesek, Jaroslav] Czech Tech Univ, Prague, Czech Republic; [Benes, Tomas; Pesek, Jaroslav; Cejka, Tomas] CESNET Ale, Prague, Czech Republic</t>
  </si>
  <si>
    <t>Czech Technical University Prague; Czech Education &amp; Scientific NETwork (CESNET)</t>
  </si>
  <si>
    <t>Benes, T (corresponding author), Czech Tech Univ, Prague, Czech Republic.;Benes, T (corresponding author), CESNET Ale, Prague, Czech Republic.</t>
  </si>
  <si>
    <t>benesto3@fit.cvut.cz; jaroslav.pesek@fit.cvut.cz; cejkat@cesnet.cz</t>
  </si>
  <si>
    <t>Cejka, Tomas/AAA-5497-2021</t>
  </si>
  <si>
    <t>Cejka, Tomas/0000-0001-7794-9511</t>
  </si>
  <si>
    <t>WOS:001117985100020</t>
  </si>
  <si>
    <t>Movahedian, M; Dolati, M; Ghaderi, M</t>
  </si>
  <si>
    <t>Movahedian, Mahtab; Dolati, Mahdi; Ghaderi, Majid</t>
  </si>
  <si>
    <t>Adaptive Model Aggregation for Decentralized Federated Learning in Vehicular Networks</t>
  </si>
  <si>
    <t>Decentralized federated learning (DFL) enables collaborative training of machine learning models without sharing sensitive data. As such, its application in vehicular networks has gained significant attention. At the core of DFL is the so-called model aggregation, in which each vehicle combines its locally trained model with those received from its neighboring vehicles to generate an updated model that, over time, converges to a global model shared by all vehicles. However, due to high mobility and wireless communication, vehicle-to-vehicle communication is lossy. As a result, a vehicle may receive its neighboring vehicle models only partially. A technical challenge in DFL is how to efficiently utilize such partial models to speed up model training without increasing the training overhead. In this paper, we present an Adaptive Model Aggregation (AMA) algorithm to address this challenge. Our algorithm runs asynchronously on each vehicle and uses a threshold to decide whether to use a partially received model for aggregation. We show that due to the mobility of vehicles, a static threshold is not sufficient and subsequently develop an algorithm based on the contextual multi-arm bandit theory to adaptively compute an optimal threshold for each vehicle based on the dynamics of the network. We evaluate the performance of AMA in realistic environments that include different mobility patterns. Our results show that AMA can decrease DFL aggregation overhead by 83% without reducing the training accuracy compared to non-adaptive aggregation.</t>
  </si>
  <si>
    <t>[Movahedian, Mahtab; Ghaderi, Majid] Univ Calgary, Dept Comp Sci, Calgary, AB, Canada; [Dolati, Mahdi] Inst Res Fundamental Sci IPM, Sch Comp Sci, Tehran, Iran</t>
  </si>
  <si>
    <t>University of Calgary</t>
  </si>
  <si>
    <t>Movahedian, M (corresponding author), Univ Calgary, Dept Comp Sci, Calgary, AB, Canada.</t>
  </si>
  <si>
    <t>mahtab.movahedianatt@ucalgary.ca; m.dolati@ipm.ir; mghaderi@ucalgary.ca</t>
  </si>
  <si>
    <t>WOS:001117985100022</t>
  </si>
  <si>
    <t>Hassan, A; Heydari, SS</t>
  </si>
  <si>
    <t>Hassan, Ali; Heydari, Shahram Shah</t>
  </si>
  <si>
    <t>Enterprise Application Outage Prediction Using XGBoost and LSTM</t>
  </si>
  <si>
    <t>Application; Outage Prediction; XGBoost; Long-Short Term Memory (LSTM); ITSM; Regression; Classification</t>
  </si>
  <si>
    <t>A large percentage of the global GDP is dependent on the Internet servicing millions of applications, therefore monitoring the health of these applications is critical to businesses around the world. To this date, majority of the mechanisms to support applications have all been reactive in nature; that is, reacting when an application goes down and the business has suffered financial loss. The use of Machine Learning in this space has been very limited until very recently. In this paper, we aim to employ a multi-modal model in determining the health of an application based on several tangible metrics from the infrastructure. Our results indicate that our method is able to predict the health of the application successfully.</t>
  </si>
  <si>
    <t>[Hassan, Ali] Royal Bank Canada, IT Operat &amp; Site Reliabil Engn, Toronto, ON, Canada; [Heydari, Shahram Shah] Univ Ontario Inst Technol, Fac Business &amp; Informat Technol, Oshawa, ON, Canada</t>
  </si>
  <si>
    <t>Bank of Canada; Ontario Tech University</t>
  </si>
  <si>
    <t>Hassan, A (corresponding author), Royal Bank Canada, IT Operat &amp; Site Reliabil Engn, Toronto, ON, Canada.</t>
  </si>
  <si>
    <t>ali.hassan@rbc.com; Shahram.Heydari@ontariotechu.ca</t>
  </si>
  <si>
    <t>WOS:001117985100041</t>
  </si>
  <si>
    <t>Kobayashi, S; Shiiba, R; Miura, R; Miwa, S; Miyachi, T; Fukuda, K</t>
  </si>
  <si>
    <t>Kobayashi, Satoru; Shiiba, Ryusei; Miura, Ryosuke; Miwa, Shinsuke; Miyachi, Toshiyuki; Fukuda, Kensuke</t>
  </si>
  <si>
    <t>dot2net: A labeled graph approach for template-based configuration of emulation networks</t>
  </si>
  <si>
    <t>Configuration management; Emulation network; Topology graph; Config template</t>
  </si>
  <si>
    <t>DIGITAL TWIN; MANAGEMENT</t>
  </si>
  <si>
    <t>Network emulation is an effective approach to ensure sustainable and reliable network services by verifying the correctness and fault tolerance of them. However, deploying and modifying emulation networks with existing platforms is time-consuming and prone to cause configuration errors because existing emulation platforms do not provide a suitable method for scalable network configuration. To overcome this problem, we propose the design and implementation of dot2net, a template-based platform for simple, scalable, and expressive configuration of emulation networks. The key idea is to separate network configuration into network topology as a labeled graph and label definitions as config template blocks. We evaluate the performance and efficiency of config file generation and show that dot2net is particularly effective at scaling the network topologies. We also demonstrate the expressiveness of dot2net for complicated networks and advanced technologies with test emulation networks of FRR, a widely used router software.</t>
  </si>
  <si>
    <t>[Kobayashi, Satoru] Okayama Univ, Okayama, Japan; [Shiiba, Ryusei] Sokendai, Hayama, Kanagawa, Japan; [Miura, Ryosuke; Miwa, Shinsuke; Miyachi, Toshiyuki] NICT, Tokyo, Japan; [Fukuda, Kensuke] NII, Sokendai, Hayama, Kanagawa, Japan</t>
  </si>
  <si>
    <t>Okayama University; Graduate University for Advanced Studies - Japan; National Institute of Information &amp; Communications Technology (NICT) - Japan; Graduate University for Advanced Studies - Japan; Research Organization of Information &amp; Systems (ROIS); National Institute of Informatics (NII) - Japan</t>
  </si>
  <si>
    <t>Kobayashi, S (corresponding author), Okayama Univ, Okayama, Japan.</t>
  </si>
  <si>
    <t>sat@okayama-u.ac.jp; siiba@nii.ac.jp; r-miura@nict.go.jp; danna@nict.go.jp; miyachi@nict.go.jp; kensuke@nii.ac.jp</t>
  </si>
  <si>
    <t>JSPS KAKENHI [JP22K17886]</t>
  </si>
  <si>
    <t>This work is supported by JSPS KAKENHI Grant Number JP22K17886.</t>
  </si>
  <si>
    <t>WOS:001117985100045</t>
  </si>
  <si>
    <t>Manca, L; Borsatti, D; Poltronieri, F; Zaccarini, M; Scotece, D; Davoli, G; Foschini, L; Grabarnik, GY; Shwartz, L; Stefanelli, C; Tortonesi, M; Cerroni, W</t>
  </si>
  <si>
    <t>Manca, Lorenzo; Borsatti, Davide; Poltronieri, Filippo; Zaccarini, Mattia; Scotece, Domenico; Davoli, Gianluca; Foschini, Luca; Grabarnik, Genady Ya.; Shwartz, Larisa; Stefanelli, Cesare; Tortonesi, Mauro; Cerroni, Walter</t>
  </si>
  <si>
    <t>Characterization of Microservice Response Time in Kubernetes: A Mixture Density Network Approach</t>
  </si>
  <si>
    <t>Service Management and Orchestration; Kubernetes; Simulation; Optimization; Digital twins</t>
  </si>
  <si>
    <t>The use of microservice-based applications is becoming more prominent also in the telecommunication field. The current 5G core network, for instance, is already built around the concept of a Service Based Architecture, and it is foreseeable that 6G will push even further this concept to enable more flexible and pervasive deployments. However, the increasing complexity of future networks calls for sophisticated platforms that could help network providers with their deployments design. In this framework, a central research trend is the development of digital twins of the physical infrastructures. These digital representations should closely mimic the behavior of the managed system, allowing the operators to test new configurations, analyze what-if scenarios, or train their reinforcement learning algorithms in safe environments. Considering that Kubernetes is becoming the de-facto standard platform for container orchestration and microservice-based application life cycle management, the implementation of a Kubernetes digital twin requires an accurate characterization of the microservice response time, possibly leveraging suitable Machine Learning techniques trained with measurement data collected in the field. In this paper we introduce a new methodology, based on Mixture Density Networks, to accurately estimate the statistical distribution of the response time of microservice-based applications. We show the improvement in performance with respect to simulation-based inference procedures proposed in literature.</t>
  </si>
  <si>
    <t>[Manca, Lorenzo; Borsatti, Davide; Scotece, Domenico; Davoli, Gianluca; Foschini, Luca; Cerroni, Walter] Univ Bologna, Bologna, Italy; [Poltronieri, Filippo; Zaccarini, Mattia; Stefanelli, Cesare; Tortonesi, Mauro] Univ Ferrara, Distributed Syst Res Grp, Ferrara, Italy; [Grabarnik, Genady Ya.] St Johns Univ, Dept Math &amp; Comp Sci, Queens, NY USA; [Shwartz, Larisa] IBM TJ Watson Res Ctr, Operat Innovat, New York, NY USA</t>
  </si>
  <si>
    <t>University of Bologna; University of Ferrara; Saint John's University; International Business Machines (IBM)</t>
  </si>
  <si>
    <t>Manca, L (corresponding author), Univ Bologna, Bologna, Italy.</t>
  </si>
  <si>
    <t>lorenzo.manca@unibo.it; davide.borsatti@unibo.it; filippo.poltronieri@unife.it; mattia.zaccarini@unife.it; domenico.scotece@unibo.it; gianluca.davoli@unibo.it; luca.foschini@unibo.it; grabarng@stjohns.edu; lshwart@us.ibm.com; cesare.stefanelli@unife.it; mauro.tortonesi@unife.it; walter.cerroni@unibo.it</t>
  </si>
  <si>
    <t>European Union under the Italian National Recovery and Resilience Plan (NRPP) of Next Generation EU (NGEU) [PE00000001]; Spoke 1 FutureHPC &amp; BigData of the Italian Research Center on High-Performance Computing, Big Data and Quantum Computing (ICSC) - MUR Missione 4 -NGEU</t>
  </si>
  <si>
    <t>European Union under the Italian National Recovery and Resilience Plan (NRPP) of Next Generation EU (NGEU); Spoke 1 FutureHPC &amp; BigData of the Italian Research Center on High-Performance Computing, Big Data and Quantum Computing (ICSC) - MUR Missione 4 -NGEU</t>
  </si>
  <si>
    <t>This work was partially supported by the European Union under the Italian National Recovery and Resilience Plan (NRPP) of Next Generation EU (NGEU), partnership on Telecommunications of the Future (PE00000001 -program RESTART), and by the Spoke 1 FutureHPC &amp; BigData of the Italian Research Center on High-Performance Computing, Big Data and Quantum Computing (ICSC) funded by MUR Missione 4 -NGEU.</t>
  </si>
  <si>
    <t>WOS:001117985100032</t>
  </si>
  <si>
    <t>Moura, HD; Oliveira, JM; Soares, D; Macedo, DF; Vieira, MAM</t>
  </si>
  <si>
    <t>Moura, Henrique D.; Oliveira, Junia Maisa; Soares, Daniel; Macedo, Daniel F.; Vieira, Marcos A. M.</t>
  </si>
  <si>
    <t>Improved Video QoE in Wireless Networks using Deep Reinforcement Learning</t>
  </si>
  <si>
    <t>Deep Reinforcement Learning; Adaptive Control; Wireless Networks; Quality of Experience</t>
  </si>
  <si>
    <t>QUALITY; FRAMEWORK</t>
  </si>
  <si>
    <t>Millions of videos are watched per minute on the Internet. Due to real-time performance demands, such as high-quality video streaming, network administrators face new challenges to control the network and cope with the expected quality of experience (QoE). Automatic control is a necessity to reduce the OPEX, because it could reduce the need for resource overprovisioning, as well as the number of human administrators. Dynamic rate in video streaming alleviates the resource usage, but it worsens the video quality when a network bottleneck occurs, lowering the QoE. This paper dynamically adjusts the IEEE 802.11 parameters to improve the network condition and hence maintain a higher QoE. While traditional networks are not aware of the application, in our proposal the controller learns the configuration of the access points (APs) (in terms of transmission power and channel number) that provide the best QoE, using double deep Q-learning (DDQL). The proposal improves video QoE by 91% in the best case, when compared to three baselines. It also balances the QoE among clients, improving the fairness up to 115% when compared to the baselines.</t>
  </si>
  <si>
    <t>[Moura, Henrique D.] Univ Antwerp, IDLab Imec, Antwerp, Belgium; [Oliveira, Junia Maisa; Soares, Daniel; Macedo, Daniel F.; Vieira, Marcos A. M.] Univ Fed Minas Gerais, Comp Sci Dept, Belo Horizonte, MG, Brazil</t>
  </si>
  <si>
    <t>University of Antwerp; Universidade Federal de Minas Gerais</t>
  </si>
  <si>
    <t>Moura, HD (corresponding author), Univ Antwerp, IDLab Imec, Antwerp, Belgium.</t>
  </si>
  <si>
    <t>Coordenacao de Aperfeicoamento de Pessoal de Nivel Superior -Brasil (CAPES) [001]; CNPq (Brazilian federal government); FAPEMIG (Minas Gerais State Funding Agency); Sao Paulo Research Foundation (FAPESP) [2018/23097-3, 2020/05182-3]</t>
  </si>
  <si>
    <t>Coordenacao de Aperfeicoamento de Pessoal de Nivel Superior -Brasil (CAPES)(Coordenacao de Aperfeicoamento de Pessoal de Nivel Superior (CAPES)); CNPq (Brazilian federal government)(Conselho Nacional de Desenvolvimento Cientifico e Tecnologico (CNPQ)); FAPEMIG (Minas Gerais State Funding Agency)(Fundacao de Amparo a Pesquisa do Estado de Minas Gerais (FAPEMIG)); Sao Paulo Research Foundation (FAPESP)(Fundacao de Amparo a Pesquisa do Estado de Sao Paulo (FAPESP))</t>
  </si>
  <si>
    <t>This work was financed in part by the Coordenacao de Aperfeicoamento de Pessoal de Nivel Superior -Brasil (CAPES) Finance Code 001, CNPq (funding agency from the Brazilian federal government), FAPEMIG (Minas Gerais State Funding Agency), and Sao Paulo Research Foundation (FAPESP) with Brazilian Internet Steering Committee (CGI.br), grants 2018/23097-3 and 2020/05182-3.</t>
  </si>
  <si>
    <t>WOS:001117985100019</t>
  </si>
  <si>
    <t>Sefati, A; Dolati, M; Ghaderi, M</t>
  </si>
  <si>
    <t>Sefati, Amirhossein; Dolati, Mahdi; Ghaderi, Majid</t>
  </si>
  <si>
    <t>Workload Placement with Bounded Slowdown in Disaggregated Datacenters</t>
  </si>
  <si>
    <t>Disaggregated Data Center (DDC) is a modern datacenter architecture that decouples hardware resources from monolithic servers into pools of resources that can be dynamically composed to match diverse workload requirements. While disaggregation improves resource utilization, it could negatively impact workload slowdown due to the latency of accessing disaggregated resources over the datacenter network. To this end, we consider CPU and memory disaggregation and conduct measurements to experimentally profile several popular datacenter workloads in order to characterize the impact of disaggregation on workload execution slowdown. We then develop a workload placement algorithm, called Iterative Rounding-based Placement (IRoP), that given a set of workloads, determines where to place each workload (i.e., on which CPU) and how much local and remote memory allocate to it. The key insight in designing IRoP is that the impact of remote memory latency on slowdown can be substantially masked by assigning workloads to higher-performing CPUs, albeit at the cost of higher energy consumption. As such, IRoP aims to find a workload placement that minimizes the DDC energy consumption while respecting a bounded slowdown for each workload. We provide extensive simulation results to demonstrate the flexibility of IRoP in providing a wide range of trade-offs between energy consumption and workload slowdown. We also compare IRoP with several existing baselines. Our results indicate that IRoP can reduce energy consumption and slowdown in the considered scenarios by up to 8% and 12%, respectively.</t>
  </si>
  <si>
    <t>[Sefati, Amirhossein; Ghaderi, Majid] Univ Calgary, Dept Comp Sci, Calgary, AB, Canada; [Dolati, Mahdi] Inst Res Fundamental Sci IPM, Sch Comp Sci, Tehran, Iran</t>
  </si>
  <si>
    <t>Sefati, A (corresponding author), Univ Calgary, Dept Comp Sci, Calgary, AB, Canada.</t>
  </si>
  <si>
    <t>amirhossein.sefati@ucalgary.ca; m.dolati@ipm.ir; mghaderi@ucalgary.ca</t>
  </si>
  <si>
    <t>WOS:001117985100050</t>
  </si>
  <si>
    <t>Wang, YX; Xiao, Y; Song, YQ; Zhou, JL; Liu, J</t>
  </si>
  <si>
    <t>Wang, Yixing; Xiao, Yang; Song, Yuqian; Zhou, Jingli; Liu, Jun</t>
  </si>
  <si>
    <t>Deep Reinforcement Learning Based Probabilistic Cognitive Routing: An Empirical Study with OMNeT++ and P4</t>
  </si>
  <si>
    <t>Deep reinforcement learning; probabilistic cognitive routing; software-defined networking.</t>
  </si>
  <si>
    <t>This paper presents an empirical study on deep reinforcement learning (DRL) based probabilistic cognitive routing using the OMNeT++ framework and programming protocol-independent packet processors (P4). The proposed algorithm combines the power of DRL and cognitive routing to achieve efficient and adaptive probabilistic routing in software-defined networking (SDN) environments. To facilitate the research, we develop a dedicated network simulation environment using the OMNeT++ framework and a self-developed SDN platform based on P4. The empirical study highlights the importance of a comprehensive training and validation process in both simulation and real-world SDN environments. Through closed-loop training, the cognitive routing framework provides real-time feedback from the actual network environment to the simulation environment, allowing the agent to excel in real-world network environments. Meanwhile, the results demonstrate that solely testing the algorithm in either environment is inadequate for evaluating its performance accurately.</t>
  </si>
  <si>
    <t>[Wang, Yixing; Xiao, Yang; Song, Yuqian; Zhou, Jingli; Liu, Jun] Beijing Univ Posts &amp; Telecommun, Sch Artificial Intelligence, Beijing, Peoples R China</t>
  </si>
  <si>
    <t>Xiao, Y (corresponding author), Beijing Univ Posts &amp; Telecommun, Sch Artificial Intelligence, Beijing, Peoples R China.</t>
  </si>
  <si>
    <t>peterwangyixing@gmail.com; zackxy@bupt.edu.cn; songyuqian@bupt.edu.cn; wayzer@bupt.edu.cn; liujun@bupt.edu.cn</t>
  </si>
  <si>
    <t>MoE-CMCC Artificial Intelligence Project [MCM20190701]</t>
  </si>
  <si>
    <t>MoE-CMCC Artificial Intelligence Project</t>
  </si>
  <si>
    <t>This work was supported by the MoE-CMCC Artificial Intelligence Project under Grant MCM20190701.</t>
  </si>
  <si>
    <t>WOS:001117985100048</t>
  </si>
  <si>
    <t>Baranda, J; Barrachina-Muñoz, S; Nikbakht, R; Payaró, M; Mangues-Bafalluy, J</t>
  </si>
  <si>
    <t>Baranda, Jorge; Barrachina-Munoz, Sergio; Nikbakht, Rasoul; Payaro, Miquel; Mangues-Bafalluy, Josep</t>
  </si>
  <si>
    <t>Disaggregating a 5G Non-Public Network via On-demand Cloud-Native UPF Deployments</t>
  </si>
  <si>
    <t>UPF; 5G; Management and Orchestration; Cloud-Native; Disaggregation; Open5GS</t>
  </si>
  <si>
    <t>Effective and real-time management of data planes becomes of paramount importance to support the ever-increasing challenging use cases and scenarios foreseen in 5G and beyond. In this demonstration, we present a comprehensive showcase of a cloud-native open-source 5G core deployment, realised as a disaggregated non-public network (NPN) spanning multiple locations. Ranging from cloud to edge points of presence, the demonstration establishes an end-to-end experimental platform with over-the-air transmission capabilities, specifically highlighting the on-demand creation and deletion of User-Plane Functions (UPFs). This dynamic deployment approach harnesses the advantages offered by edge locations, empowering the mobile network to adapt and scale as per its specific requirements. Furthermore, our demo elucidates how to use Open Source MANO (OSM) for easing the management operations of network administrators.</t>
  </si>
  <si>
    <t>[Baranda, Jorge; Barrachina-Munoz, Sergio; Nikbakht, Rasoul; Payaro, Miquel; Mangues-Bafalluy, Josep] Ctr Tecnol Telecomun Catalunya CTTC CERCA, Barcelona, Spain</t>
  </si>
  <si>
    <t>Baranda, J (corresponding author), Ctr Tecnol Telecomun Catalunya CTTC CERCA, Barcelona, Spain.</t>
  </si>
  <si>
    <t>jorge.baranda@cttc.cat; sergio.barrachina@cttc.cat; rasoul.nikbakht@cttc.cat; miquel.payaro@cttc.cat; josep.mangues@cttc.cat</t>
  </si>
  <si>
    <t>EU [951867, 101017171]; Spanish MINECO - MCIN/AEI [TSI-063000-2021-56/TSI-063000-2021-57, PID2021-126431OB-I00]; ERDF A way of making Europe; Generalitat de Catalunya [2021 SGR 00770]</t>
  </si>
  <si>
    <t>EU(European Union (EU)); Spanish MINECO - MCIN/AEI; ERDF A way of making Europe; Generalitat de Catalunya(Generalitat de Catalunya)</t>
  </si>
  <si>
    <t>This work has received funding from EU Horizon 2020 grant agreements No 951867 (5G-ROUTES) and No 101017171 (MARSAL), from Spanish MINECO grants TSI-063000-2021-56/TSI-063000-2021-57 (6G-BLUR) and Grant PID2021-126431OB-I00 funded by MCIN/AEI/10.13039/501100011033 and by ERDF A way of making Europe and Generalitat de Catalunya grant 2021 SGR 00770.</t>
  </si>
  <si>
    <t>WOS:001117985100036</t>
  </si>
  <si>
    <t>Wubete, B; Esfandiari, B; Kunz, T</t>
  </si>
  <si>
    <t>Wubete, Bruck; Esfandiari, Babak; Kunz, Thomas</t>
  </si>
  <si>
    <t>Leveraging Spatiotemporal Relations for Predicting Potential Link Failures</t>
  </si>
  <si>
    <t>IGP; Transformers; VAE; GCN; Machine Learning; Feature Importance; Time Series; Graphs</t>
  </si>
  <si>
    <t>Being able to predict link failures in advance would be of great benefit to network operators. We use Machine Learning (ML) techniques to extract temporal and spatial relations from real network data and use them to predict link failures. We use Interior Gateway Protocol (IGP) configuration changes as a guide to achieve this. We predict link failures in the next five days based on data collected from the previous five days. We propose a modified Variational Auto Encoder (VAE) model to compress the higher dimensional dataset into a latent space that captures time-based relations in the data. We demonstrate that five days is the smallest look-back window of time required to get satisfactory prediction results. Using feature importance plots, we learned that the VAE model was able to capture intricate time-based dependencies in the error counter features to achieve good performance. In addition, using a Graph Convolutional Network (GCN), we were able to aggregate data from neighboring links to improve the model's performance. Neighbors up to two hops away carried relevant information in IGP metric settings and in traffic metric counter features. The relevance of the correlation of the features in time and space is confirmed using standard feature importance wrapper methods. Finally, by combining the VAE and GCN components, we were able to extract spatial and temporal features in conjunction, leading to further improvements. These ML approaches significantly improve existing manual methods of tracking metrics in time and space currently followed by the operator.</t>
  </si>
  <si>
    <t>[Wubete, Bruck; Esfandiari, Babak; Kunz, Thomas] Carleton Univ, Syst &amp; Comp Engn, Ottawa, ON, Canada</t>
  </si>
  <si>
    <t>Carleton University</t>
  </si>
  <si>
    <t>Wubete, B (corresponding author), Carleton Univ, Syst &amp; Comp Engn, Ottawa, ON, Canada.</t>
  </si>
  <si>
    <t>bruckwendwessenwubet@cmail.carleton.ca; babak@sce.carleton.ca; tkunz@sce.carleton.ca</t>
  </si>
  <si>
    <t>WOS:001117985100011</t>
  </si>
  <si>
    <t>Arouna, A; Livadariu, I; Khanyari, AL; Elmokashfi, A</t>
  </si>
  <si>
    <t>Arouna, Alfred; Livadariu, Ioana; Khanyari, Azan Latif; Elmokashfi, Ahmed</t>
  </si>
  <si>
    <t>On Large-scale IP service Disruptions Dependencies</t>
  </si>
  <si>
    <t>BGP; dependency; IP service disruption</t>
  </si>
  <si>
    <t>Large part of the human activities has become digitalized as many of the daily activities rely on the Internet. However, this critical infrastructure is subject to disruption that can be caused by malicious actors or misconfiguration. Network operators are expected to implement community driven best-practices that contribute to the Internet's resilience. In practice many operators fail to implement them due to the high complexity of these tasks. Consequently, large-scale disruption of IP services can impact numerous customers through a cascading effect. In this work, we assess how three major Internet disruption impact their connectivity. We found that these disruptions cascade from the affected operators towards large part of their customers. However, customers that follow best practices have a short recovery time and rely on rerouted paths through a myriad of topologically close backups links.</t>
  </si>
  <si>
    <t>[Arouna, Alfred; Khanyari, Azan Latif] Oslo Metropolitan Univ, Oslo, Norway; [Arouna, Alfred; Livadariu, Ioana; Khanyari, Azan Latif; Elmokashfi, Ahmed] Simula Metropolitan, Oslo, Norway</t>
  </si>
  <si>
    <t>Oslo Metropolitan University (OsloMet)</t>
  </si>
  <si>
    <t>Arouna, A (corresponding author), Oslo Metropolitan Univ, Oslo, Norway.;Arouna, A (corresponding author), Simula Metropolitan, Oslo, Norway.</t>
  </si>
  <si>
    <t>Norwegian Research Council [288744]</t>
  </si>
  <si>
    <t>Norwegian Research Council(Research Council of Norway)</t>
  </si>
  <si>
    <t>We would like to thank Romain Fontugne and the anonymous reviewers for their insightful comments. This work was funded by the Norwegian Research Council grant #288744.</t>
  </si>
  <si>
    <t>WOS:001117985100005</t>
  </si>
  <si>
    <t>Koushki, NM; Sondur, S; Kant, K</t>
  </si>
  <si>
    <t>Koushki, Negar Mohammadi; Sondur, Sanjeev; Kant, Krishna</t>
  </si>
  <si>
    <t>Improving System Configurations using Domain Knowledge Assisted Semi-Supervised Learning</t>
  </si>
  <si>
    <t>configuration; semi-supervised learning; data argumentation; pseudo-labeled data; confidence measure</t>
  </si>
  <si>
    <t>Given the difficulty in obtaining adequate data from production systems, characterizing performance as a function of configuration variables (CVs) via supervised learning is difficult, and the use of standard semi-supervised learning (SSL) techniques may or may not help. In this paper, we describe a knowledge-assisted (KA) SSL algorithm that determines the confidence level of the generated data independently based on the domain knowledge. We demonstrate that such an approach outperforms plain SSL with the most popular SSL algorithms for all the workloads used in this study.</t>
  </si>
  <si>
    <t>[Koushki, Negar Mohammadi; Sondur, Sanjeev; Kant, Krishna] Temple Univ, Comp &amp; Informat Sci, Philadelphia, PA 19122 USA</t>
  </si>
  <si>
    <t>Pennsylvania Commonwealth System of Higher Education (PCSHE); Temple University</t>
  </si>
  <si>
    <t>Koushki, NM (corresponding author), Temple Univ, Comp &amp; Informat Sci, Philadelphia, PA 19122 USA.</t>
  </si>
  <si>
    <t>koushki@temple.edu; sanjeev.sondur@temple.edu; kkant@temple.edu</t>
  </si>
  <si>
    <t>NSF [CNS-2011252]</t>
  </si>
  <si>
    <t>This research was supported by NSF grant CNS-2011252</t>
  </si>
  <si>
    <t>WOS:001117985100053</t>
  </si>
  <si>
    <t>Shahriyar, MM; Saha, G; Bhattacharjee, B; Reaz, R</t>
  </si>
  <si>
    <t>Shahriyar, Md Mahir; Saha, Gourab; Bhattacharjee, Bishwajit; Reaz, Rezwana</t>
  </si>
  <si>
    <t>DEFT: Distributed, Elastic, and Fault-tolerant State Management of Network Functions</t>
  </si>
  <si>
    <t>Network function virtualization; Software defined networking; Distributed computing; Fault tolerant systems</t>
  </si>
  <si>
    <t>Network function virtualization is the key to developing elastically scalable and fault-tolerant network functions (e.g. load balancer, firewall etc.). By integrating NFV and SDN technologies, it is feasible to dynamically reroute traffic to new network function (NF) instances in the event of an NF failure or overload scenario. The fact that the majority of network functions are stateful makes the task more challenging. State migration and state replication are common approaches in achieving elasticity and fault tolerance. The majority of the studies in the literature either emphasize fault tolerance or elastic scalability while designing a state management system for network functions. In this paper, we have designed a complete state management system, called DEFT, that meets both elasticity and fault-tolerance goals. Our system also supports strong consistency on global state updates. While existing designs rely on a central controller or remote central storage to achieve strong consistency on state updates, DEFT utilizes distributed consensus mechanism to achieve the same. We have done a proof of concept implementation of DEFT and extensively tested DEFT under several model conditions to evaluate its scalability and performance. Our experimental results show that DEFT is scalable and maintains a considerably high throughput throughout. It incurs minimal performance overhead while achieving strong consistency on state updates.</t>
  </si>
  <si>
    <t>[Shahriyar, Md Mahir; Saha, Gourab; Bhattacharjee, Bishwajit; Reaz, Rezwana] Bangladesh Univ Engn &amp; Technol, Dept Comp Sci &amp; Engn, Dhaka, Bangladesh</t>
  </si>
  <si>
    <t>Bangladesh University of Engineering &amp; Technology (BUET)</t>
  </si>
  <si>
    <t>Shahriyar, MM (corresponding author), Bangladesh Univ Engn &amp; Technol, Dept Comp Sci &amp; Engn, Dhaka, Bangladesh.</t>
  </si>
  <si>
    <t>1605024@ugrad.cse.buet.ac.bd; 1605053@ugrad.cse.buet.ac.bd; 1605003@ugrad.cse.buet.ac.bd; rezwana@teacher.cse.buet.ac.bd</t>
  </si>
  <si>
    <t>WOS:001117985100014</t>
  </si>
  <si>
    <t>Aryal, N; Ghaffari, F; Bertin, E; Crespi, N</t>
  </si>
  <si>
    <t>Aryal, Nischal; Ghaffari, Fariba; Bertin, Emmanuel; Crespi, Noel</t>
  </si>
  <si>
    <t>Subscription Management for Beyond 5G and 6G Cellular Networks using Blockchain Technology</t>
  </si>
  <si>
    <t>Cellular network; Subscription management; Profile management; AKA procedure; Distributed database; Smart contract; Blockchain</t>
  </si>
  <si>
    <t>As Mobile Network Operators (MNOs) prepare to interconnect diverse technologies to existing cellular networks, it is critical to assess the capabilities of the network architecture to handle such changes. One key area to consider is the subscription management process, which governs the user's profile management, authentication, and access control. This process operates centrally, which affects users' security, accessibility, and privacy. Additionally, it increases the system's complexity when handling the large volume of messages sent over networks like IoT. In this work, we propose a Blockchain-based subscription management approach for next generation cellular networks to address the challenges in user profile management and the Authentication and Key Agreement (AKA) process. The method uses a hybrid cryptosystem technique to protect the user's privacy. Based on the evaluation, the system can handle the AKA process with fewer messages passing while improving system availability by utilizing distributed network functions and storage. Finally, we highlight some key points to consider when implementing our proposed approach.</t>
  </si>
  <si>
    <t>[Aryal, Nischal; Bertin, Emmanuel] Orange Innovat, F-14000 Caen, France; [Aryal, Nischal; Ghaffari, Fariba; Bertin, Emmanuel; Crespi, Noel] Inst Polytech Paris, Telecom SudParis, SAMOVAR, F-91120 Palaiseau, France</t>
  </si>
  <si>
    <t>Aryal, N (corresponding author), Orange Innovat, F-14000 Caen, France.;Aryal, N (corresponding author), Inst Polytech Paris, Telecom SudParis, SAMOVAR, F-91120 Palaiseau, France.</t>
  </si>
  <si>
    <t>nischal.aryal@orange.com; fariba.ghaffari@telecom-sudparis.eu; emmanuel.bertin@orange.com; noel.crespi@it-sudparis.eu</t>
  </si>
  <si>
    <t>WOS:001117985100012</t>
  </si>
  <si>
    <t>Matsuo, Y</t>
  </si>
  <si>
    <t>Matsuo, Yoichi</t>
  </si>
  <si>
    <t>Empirical analysis of the fine-tuning for Unsupervised Anomaly Detection in the ICT system</t>
  </si>
  <si>
    <t>Unsupervised anomaly detection; Fine-tuning; Deep learning; ICT system</t>
  </si>
  <si>
    <t>Many unsupervised anomaly detection (UAD) methods for ICT systems that use only normal data collected from routers or servers, such as traffic volumes and text logs, have been developed to detect anomalies. Since the normal states of the ICT systems change due to the addition or deletion of devices, configuration changes, and OS updates, system operators need to collect enough normal data to learn various normal states whenever there is a change. Therefore, UAD methods cannot be applied until new data is gathered and a new normal state is identified. Using fine-tuning, one of the transfer learning techniques might reduce the duration of collecting normal state data. However, most of the existing papers focus on transferring knowledge of supervised models on image classification tasks, which are completely different from UAD in ICT systems. This paper analyzes a fine-tuning architecture to improve UAD in an ICT system with a small amount of normal data. By preparing five datasets, comprehensive experiments were conducted, and it was found that the fine-tuning architecture has the possibility to improve the accuracy of anomaly detection with a small amount of data for the ICT system dataset and scenarios.</t>
  </si>
  <si>
    <t>[Matsuo, Yoichi] NTT Corp, NTT Network Serv Syst Labs, 3-9-11 Midori Cho, Musashino, Tokyo 1808585, Japan</t>
  </si>
  <si>
    <t>Nippon Telegraph &amp; Telephone Corporation</t>
  </si>
  <si>
    <t>Matsuo, Y (corresponding author), NTT Corp, NTT Network Serv Syst Labs, 3-9-11 Midori Cho, Musashino, Tokyo 1808585, Japan.</t>
  </si>
  <si>
    <t>yoichi.matsuo@ntt.com</t>
  </si>
  <si>
    <t>WOS:001117985100034</t>
  </si>
  <si>
    <t>Abdulazeez, A; Zema, NR; Ali-Yahiya, T; Martin, S</t>
  </si>
  <si>
    <t>Abdulazeez, Abdulhakeem; Zema, Nicola Roberto; Ali-Yahiya, Tara; Martin, Steven</t>
  </si>
  <si>
    <t>Learning-Based Formation Control of UAV-fleet</t>
  </si>
  <si>
    <t>Wireless Networked Robots; UAV; formation control; Q-learning; fleet control</t>
  </si>
  <si>
    <t>In the context of wireless networked robotics, complex missions, such as autonomous Search and Rescue, may require the use of multiple Unmanned Aerial Vehicles (UAVs) to achieve higher efficiency and Quality of Service (QoS) while assuring mission-specific imperatives like the maximization of area covered in a single passage of the fleet over area subsections. In this paper, we present a learning-based formation control protocol that adapts the principle of Q-learning to pilot an autonomous fleet of networked UAVs to maintain formation throughout a mission where large quantities of data need to be exchanged. Also, the protocol tries to ensure rotational formation control by leveraging only the signal strength extrapolated from the UAV communications. A leader-follower model is used to control the fleet. One UAV serves as the leader, and the remaining as the followers. The followers use the Received Signal Strength Indicator (RSSI) values obtained from their neighbors to autonomously determine the leader's direction of movement and maintain formation orientation to avoid area coverage overlapping. We carried out several simulation experiments to evaluate the performance of the proposed scheme in terms of QoS and convergence time of the formation under varying velocities.</t>
  </si>
  <si>
    <t>[Abdulazeez, Abdulhakeem; Zema, Nicola Roberto; Ali-Yahiya, Tara; Martin, Steven] Univ Paris Saclay, CNRS, Lab Interdisciplinaire Sci Numer, F-91190 Gif Sur Yvette, France</t>
  </si>
  <si>
    <t>Centre National de la Recherche Scientifique (CNRS); Universite Paris Cite; Universite Paris Saclay</t>
  </si>
  <si>
    <t>Abdulazeez, A (corresponding author), Univ Paris Saclay, CNRS, Lab Interdisciplinaire Sci Numer, F-91190 Gif Sur Yvette, France.</t>
  </si>
  <si>
    <t>abdulhakeem.abdulazeez@lisn.fr; zema@lisn.fr; tara.yahiya@lisn.fr; steven.martin@lisn.fr</t>
  </si>
  <si>
    <t>WOS:001117985100064</t>
  </si>
  <si>
    <t>Santos, J; Verkerken, M; D'hooge, L; Wauters, T; Volckaert, B; De Turck, F</t>
  </si>
  <si>
    <t>Santos, Jose; Verkerken, Miel; D'hooge, Laurens; Wauters, Tim; Volckaert, Bruno; De Turck, Filip</t>
  </si>
  <si>
    <t>Performance Impact of Queue Sorting in Container-based Application Scheduling</t>
  </si>
  <si>
    <t>Cloud; Orchestration; Containers; Kubernetes; Performance; Queue Sorting</t>
  </si>
  <si>
    <t>Containerization has revolutionized application deployments in current cloud platforms, enabling the flexible instantiation of loosely-coupled microservices and enhancing operational efficacy. However, optimizing the performance of container-based applications remains a challenge and a major topic in cloud research. This paper studies the impact of queue sorting in application scheduling, focused on complex inter-dependencies among microservices. Queue sorting determines the deployment order of containers in the infrastructure, typically based on container priorities and resource requests. Optimizing these algorithms directly influences scheduling efficiency and overall application performance. This paper compares several schedulers and sorting algorithms, leveraging extensive benchmark tests conducted on the widely-used Kubernetes (K8s) platform. The evaluation includes a novel sorting algorithm named TopologicalSort, designed to prioritize containers for application scheduling focused on microservice inter-dependencies. Results show the significant impact of queue sorting on application performance, with TopologicalSort algorithms outperforming default mechanisms, yielding an average increase of 20% in throughput and reducing response time by at least 15%. These results highlight the importance of considering microservice inter-dependencies for effective application deployment in modern container-based environments.</t>
  </si>
  <si>
    <t>[Santos, Jose; Verkerken, Miel; D'hooge, Laurens; Wauters, Tim; Volckaert, Bruno; De Turck, Filip] Univ Ghent, IMEC, Dept Informat Technol, IDLab, B-9000 Ghent, Belgium</t>
  </si>
  <si>
    <t>Santos, J (corresponding author), Univ Ghent, IMEC, Dept Informat Technol, IDLab, B-9000 Ghent, Belgium.</t>
  </si>
  <si>
    <t>josepedro.pereiradossantos@UGent.be; miel.verkerken@UGent.be; laurens.dhooge@UGent.be; tim.wauters@UGent.be; bruno.volckaert@UGent.be; filip.deturck@UGent.be</t>
  </si>
  <si>
    <t>Research Foundation Flanders (FWO) [1299323N]</t>
  </si>
  <si>
    <t>Research Foundation Flanders (FWO)(FWO)</t>
  </si>
  <si>
    <t>Jose Santos is funded by the Research Foundation Flanders (FWO), grant number 1299323N. This work is supported by the Belgian Chancellery of the Prime Minister (Grant: AIDE-BOSA).</t>
  </si>
  <si>
    <t>WOS:001117985100003</t>
  </si>
  <si>
    <t>Teyssier, B; Joarder, YA; Fung, C</t>
  </si>
  <si>
    <t>Teyssier, Benjamin; Joarder, Y. A.; Fung, Carol</t>
  </si>
  <si>
    <t>An Empirical Approach to Evaluate the Resilience of QUIC Protocol against Handshake Flood Attacks</t>
  </si>
  <si>
    <t>QUIC; TCP; DDoS; Amplification Factor; Syn Cookies; Syn Flood Attacks</t>
  </si>
  <si>
    <t>QUIC is a new transport protocol aiming to enhance web connection performance and security. It was gaining popularity quickly in recent years and has been adopted by a number of prominent tech companies, including Facebook, Amazon, and Google. However, the resilience of QUIC Protocol against various cyber attacks has not been fully tested yet. In this paper, we investigate the resilience of QUIC Protocol against handshake flood attacks. We conducted comprehensive experiments to evaluate the resource consumptions of both the attacker and the target during incomplete handshake attacks, including CPU, memory, and bandwidth. The DDoS amplification factor was measured and analyzed based on the results. We compared the results against TCP Syn Cookies under Syn flood attacks. We show that the QUIC Protocol design has a much larger DDoS amplification factor compared to the TCP Syn Cookies, which means QUIC is more vulnerable to handshake DDoS attacks. Also, the CPU resource of QUIC servers is most likely the bottleneck during the handshake flood attacks. To the best of our knowledge, this is the first study to thoroughly investigate resilience of QUIC to handshake DDoS attacks.</t>
  </si>
  <si>
    <t>[Teyssier, Benjamin; Joarder, Y. A.; Fung, Carol] Concordia Univ, Concordia Inst Informat Syst Engn CIISE, Montreal, PQ, Canada</t>
  </si>
  <si>
    <t>Concordia University - Canada</t>
  </si>
  <si>
    <t>Teyssier, B (corresponding author), Concordia Univ, Concordia Inst Informat Syst Engn CIISE, Montreal, PQ, Canada.</t>
  </si>
  <si>
    <t>benjamin.teyssier@concordia.ca; ya.joarder@concordia.ca; carol.fung@concordia.ca</t>
  </si>
  <si>
    <t>Joarder, Y A/KBQ-6331-2024</t>
  </si>
  <si>
    <t>Joarder, Y A/0000-0001-9603-4763</t>
  </si>
  <si>
    <t>WOS:001117985100068</t>
  </si>
  <si>
    <t>Jaumard, B; Ziazet, JM</t>
  </si>
  <si>
    <t>Jaumard, Brigitte; Ziazet, Junior Momo</t>
  </si>
  <si>
    <t>5G E2E Network Slicing Predictable Traffic Generator</t>
  </si>
  <si>
    <t>5G; Network Slicing; Traffic Generator</t>
  </si>
  <si>
    <t>Automated resource management for 5G network slicing implies the need to assign each slice the necessary resources, i.e., the ability to predict their respective requests and resource requirements. Machine learning models and algorithms can meet these needs provided the required data is available. Unfortunately, 5G traffic data remains sparse despite many studies relying on machine learning models and algorithms for traffic forecasting or automated network resource management. In this study, we introduce a 5G-type predictable traffic generator that relies on the refactoring of open data of vehicle and pedestrian traffic from the City of Montreal. Indeed, the latter data is refactored in order to generate different classes of network traffic, with different characteristics associated with typical 5G applications, and then with different traffic patterns and peak hours. The result is a valuable traffic generation tool for researchers interested in validating machine learning algorithms aimed at, for example, traffic forecasting, resource elasticity, or automated scaling of slice resources.</t>
  </si>
  <si>
    <t>[Jaumard, Brigitte] Ericsson, GAIA Global Artificial Intelligence Accelerator, Montreal, PQ, Canada; [Ziazet, Junior Momo] Concordia Univ, Comp Sci &amp; Software Engn, Montreal, PQ, Canada</t>
  </si>
  <si>
    <t>AstraZeneca; Concordia University - Canada</t>
  </si>
  <si>
    <t>Jaumard, B (corresponding author), Ericsson, GAIA Global Artificial Intelligence Accelerator, Montreal, PQ, Canada.</t>
  </si>
  <si>
    <t>brigitte.jaumard@ericsson.com; Junior.momoziazet@mail.concordia.ca</t>
  </si>
  <si>
    <t>NSERC/INNOVEE internship; Ericsson</t>
  </si>
  <si>
    <t>NSERC/INNOVEE internship; Ericsson(Ericsson)</t>
  </si>
  <si>
    <t>Work of the second author was supported by a NSERC/INNOVEE internship in collaboration with Ericsson. We would also like to thank Adel Larabi for sharing his 5G expertise and answering all our technology questions.</t>
  </si>
  <si>
    <t>WOS:001117985100069</t>
  </si>
  <si>
    <t>Nguyen, MTA; Tong, V; Souihi, SB; Souihi, S</t>
  </si>
  <si>
    <t>Manh Tien Anh Nguyen; Van Tong; Souihi, Sondes Bannour; Souihi, Sami</t>
  </si>
  <si>
    <t>Deep Learning in NLP for Anomalous HTTP Requests Detection</t>
  </si>
  <si>
    <t>Web attack detection; Deep Learning; Natural Language Processing (NLP); Anomalous HTTP request</t>
  </si>
  <si>
    <t>Techniques for Deep Learning (DL) and Natural Language Processing (NLP) are rapidly advancing. In addition, we notice that the access and utilisation of web applications is expanding in almost all fields in conjunction with related technologies. Web applications include a wide range of use cases involving personal, financial, military, and political data. This renders web-based applications a desirable target for cyber-attacks. To address this problem, we propose, in this study, a novel model capable of differentiating normal HTTP requests from different types of anomalous HTTP requests. Our model combines NLP techniques, the Bidirectional Encoder Representations from Transformers (BERT) model, and DL techniques. The pre-trained BERT model is able to operate on unprocessed data and therefore does not require manually extracted features. Our experimental results show that the proposed method achieves an F1 score of more than 98.90% in the classification of multiple categories of anomalous requests and normal requests on CAPEC dataset. Furthermore, we leverage Transfer Learning in order to detect new types of anomalous requests or new attack patterns that are similar to training anomalous patterns. With Transfer Learning techniques, our proposed model achieves an F1-score of 61.50% on unseen types of anomalous HTTP requests.</t>
  </si>
  <si>
    <t>[Manh Tien Anh Nguyen; Van Tong] Hanoi Univ Sci &amp; Technol, Sch Informat &amp; Commun Technol, Hanoi, Vietnam; [Souihi, Sami] Univ Paris Est Creteil, LISSI TincNET Res Team, Paris, France; [Souihi, Sondes Bannour] Univ Paris Saclay, CEA, List, F-91120 Palaiseau, France; [Manh Tien Anh Nguyen] TexPECT, Paris, France</t>
  </si>
  <si>
    <t>Hanoi University of Science &amp; Technology (HUST); Universite Paris-Est-Creteil-Val-de-Marne (UPEC); Universite Paris Saclay; Universite Paris Cite; CEA</t>
  </si>
  <si>
    <t>Nguyen, MTA (corresponding author), Hanoi Univ Sci &amp; Technol, Sch Informat &amp; Commun Technol, Hanoi, Vietnam.;Nguyen, MTA (corresponding author), TexPECT, Paris, France.</t>
  </si>
  <si>
    <t>WOS:001117985100060</t>
  </si>
  <si>
    <t>Yamauchi, H; Kimura, T</t>
  </si>
  <si>
    <t>Yamauchi, Hiroshi; Kimura, Tatsuaki</t>
  </si>
  <si>
    <t>Deep Reinforcement Learning based Command Control System for Automating Fault Diagnosis</t>
  </si>
  <si>
    <t>Deep reinforcement learning; network operation automation; fault diagnosis</t>
  </si>
  <si>
    <t>Due to the recent growth of network services of telecommunication carriers, their communication networks have become increasingly large and complex, and their network operations have also become complicated. For this problem, fault diagnosis and anomaly detection using log data of network devices (e.g., router syslog) have been extensively studied. However, there has been little research on automating the fault diagnosis of failures that are reported by users and whose causes do not appear in logs. In this paper, we propose a deep reinforcement learning (DRL)-based command control system for automating fault diagnosis of communication services. The proposed system first runs a sequence of device commands (e.g., show interfaces) for fault diagnosis on network devices, and estimates the fault-type based on the output of the commands using a supervised classifier. The sequence of device commands executed on network devices is optimized by DRL to identify the fault type with the least number of device commands. We evaluate the proposed system using real data obtained from a commercial service network and demonstrate its accuracy and effectiveness.</t>
  </si>
  <si>
    <t>[Yamauchi, Hiroshi] SoftBank Corp, Res Inst Adv Technol, Tokyo, Japan; [Kimura, Tatsuaki] Doshisha Univ, Fac Sci &amp; Engn, Kyoto, Japan</t>
  </si>
  <si>
    <t>Doshisha University</t>
  </si>
  <si>
    <t>Yamauchi, H (corresponding author), SoftBank Corp, Res Inst Adv Technol, Tokyo, Japan.</t>
  </si>
  <si>
    <t>hiroshi.yamauchi@g.softbank.co.jp; kimura@mail.doshisha.ac.jp</t>
  </si>
  <si>
    <t>WOS:001117985100047</t>
  </si>
  <si>
    <t>Akbari, E; Tahmid, SA; Malekghaini, N; Salahuddin, MA; Limam, N; Boutaba, R; Mathieu, B; Moteau, S; Tuffin, S</t>
  </si>
  <si>
    <t>Akbari, Elham; Tahmid, Sheikh A.; Malekghaini, Navid; Salahuddin, Mohammad A.; Limam, Noura; Boutaba, Raouf; Mathieu, Bertrand; Moteau, Stephanie; Tuffin, Stephane</t>
  </si>
  <si>
    <t>A Critical Study of Few-shot Learning for Encrypted Traffic Classification</t>
  </si>
  <si>
    <t>Encrypted traffic classification; Meta-learning; Few-shot learning; Matching networks</t>
  </si>
  <si>
    <t>Over the past twenty years, a plethora of methods have been proposed for encrypted traffic classification (ETC), while the Server name indication (SNI) is deemed to solve the problem of classification for TLS traffic. However, SNI-based classification has its pitfalls and the SNI will likely be pushed into the encrypted tunnel in the future. In this work, we envision a futuristic scenario in which encrypted SNI is the norm and labeled traffic flows are scarce. In such settings, we tackle the problem of traffic classification at ISP level using few-shot learning. By means of six real-world ISP-level datasets collected between 2019 and 2021 and two publicly available client-side datasets, we study the performance of a few-shot learner on TLS data, including its cross-dataset generalizability. We further investigate the effect of the number of required labeled samples on the learner's performance. Our experiments show that the dataset-specificity of deep learners carries over to few-shot meta-learning, and calls for addressing the problem of generalizability for deep learning architectures.</t>
  </si>
  <si>
    <t>[Akbari, Elham; Tahmid, Sheikh A.; Malekghaini, Navid; Salahuddin, Mohammad A.; Limam, Noura; Boutaba, Raouf] Univ Waterloo, David R Cheriton Sch Comp Sci, Waterloo, ON, Canada; [Mathieu, Bertrand; Moteau, Stephanie; Tuffin, Stephane] Orange Labs, Lannion, France</t>
  </si>
  <si>
    <t>University of Waterloo; Orange SA</t>
  </si>
  <si>
    <t>Akbari, E (corresponding author), Univ Waterloo, David R Cheriton Sch Comp Sci, Waterloo, ON, Canada.</t>
  </si>
  <si>
    <t>eakbaria@uwaterloo.ca; sa2tahmi@uwaterloo.ca; nmalekgh@uwaterloo.ca; m2salahu@uwaterloo.ca; n2limam@uwaterloo.ca; rboutaba@uwaterloo.ca; bertrand2.mathieu@orange.com; stephanie.moteau@orange.com; stephane.tuffin@orange.com</t>
  </si>
  <si>
    <t>WOS:001117985100038</t>
  </si>
  <si>
    <t>Höger, N; Rodday, N; Borchert, O; Rodosek, GD</t>
  </si>
  <si>
    <t>Hoeger, Nils; Rodday, Nils; Borchert, Oliver; Rodosek, Gabi Dreo</t>
  </si>
  <si>
    <t>Path Plausibility Algorithms in GoBGP</t>
  </si>
  <si>
    <t>BGP; ASPA; AS-Cones; Path Plausibility</t>
  </si>
  <si>
    <t>BGP is known to be inherently insecure. Many solutions have been proposed, with the RPKI becoming operational in 2011. The RPKI only provides origin validation. This leaves path manipulation attacks and route leaks unsolved. In this demo session, we present our integration of two path plausibility algorithms, namely ASPA and AS-Cones, into the GoBGP routing daemon. We present advantages and drawbacks of both approaches and extend the NIST BGP-SRx software suite with the first implementation of AS-Cones.</t>
  </si>
  <si>
    <t>[Hoeger, Nils; Rodday, Nils; Rodosek, Gabi Dreo] Univ Bundeswehr Munchen, Res Inst CODE, Munich, Germany; [Rodday, Nils] Univ Twente, Enschede, Netherlands; [Borchert, Oliver] NIST, Gaithersburg, MD 20899 USA</t>
  </si>
  <si>
    <t>Bundeswehr University Munich; University of Twente; National Institute of Standards &amp; Technology (NIST) - USA</t>
  </si>
  <si>
    <t>Höger, N (corresponding author), Univ Bundeswehr Munchen, Res Inst CODE, Munich, Germany.</t>
  </si>
  <si>
    <t>German Federal Ministry of Education and Research (BMBF)</t>
  </si>
  <si>
    <t>We thank the anonymous reviewers for their feedback and Kai Hamich for his work on AS-Cones. Moreover, we thank Kyehwan Lee and the members of the NIST Internet Technologies Research Group [15] for their time for discussion. This work was partly supported by the German Federal Ministry of Education and Research (BMBF) within the project 6G-life.</t>
  </si>
  <si>
    <t>WOS:001117985100035</t>
  </si>
  <si>
    <t>AL-Naday, M; Karagiannis, V; De Block, T; Volckaert, B</t>
  </si>
  <si>
    <t>AL-Naday, Mays; Karagiannis, Vasileios; De Block, Tom; Volckaert, Bruno</t>
  </si>
  <si>
    <t>Federated Scheduling of Fog-native Applications over Multi-Domain Edge-to-Cloud Ecosystem</t>
  </si>
  <si>
    <t>fog-computing; fog-native; microservices; workflow placement; optimisation</t>
  </si>
  <si>
    <t>Fog computing is emerging as geo-distributed and connected edge-to-cloud ecosystems, spanning multiple domains operated by different entities. Consequently, fog-compatible applications need to support distributed operations and decentralized management. This promoted the adoption of the microservices architecture, to facilitate application modularity and autonomy. Transitioning to fog-native applications, i.e., running distributed microservice workflows over multiple domains, is a challenging endeavor. On one hand, distributing workflows require awareness of the intents and dependencies of microservices, as this may impact the supply of data and the perceived Quality of Service (QoS). On the other hand, the variant capacities and energy supply, coupled with limited information-sharing across fog autonomies, hinders the prospect of end-to-end optimization. To tackle such problems, we propose a novel federate optimisation algorithm for multi-domain scheduling of fog-native microservice workflows. The algorithm incorporates workflow intents in decision-making by combining Bender's decomposition with Alternating Direction Method of Multipliers (ADMM) to provide optimized workflow placement, mapping, routing and admission. The performance of the algorithm is evaluated analytically and compared to state-of-the-art intent-based ADMM (iADMM). The results show performance trade-offs with the proposed iBADMM (direct), with the latter improving the fraction of workflow greenness by approximate to 15%.</t>
  </si>
  <si>
    <t>[AL-Naday, Mays] Univ Essex, Colchester, Essex, England; [Karagiannis, Vasileios] Austrian Inst Technol, Vienna, Austria; [De Block, Tom] AIOTI, Brussels, Belgium; [Volckaert, Bruno] Univ Ghent, imec, Ghent, Belgium</t>
  </si>
  <si>
    <t>University of Essex; Austrian Institute of Technology (AIT); Ghent University; IMEC</t>
  </si>
  <si>
    <t>AL-Naday, M (corresponding author), Univ Essex, Colchester, Essex, England.</t>
  </si>
  <si>
    <t>mfhaln@essex.ac.uk; vasileios.karagiannis@ait.ac.at; Tom@viniblock.com; bruno.volckaert@UGent.be</t>
  </si>
  <si>
    <t>Karagiannis, Vasileios/ABI-7473-2022</t>
  </si>
  <si>
    <t>Karagiannis, Vasileios/0000-0001-7203-9172</t>
  </si>
  <si>
    <t>WOS:001117985100030</t>
  </si>
  <si>
    <t>Bousalem, B; Sakka, MA; Silva, VF; Jaafar, W; Ben Letaifa, A; Langar, R</t>
  </si>
  <si>
    <t>Bousalem, Badre; Sakka, Mohamed Anis; Silva, Vinicius F.; Jaafar, Wael; Ben Letaifa, Asma; Langar, Rami</t>
  </si>
  <si>
    <t>DDoS Attacks Mitigation in 5G-V2X Networks: A Reinforcement Learning-based Approach</t>
  </si>
  <si>
    <t>5G-V2X; attack mitigation; reinforcement learning</t>
  </si>
  <si>
    <t>Vehicle-to-Everything (V2X) communication standards, which mainly rely on the 5G New Radio (NR) technology, can be subject to attacks such as Distributed Denial of Service (DDoS), which flood the network with non-expected control information. This causes network performance degradation and leads to accidents involving vehicles and/or vulnerable road users. A potential approach to mitigate DDoS attacks is to isolate the hijacked vehicular users in sinkhole-type slices that contain a small amount of network resources. Nevertheless, DDoS attacks may be unpredictable since it can modify its communication protocol for example, which makes it difficult to determine the proper moment to release mitigated users from the sinkhole-type slices once the security breach ceases to exist. In such a context, we propose a Reinforcement Learning-based approach that evaluates multiple types of DDoS attacks on sinkhole-type slices and estimates the optimal time to keep a mitigated user in such a slice before releasing it. The proposed approach is trained and tested with a dataset collected from a 5G-V2X testbed. Results show that our approach outperforms a benchmark of random actions, in terms of the mean cumulative reward and error over time.</t>
  </si>
  <si>
    <t>[Bousalem, Badre; Silva, Vinicius F.; Langar, Rami] Univ Gustave Eiffel, LIGM CNRS UMR 8049, F-77454 Marne La Vallee, France; [Sakka, Mohamed Anis; Jaafar, Wael; Langar, Rami] Ecole Technol Super ETS, Software &amp; IT Engn Dept, Montreal, PQ H3C 1K3, Canada; [Sakka, Mohamed Anis; Ben Letaifa, Asma] Higher Sch Commun Tunis SupCom, Mediatron Lab, Tunis, Tunisia</t>
  </si>
  <si>
    <t>Universite Gustave-Eiffel; ESIEE Paris; Centre National de la Recherche Scientifique (CNRS); Ecole des Ponts ParisTech; University of Quebec; Ecole de Technologie Superieure - Canada; Universite de Carthage</t>
  </si>
  <si>
    <t>Bousalem, B (corresponding author), Univ Gustave Eiffel, LIGM CNRS UMR 8049, F-77454 Marne La Vallee, France.</t>
  </si>
  <si>
    <t>badre.bousalem@univ-eiffel.fr; mohamed-anis.sakka.1@ens.etsmtl.ca; vinicius.fonsecaesilva@univ-eiffel.fr; wael.jaafar@etsmtl.ca; asma.benletaifa@supcom.tn; rami.langar@univ-eiffel.fr</t>
  </si>
  <si>
    <t>ANR 5G-INSIGHT project [ANR-20-CE25-0015]; Innovation for Defence Excellence and Security (IDEaS) program of the Department of National Defence (DND) Canada</t>
  </si>
  <si>
    <t>ANR 5G-INSIGHT project(Agence Nationale de la Recherche (ANR)); Innovation for Defence Excellence and Security (IDEaS) program of the Department of National Defence (DND) Canada</t>
  </si>
  <si>
    <t>This work was supported in part by the ANR 5G-INSIGHT project (Grant no. ANR-20-CE25-0015), and in part by the Innovation for Defence Excellence and Security (IDEaS) program of the Department of National Defence (DND) Canada.</t>
  </si>
  <si>
    <t>WOS:001117985100074</t>
  </si>
  <si>
    <t>Farzaneh, B; Shahriar, N; Al Muktadir, A; Towhid, MS</t>
  </si>
  <si>
    <t>Farzaneh, Behnam; Shahriar, Nashid; Al Muktadir, Abu Hena; Towhid, Md. Shamim</t>
  </si>
  <si>
    <t>DTL-IDS: Deep Transfer Learning-based Intrusion Detection System in 5G Networks</t>
  </si>
  <si>
    <t>5G Networks; Intrusion Detection; Deep Transfer Learning</t>
  </si>
  <si>
    <t>In the complex landscape of modern networks, the necessity of Intrusion Detection System (IDS) has become paramount. An IDS is a crucial cybersecurity tool that plays a pivotal role in safeguarding networks against a wide array of threats and attacks. The application of deep learning models for intrusion detection is becoming popular among research communities due to its success in many other domains. However, deep learning models require a significant amount of labeled data to achieve effective training. Obtaining labeled data for intrusion detection can be challenging and costly. To address it, Deep Transfer Learning (DTL) can be employed. This research introduces an innovative traffic classification method tailored for 5G networks. The approach leverages deep transfer learning by utilizing pre-trained models and fine-tuning them. We evaluate several deep-learning models in a transfer learning setting. The Inception model being identified as the top-performing model shows an improvement of approximately 10% in terms of F1-score between IDS-based DTL and the same scheme without DTL.</t>
  </si>
  <si>
    <t>[Farzaneh, Behnam; Shahriar, Nashid; Towhid, Md. Shamim] Univ Regina, Dept Comp Sci, Regina, SK, Canada; [Al Muktadir, Abu Hena] Saskatchewan Polytech, Saskatoon, SK, Canada</t>
  </si>
  <si>
    <t>University of Regina</t>
  </si>
  <si>
    <t>Farzaneh, B (corresponding author), Univ Regina, Dept Comp Sci, Regina, SK, Canada.</t>
  </si>
  <si>
    <t>behnamfarzaneh@uregina.ca; nashid.shahriar@uregina.ca; muktadir.uec@gmail.com; mty754@uregina.ca</t>
  </si>
  <si>
    <t>Innovation for Defence Excellence and Security (IDEaS) program from the Department of National Defence (DND)</t>
  </si>
  <si>
    <t>This work was supported in part by funding from the Innovation for Defence Excellence and Security (IDEaS) program from the Department of National Defence (DND).</t>
  </si>
  <si>
    <t>WOS:001117985100075</t>
  </si>
  <si>
    <t>Koumar, J; Plny, R; Cejka, T</t>
  </si>
  <si>
    <t>Koumar, Josef; Plny, Richard; Cejka, Tomas</t>
  </si>
  <si>
    <t>Enhancing DeCrypto: Finding Cryptocurrency Miners based on Periodic Behavior</t>
  </si>
  <si>
    <t>cryptocurrencies; cryptocurrency miners; network traffic; network traffic analysis; periodicity; Lomb-Scargle periodogram; network traffic classification; Machine Learning</t>
  </si>
  <si>
    <t>While the popularity of cryptocurrencies and the whole industry's value are rising, the number of threat actors who use illegal coin miner malware is increasing as well. The threat actors commonly use computational resources of companies, research and educational institutions, or end users. In this paper, we analyzed the long-term periodic behavior of the cryptocurrency miners communicating in computer networks. We propose a novel method for cryptominers detection using specially designed periodicity features. The detection algorithm is based on the mathematical detection of periodic Flow time series (FTS) and feature mining. Altogether with the Machine Learning technique, the resulting system achieves high-precision performance. Furthermore, our approach enhances a flow-based cryptominers detection system DeCrypto to further improve its reliability and feasibility for high-speed networks.</t>
  </si>
  <si>
    <t>[Koumar, Josef; Cejka, Tomas] CESNET, Ale, Prague, Czech Republic; [Koumar, Josef; Plny, Richard] Czech Tech Univ, Prague, Czech Republic</t>
  </si>
  <si>
    <t>Czech Education &amp; Scientific NETwork (CESNET); Czech Technical University Prague</t>
  </si>
  <si>
    <t>Koumar, J (corresponding author), CESNET, Ale, Prague, Czech Republic.;Koumar, J (corresponding author), Czech Tech Univ, Prague, Czech Republic.</t>
  </si>
  <si>
    <t>koumar@cesnet.cz; plnyrich@fit.cvut.cz; cejkat@cesnet.cz</t>
  </si>
  <si>
    <t>Ministry of Interior of the Czech Republic [VJ02010024]; Grant Agency of the CTU in Prague [SGS23/207/OHK3/3T/18]; MEYS of the Czech Republic</t>
  </si>
  <si>
    <t>Ministry of Interior of the Czech Republic; Grant Agency of the CTU in Prague; MEYS of the Czech Republic</t>
  </si>
  <si>
    <t>This research was funded by the Ministry of Interior of the Czech Republic, grant No. VJ02010024: Flow-Based Encrypted Traffic Analysis and also by the Grant Agency of the CTU in Prague, grant No. SGS23/207/OHK3/3T/18 funded by the MEYS of the Czech Republic.</t>
  </si>
  <si>
    <t>WOS:001117985100066</t>
  </si>
  <si>
    <t>Brunner, J; Rodrigues, B; Müller, KOE; Kanhere, SS; Stiller, B</t>
  </si>
  <si>
    <t>Brunner, Jonas; Rodrigues, Bruno; Muller, Katharina O. E.; Kanhere, Salil S.; Stiller, Burkhard</t>
  </si>
  <si>
    <t>Deciphering DDoS Attacks through a Global Lens</t>
  </si>
  <si>
    <t>Distributed Denial-of-Service; Attack Fingerprints; Cooperative Defense</t>
  </si>
  <si>
    <t>DEFENSE</t>
  </si>
  <si>
    <t>With a rising frequency and scale, Distributed Denial-of-Service (DDoS) attacks persist as a critical cybersecurity issue. While shared attack fingerprints aid many intrusion detection systems in identifying threats, their application for DDoS attacks remains limited due to their distinct nature. However, fingerprints observed from multiple locations can provide valuable insights. This paper presents Reassembler, a novel platform for achieving a global DDoS attack analysis using attack fingerprints recorded from various locations. Reassembler consolidates these fingerprints into a unified view allowing to obtain a global overview of DDoS attacks. The evaluation, conducted on four simulated scenarios, demonstrates Reassembler's ability to extract novel properties, such as the count of intermediate nodes and the estimated percentage of spoofed IPs.</t>
  </si>
  <si>
    <t>[Brunner, Jonas; Rodrigues, Bruno; Muller, Katharina O. E.; Stiller, Burkhard] Univ Zurich UZH, Dept Informat IfI, Commun Syst Grp CSG, Zurich, Switzerland; [Kanhere, Salil S.] UNSW Sydney, Networked Syst &amp; Secur Grp NetSyS, Sydney, NSW 2052, Australia</t>
  </si>
  <si>
    <t>University of Zurich; University of New South Wales Sydney</t>
  </si>
  <si>
    <t>Brunner, J (corresponding author), Univ Zurich UZH, Dept Informat IfI, Commun Syst Grp CSG, Zurich, Switzerland.</t>
  </si>
  <si>
    <t>jonas.brunner@uzh.ch; rodrigues@ifi.uzh.ch; mueller@ifi.uzh.ch; salil.kanhere@unsw.edu.au; stiller@ifi.uzh.ch</t>
  </si>
  <si>
    <t>WOS:001117985100059</t>
  </si>
  <si>
    <t>Fulber-Garcia, V; Flauzino, J; dos Santos, CRP; Duarte, EP</t>
  </si>
  <si>
    <t>Fulber-Garcia, Vinicius; Flauzino, Jose; dos Santos, Carlos R. P.; Duarte, Elias P., Jr.</t>
  </si>
  <si>
    <t>An ETSI-compliant Architecture for the Element Management System: The Key for Holistic NFV Management</t>
  </si>
  <si>
    <t>The Element Management System (EMS) is defined by the ETSI NFV reference architecture as responsible for the instrumentation of Virtualized Network Functions (VNF). The EMS acts as a gateway to each function, executing monitoring and control requests received from the VNF Manager (VNFM) and Operation and Business Support Systems (OSS/BSS). Surprisingly, the EMS has been either entirely ignored or only employed in very restricted settings. In this work, we propose an ETSI-compliant architecture that allows the development of EMS solutions that can be used to manage arbitrary VNF instances while abstracting particular protocols and technologies, thus enabling the interoperability among heterogeneous systems (VNF, VNFM, and OSS/BSS). The architecture was implemented as the Holistic, Lightweight, and Malleable EMS Solution (HoLMES). Evaluation results are presented showing the overhead of using HoLMES as a gateway for typical management operations. The slight increase in execution times is a fair price to pay for the benefits that the holistic solution represents in terms of the effectiveness of NFV management.</t>
  </si>
  <si>
    <t>[Fulber-Garcia, Vinicius; Flauzino, Jose; Duarte, Elias P., Jr.] Univ Fed Parana, Dept Informat, Curitiba, Parana, Brazil; [dos Santos, Carlos R. P.] Univ Fed Santa Maria, Dept Appl Comp, Santa Maria, RS, Brazil</t>
  </si>
  <si>
    <t>Universidade Federal do Parana; Universidade Federal de Santa Maria (UFSM)</t>
  </si>
  <si>
    <t>Fulber-Garcia, V (corresponding author), Univ Fed Parana, Dept Informat, Curitiba, Parana, Brazil.</t>
  </si>
  <si>
    <t>vinicius@inf.ufpr.br; jwvflauzino@inf.ufpr.br; csantos@inf.ufsm.br</t>
  </si>
  <si>
    <t>WOS:001117985100056</t>
  </si>
  <si>
    <t>Wang, Y; Cheng, YF; Zhuang, ZH; Zhang, JY; Yu, P; Guo, SY; Qiu, XS</t>
  </si>
  <si>
    <t>Wang, Ying; Cheng, Yufan; Zhuang, Zhihan; Zhang, Junye; Yu, Peng; Guo, Shaoyong; Qiu, Xuesong</t>
  </si>
  <si>
    <t>Joint Routing and GCL Scheduling Algorithm Based on Tabu Search in TSN</t>
  </si>
  <si>
    <t>Time Sensitive Networking (TSN); Flow Schedule; Tabu Search (TS); Routing Schedule</t>
  </si>
  <si>
    <t>DESIGN OPTIMIZATION; TIME</t>
  </si>
  <si>
    <t>Time sensitive networking (TSN) has been widely adopted and applied in many fields. The scheduling problem of TSN requires that the gate control list (GCL) is calculated according to the flow information in a given topology network. Conventional flow scheduling schemes are usually based on the given routing scheme, which limits the scheduling performance. Besides, current works mostly focus on the time trigger flows (TT). However, AVB flows exist as aperiodic flows in the industrial Internet. The integrated scheduling of these two types of flows is required to improve the overall schedulability. In this paper, a problem model of joint routing and GCL scheduling is proposed. An algorithm based on Tabu search (Tabu-RG) is proposed to solve the problem with specific design of neighborhood movement policy, neighborhood selection policy, as well as diversified function. Experimental results show that compared with the solver method, the proposed algorithm can save 75% of the time cost on the premise of ensuring the solution performance.</t>
  </si>
  <si>
    <t>[Wang, Ying; Cheng, Yufan; Zhuang, Zhihan; Zhang, Junye; Yu, Peng; Guo, Shaoyong; Qiu, Xuesong] Beijing Univ Posts &amp; Telecommun, State Key Lab Networking &amp; Switching Technol, Beijing, Peoples R China</t>
  </si>
  <si>
    <t>Wang, Y (corresponding author), Beijing Univ Posts &amp; Telecommun, State Key Lab Networking &amp; Switching Technol, Beijing, Peoples R China.</t>
  </si>
  <si>
    <t>wangy@bupt.edu.cn; yufan@bupt.edu.cn; zhuangzhihan@bupt.edu.cn; zhangjunye@bupt.edu.cn; yupeng@bupt.edu.cn; syguo@bupt.edu.cn; xsqiu@ieee.org</t>
  </si>
  <si>
    <t>Beijing Natural Science Foundation [4232009]</t>
  </si>
  <si>
    <t>Beijing Natural Science Foundation(Beijing Natural Science Foundation)</t>
  </si>
  <si>
    <t>This work was supported by Beijing Natural Science Foundation (4232009).</t>
  </si>
  <si>
    <t>WOS:001117985100027</t>
  </si>
  <si>
    <t>Akashi, K; Fukuda, N; Kanai, S; Tayama, K</t>
  </si>
  <si>
    <t>Akashi, Kazuaki; Fukuda, Nobukazu; Kanai, Shunsuke; Tayama, Kenichi</t>
  </si>
  <si>
    <t>Deep Reinforcement Learning for Network Service Recovery in Large-scale Failures</t>
  </si>
  <si>
    <t>network recovery; large-scale disaster; reinforcement learning; graph neural network</t>
  </si>
  <si>
    <t>GRAPH NEURAL-NETWORKS; OPTIMIZATION</t>
  </si>
  <si>
    <t>In large-scale failures, telecommunication carriers are required to recover network services as quickly as possible. Since few resources are available in the early stage of the disaster, it is desirable to be able to recover services by repairing as few communication facilities as necessary. This is a combinatorial optimization problem. Recently, methods for solving the network problem using reinforcement learning have been studied. However, existing methods are not sufficient to recover network services because they use only network information for agent learning and decision making. We propose a deep reinforcement learning method that utilizes the services information as well as the network information for minimizing the total repair cost. We represent communication networks and network services as a supply graph and a demand graph, respectively, and use them for agent learning and decision making. Numerical experiments show that the proposed method can reduce the total cost from baselines.</t>
  </si>
  <si>
    <t>[Akashi, Kazuaki; Fukuda, Nobukazu; Kanai, Shunsuke; Tayama, Kenichi] NTT Corp, NTT Access Network Serv Syst Labs, Tokyo, Japan</t>
  </si>
  <si>
    <t>Akashi, K (corresponding author), NTT Corp, NTT Access Network Serv Syst Labs, Tokyo, Japan.</t>
  </si>
  <si>
    <t>kazuaki.akashi@ntt.com; nobukazu.fukuda@ntt.com; syunsuke.kanai@ntt.com; kenichi.tayama@ntt.com</t>
  </si>
  <si>
    <t>WOS:001117985100057</t>
  </si>
  <si>
    <t>Kumar, VJ; Maillé, P; Tuffin, B</t>
  </si>
  <si>
    <t>Kumar, Vedant Joseph; Maille, Patrick; Tuffin, Bruno</t>
  </si>
  <si>
    <t>Analyzing Network (Non-)Neutrality for Monopolistic, Competing, or Vertically Integrated Content Providers with a Unified Model</t>
  </si>
  <si>
    <t>Network Neutrality; Game Theory; Vertical Integration</t>
  </si>
  <si>
    <t>NET NEUTRALITY; INTERNET</t>
  </si>
  <si>
    <t>This paper deals with the (still) hot and sensitive network neutrality debate. It designs a model simultaneously encompassing several scenarios regarding the content-providing market structure: a monopolistic content provider, competitive ones, and a vertically-integrated one facing a non vertically-integrated competitor. We each time compare the outputs when non-neutral, weak neutral or strong neutral policies are applied, in order to get insights regarding the possible consequences of each type of neutrality rule to determine if regulation is recommended. We show from our data set that, among other notable results, there is no interest in imposing neutrality since the ISP choice leads to the situation benefiting to society. Furthermore, the optimal scenario for society is when there is vertical integration, in which case the integrated federation actually opts for neutrality.</t>
  </si>
  <si>
    <t>[Kumar, Vedant Joseph; Maille, Patrick] IMT Atlantique, IRISA, UMR CNRS 6074, Rennes, France; [Tuffin, Bruno] Univ Rennes, INRIA, CNRS, IRISA, Rennes, France</t>
  </si>
  <si>
    <t>IMT - Institut Mines-Telecom; IMT Atlantique; Universite de Rennes; Universite de Rennes; Centre National de la Recherche Scientifique (CNRS); Inria</t>
  </si>
  <si>
    <t>Kumar, VJ (corresponding author), IMT Atlantique, IRISA, UMR CNRS 6074, Rennes, France.</t>
  </si>
  <si>
    <t>vedantsbox@gmail.com; patrick.maille@imt.fr; bruno.tuffin@inria.fr</t>
  </si>
  <si>
    <t>WOS:001117985100049</t>
  </si>
  <si>
    <t>Zeydan, E; Blanco, L; Mangues, J; Arslan, S; Turk, Y</t>
  </si>
  <si>
    <t>Zeydan, Engin; Blanco, Luis; Mangues, Josep; Arslan, Suayb; Turk, Yekta</t>
  </si>
  <si>
    <t>Blockchain-Based Self-Sovereign Identity for Federated Learning in Vehicular Networks</t>
  </si>
  <si>
    <t>self-sovereign; digital identity; blockchain; federated learning; vehicular networks</t>
  </si>
  <si>
    <t>Self-Sovereign Identity (SSI) has emerged lately as an identity and access management framework that is based on Distributed Ledger Technology (DLT) and allows users to control their own data. Federate Learning (FL), on the other hand, provides a framework to update Machine Learning (ML) models without relying on explicit data exchange between the users. This paper investigates identity management and authentication for vehicle users, which are participating into FL. We propose a new approach to SSI, that is alternative to the conventional blockchain-based SSI, specifically for use in vehicular networks, which focuses on maintaining confidentiality, authenticity, and integrity of vehicle users' identities and data exchanged between the users and the aggregation server during the execution of the FL process. We also provide experimental results for distributed identity management (DIM) operations, which show that the performance of credential operations in the implemented system is generally efficient and the average times are within reasonable limits. However, there is a slight increase in presentation time, offer time, connection establishment time, and credential revocation time as the number of requests increases, indicating a slight degradation in performance for these operations.</t>
  </si>
  <si>
    <t>[Zeydan, Engin; Blanco, Luis; Mangues, Josep] Ctr Tecnol Telecomunicac Catalunya CTTC, Barcelona 08860, Spain; [Arslan, Suayb] MIT, Cambridge, MA 02139 USA; [Turk, Yekta] Mobile Network Architect, TR-34396 Istanbul, Turkiye</t>
  </si>
  <si>
    <t>Centre Tecnologic Telecomunicacions Catalunya (CTTC); Massachusetts Institute of Technology (MIT)</t>
  </si>
  <si>
    <t>Zeydan, E (corresponding author), Ctr Tecnol Telecomunicac Catalunya CTTC, Barcelona 08860, Spain.</t>
  </si>
  <si>
    <t>engin.zeydan@cttc.cat; luis.blanco@cttc.cat; josep.mangues@cttc.cat; sarslan@mit.edu; yektaturk@gmail.com</t>
  </si>
  <si>
    <t>ERDF A way of making Europe project [PID2021-126431OB-I00]; Spanish MINECO - Program UNICO I+D - MCIN/AEI [PID2021-126431OB-I00, TSI-063000-2021-54, TSI-063000-2021-55]</t>
  </si>
  <si>
    <t>ERDF A way of making Europe project; Spanish MINECO - Program UNICO I+D - MCIN/AEI</t>
  </si>
  <si>
    <t>This work was partially funded by ERDF A way of making Europe project PID2021-126431OB-I00 and Spanish MINECO - Program UNICO I+D (grants TSI-063000-2021-54 and -55) Grant PID2021-126431OB-I00 funded by MCIN/AEI/10.13039/501100011033.</t>
  </si>
  <si>
    <t>WOS:001117985100016</t>
  </si>
  <si>
    <t>Alberro, L; Grampin, E</t>
  </si>
  <si>
    <t>Alberro, Leonardo; Grampin, Eduardo</t>
  </si>
  <si>
    <t>BGP Control Plane Overhead in Fat-Trees: An Analytical Approach</t>
  </si>
  <si>
    <t>BGP; fat-tree; control plane overhead</t>
  </si>
  <si>
    <t>State-of-the-art Data Center Networks (DCNs) adopt fat-tree topologies based on the original Clos networks due to their non-blocking and constant bisection bandwidth characteristics. Massive Scale Data Center networks comprise thousands of switches, and demand deploying a routing protocol to build Equal Cost Multi-Path connectivity among end nodes. Routing protocol overhead is one of the foremost important parameters to consider in DCN design. Existing approaches to measuring this overhead are based on large emulations or simulations that capture the packets exchanged under certain scenarios and then process them to obtain this measurement. This requires a lot of development effort and may not always be possible at large scales. In this work, using an analytical approach, we analyze the control plane overhead for BGP in the data center. Our proposal manages to measure the overhead injected by BGP in failure and recovery scenarios without the need to develop and deploy large emulations or simulations. The main idea is to use an analytical methodology to obtain mathematical formulas from the expected behavior of BGP. The results show that it is possible to adequately model the load injected by BGP under a set of failure and recovery scenarios. The validation was performed in a simulated environment over the ns-3 simulator.</t>
  </si>
  <si>
    <t>[Alberro, Leonardo; Grampin, Eduardo] Univ Republica, Inst Comp, Fac Ingn, Montevideo, Uruguay</t>
  </si>
  <si>
    <t>Universidad de la Republica, Uruguay</t>
  </si>
  <si>
    <t>Alberro, L (corresponding author), Univ Republica, Inst Comp, Fac Ingn, Montevideo, Uruguay.</t>
  </si>
  <si>
    <t>lalberro@fing.edu.uy; grampin@fing.edu.uy</t>
  </si>
  <si>
    <t>WOS:001117985100013</t>
  </si>
  <si>
    <t>Koerner, M</t>
  </si>
  <si>
    <t>Koerner, Marc</t>
  </si>
  <si>
    <t>Vendor Agnostic Network Service Orchestration with Stacked NSO Services</t>
  </si>
  <si>
    <t>Configuration Management; Intent-based Networking; Network Service Orchestration</t>
  </si>
  <si>
    <t>The Energy Sciences Network (ESnet) is the Department of Energy's internal wide area network provider, delivering connectivity for all US national laboratories including some satellite sites in Europe. The ESnet network is a highly reliable and high bandwidth network, which transports vast amounts of data between laboratories and supercomputing facilities. Thus, ESnet is supplying the scientific community with the connectivity requirements for all sorts of data analytics and simulations. One of the major goals within the ESnet6 deployment was to have an orchestrated and fully automated network configuration management system. Hence, ESnet is leveraging tools like the Cisco Network Service Orchestrator (NSO) to deploy router configuration in a centralized and also service oriented fashion. After building the first iteration of services following a significant optimization in the router configuration and eventually deployment time, ESnet decided to take advantage of the accumulated knowledge during the first implementation and started to revise the NSO service architecture. The first prototype using the revised architecture is currently getting implemented in scope of our management router based configuration service. This paper will elaborate on the advantages of minimum functional configuration based stacked service architecture in comparison to plain networks service model based design.</t>
  </si>
  <si>
    <t>[Koerner, Marc] ESnet, Lawrence Berkeley Natl Lab, Dept Energy, Berkeley, CA 94720 USA</t>
  </si>
  <si>
    <t>United States Department of Energy (DOE); Lawrence Berkeley National Laboratory</t>
  </si>
  <si>
    <t>Koerner, M (corresponding author), ESnet, Lawrence Berkeley Natl Lab, Dept Energy, Berkeley, CA 94720 USA.</t>
  </si>
  <si>
    <t>MKoerner@ES.net</t>
  </si>
  <si>
    <t>Department of Energy</t>
  </si>
  <si>
    <t>Department of Energy(United States Department of Energy (DOE))</t>
  </si>
  <si>
    <t>This work was created within the scope of the ESnet6 project and the regarding funding of the Department of Energy. I would also like to acknowledge all the work from people across the organization involved in ESnet6 who did not directly participate in this paper.</t>
  </si>
  <si>
    <t>WOS:001117985100023</t>
  </si>
  <si>
    <t>Zhang, BH; Zeinaty, P; Limam, N; Boutaba, R</t>
  </si>
  <si>
    <t>Zhang, Bohan; Zeinaty, Paul; Limam, Noura; Boutaba, Raouf</t>
  </si>
  <si>
    <t>Mitigating Signaling Storms in 5G with Blockchain-assisted 5GAKA</t>
  </si>
  <si>
    <t>5G; security; 5GAKA; signaling storm; blockchain</t>
  </si>
  <si>
    <t>ATTACKS</t>
  </si>
  <si>
    <t>This paper examines the registration signaling storm attack in 5G networks. This attack is initiated by massive registration requests and targets the 5G core network functions, leading to large-scale user service disruption. To mitigate this problem, we review the 5G Authentication and Key Agreement (5GAKA) protocol and highlight the impact of the exposure of the 5G core network (CN) to massive registration requests. We propose a blockchain-based authentication protocol to effectively block adversarial registration requests and secure the 5G network at a small cost. Our experiments reveal that our protocol is resistant to attacks and prove its superiority compared to a baseline mitigation approach.</t>
  </si>
  <si>
    <t>[Zhang, Bohan; Limam, Noura; Boutaba, Raouf] Univ Waterloo, Cheriton Sch Comp Sci, Waterloo, ON, Canada; [Zeinaty, Paul] Inst Polytech Paris, Ecole Polytech, Paris, France</t>
  </si>
  <si>
    <t>Zhang, BH (corresponding author), Univ Waterloo, Cheriton Sch Comp Sci, Waterloo, ON, Canada.</t>
  </si>
  <si>
    <t>bohan.zhang@uwaterloo.ca; paul.zeinaty@polytechnique.edu; noura.limam@uwaterloo.ca; rboutaba@uwaterloo.ca</t>
  </si>
  <si>
    <t>WOS:001117985100055</t>
  </si>
  <si>
    <t>Chen, YC; Roveri, M; Tuli, S; Casale, G</t>
  </si>
  <si>
    <t>Chen, Yichong; Roveri, Manuel; Tuli, Shreshth; Casale, Giuliano</t>
  </si>
  <si>
    <t>Coupling QoS Co-Simulation with Online Adaptive Arrival Forecasting</t>
  </si>
  <si>
    <t>fog computing; time series forecasting; change point detection; co-simulation</t>
  </si>
  <si>
    <t>Coupled simulation, also known as co-simulation, has been proposed to provide more information to a task scheduler by simulating at runtime the Quality of Service (QoS) arising from a scheduling action. To do so, co-simulation algorithms run the simulation assuming a static set of arrival time series, restricting the diversity of the traffic scenarios. To ensure the co-simulator can provide valuable and representative results, we present an online adaptive arrival forecasting framework that contains a change-point detection module and a probabilistic transformer model to couple co-simulators with arrival series forecasting. The framework can also update the prediction model to adapt to dynamic environments. Our experiments show that our online adaptive forecasting framework has lower forecasting errors than established prediction models, such as autoregressive processes, and lower on real-world traces the co-simulator prediction error by up to 27% on average response time and 39% on average service-level agreement (SLA) violation.</t>
  </si>
  <si>
    <t>[Chen, Yichong; Casale, Giuliano] Imperial Coll London, Dept Comp, London, England; [Roveri, Manuel] Politecn Milan, DEIB, Milan, Italy; [Tuli, Shreshth] Happening Technol Ltd, London, England</t>
  </si>
  <si>
    <t>Imperial College London; Polytechnic University of Milan</t>
  </si>
  <si>
    <t>Chen, YC (corresponding author), Imperial Coll London, Dept Comp, London, England.</t>
  </si>
  <si>
    <t>yichong.chen119@imperial.ac.uk; manuel.roveri@polimi.it; shreshth.tuli@happening.xyz; g.casale@imperial.ac.uk</t>
  </si>
  <si>
    <t>WOS:001117985100010</t>
  </si>
  <si>
    <t>Frankó, A; Hollósi, G</t>
  </si>
  <si>
    <t>Franko, Attila; Hollosi, Gergely</t>
  </si>
  <si>
    <t>Settling Issues in IEEE 802.1AS Networks in PI Based Clock Servos</t>
  </si>
  <si>
    <t>tsn; time synchronization; IEEE 802.1AS; gptp; linuxptp; pi controller</t>
  </si>
  <si>
    <t>Time-sensitive networking (TSN) is a set of standards for establishing real-time, deterministic communication in industrial applications. One of the core tasks of TSN is providing accurate and precise time synchronization between nodes by using a profile for the Precision Time Protocol (PTP). This profile defined by IEEE 802.1AS standard - often called gPTP - is restrictive regarding the synchronization method, only allowing peer-to-peer (P2P) synchronization protocol between the grandmaster (GM) and slaves. Most use cases apply PI controller as a servo, which affects the overall accuracy and precision. Here we show that the increasing number of intermediate hops between the slave and the GM significantly deteriorates the synchronization accuracy. Based on a closed-loop model, we simulated the behavior of the slave clock during multi-hop P2P synchronization by investigating the step response of the system. These results were validated by measurements in real network setups using embedded devices as endpoints. Our results demonstrate that such errors cannot be completely eliminated using PI controller even if optimal tuning is used; therefore, researching and implementing other methods are recommended.</t>
  </si>
  <si>
    <t>[Franko, Attila; Hollosi, Gergely] Budapest Univ Technol &amp; Econ, Dept Telecommun &amp; Media Informat, Fac Elect Engn &amp; Informat, Muegyetem Rkp 3, H-1111 Budapest, Hungary</t>
  </si>
  <si>
    <t>Frankó, A (corresponding author), Budapest Univ Technol &amp; Econ, Dept Telecommun &amp; Media Informat, Fac Elect Engn &amp; Informat, Muegyetem Rkp 3, H-1111 Budapest, Hungary.</t>
  </si>
  <si>
    <t>attila.franko@vik.bme.hu; hollosi.gergely@vik.bme.hu</t>
  </si>
  <si>
    <t>WOS:001117985100039</t>
  </si>
  <si>
    <t>Kur, J; Xue, J; Chen, JS; Huang, J</t>
  </si>
  <si>
    <t>Kur, Justin; Xue, Ji; Chen, Jingshu; Huang, Jun</t>
  </si>
  <si>
    <t>Bridging Resource Prediction and System Management: A Case Study in Cloud Systems</t>
  </si>
  <si>
    <t>Resource Prediction; System Management; Cloud Performance</t>
  </si>
  <si>
    <t>In recent years, there has been a significant amount of research focused on predicting resources in order to enhance the performance of cloud systems. Many researchers believe that the more accurate the prediction, the more effective resource management will be in ensuring reliable performance. However, our study in this paper demonstrates that there is a gap between resource demand prediction and system performance. Furthermore, our experiment results have demonstrated that the accurate and fine-grained prediction helps to achieve a more reliable and efficient system performance, especially in CPU utilization rate.</t>
  </si>
  <si>
    <t>[Kur, Justin; Chen, Jingshu] Oakland Univ, Rochester, MI 48063 USA; [Xue, Ji] Google, Mountain View, CA 94043 USA; [Huang, Jun] City Univ Hong Kong, Hong Kong, Peoples R China</t>
  </si>
  <si>
    <t>Oakland University; Google Incorporated; City University of Hong Kong</t>
  </si>
  <si>
    <t>Kur, J (corresponding author), Oakland Univ, Rochester, MI 48063 USA.</t>
  </si>
  <si>
    <t>National Aeronautics and Space Administration (NASA) [80NSSC20M0124]; Michigan Space Grant Consortium (MSGC)</t>
  </si>
  <si>
    <t>National Aeronautics and Space Administration (NASA)(National Aeronautics &amp; Space Administration (NASA)); Michigan Space Grant Consortium (MSGC)</t>
  </si>
  <si>
    <t>Research reported in this publication was supported in part by funding provided by the National Aeronautics and Space Administration (NASA), under award number 80NSSC20M0124, Michigan Space Grant Consortium (MSGC).</t>
  </si>
  <si>
    <t>WOS:001117985100061</t>
  </si>
  <si>
    <t>Magnouche, H; Doyen, G; Prodhon, C</t>
  </si>
  <si>
    <t>Magnouche, Hichem; Doyen, Guillaume; Prodhon, Caroline</t>
  </si>
  <si>
    <t>A Lightweight Heuristic for Micro-services Placement and Chaining in Low Latency Services</t>
  </si>
  <si>
    <t>Heuristic; Micro-Services; Placement and Routing; Optimization; Orchestration</t>
  </si>
  <si>
    <t>RESOURCE-ALLOCATION</t>
  </si>
  <si>
    <t>The rise of novel Low-Latency (LL) applications, such as cloud gaming or the metaverse, imposes rigorous end-to-end LL constraints. Decomposing Virtualized Network Functions (VNFs) into micro-services has proven its effectiveness to reduce the Service Function Chaining (SFC) latency thanks to key characteristics: lighter entities, less resource consumption, and a strong capacity to operate in parallel. However, to make such a promising technology actually deployed in real operated networks, novel dedicated placement and chaining methods are required. Current solutions either do not fit with tied LL constraints or exhibit a prohibitive computation time by relying on exact resolution methods. In this paper, we propose a heuristic method dedicated to the placement and chaining of microservices. Its purpose is to maximize the deployment of SFCs while respecting the required LL by considering intrinsic features of micro-services and integrating suitable load balancing, which makes it highly scalable. A comprehensive evaluation campaign highlights that generated solutions achieve results that are at most a factor of 1.1 to the optimal with an execution time up to 20,000 times faster.</t>
  </si>
  <si>
    <t>[Magnouche, Hichem; Prodhon, Caroline] Univ Technol Troyes, LIST3N, Troyes, France; [Doyen, Guillaume] IMT Atlantique, SOTERN IRISA, UMR CNRS 6074, Rennes, France</t>
  </si>
  <si>
    <t>Universite de Technologie de Troyes; IMT - Institut Mines-Telecom; IMT Atlantique</t>
  </si>
  <si>
    <t>Magnouche, H (corresponding author), Univ Technol Troyes, LIST3N, Troyes, France.</t>
  </si>
  <si>
    <t>hichem.magnouche@utt.fr; guillaume.doyen@imt-atlantique.fr; caroline.prodhon@utt.fr</t>
  </si>
  <si>
    <t>French ANR MOSAICO project [ANR-19-CE25-0012]; European Regional Development Fund FEDER [OPE-2020-0031]</t>
  </si>
  <si>
    <t>French ANR MOSAICO project(Agence Nationale de la Recherche (ANR)); European Regional Development Fund FEDER(European Union (EU))</t>
  </si>
  <si>
    <t>This work is partially funded by the French ANR MOSAICO project, No ANR-19-CE25-0012 and the European Regional Development Fund FEDER, No OPE-2020-0031.</t>
  </si>
  <si>
    <t>WOS:001117985100009</t>
  </si>
  <si>
    <t>Mushtaq, M; Golkarifard, M; Shahriar, N; Boutaba, R; Saleh, A</t>
  </si>
  <si>
    <t>Mushtaq, Maria; Golkarifard, Morteza; Shahriar, Nashid; Boutaba, Raouf; Saleh, Aladdin</t>
  </si>
  <si>
    <t>Optimal Functional Splitting, Placement and Routing for Isolation-Aware Network Slicing in NG-RAN</t>
  </si>
  <si>
    <t>Radio access network (RAN); functional splitting; network slicing; integer linear programming (ILP)</t>
  </si>
  <si>
    <t>In the rapidly evolving landscape of 5G and its successor technologies, the Next Generation Radio Access Network (NG-RAN) stands out as a transformative pillar. Functional splitting, a core concept in NG-RAN, splits the traditional base station into distinct functional entities, notably the Distributed Unit (DU), Centralized Unit (CU) and Radio Unit (RU). With flexible functional splitting, Infrastructure Providers (InPs) can dynamically allocate RAN resources to cater to each network slice's distinct throughput and latency demand. However, the problem of optimally selecting functional splits, placement of RAN functions in DU/CU with constrained computational capacities and determining routing paths present an NP-hard challenge. The coexistence of multiple slices on shared infrastructure may necessitate slice isolation for security, performance, and operational reasons, adding another layer of complexity. To address this multifaceted problem, we formulate an Integer Linear Programming (ILP) model that seeks to maximize the InP profit considering computation, virtual machine instantiation and routing costs. Using Gurobi optimizer, we show that optimal slice admission solutions directly impact InP profit and that enhanced computational capacities can increase the number of slices admitted.</t>
  </si>
  <si>
    <t>mariamushtaq@uregina.ca; mgolkari@uwaterloo.ca; nashid.shahriar@uregina.ca; rboutaba@uwaterloo.ca; aladdin.saleh@rci.rogers.com</t>
  </si>
  <si>
    <t>WOS:001117985100024</t>
  </si>
  <si>
    <t>Nobakht, M; den Hartog, F</t>
  </si>
  <si>
    <t>Nobakht, Mehdi; den Hartog, Frank</t>
  </si>
  <si>
    <t>On Integrated Wired and Wireless Time-Sensitive Networking using SDN</t>
  </si>
  <si>
    <t>TSN</t>
  </si>
  <si>
    <t>IEEE Time-Sensitive Networking (TSN) Task Group has standardized enhancements for Ethernet networks to ensure high reliability, deterministic latency and minimal jitter for time-critical traffic. However, TSN capabilities have not yet been extended to wireless standards. We discuss the inherent characteristics of wireless communications that currently limit TSN performance. We argue for the development of a framework for an integrated wired and wireless TSN using Software-Defined Wireless Networking (SDWN) to address this gap. Our approach focuses on addressing the mobility of wireless stations by dynamically adjusting the wireless channel bandwidth through SDWN. This adaptive approach takes into account the proximity of wireless stations to the access point and configures the wireless channel bandwidth to meet the stringent latency requirements of time-sensitive wireless applications. In this paper, we sketch a general architecture for the framework. Furthermore, we present the development of a TSN-enabled network emulator testbed, leveraging a suite of open-source tools including Mininet, Mininet-WiFi, a modified version of Open Virtual Switch (OVS), Linux TAPRIO, RYU SDN controller, and SDWN controller. Our experimental evaluation demonstrates an average one-way latency of approximately 14 mu s, achieved through the utilization of a modified version of the OVS software switch.</t>
  </si>
  <si>
    <t>[Nobakht, Mehdi; den Hartog, Frank] Univ New South Wales, Sch Syst &amp; Comp, Canberra, ACT, Australia</t>
  </si>
  <si>
    <t>University of New South Wales Sydney</t>
  </si>
  <si>
    <t>Nobakht, M (corresponding author), Univ New South Wales, Sch Syst &amp; Comp, Canberra, ACT, Australia.</t>
  </si>
  <si>
    <t>mehdi.nobakht@unsw.edu.au; frank.den.hartog@unsw.edu.au</t>
  </si>
  <si>
    <t>Australian National Next Generation Technology Fund [10385]</t>
  </si>
  <si>
    <t>Australian National Next Generation Technology Fund</t>
  </si>
  <si>
    <t>This work is partly funded by the Australian National Next Generation Technology Fund under agreement number ID 10385.</t>
  </si>
  <si>
    <t>WOS:001117985100051</t>
  </si>
  <si>
    <t>Nobakht, M; Hezaveh, AR</t>
  </si>
  <si>
    <t>Nobakht, Mehdi; Hezaveh, Arshiya Rezaie</t>
  </si>
  <si>
    <t>pUpdate: Priority-based Scheduling for Continuous and Consistent Network Updates in SDN</t>
  </si>
  <si>
    <t>Preserving consistency properties, such as preventing forwarding loops, black-holes, and congestion, is crucial during the transitions in network forwarding state that occur between network updates. Nevertheless, maintaining these properties within SDN networks poses challenges due to flexibility and programmability of SDN, which can result in an increased frequency of network updates. While existing research has introduced mechanisms to uphold consistency during network transitions, they often overlook the consideration of flow priority when scheduling forwarding rules. We address this problem with pUpdate, a framework designed to facilitate consistent and continuous network updates while accounting for flow priority in the scheduling of forwarding rules within SDN. We have developed pUpdate and rigorously evaluated its performance through simulations. The measurements demonstrate that pUpdate adheres to priority-based scheduling without any degradation in network update performance when compared to state-of-the-art approaches in SDN network update.</t>
  </si>
  <si>
    <t>[Nobakht, Mehdi] Univ New South Wales, Sch Syst &amp; Comp, Canberra, ACT, Australia; [Hezaveh, Arshiya Rezaie] Sharif Univ Technol, Comp Engn Dept, Tehran, Iran</t>
  </si>
  <si>
    <t>University of New South Wales Sydney; Sharif University of Technology</t>
  </si>
  <si>
    <t>mehdi.nobakht@unsw.edu.au; arshiya.rezaie@sharif.edu</t>
  </si>
  <si>
    <t>WOS:001117985100031</t>
  </si>
  <si>
    <t>Xiong, JH; Zhang, QL; Gatto, A; Musumeci, F; Boutaba, R; Tornatore, M</t>
  </si>
  <si>
    <t>Xiong, Jiaheng; Zhang, Qiaolun; Gatto, Alberto; Musumeci, Francesco; Boutaba, Raouf; Tornatore, Massimo</t>
  </si>
  <si>
    <t>Adaptive Entanglement Routing for Quantum Networks with Cutoff</t>
  </si>
  <si>
    <t>Entanglement routing; quantum network; success probability</t>
  </si>
  <si>
    <t>Quantum networks, with applications like Quantum Key Distribution (QKD), are gaining significant attention. However, their implementation faces challenges due to low entanglement generation success rates and quantum decoherence. Recent quantum technology advancements have extended entanglement memory lifetimes to one minute, termed cutoff, opening new opportunities for entanglement routing. We propose the Adaptive Entanglement Routing (AER) algorithm, which optimizes resource utilization to improve the success probability of serving entanglement and ultimately reduce the time needed for entanglement establishment. AER includes two phases: 1) determine redundant paths based on load and 2) utilize shared entanglements for entanglement swapping. Moreover, we design the highest-success-path (HSP) algorithm to maximize the success probability of entanglement routing with limited quantum memory. These innovative routing algorithms significantly reduce entanglement request failures, resulting in up to 70% reduction in average waiting times.</t>
  </si>
  <si>
    <t>[Xiong, Jiaheng; Zhang, Qiaolun; Gatto, Alberto; Musumeci, Francesco; Tornatore, Massimo] Politecn Milan, Milan, Italy; [Boutaba, Raouf] Univ Waterloo, Waterloo, ON, Canada</t>
  </si>
  <si>
    <t>Polytechnic University of Milan; University of Waterloo</t>
  </si>
  <si>
    <t>Zhang, QL (corresponding author), Politecn Milan, Milan, Italy.</t>
  </si>
  <si>
    <t>qiaolun.zhang@mail.polimi.it</t>
  </si>
  <si>
    <t>Italian Ministry of University and Research (MUR); European Union (EU) under the PON/REACT project; MUR PON2014_2020 QUANCOM Project [MIUR ARS01_00734]</t>
  </si>
  <si>
    <t>Italian Ministry of University and Research (MUR)(Ministry of Education, Universities and Research (MIUR)); European Union (EU) under the PON/REACT project(European Union (EU)Marie Curie Actions); MUR PON2014_2020 QUANCOM Project(Ministry of Education, Universities and Research (MIUR))</t>
  </si>
  <si>
    <t>This work was supported by the Italian Ministry of University and Research (MUR) and the European Union (EU) under the PON/REACT project and also partly funded by MUR PON2014_2020 QUANCOM Project (MIUR ARS01_00734).</t>
  </si>
  <si>
    <t>WOS:001117985100070</t>
  </si>
  <si>
    <t>Darjani, M; Bakhtiyari, E; Sen, S; Abioui, M</t>
  </si>
  <si>
    <t>Darjani, Mohsen; Bakhtiyari, Ehsan; Sen, Souvik; Abioui, Mohamed</t>
  </si>
  <si>
    <t>Estimating the 3-D spatial distribution of mechanical properties of rock by seismic data and well logs</t>
  </si>
  <si>
    <t>ACTA GEOPHYSICA</t>
  </si>
  <si>
    <t>Elastic properties; Seismic inversion; Acoustic impedance; Geostatistics; 3-D modeling</t>
  </si>
  <si>
    <t>MANSURI OIL-FIELD; ASMARI RESERVOIR; MODULUS; CARBONATES; ZAGROS; SOUTHWEST; STRENGTH; POROSITY; BASIN</t>
  </si>
  <si>
    <t>The rock mechanical properties influence the selection of drilling parameters, optimized drilling trajectory, and appropriate hydraulic fracturing intervals. Estimating the 3-D spatial distribution of these geomechanical properties at the reservoir scale is a challenging task, especially in the case of limited data only at the well locations. Advanced geostatistical techniques can be utilized to represent a reservoir's inherent spatial variation more realistically. In this study, we investigate the spatial variability of rock mechanical properties, including Young's modulus, shear modulus, bulk modulus, and Poisson's ratio, as major constituents of the reservoir geomechanical model. The data are extracted from a hydrocarbon field located southwest of Iran and consist of forty wells. We first build a 1-D model of rock elastic moduli at each well by integrating petrophysical and core-based laboratory measurements and then develop a corresponding 3-D model using geostatistical simulation techniques. Thereafter, 3-D seismic data are employed to optimize the geomechanical model. Results show that the integration of well logs with seismic data increases the accuracy of field-wise 3-D elastic moduli models. Furthermore, we used various co-simulation techniques to demonstrate the improving effect of complementary data in constructing a more realistic reservoir geomechanical model.</t>
  </si>
  <si>
    <t>[Darjani, Mohsen] Univ Tehran, Coll Engn, Sch Min, Simulat &amp; Data Proc Lab, Tehran, Iran; [Bakhtiyari, Ehsan] Tarbiat Modares Univ, Fac Basic Sci, Sch Geol, Dept Engn Geol, Tehran, Iran; [Sen, Souvik] Geologix Ltd, Dynasty Bldg,Wing A,Level 4,Andheri Kurla Rd,Andhe, Mumbai 400059, Maharashtra, India; [Abioui, Mohamed] Ibnou Zohr Univ, Fac Sci, Dept Earth Sci, Geosci Environm &amp; Geomatics Lab GEG, Agadir, Morocco; [Abioui, Mohamed] Univ Coimbra, Fac Sci &amp; Technol, Dept Earth Sci, MARE Marine &amp; Environm Sci Ctr,Sedimentary Geol Gr, Coimbra, Portugal; [Sen, Souvik] Halliburton Consulting, Mumbai 400063, Maharashtra, India</t>
  </si>
  <si>
    <t>University of Tehran; Tarbiat Modares University; Ibn Zohr University of Agadir; Universidade de Coimbra</t>
  </si>
  <si>
    <t>Abioui, M (corresponding author), Ibnou Zohr Univ, Fac Sci, Dept Earth Sci, Geosci Environm &amp; Geomatics Lab GEG, Agadir, Morocco.;Abioui, M (corresponding author), Univ Coimbra, Fac Sci &amp; Technol, Dept Earth Sci, MARE Marine &amp; Environm Sci Ctr,Sedimentary Geol Gr, Coimbra, Portugal.</t>
  </si>
  <si>
    <t>darjani.mohsen@gmail.com; Ehbakhtiyari@gmail.com; souvikseniitb@gmail.com; m.abioui@uiz.ac.ma</t>
  </si>
  <si>
    <t>Abioui, Mohamed/0000-0002-6331-1442</t>
  </si>
  <si>
    <t>Fundacao para a Ciencia e Tecnologia, I. P (FCT) [UIDB/04292/2020, UIDP/04292/2020, LA/P/0069/2020]; AI-assisted technologies in the writing process</t>
  </si>
  <si>
    <t>Fundacao para a Ciencia e Tecnologia, I. P (FCT)(Fundacao para a Ciencia e a Tecnologia (FCT)); AI-assisted technologies in the writing process</t>
  </si>
  <si>
    <t>The authors express their sincere gratitude to Prof. Jadwiga Anna Jarzyna (Associate Editor) for the excellent editorial handling. The two anonymous reviewers are thanked for their constructive reviews which benefited the manuscript. Prof.&amp; nbsp;M. Abioui is thankful for &amp; nbsp;the support of national funds through Fundacao para a Ciencia e Tecnologia, I. P (FCT), under the projects UIDB/04292/2020, UIDP/04292/2020, granted to MARE, and LA/P/0069/2020, granted to the Associate Laboratory ARNET.&amp; nbsp;This paper is a contribution to IGCP 641: Mechanisms, Monitoring and Modeling Earth Fissure Generation and Fault Activation Due to Subsurface Fluid Exploitation (M3EF3). During the preparation of this work, the authors did NOT use any of the generative AI and AI-assisted technologies in the writing process. The authors reviewed and edited the content as needed and take full responsibility for the content of the publication.&amp; nbsp;Finally, the authors are much obliged to the Springer proofreading team for handling the work, sending reviews, and preparing the proof.</t>
  </si>
  <si>
    <t>1895-6572</t>
  </si>
  <si>
    <t>1895-7455</t>
  </si>
  <si>
    <t>ACTA GEOPHYS</t>
  </si>
  <si>
    <t>Acta Geophys.</t>
  </si>
  <si>
    <t>10.1007/s11600-023-01128-y</t>
  </si>
  <si>
    <t>Geochemistry &amp; Geophysics</t>
  </si>
  <si>
    <t>O3CF3</t>
  </si>
  <si>
    <t>WOS:001011718100001</t>
  </si>
  <si>
    <t>Dzeparoska, K; Lin, JY; Tizghadam, A; Leon-Garcia, A</t>
  </si>
  <si>
    <t>Dzeparoska, Kristina; Lin, Jieyu; Tizghadam, Ali; Leon-Garcia, Alberto</t>
  </si>
  <si>
    <t>LLM-based policy generation for intent-based management of applications</t>
  </si>
  <si>
    <t>Automated management requires decomposing high-level user requests, such as intents, to an abstraction that the system can understand and execute. This is challenging because even a simple intent requires performing a number of ordered steps. And the task of identifying and adapting these steps (as conditions change) requires a decomposition approach that cannot be exactly pre-defined beforehand. To tackle these challenges and support automated intent decomposition and execution, we explore the few-shot capability of Large Language Models (LLMs). We propose a pipeline that progressively decomposes intents by generating the required actions using a policy-based abstraction. This allows us to automate the policy execution by creating a closed control loop for the intent deployment. To do so, we generate and map the policies to APIs and form application management loops that perform the necessary monitoring, analysis, planning and execution. We evaluate our proposal with a usecase to fulfill and assure an application service chain of virtual network functions. Using our approach, we can generalize and generate the necessary steps to realize intents, thereby enabling intent automation for application management.</t>
  </si>
  <si>
    <t>[Dzeparoska, Kristina; Lin, Jieyu; Tizghadam, Ali; Leon-Garcia, Alberto] Univ Toronto, Dept Elect &amp; Comp Engn, Toronto, ON, Canada</t>
  </si>
  <si>
    <t>Dzeparoska, K (corresponding author), Univ Toronto, Dept Elect &amp; Comp Engn, Toronto, ON, Canada.</t>
  </si>
  <si>
    <t>kristina.dzeparoska@mail.utoronto.ca; jieyu.lin@mail.utoronto.ca; ali.tizghadam@utoronto.ca; alberto.leongarcia@utoronto.ca</t>
  </si>
  <si>
    <t>WOS:001117985100029</t>
  </si>
  <si>
    <t>Geier, T; Rieger, S</t>
  </si>
  <si>
    <t>Geier, Timo; Rieger, Sebastian</t>
  </si>
  <si>
    <t>Low Impact Tenant Code Updates on Multi-tenant Programmable Switches</t>
  </si>
  <si>
    <t>Network Functions; Container; Multi-tenancy; Network Programmability; Hardware-accelerated Virtualization</t>
  </si>
  <si>
    <t>Software-defined Networking (SDN) and Programming Protocol-Independent Packet Processors (P4) introduced data processing within the network data plane. To offer multiple tenants to deploy individual code in programmable switches and network devices, code updates must ensure proper tenant isolation and minimal negative cross-tenant impact during code updates. Thus, this paper presents a code deployment pipeline, primarily implements an orchestrator allowing network device discovery, code verification, compilation and low impact deployment on multi-tenant programmable switches. Critical time windows and their durations for the code update are evaluated using hardware switches (Intel Tofino). Performance impacts of code updates on tenants using these switches are evaluated and discussed based on bandwidth tests considering different code deployment options. The architecture proposes a framework to enable seamless updates with minimal to no service interruptions, e.g., using gradual code updates of redundant links between programmable switches in data centers, internet service providers, and mobile networks used by various customers as tenants. Besides P4, common Kubernetes and continuous delivery solutions were used for the presented implementation that is offered as Open Source for further adaption and development.</t>
  </si>
  <si>
    <t>[Geier, Timo; Rieger, Sebastian] Fulda Univ Appl Sci, Dept Appl Comp Sci, Fulda, Germany</t>
  </si>
  <si>
    <t>Geier, T (corresponding author), Fulda Univ Appl Sci, Dept Appl Comp Sci, Fulda, Germany.</t>
  </si>
  <si>
    <t>timo.geier@cs.hs-fulda.de; sebastian.rieger@cs.hs-fulda.de</t>
  </si>
  <si>
    <t>WOS:001117985100046</t>
  </si>
  <si>
    <t>Molin, B; Zwedberg, S; Berger, AK; Sand, A; Georgsson, S</t>
  </si>
  <si>
    <t>Molin, Beata; Zwedberg, Sofia; Berger, Anna-Karin; Sand, Anna; Georgsson, Susanne</t>
  </si>
  <si>
    <t>The ignored pain- experiences of encounters with healthcare from the perspective of women with pain persisting after childbirth- a qualitative study</t>
  </si>
  <si>
    <t>SEXUAL &amp; REPRODUCTIVE HEALTHCARE</t>
  </si>
  <si>
    <t>Childbirth; Chronic pain; Experiences; Qualitative; Encounters; Healthcare</t>
  </si>
  <si>
    <t>PELVIC GIRDLE PAIN; SEEKING BEHAVIORS; CESAREAN-SECTION; TERM; SUPPORT</t>
  </si>
  <si>
    <t>Introduction: Although the prevalence of pain persisting after pregnancy or labour decreases with time, up to 35 % of women report pain 8 months to 12 years after childbirth. To prevent the development and reduce the impact of chronic pain, researchers and clinicians emphasize the importance of early diagnosis as well as timely and appropriate treatment. Previous studies have shown that when women with post-childbirth morbidities consult healthcare professionals during the first year following birth, their problems are often neglected, and they do not receive adequate treatment. Objective: To explore how women with pain persisting for eight months after childbirth experienced encounters with healthcare. Methods: A descriptive qualitative design with 20 face-to-face, semi-structured interviews. Data were analysed using inductive qualitative content analysis. Results: Pain ignored by healthcare was identified as an essential theme and included four categories: Questioned pain experience, Inadequate pain management, Lost in healthcare, and Insufficient postpartum care  Conclusion: The women experienced that their pain was often not recognized or adequately treated, but instead ignored or trivialized. Recurring were descriptions of experienced knowledge gaps among the healthcare providers regarding pain and its management. There was an overall desire among women for a well-defined and well-functioning chain of care with better accessibility and scope.</t>
  </si>
  <si>
    <t>[Molin, Beata] Sophiahemmet Univ, Dept Hlth Promoting Sci, Stockholm, Sweden; [Zwedberg, Sofia] Karolinska Univ Hosp, Theme Childrens &amp; Womens Hlth, PA Pregnancy Care &amp; Delivery, Stockholm, Sweden; [Berger, Anna-Karin; Georgsson, Susanne] Swedish Red Cross Univ, Stockholm, Sweden; [Sand, Anna] Karolinska Inst, Dept Womens &amp; Childrens Hlth, Stockholm, Sweden; [Georgsson, Susanne] Karolinska Inst, Dept Clin Sci Intervent &amp; Technol CLINTEC, Stockholm, Sweden; [Molin, Beata] Sophiahemmet Univ, Dept Hlth Promoting Sci, S-11428 Stockholm, Sweden; [Molin, Beata] Swedish Red Cross Univ, Stockholm, Sweden; [Molin, Beata] Box 1059, S-14121 Huddinge, Sweden</t>
  </si>
  <si>
    <t>Sophiahemmet University; Karolinska Institutet; Karolinska University Hospital; Karolinska Institutet; Karolinska Institutet; Sophiahemmet University</t>
  </si>
  <si>
    <t>Molin, B (corresponding author), Sophiahemmet Univ, Dept Hlth Promoting Sci, S-11428 Stockholm, Sweden.</t>
  </si>
  <si>
    <t>beata.molin@rkh.se</t>
  </si>
  <si>
    <t>Zwedberg, Sofia/0000-0003-3638-3827</t>
  </si>
  <si>
    <t>Capio Research Foundation [2016-2900, 2017-2996]; Sophiahemmet University, Stockholm</t>
  </si>
  <si>
    <t>Capio Research Foundation; Sophiahemmet University, Stockholm</t>
  </si>
  <si>
    <t>This work was supported by a grant from the Capio Research Foundation (grant no. 2016-2900, 2017-2996) and funding from Sophiahemmet University, Stockholm.The funding sources were not involved, in study design; in the collection, analysis and interpretation of data; in the writing of the report; and in the decision to submit the article for publication. Declaration of Generative AI and AI-assisted technologies in the writing process: during the preparation of this work the authors did not used any AI and AI -assisted technologies.</t>
  </si>
  <si>
    <t>1877-5756</t>
  </si>
  <si>
    <t>1877-5764</t>
  </si>
  <si>
    <t>SEX REPROD HEALTHC</t>
  </si>
  <si>
    <t>Sex. Reprod. Healthc.</t>
  </si>
  <si>
    <t>10.1016/j.srhc.2023.100929</t>
  </si>
  <si>
    <t>DQ8J5</t>
  </si>
  <si>
    <t>WOS:001133616200001</t>
  </si>
  <si>
    <t>Copstein, R; Niblett, B; Johnston, A; Schwartzentruber, J; Heywood, M; Zincir-Heywood, N</t>
  </si>
  <si>
    <t>Copstein, Rafael; Niblett, Bradley; Johnston, Andrew; Schwartzentruber, Jeff; Heywood, Malcolm; Zincir-Heywood, Nur</t>
  </si>
  <si>
    <t>MIMC: Anomaly Detection in Network Data via Multiple Instances of Micro-Cluster Detection</t>
  </si>
  <si>
    <t>Network and service security; anomaly detection; micro-clustering; resilient systems</t>
  </si>
  <si>
    <t>This paper proposes and explores new attribute correlations and combined effort of multiple instances of micro-cluster-based anomaly detection on port scans, distributed denial of service and botnet attacks. To this end, the proposed system for micro-clustering based anomaly detection is compared against the state-of-the-art technique on three different network datasets, namely CTU-IoT, CTU-13 and UNSW-NB15. Evaluations not only show the effectiveness and high performance of the proposed system on all three datasets but also demonstrate the generalizability of the newly proposed attribute correlations and combination strategies.</t>
  </si>
  <si>
    <t>[Copstein, Rafael; Schwartzentruber, Jeff; Heywood, Malcolm; Zincir-Heywood, Nur] Dalhousie Univ, Fac Comp Sci, Halifax, NS, Canada; [Niblett, Bradley] 2Keys Corp, Execut Consultant, Ottawa, ON, Canada; [Johnston, Andrew] 2Keys Corp, VP Ind Relat, Ottawa, ON, Canada</t>
  </si>
  <si>
    <t>Copstein, R (corresponding author), Dalhousie Univ, Fac Comp Sci, Halifax, NS, Canada.</t>
  </si>
  <si>
    <t>rafael.copstein@dal.ca; bniblett@2keys.ca; ajohnston@2keys.ca; jeffrey.schwartzentruber@gmail.com; mheywood@cs.dal.ca; zincir@cs.dal.ca</t>
  </si>
  <si>
    <t>NSERC Alliance Grant; province of Nova Scotia</t>
  </si>
  <si>
    <t>NSERC Alliance Grant(Natural Sciences and Engineering Research Council of Canada (NSERC)); province of Nova Scotia</t>
  </si>
  <si>
    <t>This research was enabled by the support of the NSERC Alliance Grant. The first author gratefully acknowledges the support by the province of Nova Scotia. The research is conducted as part of the Dalhousie NIMS Lab.</t>
  </si>
  <si>
    <t>WOS:001117985100044</t>
  </si>
  <si>
    <t>Jaberi, S; Atwood, JW; Paquet, J</t>
  </si>
  <si>
    <t>Jaberi, Solmaz; Atwood, J. William; Paquet, Joey</t>
  </si>
  <si>
    <t>ASSL as an Intent Expression Language for Autonomic Intent-Driven Networking</t>
  </si>
  <si>
    <t>intent; intent expression; intent-driven network; autonomic network; network management</t>
  </si>
  <si>
    <t>Autonomic Networking is one of the main models proposed for the deployment of Networking Intents. Ideally, Intent should be specified by the user in a natural language (e.g., English), but it must then be transformed into a computer-executable representation that can then be mapped onto interactions with existing networking components. There currently is no consensus as to what language can be used to express the operational version of Networking Intents. The Autonomic System Specification Language (ASSL) was designed for the specification and verification of autonomic systems in general. We propose to use ASSL as the intermediate language to express the executable version of Networking Intents. Starting from a set of Intent examples (expressed in English), transformations of the examples into ASSL have been obtained. Using these examples, we show that ASSL is capable of expressing a very wide range of Networking Intents.</t>
  </si>
  <si>
    <t>[Jaberi, Solmaz; Atwood, J. William; Paquet, Joey] Concordia Univ, Comp Sci &amp; Software Engn, Montreal, PQ, Canada</t>
  </si>
  <si>
    <t>Jaberi, S (corresponding author), Concordia Univ, Comp Sci &amp; Software Engn, Montreal, PQ, Canada.</t>
  </si>
  <si>
    <t>Natural Sciences and Engineering Research Council of Canada; Concordia University</t>
  </si>
  <si>
    <t>Natural Sciences and Engineering Research Council of Canada(Natural Sciences and Engineering Research Council of Canada (NSERC)CGIAR); Concordia University</t>
  </si>
  <si>
    <t>The authors acknowledge the support from the Natural Sciences and Engineering Research Council of Canada, through its Discovery Grants program, and from Concordia University</t>
  </si>
  <si>
    <t>WOS:001117985100042</t>
  </si>
  <si>
    <t>Jimenez, J; Soto, P; De Vleeschauwer, D; Chang, CY; De Bock, Y; Latre, S; Camelo, M</t>
  </si>
  <si>
    <t>Jimenez, Julian; Soto, Paola; De Vleeschauwer, Danny; Chang, Chia-Yu; De Bock, Yorick; Latre, Steven; Camelo, Miguel</t>
  </si>
  <si>
    <t>Resource Allocation of Multi-user Workloads in Cloud and Edge Data-Centers Using Reinforcement Learning</t>
  </si>
  <si>
    <t>Auto-scaling; Workload Management; Reinforcement Learning; Cloud-Native Network Function</t>
  </si>
  <si>
    <t>LATENCY</t>
  </si>
  <si>
    <t>Cloud and edge Data-center (DC) are designed to allocate computing resources dynamically to users based on the agreed Service Level Agreement (SLA). However, the ever-increasing demand for beyond 5G services necessitates an efficient workload management. A key challenge in this regard is auto-scaling, a dynamic process that adjusts computing resources to meet fluctuating system demands, optimizing resource utilization and cost efficiency. Traditional auto-scaling algorithms, which rely on fixed thresholds or control-theory, may face limitations in modern DC which are characterized by diverse, dynamic, and multi-user workloads. In this paper, we propose a Reinforcement Learning (RL)-based controller that extends the capacity of the state-of-the-art RL-based auto-scalers to the multi-user workload scenario. We compare the proposed RL agent against the well-known Proportional-Integral (PI) controller and a Threshold (THD)-based controller in a multi-user workload scenario in terms of created Cloud-native Network Functions (CNFs) and peak latency performed in a discrete event simulator.</t>
  </si>
  <si>
    <t>[Jimenez, Julian; Soto, Paola; De Bock, Yorick; Latre, Steven; Camelo, Miguel] Univ Antwerp, imec, Dept Comp Sci, IDLab, Sint Pietersvliet 7, B-2000 Antwerp, Belgium; [De Vleeschauwer, Danny; Chang, Chia-Yu] Nokia Bell Labs, Copernicuslaan 50, B-2018 Antwerp, Belgium</t>
  </si>
  <si>
    <t>IMEC; University of Antwerp</t>
  </si>
  <si>
    <t>Jimenez, J (corresponding author), Univ Antwerp, imec, Dept Comp Sci, IDLab, Sint Pietersvliet 7, B-2000 Antwerp, Belgium.</t>
  </si>
  <si>
    <t>Soto, Paola/ADN-7489-2022</t>
  </si>
  <si>
    <t>Soto, Paola/0000-0001-5906-6424</t>
  </si>
  <si>
    <t>European Union [101017109]; imec - Flanders Innovation &amp; Entrepreneurship [HBC.2021.0673]</t>
  </si>
  <si>
    <t>European Union(European Union (EU)); imec - Flanders Innovation &amp; Entrepreneurship</t>
  </si>
  <si>
    <t>This work has received funding from the European Union's Horizon 2020 research and innovation program under grant agreement no. 101017109 DAEMON and the imec.icon project 5GECO. 5GECO is co-financed by imec and receives financial support from Flanders Innovation &amp; Entrepreneurship (project nr. HBC.2021.0673) and/or Innoviris.</t>
  </si>
  <si>
    <t>WOS:001117985100006</t>
  </si>
  <si>
    <t>Coelho, BL; Schaeffer, AE</t>
  </si>
  <si>
    <t>Coelho, Bruno L.; Schaeffer-Filho, Alberto E.</t>
  </si>
  <si>
    <t>CrossBal: Data and Control Plane Cooperation for Efficient and Scalable Network Load Balancing</t>
  </si>
  <si>
    <t>Load Balancing; Traffic Engineering; Deep Reinforcement Learning; Machine Learning; Programmable Data Planes; Elephant Flow</t>
  </si>
  <si>
    <t>Load balancing network traffic through multiple shortest-paths has become common practice to efficiently utilize the network infrastructure. Despite widespread adoption, Equal-Cost Multi-Path (ECMP) delivers performance far from optimal. Several load balancing solutions utilizeWeighted-Cost Multi-Path (WCMP), splitting incoming traffic between links proportionally to link weights. However, implementing WCMP requires the controller to update match+action rules whenever the weights must be changed, introducing a delay before the appropriate traffic split can be applied. Additionally, weighted traffic splits are applied over network flows without regard to flow characteristics or needs. We propose CrossBal, a hybrid load balancing system based on Deep Reinforcement Learning (DRL) that focuses its efforts on high-impact elephant flows. The DRL agent is modeled to be able to efficiently utilize network links while minimizing the action space, allowing the agent to quickly learn how to load balance. Further, CrossBal can quickly react to network changes by monitoring and switching active routes directly in the data plane. Our evaluation shows that CrossBal can efficiently utilize network resources, using most available links, while also reducing link utilization imbalance. We also evaluate the elephant flow detection employed by CrossBal, showing how it can quickly identify elephant flows while efficiently utilizing switch resources.</t>
  </si>
  <si>
    <t>[Coelho, Bruno L.; Schaeffer-Filho, Alberto E.] Univ Fed Rio Grande do Sul, Inst Informat, Porto Alegre, RS, Brazil</t>
  </si>
  <si>
    <t>Universidade Federal do Rio Grande do Sul</t>
  </si>
  <si>
    <t>Coelho, BL (corresponding author), Univ Fed Rio Grande do Sul, Inst Informat, Porto Alegre, RS, Brazil.</t>
  </si>
  <si>
    <t>blcoelho@inf.ufrgs.br; alberto@inf.ufrgs.br</t>
  </si>
  <si>
    <t>Coordenacao de Aperfeicoamento de Pessoal de Nivel Superior - Brasil (CAPES) [001]; CNPq [311276/2021-0]; FAPESP [2020/05152-7 - PROFISSA]</t>
  </si>
  <si>
    <t>Coordenacao de Aperfeicoamento de Pessoal de Nivel Superior - Brasil (CAPES)(Coordenacao de Aperfeicoamento de Pessoal de Nivel Superior (CAPES)); CNPq(Conselho Nacional de Desenvolvimento Cientifico e Tecnologico (CNPQ)); FAPESP(Fundacao de Amparo a Pesquisa do Estado de Sao Paulo (FAPESP))</t>
  </si>
  <si>
    <t>This work was financed in part by the Coordenacao de Aperfeicoamento de Pessoal de Nivel Superior - Brasil (CAPES) - Finance Code 001, CNPq (grant #311276/2021-0) and FAPESP (grant #2020/05152-7 - PROFISSA).</t>
  </si>
  <si>
    <t>WOS:001117985100001</t>
  </si>
  <si>
    <t>Koumar, J; Hynek, K; Cejka, T</t>
  </si>
  <si>
    <t>Koumar, Josef; Hynek, Karel; Cejka, Tomas</t>
  </si>
  <si>
    <t>Network Traffic Classification based on Single Flow Time Series Analysis</t>
  </si>
  <si>
    <t>time series; unevenly spaced time series; time series analysis; classification; lomb-scargle periodogram; spectral analysis; network traffic; machine learning</t>
  </si>
  <si>
    <t>SIGNAL-AVERAGED ELECTROCARDIOGRAM; FREQUENCY; INTERNET; DOMAIN; THINGS; MODEL</t>
  </si>
  <si>
    <t>Network traffic monitoring using IP flows is used to handle the current challenge of analyzing encrypted network communication. Nevertheless, the packet aggregation into flow records naturally causes information loss; therefore, this paper proposes a novel flow extension for traffic features based on the time series analysis of the Single Flow Time series, i.e., a time series created by the number of bytes in each packet and its timestamp. We propose 69 universal features based on the statistical analysis of data points, time domain analysis, packet distribution within the flow timespan, time series behavior, and frequency domain analysis. We have demonstrated the usability and universality of the proposed feature vector for various network traffic classification tasks using 15 well-known publicly available datasets. Our evaluation shows that the novel feature vector achieves classification performance similar or better than related works on both binary and multiclass classification tasks. In more than half of the evaluated tasks, the classification performance increased by up to 5 %.</t>
  </si>
  <si>
    <t>[Koumar, Josef; Hynek, Karel; Cejka, Tomas] CESNET ale, Prague, Czech Republic; [Koumar, Josef] Czech Tech Univ, Prague, Czech Republic</t>
  </si>
  <si>
    <t>Koumar, J (corresponding author), CESNET ale, Prague, Czech Republic.;Koumar, J (corresponding author), Czech Tech Univ, Prague, Czech Republic.</t>
  </si>
  <si>
    <t>koumar@cesnet.cz; hynekkar@cesnet.cz; cejkat@cesnet.cz</t>
  </si>
  <si>
    <t>WOS:001117985100052</t>
  </si>
  <si>
    <t>Schmidt, S; Zerwas, J; Kellerer, W</t>
  </si>
  <si>
    <t>Schmidt, Sebastian; Zerwas, Johannes; Kellerer, Wolfgang</t>
  </si>
  <si>
    <t>ADFAT: Adversarial Flow Arrival Time Generation for Demand-Oblivious Data Center Networks</t>
  </si>
  <si>
    <t>Data Centers; Genetic Algorithms; Performance Evaluation; Adversarial Machine Learning</t>
  </si>
  <si>
    <t>Researchers developing new architectures and algorithms for data center networks (DCNs) face the challenge of producing meaningful evaluations of their contributions. Traditional evaluation methods like traffic traces and parametric models can fail to reveal weak spots in DCNs. The concept of adversarial inputs shapes traffic data, making it challenging for a DCN to serve it. Adversarial traffic can provide insight into performance issues of a DCN that might go unnoticed with traces and models. This paper presents ADFAT, a genetic algorithm-based system for automated adversarial input generation for DCNs. While previous work focuses on reordering flow volumes or individual packets, our system uses flow arrival times as the adversarial traffic dimension. By creating adversarial flow arrivals for a demand-oblivious RotorNet topology, we show that ADFAT not only finds traffic that causes 22.64% higher mean flow completion times than traffic with uniform random arrival times but is also sensitive to the inherent periodicities and connection patterns of RotorNet. The results indicate ADFAT can find and exploit temporal and structural properties of dynamic and demandoblivious topologies in an automated way.</t>
  </si>
  <si>
    <t>[Schmidt, Sebastian; Zerwas, Johannes; Kellerer, Wolfgang] Tech Univ Munich, Chair Commun Networks, Munich, Germany</t>
  </si>
  <si>
    <t>Schmidt, S (corresponding author), Tech Univ Munich, Chair Commun Networks, Munich, Germany.</t>
  </si>
  <si>
    <t>sebastian.a.schmidt@tum.de; johannes.zerwas@tum.de; wolfgang.kellerer@tum.de</t>
  </si>
  <si>
    <t>Deutsche Forschungsgemeinschaft (DFG, German Research Foundation) [438892507]</t>
  </si>
  <si>
    <t>Deutsche Forschungsgemeinschaft (DFG, German Research Foundation)(German Research Foundation (DFG))</t>
  </si>
  <si>
    <t>This work was funded by the Deutsche Forschungsgemeinschaft (DFG, German Research Foundation) - 438892507.</t>
  </si>
  <si>
    <t>WOS:001117985100063</t>
  </si>
  <si>
    <t>Habibi, P; Moghaddassian, M; Shafaghi, S; Leon-Garcia, A</t>
  </si>
  <si>
    <t>Habibi, Pooyan; Moghaddassian, Morteza; Shafaghi, Shayan; Leon-Garcia, Alberto</t>
  </si>
  <si>
    <t>Data Fabrics for Multi-Domain Information Systems</t>
  </si>
  <si>
    <t>Data Fabric; Kafka; Multi-domain Information Systems; Named Data Networking; Network Middleware</t>
  </si>
  <si>
    <t>CHALLENGES; MQTT</t>
  </si>
  <si>
    <t>Data exchange in information systems that span multiple policy domains typically rely on network middleware that can abstract the management of underlying heterogeneous communication protocols. This also involves issues in managing interoperability, scalability, and privacy that arise in the movement of data from one domain to another information domain. The Data Fabric is an emerging approach to systematically build and design such middleware systems to support multi-domain exchange at scale. In this paper, we discuss and compare two key data-centric approaches: 1) application layer topic-based messaging and name-based networking in a multi-cloud environment. We implement and deploy these two approaches (using Kafka and NDN) and we compare the performance in terms of object transfer latency and CPU and memory utilization. We find that NDN networking has superior latency performance and lower resource usage. We believe that this advantage derives from the fact that named-based messaging operates at the network level, while topic-based messaging operates at the application level.</t>
  </si>
  <si>
    <t>[Habibi, Pooyan; Moghaddassian, Morteza; Shafaghi, Shayan; Leon-Garcia, Alberto] Univ Toronto, Dept Elect &amp; Comp Engn, Toronto, ON, Canada</t>
  </si>
  <si>
    <t>Habibi, P (corresponding author), Univ Toronto, Dept Elect &amp; Comp Engn, Toronto, ON, Canada.</t>
  </si>
  <si>
    <t>pooyan.habibi@mail.utoronto.ca; m.moghaddassian@utoronto.ca; shayan.shafaghi@mail.utoronto.ca; alberto.leongarcia@utoronto.ca</t>
  </si>
  <si>
    <t>WOS:001117985100002</t>
  </si>
  <si>
    <t>Harris, D; Naori, D; Raz, D</t>
  </si>
  <si>
    <t>Harris, Dor; Naori, David; Raz, Danny</t>
  </si>
  <si>
    <t>Online Utilization Maximization in Resource Allocation with Minimum Service Guarantees</t>
  </si>
  <si>
    <t>FAIRNESS; ALGORITHMS</t>
  </si>
  <si>
    <t>The natural objective of resource allocation algorithms is twofold: On one hand, to maximize utilization and on the other hand to allow a fair share to all users. The actual meaning of fair in this context is manifold; we propose to address fairness in a simple and natural way by guaranteeing a minimum level of service to every user. We develop new competitive online algorithms for this new resource allocation with mandatory service problem and analyze their performance guarantees both in the adversarial-order and random-order online models. We also show that having prior knowledge about the request distribution can be beneficial. We accomplish this by analyzing a probabilistic relaxation of the mandatory service criterion. We study the practical implementation of these theoretical algorithms in the context of online cell selection in access networks. In this setting, mobile users request service and the network needs to assign a relevant cell (or cells) to provide it. We conduct extensive simulations to evaluate the performance of our algorithms in realistic conditions. The results suggest that our new algorithms perform better than applicable adaptations of the commonly used heuristics.</t>
  </si>
  <si>
    <t>[Harris, Dor; Naori, David; Raz, Danny] Technion, Haifa, Israel</t>
  </si>
  <si>
    <t>Technion Israel Institute of Technology</t>
  </si>
  <si>
    <t>Harris, D (corresponding author), Technion, Haifa, Israel.</t>
  </si>
  <si>
    <t>dorharris@cs.technion.ac.il; dnaori@cs.technion.ac.il; danny@cs.technion.ac.il</t>
  </si>
  <si>
    <t>WOS:001117985100008</t>
  </si>
  <si>
    <t>Shah, S; Amannejad, Y; Krishnamurthy, D</t>
  </si>
  <si>
    <t>Shah, Sarah; Amannejad, Yasaman; Krishnamurthy, Diwakar</t>
  </si>
  <si>
    <t>Predicting the Performance of DNNs to Support Efficient Resource Allocation</t>
  </si>
  <si>
    <t>Machine Learning; Performance Modeling; Inference Time Prediction; Deep Neural Networks; TensorFlow Serving</t>
  </si>
  <si>
    <t>Numerous organizations are adopting sophisticated Machine Learning (ML) algorithms for their operations. To ensure the optimal performance of ML systems, organizations require insights into the response time of such systems under realistic user workloads. However, despite the widespread adoption of ML models, research on predicting the response time of a system serving an ML model under varying resources and user workloads is limited. In this paper, we address this gap by proposing a modeling approach to predict response times of multiple well-known Deep Neural Networks (DNNs) under simultaneously varying resource settings and user workloads. We join a classifier and a regressor to identify the optimal resource setting for meeting a DNN's response time target, and to predict the response time under the allocated resource setting. Our technique enables performance modeling without the need to collect extensive data during system operation, thus empowering pre-deployment predictions. The results demonstrate that our approach can generalize to unseen resource and workload scenarios, guaranteeing accurate predictions of compliance with response time targets 98.05% of the time and offering response time predictions with a mean prediction error of 9.10%.</t>
  </si>
  <si>
    <t>[Shah, Sarah; Krishnamurthy, Diwakar] Univ Calgary, Elect &amp; Software Engn, Calgary, AB, Canada; [Amannejad, Yasaman] Mt Royal Univ, Math &amp; Comp, Calgary, AB, Canada</t>
  </si>
  <si>
    <t>University of Calgary; Mount Royal University</t>
  </si>
  <si>
    <t>Shah, S (corresponding author), Univ Calgary, Elect &amp; Software Engn, Calgary, AB, Canada.</t>
  </si>
  <si>
    <t>sarah.shah1@ucalgary.ca; yamannejad@mtroyal.ca; dkrishna@ucalgary.ca</t>
  </si>
  <si>
    <t>WOS:001117985100062</t>
  </si>
  <si>
    <t>Coric, D; Nassr, A; Kim, PK; Welch, WC; Robbins, S; Deluca, S; Whiting, D; Chahlavi, A; Pirris, SM; Groff, MW; Chi, JH; Huang, JH; Kent, R; Whitmore, RG; Meyer, SA; Arnold, PM; Patel, AI; Orr, RD; Krishnaney, A; Boltes, P; Anekstein, Y; Steinmetz, MP</t>
  </si>
  <si>
    <t>Coric, Domagoj; Nassr, Ahmad; Kim, Paul K.; Welch, William C.; Robbins, Stephen; Deluca, Steven; Whiting, Donald; Chahlavi, Ali; Pirris, Stephen M.; Groff, Michael W.; Chi, John H.; Huang, Jason H.; Kent, Roland; Whitmore, Robert G.; Meyer, Scott A.; Arnold, Paul M.; Patel, Ashvin I.; Orr, R. Douglas; Krishnaney, Ajit; Boltes, Peggy; Anekstein, Yoram; Steinmetz, Michael P.</t>
  </si>
  <si>
    <t>Prospective, randomized controlled multicenter study of posterior lumbar facet arthroplasty for the treatment of spondylolisthesis</t>
  </si>
  <si>
    <t>JOURNAL OF NEUROSURGERY-SPINE</t>
  </si>
  <si>
    <t>posterior lumbar arthroplasty; degenerative spondylolisthesis; TOPS device; motion preservation</t>
  </si>
  <si>
    <t>5-YEAR FOLLOW-UP; SPINAL STENOSIS; SURGICAL-TREATMENT; REPLACEMENT; FUSION; SURGERY; DECOMPRESSION; REOPERATION; ARTHRODESIS; LAMINECTOMY</t>
  </si>
  <si>
    <t>OBJECTIVE The purpose of this study was to evaluate the safety and efficacy of a posterior facet replacement device, the Total Posterior Spine (TOPS) System, for the treatment of one-level symptomatic lumbar stenosis with grade I de-generative spondylolisthesis. Posterior lumbar arthroplasty with facet replacement is a motion-preserving alternative to lumbar decompression and fusion. The authors report the preliminary results from the TOPS FDA investigational device exemption (IDE) trial.METHODS The study was a prospective, randomized controlled FDA IDE trial comparing the investigational TOPS device with transforaminal lumbar interbody fusion (TLIF) and pedicle screw fixation. The minimum follow-up duration was 24 months. Validated patient-reported outcome measures included the Oswestry Disability Index (ODI) and visual analog scale (VAS) for back and leg pain. The primary outcome was a composite measure of clinical success: 1) no reoperations, 2) no device breakage, 3) ODI reduction of &gt;= 15 points, and 4) no new or worsening neurological deficit. Patients were considered a clinical success only if they met all four measures. Radiographic assessments were made by an independent core laboratory.RESULTS A total of 249 patients were evaluated (n = 170 in the TOPS group and n = 79 in the TLIF group). There were no statistically significant differences between implanted levels (L4-5: TOPS, 95% and TLIF, 95%) or blood loss. The overall composite measure for clinical success was statistically significantly higher in the TOPS group (85%) compared with the TLIF group (64%) (p = 0.0138). The percentage of patients reporting a minimum 15-point improvement in ODI showed a statistically significant difference (p = 0.037) favoring TOPS (93%) over TLIF (81%). There was no statistically significant difference between groups in the percentage of patients reporting a minimum 20-point improvement on VAS back pain (TOPS, 87%; TLIF, 64%) and leg pain (TOPS, 90%; TLIF, 88%) scores. The rate of surgical reintervention for facet replacement in the TOPS group (5.9%) was lower than the TLIF group (8.8%). The TOPS cohort demonstrated maintenance of flexion/extension range of motion from preoperatively (3.85 degrees) to 24 months (3.86 degrees).CONCLUSIONS This study demonstrates that posterior lumbar decompression and dynamic stabilization with the TOPS device is safe and efficacious in the treatment of lumbar stenosis with degenerative spondylolisthesis. Additionally, decompression and dynamic stabilization with the TOPS device maintains segmental motion. Clinical trial registration no.: NCT03012776 (ClinicalTrials.gov)</t>
  </si>
  <si>
    <t>[Coric, Domagoj; Kim, Paul K.; Boltes, Peggy] Carolina Neurosurg &amp; Spine Associates, Charlotte, NC USA; [Coric, Domagoj; Kim, Paul K.; Boltes, Peggy] Atrium Hlth, Dept Neurosurg, SpineFirst, Charlotte, NC USA; [Nassr, Ahmad] Mayo Clin, Dept Orthoped Surg, Rochester, MN USA; [Welch, William C.] Univ Penn, Dept Neurosurg, Philadelphia, PA USA; [Robbins, Stephen] Wisconsin Bone &amp; Joint, Milwaukee, WI USA; [Deluca, Steven] Orthoped Inst Penn, Harrisburg, PA USA; [Whiting, Donald] Allegheny Hlth Network, Dept Neurosurg, Pittsburgh, PA USA; [Chahlavi, Ali; Pirris, Stephen M.] Ascens St Vincent, Dept Neurosurg, Jacksonville, FL USA; [Groff, Michael W.; Chi, John H.] Brigham &amp; Womens Hosp, Dept Neurosurg, Boston, MA USA; [Huang, Jason H.] Baylor Scott &amp; White Med Ctr, Dept Neurosurg, Temple, TX USA; [Kent, Roland] Axis Spine Ctr, Coeur Dalene, ID USA; [Whitmore, Robert G.] Lahey Med Ctr, Dept Neurosurg, Burlington, MA USA; [Meyer, Scott A.] Altair Hlth Spine, Dept Neurosurg, Morristown, NJ USA; [Arnold, Paul M.] Carle Neurosci Inst, Urbana, IL USA; [Patel, Ashvin I.] Kennedy White Orthopaed Ctr, Sarasota, FL USA; [Orr, R. Douglas; Krishnaney, Ajit; Steinmetz, Michael P.] Cleveland Clin Fdn, Dept Neurosurg, Cleveland, OH USA; [Anekstein, Yoram] Sackler Sch Med Med, Dept Orthopaed, Tel Aviv, Israel; [Coric, Domagoj] Carolina Neurosurg &amp; Spine, Charlotte, NC 28277 USA</t>
  </si>
  <si>
    <t>Mayo Clinic; University of Pennsylvania; Harvard University; Brigham &amp; Women's Hospital; Baylor Health Care System; Lahey Hospital &amp; Medical Center; Cleveland Clinic Foundation</t>
  </si>
  <si>
    <t>Coric, D (corresponding author), Carolina Neurosurg &amp; Spine, Charlotte, NC 28277 USA.</t>
  </si>
  <si>
    <t>domagoj.coric@cnsa.com</t>
  </si>
  <si>
    <t>AMER ASSOC NEUROLOGICAL SURGEONS</t>
  </si>
  <si>
    <t>ROLLING MEADOWS</t>
  </si>
  <si>
    <t>5550 MEADOWBROOK DRIVE, ROLLING MEADOWS, IL 60008 USA</t>
  </si>
  <si>
    <t>1547-5654</t>
  </si>
  <si>
    <t>1547-5646</t>
  </si>
  <si>
    <t>J NEUROSURG-SPINE</t>
  </si>
  <si>
    <t>J. Neurosurg.-Spine</t>
  </si>
  <si>
    <t>10.3171/2022.7.SPINE22536</t>
  </si>
  <si>
    <t>EJ0Q1</t>
  </si>
  <si>
    <t>WOS:001138444600003</t>
  </si>
  <si>
    <t>Sang, L; Song, L</t>
  </si>
  <si>
    <t>Sang, Ling; Song, Li</t>
  </si>
  <si>
    <t>The Current Status of the Use of Internet Hospitals for Outpatients With Pain: Retrospective Study</t>
  </si>
  <si>
    <t>internet hospital; internet; pain management; online visit; outpatient; pain</t>
  </si>
  <si>
    <t>TELEMEDICINE</t>
  </si>
  <si>
    <t>Background: The national Internet + policies and the emergence of internet hospitals have created a new direction for the management of pain outside of the hospital. Nevertheless, there are no consolidated studies conducted by pain physicians on the current state of internet hospital-based online medical services used by patients with pain outside of a hospital setting. Objective: In this retrospective study, we aimed to examine the status of the use of internet hospitals by patients who experience pain. Moreover, we identified the factors that influenced patients' decisions to make an online visit through the internet hospital. Methods: Detailed information was collected online and offline from outpatients with pain at the information technology center of West China Hospital of Sichuan University from February 2020 to April 2022. Binary logistic regression analysis was conducted to identify the determinants that influenced patients' decisions to make an online visit to the internet hospital. Results: Over a 2-year period, 85,266 pain-related clinic visits were recorded. Ultimately, 39,260 patients were enrolled for the analysis, with 12.9% (5088/39,260) having online visits. Both online and offline clinics had a greater number of visits by women than men. The average age of patients attending the online clinic was 46.85 (SD 16.56) years, whereas the average age of patients attending the offline clinic was 51.48 (SD 16.12) years. The majority of online clinic visitors (3059/5088, 60.1%) were employed, and one of the most common occupations was farming (721/5088, 14.2%). In addition, 51.8% (2635/5088) of patients who participated in the online clinics lived outside the hospital vicinity. Young (odds ratio [OR] 1.35, 95% CI 1.01-1.81; P=.045) and middle-aged (OR 1.98, 95% CI 1.81-2.16; P&lt;.001) patients, employed patients (OR 1.11, 95% CI 1.04-1.18; P=.002), nonlocal patients (OR 1.57, 95% CI 1.48-1.67; P&lt;.001), and the ordinary staff (OR 1.19, 95%CI 1.01-1.39; P=.03) were more likely to have the intention to choose online visits through the internet hospitals. Conclusions: Internet hospitals are flourishing as a more efficient and promising method of pain management and follow-up for patients with pain outside the hospital. People with pain who are young, working, and not in the vicinity of hospitals are more likely to visit internet hospitals.</t>
  </si>
  <si>
    <t>[Sang, Ling; Song, Li] Sichuan Univ, West China Hosp, Dept Pain Management, Chengdu, Peoples R China; [Song, Li] Sichuan Univ, Dept Pain Management, West China Hosp, 37 Guoxue Xiang, Chengdu 610041, Peoples R China</t>
  </si>
  <si>
    <t>Sichuan University; Sichuan University</t>
  </si>
  <si>
    <t>Song, L (corresponding author), Sichuan Univ, Dept Pain Management, West China Hosp, 37 Guoxue Xiang, Chengdu 610041, Peoples R China.</t>
  </si>
  <si>
    <t>song_li76@163.com</t>
  </si>
  <si>
    <t>Chinese Association of Geriatric Research [A-WS-2022-KY-0010]</t>
  </si>
  <si>
    <t>Chinese Association of Geriatric Research</t>
  </si>
  <si>
    <t>This study was supported by the Chinese Association of Geriatric Research (A-WS-2022-KY-0010) . The authors would like to thank the information technology center of West China Hospital of Sichuan University for the data support. No generative artificial intelligence (AI) was used in any portion of the manuscript writing.</t>
  </si>
  <si>
    <t>SEP 11</t>
  </si>
  <si>
    <t>e44759</t>
  </si>
  <si>
    <t>10.2196/44759</t>
  </si>
  <si>
    <t>U6QG4</t>
  </si>
  <si>
    <t>WOS:001086024500003</t>
  </si>
  <si>
    <t>Castellucci, C; Malorgio, A; Budowski, AD; Akbas, S; Kolbe, M; Grande, B; Braun, J; Noethiger, CB; Spahn, DR; Tscholl, DW; Roche, TR</t>
  </si>
  <si>
    <t>Castellucci, Clara; Malorgio, Amos; Budowski, Alexandra Dinah; Akbas, Samira; Kolbe, Michaela; Grande, Bastian; Braun, Julia; Noethiger, Christoph B.; Spahn, Donat R.; Tscholl, David Werner; Roche, Tadzio Raoul</t>
  </si>
  <si>
    <t>Coagulation Management of Critically Bleeding Patients With Viscoelastic Testing Presented as a 3D-Animated Blood Clot (The Visual Clot): Randomized Controlled High-Fidelity Simulation Study</t>
  </si>
  <si>
    <t>avatar technology; coagulation management; high-fidelity simulation; point-of-care testing; thrombelastography; user-centered design; Visual Clot</t>
  </si>
  <si>
    <t>HEALTH-CARE; SAMPLE-SIZE; TRIAL</t>
  </si>
  <si>
    <t>Background: Guidelines recommend using viscoelastic coagulation tests to guide coagulation management, but interpreting the results remains challenging. Visual Clot, a 3D animated blood clot, facilitates interpretation through a user-centered and situation awareness-oriented design. Objective: This study aims to compare the effects of Visual Clot versus conventional viscoelastic test results (rotational thrombelastometry [ROTEM] temograms) on the coagulation management performance of anesthesia teams in critical bleeding situations. Methods: We conducted a prospective, randomized, high-fidelity simulation study in which anesthesia teams (consisting of a senior anesthesiologist, a resident anesthesiologist, and an anesthesia nurse) managed perioperative bleeding scenarios. Teams had either Visual Clot or ROTEM temograms available to perform targeted coagulation management. We analyzed the 15-minute simulations with post hoc video analysis. The primary outcome was correct targeted coagulation therapy. Secondary outcomes were time to targeted coagulation therapy, confidence, and workload. In addition, we have conducted a qualitative survey on user acceptance of Visual Clot. We used Poisson regression, Cox regression, and mixed logistic regression models, adjusted for various potential confounders, to analyze the data. Results: We analyzed 59 simulations. Teams using Visual Clot were more likely to deliver the overall targeted coagulation therapy correctly (rate ratio 1.56, 95% CI 1.00-2.47; P=.05) and administer the first targeted coagulation product faster (hazard ratio 2.58, 95% CI 1.37-4.85; P=.003). In addition, participants showed higher decision confidence with Visual Clot (odds ratio 3.60, 95% CI 1.49-8.71; P=.005). We found no difference in workload (coefficient -0.03, 95% CI -3.08 to 2.88; P=.99). Conclusions: Using Visual Clot led to a more accurate and faster-targeted coagulation therapy than using ROTEM temograms. We suggest that relevant viscoelastic test manufacturers consider augmenting their complex result presentation with intuitive, easy-to-understand visualization to ease users' burden from unnecessary cognitive load and enhance patient care.</t>
  </si>
  <si>
    <t>[Castellucci, Clara; Malorgio, Amos; Budowski, Alexandra Dinah; Akbas, Samira; Grande, Bastian; Noethiger, Christoph B.; Spahn, Donat R.; Tscholl, David Werner; Roche, Tadzio Raoul] Univ Zurich, Univ Hosp Zurich, Inst Anaesthesiol, Zurich, Switzerland; [Kolbe, Michaela; Grande, Bastian] Univ Zurich, Univ Hosp Zurich, Simulat Ctr, Zurich, Switzerland; [Braun, Julia] Univ Zurich, Epidemiol Biostat &amp; Prevent Inst, Dept Epidemiol, Zurich, Switzerland; [Braun, Julia] Univ Zurich, Epidemiol Biostat &amp; Prevent Inst, Dept Biostat, Zurich, Switzerland; [Roche, Tadzio Raoul] Univ Zurich, Inst Anaesthesiol, Univ Hosp Zurich, Raemistr 100, CH-8091 Zurich, Switzerland</t>
  </si>
  <si>
    <t>University of Zurich; University Zurich Hospital; University of Zurich; University Zurich Hospital; University of Zurich; University of Zurich; University of Zurich; University Zurich Hospital</t>
  </si>
  <si>
    <t>Roche, TR (corresponding author), Univ Zurich, Inst Anaesthesiol, Univ Hosp Zurich, Raemistr 100, CH-8091 Zurich, Switzerland.</t>
  </si>
  <si>
    <t>tadzioraoul.roche@usz.ch</t>
  </si>
  <si>
    <t>Grande, Bastian/AAH-4508-2021</t>
  </si>
  <si>
    <t>Grande, Bastian/0000-0003-2935-1317; Tscholl, David/0000-0002-3677-3705; Malorgio, Amos/0000-0002-1355-6804; Kolbe, Michaela/0000-0001-6654-6370; Braun, Julia/0000-0001-8359-6177; Spahn, Donat/0000-0002-4782-183X; Akbas, Samira/0000-0001-7692-4718; Nothiger, Christoph B/0000-0002-0336-1421</t>
  </si>
  <si>
    <t>Institute of Anesthesiology, University of Zurich, and University Hospital Zurich, Zurich, Switzerland</t>
  </si>
  <si>
    <t>The study was funded by the Institute of Anesthesiology, University of Zurich, and University Hospital Zurich, Zurich, Switzerland. The authors are sincerely grateful to the staff of the Simulation Center at University Hospital Zurich for their support in conducting this study. We did not use generative AI in any portion of the manuscript writing.</t>
  </si>
  <si>
    <t>e43895</t>
  </si>
  <si>
    <t>10.2196/43895</t>
  </si>
  <si>
    <t>WOS:001092176300005</t>
  </si>
  <si>
    <t>Liu, XY; Yan, X; Zhang, K</t>
  </si>
  <si>
    <t>Liu, Xiaoyu; Yan, Xing; Zhang, Kun</t>
  </si>
  <si>
    <t>Kernel quantile estimators for nested simulation with application to portfolio value-at-risk measurement</t>
  </si>
  <si>
    <t>EUROPEAN JOURNAL OF OPERATIONAL RESEARCH</t>
  </si>
  <si>
    <t>Simulation; Value-at-risk; Kernel quantile estimator; Bandwidth selection; Budget allocation</t>
  </si>
  <si>
    <t>VARIANCE</t>
  </si>
  <si>
    <t>Nested simulation has been widely used in portfolio risk measurement in recent years. We focus on one risk measure, value at risk (VaR), and study a kernel quantile estimator (KQE) for nested simulation to estimate this risk. We analyze the bias, variance, and mean squared error (MSE), based on which we show that the variance is reduced in the lower-order terms, while in some cases bias could be reduced in the dominant term. For practical implementation, we propose an efficient bootstrap-based algorithm to guide kernel bandwidth selection and budget allocation in nested simulation. We also conduct numerical experiments to show that KQE works quite well at different significance levels compared with the widely used sample quantile.(c) 2023 Elsevier B.V. All rights reserved.</t>
  </si>
  <si>
    <t>[Liu, Xiaoyu] Inspur Cloud, Dept Serv Res &amp; Dev, Jinan, Peoples R China; [Yan, Xing; Zhang, Kun] Renmin Univ China, Inst Stat &amp; Big Data, 59 Zhongguancun St, Beijing, Peoples R China</t>
  </si>
  <si>
    <t>Zhang, K (corresponding author), Renmin Univ China, Inst Stat &amp; Big Data, 59 Zhongguancun St, Beijing, Peoples R China.</t>
  </si>
  <si>
    <t>liuxiaoyu12@inspur.com; xingyan@ruc.edu.cn; kunzhang@ruc.edu.cn</t>
  </si>
  <si>
    <t>Zhang, Kun/ADZ-6017-2022</t>
  </si>
  <si>
    <t>Zhang, Kun/0000-0002-0898-5807; Yan, Xing/0000-0002-2744-5283</t>
  </si>
  <si>
    <t>National Natural Science Foundation of China (NNSFC) [72101260, 62206300]; Public Computing Cloud, Renmin University of China</t>
  </si>
  <si>
    <t>National Natural Science Foundation of China (NNSFC)(National Natural Science Foundation of China (NSFC)); Public Computing Cloud, Renmin University of China</t>
  </si>
  <si>
    <t>This research was supported by National Natural Science Foundation of China (NNSFC) grants 72101260 , 62206300 and Public Computing Cloud, Renmin University of China. Declaration of generative AI and AI-assisted technologies in the writing process. During the preparation of this work the author (s) used Chat-GPT in order to improve language and readability. After using this tool/service, the author (s) reviewed and edited the content as needed and take (s) full responsibility for the content of the publication.</t>
  </si>
  <si>
    <t>0377-2217</t>
  </si>
  <si>
    <t>1872-6860</t>
  </si>
  <si>
    <t>EUR J OPER RES</t>
  </si>
  <si>
    <t>Eur. J. Oper. Res.</t>
  </si>
  <si>
    <t>10.1016/j.ejor.2023.07.040</t>
  </si>
  <si>
    <t>Management; Operations Research &amp; Management Science</t>
  </si>
  <si>
    <t>Business &amp; Economics; Operations Research &amp; Management Science</t>
  </si>
  <si>
    <t>U6JA7</t>
  </si>
  <si>
    <t>WOS:001085834200001</t>
  </si>
  <si>
    <t>Haun, JN; Venkatachalam, HH; Fowler, CA; Alman, AC; Ballistrea, LM; Schneider, T; Benzinger, RC; Melillo, C; Alexander, NB; Klanchar, SA; Lapcevic, W; French, DD</t>
  </si>
  <si>
    <t>Haun, Jolie N.; Venkatachalam, Hari H.; Fowler, Christopher A.; Alman, Amy C.; Ballistrea, Lisa M.; Schneider, Tali; Benzinger, Rachel C.; Melillo, Christine; Alexander, Neil B.; Klanchar, S. Angelina; Lapcevic, William; French, Dustin D.</t>
  </si>
  <si>
    <t>Mobile and Web-Based Partnered Intervention to Improve Remote Access to Pain and Posttraumatic Stress Disorder Symptom Management: Recruitment and Attrition in a Randomized Controlled Trial</t>
  </si>
  <si>
    <t>PTSD; pain; veteran; attrition; CIH; randomized controlled trial; chronic pain; remote intervention; dyad; mobile health</t>
  </si>
  <si>
    <t>VETERANS; PTSD; PSYCHOTHERAPY; RELIABILITY; AFGHANISTAN; VALIDITY; OUTCOMES; THERAPY</t>
  </si>
  <si>
    <t>Background: Increasing access to nonpharmacological interventions to manage pain and posttraumatic stress disorder (PTSD) is essential for veterans. Complementary and integrative health (CIH) interventions can help individuals manage symptom burden with enhanced accessibility via remotely delivered health care. Mission Reconnect (MR) is a partnered, self-directed intervention that remotely teaches CIH skills. Objective: The purpose of this paper is to describe the recruitment, onboarding phase, and attrition of a fully remote randomized controlled trial (RCT) assessing the efficacy of a self-directed mobile and web-based intervention for veterans with comorbid chronic pain and PTSD and their partners. Methods: A total of 364 veteran-partner dyads were recruited to participate in a mixed methods multisite waitlist control RCT. Qualitative attrition interviews were conducted with 10 veterans with chronic pain and PTSD, and their self-elected partners (eg, spouse) who consented but did not begin the program. Results: At the point of completing onboarding and being randomized to the 2 treatment arms, of the 364 recruited dyads, 97 (26.6%) failed to complete onboarding activities. Reported reasons for failure to complete onboarding include loss of self-elected partner buy-in (n=8, 8%), difficulties with using remote data collection methods and interventions (n=30, 31%), and adverse health experiences unrelated to study activities (n=23, 24%). Enrolled veterans presented at baseline with significant PTSD symptom burden and moderate-to-severe pain severity, and represented a geographically and demographically diverse population. Attrition interviews (n=10) indicated that misunderstanding MR including the intent of the intervention or mistaking the surveys as the actual intervention was a reason for not completing the MR registration process. Another barrier to MR registration was that interviewees described the mailed study information and registration packets as too confusing and excessive. Competing personal circumstances including health concerns that required attention interfered with MR registration. Common reasons for attrition following successful MR registration included partner withdrawal, adverse health issues, and technological challenges relating to the MR and electronic data collection platform (Qualtrics). Participant recommendations for reducing attrition included switching to digital forms to reduce participant burden and increasing human interaction throughout the registration and baseline data collection processes. Conclusions: Challenges, solutions, and lessons learned for study recruitment and intervention delivery inform best practices of delivering remote self-directed CIH interventions when addressing the unique needs of this medically complex population. Successful recruitment and enrollment of veterans with chronic pain and PTSD, and their partners, to remote CIH programs and research studies requires future examination of demographic and symptom-associated access barriers. Accommodating the unique needs of this medically complex population is essential for improving the effectiveness of CIH programs. Disseminating lessons learned and improving access to remotely delivered research studies and CIH programs is paramount in the post-COVID-19 climate.</t>
  </si>
  <si>
    <t>[Haun, Jolie N.; Venkatachalam, Hari H.; Fowler, Christopher A.; Ballistrea, Lisa M.; Schneider, Tali; Benzinger, Rachel C.; Melillo, Christine; Klanchar, S. Angelina; Lapcevic, William] James A Haley Vet Hosp, Res Serv, Tampa, FL USA; [Haun, Jolie N.] Univ Utah, Dept Internal Med, Div Epidemiol, Salt Lake City, UT USA; [Fowler, Christopher A.] Univ S Florida, Dept Psychiat &amp; Behav Neurosci, Tampa, FL USA; [Alman, Amy C.] Univ S Florida, Coll Publ Hlth, Tampa, FL USA; [Alexander, Neil B.] VA Ann Arbor Healthcare Syst Geriatr Res Educ &amp; Cl, Ann Arbor, MI USA; [Alexander, Neil B.] Dept Internal Med, Div Geriatr &amp; Palliat Med, Ann Arbor, MI USA; [French, Dustin D.] Edward Hines Jr VA Hosp, Ctr Innovat Complex Chron Healthcare, Dept Vet Affairs, Hines, IL USA; [French, Dustin D.] Northwestern Univ, Feinberg Sch Med, Ctr Hlth Serv &amp; Outcomes Res, Chicago, IL USA; [French, Dustin D.] Northwestern Univ, Feinberg Sch Med, Dept Ophthalmol, Chicago, IL USA; [French, Dustin D.] Northwestern Univ, Feinberg Sch Med, Dept Med Social Sci, Chicago, IL USA; [Benzinger, Rachel C.] James A Haley Vet Hosp, Res Serv, 8900 Grand Oak Circle, Tampa, FL 33637 USA</t>
  </si>
  <si>
    <t>US Department of Veterans Affairs; Veterans Health Administration (VHA); James A. Haley Veterans Hospital; Utah System of Higher Education; University of Utah; State University System of Florida; University of South Florida; State University System of Florida; University of South Florida; US Department of Veterans Affairs; Veterans Health Administration (VHA); Edward Hines Jr. VA Hospital; Northwestern University; Feinberg School of Medicine; Northwestern University; Feinberg School of Medicine; Northwestern University; Feinberg School of Medicine; US Department of Veterans Affairs; Veterans Health Administration (VHA); James A. Haley Veterans Hospital</t>
  </si>
  <si>
    <t>Benzinger, RC (corresponding author), James A Haley Vet Hosp, Res Serv, 8900 Grand Oak Circle, Tampa, FL 33637 USA.</t>
  </si>
  <si>
    <t>rachel.benzinger@VA.Gov</t>
  </si>
  <si>
    <t>French, Dustin D/JQJ-5272-2023</t>
  </si>
  <si>
    <t>French, Dustin D/0000-0003-4064-3206; Melillo, Christine/0000-0003-4655-6605; Benzinger, Rachel/0000-0001-5834-7929; Alexander, Neil/0000-0003-4118-219X; Klanchar, S. Angelina/0000-0002-6252-4235; Haun, Jolie/0000-0003-4075-3763; Fowler, Christopher/0000-0002-4460-8929</t>
  </si>
  <si>
    <t>Department of Veterans Affairs, Veterans Health Administration, Office of Research and Development, Rehabilitation Research &amp; Development Service [822 -MR -35876]</t>
  </si>
  <si>
    <t>Department of Veterans Affairs, Veterans Health Administration, Office of Research and Development, Rehabilitation Research &amp; Development Service(US Department of Veterans Affairs)</t>
  </si>
  <si>
    <t>Acknowledgments The Department of Veterans Affairs, Veterans Health Administration, Office of Research and Development, Rehabilitation Research &amp; Development Service (822 -MR -35876) supported the development of this manuscript. ChatGPT or any other generative AI was not used in the development of manuscript content. The contents of this manuscript do not represent the views of the Department of Veterans Affairs or the U.S. Government.</t>
  </si>
  <si>
    <t>e49678</t>
  </si>
  <si>
    <t>10.2196/49678</t>
  </si>
  <si>
    <t>U6LX8</t>
  </si>
  <si>
    <t>WOS:001085910000003</t>
  </si>
  <si>
    <t>Lee, SY; Jackson, JE; Vukcevich, O; Stokes, SC; Leshikar, H; Rinderknecht, T; Kohler, JE; Brown, EG</t>
  </si>
  <si>
    <t>Lee, Su Yeon; Jackson, Jordan E.; Vukcevich, Olivia; Stokes, Sarah C.; Leshikar, Holly; Rinderknecht, Tanya; Kohler, Jonathan E.; Brown, Erin G.</t>
  </si>
  <si>
    <t>Characteristics of operative pediatric trauma transfer patients</t>
  </si>
  <si>
    <t>AMERICAN JOURNAL OF SURGERY</t>
  </si>
  <si>
    <t>INJURED CHILDREN; UNITED-STATES; MORTALITY; PATTERNS; CENTERS; FUTURE; SYSTEM; CARE</t>
  </si>
  <si>
    <t>Background: Pediatric patients treated at trauma centers demonstrate improved outcomes, but investigation of optimal resource utilization surrounding the transfer is ongoing. We evaluated characteristics of operative pediatric trauma transfer patients for resource optimization.Methods: A retrospective review of pediatric trauma patients transferred to a level 1 pediatric trauma center from 2009 to 2019 was performed. Patients were categorized by initial operative subspecialty.Results: Of 4164 transferred patients, 33.9 % required operative intervention. 65 % of operations were performed on orthopedic patients, who were significantly less injured compared to other patients. General surgery patients were more likely to undergo surgery on day of transfer compared to orthopedic patients (39.4%vs 56.3 %, OR 2.0, CI 1.4-2.8).Conclusions: One-third of pediatric trauma transfer patients required operative intervention. The majority of surgeries were on orthopedic patients, who were less likely to undergo surgery on day of transfer. Critical evaluation of this patient population is required to safely utilize a less resource-intensive transfer process.</t>
  </si>
  <si>
    <t>[Lee, Su Yeon] Monte fiore Med Ctr, Dept Surg, Bronx, NY USA; [Lee, Su Yeon; Stokes, Sarah C.; Kohler, Jonathan E.; Brown, Erin G.] Univ Calif Davis, Div Pediat Gen Thorac &amp; Fetal Surg, Med Ctr, Davis, CA USA; [Jackson, Jordan E.] Univ San Francisco East Bay, Dept Surg, San Francisco, CA USA; [Vukcevich, Olivia] Univ Calif Riverside, Sch Med, San Francisco, CA USA; [Leshikar, Holly] Univ Calif Davis, Div Pediat Orthoped Surg, Med Ctr, Davis, CA USA; [Rinderknecht, Tanya] Univ Calif Davis, Div Trauma Acute Care Surg &amp; Crit Care, Med Ctr, Davis, CA USA; [Brown, Erin G.] Univ Calif Davis, Dept Surg, 2335 Stockton Blvd,Room 5107, Sacramento, CA 95817 USA</t>
  </si>
  <si>
    <t>University of California System; University of California Davis; University of California System; University of California Davis; University of California System; University of California Davis; University of California System; University of California Davis</t>
  </si>
  <si>
    <t>Brown, EG (corresponding author), Univ Calif Davis, Dept Surg, 2335 Stockton Blvd,Room 5107, Sacramento, CA 95817 USA.</t>
  </si>
  <si>
    <t>slee15@montefiore.org; jordanjackson829@gmail.com; olivia.vukcevich@medsch.ucr.edu; scstokes@ucdavis.edu; hleshikar@ucdavis.edu; trinderknecht@ucdavis.edu; jekohler@ucdavis.edu; egbrown@ucdavis.edu</t>
  </si>
  <si>
    <t>Brown, Erin/0000-0003-4381-1850; Rinderknecht, Tanya/0000-0003-4613-0719; Lee, Su Yeon/0000-0002-7306-7447</t>
  </si>
  <si>
    <t>National Center for Advancing Translational Sciences, National Institutes of Health [UL1 TR001860]</t>
  </si>
  <si>
    <t>National Center for Advancing Translational Sciences, National Institutes of Health(United States Department of Health &amp; Human ServicesNational Institutes of Health (NIH) - USANIH National Center for Advancing Translational Sciences (NCATS))</t>
  </si>
  <si>
    <t>The project described was supported by the National Center for Advancing Translational Sciences, National Institutes of Health (grant number UL1 TR001860) for author EGB. The content is solely the responsibility of the authors and does not necessarily represent the official views of the NIH. This work was presented at Pediatric Trauma Society 8th annual meeting. This project represents original work by the authors. During the preparation of this work, the authors did not use generative AI and AI-assisted technologies in the writing process.</t>
  </si>
  <si>
    <t>EXCERPTA MEDICA INC-ELSEVIER SCIENCE INC</t>
  </si>
  <si>
    <t>BRIDGEWATER</t>
  </si>
  <si>
    <t>685 ROUTE 202-206 STE 3, BRIDGEWATER, NJ 08807 USA</t>
  </si>
  <si>
    <t>0002-9610</t>
  </si>
  <si>
    <t>1879-1883</t>
  </si>
  <si>
    <t>AM J SURG</t>
  </si>
  <si>
    <t>Am. J. Surg.</t>
  </si>
  <si>
    <t>10.1016/j.amjsurg.2023.09.030</t>
  </si>
  <si>
    <t>EC9U0</t>
  </si>
  <si>
    <t>WOS:001136841400001</t>
  </si>
  <si>
    <t>Xiao, L; Cao, ZG; Lu, HR; Cai, YQ; Zhang, ZC</t>
  </si>
  <si>
    <t>Xiao, Li; Cao, Zhigang; Lu, Haoran; Cai, Yuanqiang; Zhang, Zhicheng</t>
  </si>
  <si>
    <t>Optimal design of one-dimensional elastic metamaterials through deep convolutional neural network and genetic algorithm</t>
  </si>
  <si>
    <t>STRUCTURES</t>
  </si>
  <si>
    <t>Metamaterial; Deep learning; Bandgap; Deep convolutional neural network; Genetic algorithm</t>
  </si>
  <si>
    <t>Deep learning (DL) has found extensive application in elastic metamaterial design. However, these methods are often limited to fixed design parameters and single structural configuration, lacking versatility. To overcome these, we propose a novel data-driven design framework combining deep convolutional neural network (DCNN) and genetic algorithm (GA) to design vibration-isolating metamaterial structures in foundations. This framework is highly adaptable, accommodating diverse design parameters by identical models. We discretize different structural configurations into a uniform tensor format, and generate multiple datasets. Two DCNN-based forward prediction models are then developed to accurately capture bandgap distributions for all body waves. Additionally, we incorporate multiple populations to enhance the parallel search capacity of GA, and integrate it with the trained DCNN models to simultaneously determine multiple optimal structures. The optimal design result for different parameters shows that the designed structures can achieve the target bandgap, and proves the effectiveness and generality of our method. Finally, through the design of two structural configurations, we find that four-layer structure exhibits wider low-frequency bandgaps and superior vibration reduction performance compared to the three-layer structure, under the same material composition and usage.</t>
  </si>
  <si>
    <t>[Xiao, Li; Cao, Zhigang; Lu, Haoran; Cai, Yuanqiang; Zhang, Zhicheng] Zhejiang Univ, Dept Civil Engn &amp; Architecture, Hangzhou 310058, Peoples R China; [Xiao, Li] Zhejiang Univ, Ctr Balance Architecture, Hangzhou 310058, Peoples R China; [Cao, Zhigang] Zhejiang Univ, Architectural Design &amp; Res Inst Co, Hangzhou 310058, Peoples R China</t>
  </si>
  <si>
    <t>Zhejiang University; Zhejiang University; Zhejiang University</t>
  </si>
  <si>
    <t>Zhang, ZC (corresponding author), Zhejiang Univ, Dept Civil Engn &amp; Architecture, Hangzhou 310058, Peoples R China.</t>
  </si>
  <si>
    <t>jszzc@zju.edu.cn</t>
  </si>
  <si>
    <t>Cao, Zhigang/L-5337-2017</t>
  </si>
  <si>
    <t>Cao, Zhigang/0000-0001-5329-2906</t>
  </si>
  <si>
    <t>National Natural Science Foundation of China [51978611]; Science Fund for Distinguished Young Scholars of Zhejiang Province [LR21E080004]; Center for Balance Architecture, Zhejiang University</t>
  </si>
  <si>
    <t>National Natural Science Foundation of China(National Natural Science Foundation of China (NSFC)); Science Fund for Distinguished Young Scholars of Zhejiang Province(National Natural Science Foundation of China (NSFC)National Science Fund for Distinguished Young Scholars); Center for Balance Architecture, Zhejiang University</t>
  </si>
  <si>
    <t>The work was supported by the National Natural Science Foundation of China (No. 51978611) , Science Fund for Distinguished Young Scholars of Zhejiang Province (No. LR21E080004) and Center for Balance Architecture, Zhejiang University. Declaration of Generative AI and AI-assisted technologies in the writing process. Statement: During the preparation of this work the authors used ChatGPT in order to enhance language readability. After using this tool, the authors reviewed and edited the content as needed and take full responsibility for the content of the publication.</t>
  </si>
  <si>
    <t>2352-0124</t>
  </si>
  <si>
    <t>Structures</t>
  </si>
  <si>
    <t>10.1016/j.istruc.2023.105349</t>
  </si>
  <si>
    <t>X5OW6</t>
  </si>
  <si>
    <t>WOS:001098952000001</t>
  </si>
  <si>
    <t>Huang, WX; Zheng, SS; Wang, Q; Zhao, N; Long, ZG</t>
  </si>
  <si>
    <t>Huang, Wanxue; Zheng, Shasha; Wang, Qi; Zhao, Na; Long, Zhiguo</t>
  </si>
  <si>
    <t>Identification and validation of a prognostic risk-scoring model based on the level of TIM-3 expression in acute myeloid leukemia</t>
  </si>
  <si>
    <t>STEM-CELLS; KAPPA-B</t>
  </si>
  <si>
    <t>Acute myeloid leukemia (AML) is characterized by an unfavorable prognosis due to the presence of self-renewing leukemic stem cells (LSCs). The presence of T-cell immunoglobulin mucin-3 (TIM-3) on the surface of LSCs has been observed in various types of human AML, exerting an impact on the prognostic outcome. Exploring the hub genes associated with varying levels of TIM-3 expression offers a valuable approach to enhance our understanding of the underlying mechanisms involving TIM-3 and to identify potential prognostic indicators in AML. Nevertheless, to date, no research studies have reported a prognostic model that relies on the level of TIM-3 expression. In our study, we screen the hub-genes based on different expression level of TIM-3 through WGCNA. The prognostic risk-scoring model was constructed based on hub-genes. The results show the risk prognostic model has extraordinary ability to predict prognosis in both the training and validation sets. The high-risk group present poor prognosis with mutation of NPM1, TP53 (Multiple Hit) and FLT3(multiple hit), while IDH2 (Missense Mutation), MUC16 (Multiple Hit/Missense Mutation) occur mutation in low-risk group presenting favorite prognosis than high-risk group. Leukocyte cell-cell adhesion, regulation of T cell activation and I-kappa B kinase/NF-kappa B signaling enriched in high-risk group, involving in HSCs or LSCs anchoring to BM, which implicated in LSCs survival and chemotherapy resistance. B7-H3 (CD276) and CD276 would be the potential immune targets in high-risk group. The risk score model may help in distinguishing immune and molecular characteristics, predicting patient outcomes.</t>
  </si>
  <si>
    <t>[Huang, Wanxue; Wang, Qi; Zhao, Na; Long, Zhiguo] Fudan Univ, Dept Hematol, Affiliated Pudong Med Ctr, Shanghai, Peoples R China; [Zheng, Shasha] Nanjing Univ Chinese Med, Jiangsu Prov Hosp Chinese Med, Affiliated Hosp, Nanjing, Peoples R China</t>
  </si>
  <si>
    <t>Fudan University; Nanjing University of Chinese Medicine</t>
  </si>
  <si>
    <t>Zhao, N; Long, ZG (corresponding author), Fudan Univ, Dept Hematol, Affiliated Pudong Med Ctr, Shanghai, Peoples R China.</t>
  </si>
  <si>
    <t>yiyi_8147@163.com; ZgLong1976@126.com</t>
  </si>
  <si>
    <t>Long, Zhiguo/AAS-2638-2020</t>
  </si>
  <si>
    <t>Long, Zhiguo/0000-0002-2714-3453</t>
  </si>
  <si>
    <t>Project of Key Medical Specialty and Treatment Center of Pudong Hospital of Fudan University [MDT2021-02]; China National Natural Science Foundation [32100628]</t>
  </si>
  <si>
    <t>Project of Key Medical Specialty and Treatment Center of Pudong Hospital of Fudan University; China National Natural Science Foundation(National Natural Science Foundation of China (NSFC))</t>
  </si>
  <si>
    <t>The manuscript supported by the Project of Key Medical Specialty and Treatment Center of Pudong Hospital of Fudan University. (Grant No. MDT2021-02). Project Funded by the China National Natural Science Foundation (No. 32100628). Declaration of generative AI and AI-assisted technologies in the writing process. During the preparation of this work the authors used ChatGPT in order to check grammar and improve sentence fluency. After using this tool/service, the authors reviewed and edited the content as needed and take full responsibility for the content of the publication.</t>
  </si>
  <si>
    <t>10.1038/s41598-023-42700-2</t>
  </si>
  <si>
    <t>WOS:001097104800088</t>
  </si>
  <si>
    <t>de la O-Gómez, AT; Sierra-Ramírez, JA; Ramos-Maldonado, D; Hernández-Caballero, ME</t>
  </si>
  <si>
    <t>de la O-Gomez, Ana Teresa; Sierra-Ramirez, Jose Alfredo; Ramos-Maldonado, Daniel; Hernandez-Caballero, Marta Elena</t>
  </si>
  <si>
    <t>Effectiveness of Balance Rehabilitation Unit (BRU) Posturography Versus Conventional Rehabilitation in Patients With Unilateral Peripheral Vestibular Dysfunction</t>
  </si>
  <si>
    <t>balance; virtual reality; upvd; conventional rehabilitation; posturographic balance rehabilitation unit</t>
  </si>
  <si>
    <t>BRU(TM) POSTUROGRAPHY; VIRTUAL-REALITY</t>
  </si>
  <si>
    <t>Background: Patients with unilateral peripheral vestibular deficit (UPVD) experience vertigo, dizziness, disability, negative influences on their quality of life, anxiety, and depression. In vestibular rehabilitation, virtual reality ( V R ) has proven to be effective. This investigation sought to evaluate the efficacy of the Balance Rehabilitation Unit (BRUTM) (MedicaaT M Montevideo, Uruguay, Balance Suite, version BRU 415) in patients with UPVD.Methods: A prospective, randomized, controlled study involved 38 patients from the Otoneurologic Service at the National Institute of Rehabilitation Luis Guillermo Ibarra Ibarra in Mexico. A physician specialist diagnosed the patients with UPVD and assigned them randomly to one of two groups. Group 1 (n = 19) received traditional vestibular rehabilitation, whereas Group 2 (n = 19) received BRUTM-supported vestibular rehabilitation. Both groups were monitored by medical professionals. Patients were evaluated with the Dizziness Handicap Inventory, static and dynamic balance assessments, the dynamic gait index, and the sensory organization test. The statistical analysis was conducted using the Student's t-test, with p 0.05 considered statistically significant.Results: The difference in mean age between the conventional therapy and BRUTM groups was not statistically significant. Both conventional vestibular rehabilitation and the BRU T M led to statistically significant improvements in all assessed parameters, with no statistically significant differences between the two groups. Conclusion: Balance, mobility, and quality of life were enhanced similarly in UPVD patients by BRU TM- supported vestibular rehabilitation and conventional vestibular rehabilitation. In addition, BRUTM facilitated patient motivation, exercise feedback, and confidence enhancement.</t>
  </si>
  <si>
    <t>[de la O-Gomez, Ana Teresa] Inst Nacl RehabilLuis Guillermo Ibarra Ibarra, Serv Otoneurol, Ciudad De Mexico, Mexico; [Sierra-Ramirez, Jose Alfredo] Inst Politecn Nacl, Escuela Super Med, Secc Estudios Posgrad &amp; Invest, Ciudad De Mexico, Mexico; [Ramos-Maldonado, Daniel] Inst Nacl Rehabil Luis Guillermo Ibarra Ibarra, Serv Otoneurol, Ciudad De Mexico, Mexico; [Hernandez-Caballero, Marta Elena] Benemerita Univ Autonoma Puebla, Fac Med, Biomed, Puebla, Mexico</t>
  </si>
  <si>
    <t>Instituto Politecnico Nacional - Mexico; Benemerita Universidad Autonoma de Puebla</t>
  </si>
  <si>
    <t>Sierra-Ramírez, JA (corresponding author), Inst Politecn Nacl, Escuela Super Med, Secc Estudios Posgrad &amp; Invest, Ciudad De Mexico, Mexico.</t>
  </si>
  <si>
    <t>Sierra-Ramirez, Jose Alfredo/0000-0001-5060-5882</t>
  </si>
  <si>
    <t>Instituto Politcnico Nacional, Mexico [SIP20180803]</t>
  </si>
  <si>
    <t>Instituto Politcnico Nacional, Mexico</t>
  </si>
  <si>
    <t>The authors would like to express their sincere gratitude to the Otoneurology Service of the Instituto Nacional de Rehabilitacion Luis Guillermo Ibarra Ibarra, Mexico, and the Instituto Politecnico Nacional, Mexico (grant no. SIP20180803) for extending all the necessary facilities for carrying out this study. Disclosure of generative AI and AI-assisted writing technologies: During the writing process, the author (s) of this work utilized ChatGTP and QuillBot to make linguistic and readability adjustments. After using this service, the author (s) reviewed and edited the content as necessary; they are entirely responsible for the published work</t>
  </si>
  <si>
    <t>e46217</t>
  </si>
  <si>
    <t>10.7759/cureus.46217</t>
  </si>
  <si>
    <t>WOS:001090333700006</t>
  </si>
  <si>
    <t>da Silva, MFG; Nobre, LN; da Silva, E</t>
  </si>
  <si>
    <t>da Silva, Maria Fernanda Gomes; Nobre, Luciana Neri; da Silva, Edson</t>
  </si>
  <si>
    <t>Animated Videos Based on Food Processing for Guidance of Brazilian Adults: Validation Study</t>
  </si>
  <si>
    <t>food, processed; dietary guidelines; nutrition policy; instructional films and videos; validation study; food classification; validation; educational videos; nutrition; Brazil</t>
  </si>
  <si>
    <t>CONTENT VALIDITY; INSTRUMENT</t>
  </si>
  <si>
    <t>Background: Ultraprocessed foods (UPFs) contribute almost one-fifth of the calories consumed by the Brazilian population. This consumption has been favored by aspects such as the ease of acquisition and low cost of this food group. Initiatives focused on supporting and promoting healthy eating practices have been implemented. Among them, the availability of educational resources is an important strategy to maximize the effectiveness of these actions in the field of food and nutrition education (FNE). Objective: This study aims to describe the development and validation process of animated videos based on the NOVA food classification for FNE actions aimed at Brazilian adults. Methods: This methodological study was developed in the following 4 phases: planning, preproduction, production, and postproduction. In the planning phase, a literature review was con-ducted on the topic and to define the content to be covered. The design of the material was based on the cognitive theory of multimedia learning. In the preproduction phase, video scripts were developed and evaluated by 7 content specialists. In the production phase, videos were developed based on the assessed scripts and then assessed by 3 multimedia production specialists. In the postproduction phase, the videos were evaluated by 15 representatives of the target audience. All results obtained in the evaluation phases were analyzed using the content validity index (CVI). Results: We developed 3 animated videos covering the following themes: food processing levels, food categories according to processing levels, and UPFs and their impact on health. In the evaluation by the content specialists, the scripts of videos 1, 2, and 3 obtained CVIs at the scale level and average method equal to 0.96, 0.98, and 0.98, respectively. When the animated videos were evaluated by multimedia production specialists and representatives of the target audience, these indexes were equal to 1.0. These results attest to the videos' adequacy and quality in communicating the addressed content. Conclusions: The animated videos developed and validated in this study proved to be adequate for their purpose. Thus, it is expected that they will be an important instrument for FNE actions aimed at an adult audience and for disseminating the Dietary Guidelines for the Brazilian Population.</t>
  </si>
  <si>
    <t>[da Silva, Maria Fernanda Gomes; Nobre, Luciana Neri] Fed Univ Jequitinhonha &amp; Mucuri Valleys, Grad Program Nutr Sci, Diamantina, Brazil; [Nobre, Luciana Neri; da Silva, Edson] Fed Univ Jequitinhonha &amp; Mucuri Valleys, Dept Nutr, Diamantina, Brazil; [da Silva, Edson] Fed Univ Jequitinhonha &amp; Mucuri Valleys, Dept Basic Sci, Edificio DCB DCBIO, Campus JK, Rodovia MGT 367, Al, BR-39100000 Diamantina, Brazil</t>
  </si>
  <si>
    <t>Universidade Federal dos Vales do Jequitinhonha e Mucuri (UFVJM); Universidade Federal dos Vales do Jequitinhonha e Mucuri (UFVJM); Universidade Federal dos Vales do Jequitinhonha e Mucuri (UFVJM)</t>
  </si>
  <si>
    <t>da Silva, E (corresponding author), Fed Univ Jequitinhonha &amp; Mucuri Valleys, Dept Basic Sci, Edificio DCB DCBIO, Campus JK, Rodovia MGT 367, Al, BR-39100000 Diamantina, Brazil.</t>
  </si>
  <si>
    <t>edson.silva@ufvjm.edu.br</t>
  </si>
  <si>
    <t>da Silva, Edson/AAO-9927-2020</t>
  </si>
  <si>
    <t>da Silva, Edson/0000-0003-0910-7042</t>
  </si>
  <si>
    <t>Fundacao de Amparo a Pesquisa do Estado de Minas Gerais; Coordenacao de Aperfeicoamento de Pessoal de Nivel Superior</t>
  </si>
  <si>
    <t>Fundacao de Amparo a Pesquisa do Estado de Minas Gerais(Fundacao de Amparo a Pesquisa do Estado de Minas Gerais (FAPEMIG)); Coordenacao de Aperfeicoamento de Pessoal de Nivel Superior(Coordenacao de Aperfeicoamento de Pessoal de Nivel Superior (CAPES))</t>
  </si>
  <si>
    <t>We deeply thank all participants of the study. We thank the Fundacao de Amparo a Pesquisa do Estado de Minas Gerais for the master's scholarship and the Coordenacao de Aperfeicoamento de Pessoal de Nivel Superior . We declare that we did not use generative AI to write the manuscript. However, we did use it at times to spell -check the writing.</t>
  </si>
  <si>
    <t>e49092</t>
  </si>
  <si>
    <t>10.2196/49092</t>
  </si>
  <si>
    <t>U6QV0</t>
  </si>
  <si>
    <t>WOS:001086039100001</t>
  </si>
  <si>
    <t>Barnetche, M; González-Portillo, LF; Abbas, R</t>
  </si>
  <si>
    <t>Barnetche, Magdalena; Gonzalez-Portillo, Luis F.; Abbas, Ruben</t>
  </si>
  <si>
    <t>Optimum integration of latent heat storage in a solar thermal system for industrial processes: In series or in parallel?</t>
  </si>
  <si>
    <t>APPLIED THERMAL ENGINEERING</t>
  </si>
  <si>
    <t>Solar industrial process heat; Dynamic simulation; Latent storage; Fresnel collector</t>
  </si>
  <si>
    <t>Solar thermal energy holds great potential in decarbonizing the process industry to achieve net-zero emissions. This study focuses on analyzing the optimum integration of latent storage in solar heating and cooling for an industrial process, by comparing two configurations. Configuration 1 connects the thermal energy storage (TES) in parallel with the solar collector and the process, allowing the solar collector outlet stream to be directed to either the TES or the process. Configuration 2 connects the TES in series with the solar collector and the process, ensuring that the solar collector outlet stream always passes through the TES before reaching the process. The solar system also includes a rotary Fresnel collector that supplies heating and cooling to a dairy factory. The two configurations are evaluated by dynamic simulations including transients such as clouds and start-ups. The findings reveal that the parallel layout needs more components to achieve the same controllability and energy supply level as the series layout. Consequently, the parallel layout incurs a higher cost and complex operation. Considering the objective of finding a cost-effective and straightforward solution for the industry sector, the study concludes that connecting the TES in series represents the optimal configuration.</t>
  </si>
  <si>
    <t>[Barnetche, Magdalena; Gonzalez-Portillo, Luis F.; Abbas, Ruben] Univ Politecn Madrid, Dept Energy Engn, Jose Gutierrez Abascal 2, Madrid 28006, Spain</t>
  </si>
  <si>
    <t>Universidad Politecnica de Madrid</t>
  </si>
  <si>
    <t>Barnetche, M (corresponding author), Univ Politecn Madrid, Dept Energy Engn, Jose Gutierrez Abascal 2, Madrid 28006, Spain.</t>
  </si>
  <si>
    <t>m.barnetche@upm.es</t>
  </si>
  <si>
    <t>González-Portillo, Luis F./AAA-9311-2019; ABBAS CAMARA, RUBEN/I-1660-2015</t>
  </si>
  <si>
    <t>González-Portillo, Luis F./0000-0003-4864-3825; ABBAS CAMARA, RUBEN/0000-0003-3948-3292; BARNETCHE, Magdalena/0000-0001-7263-2224</t>
  </si>
  <si>
    <t>European Union [884411]</t>
  </si>
  <si>
    <t>The ASTEP project has received funding from European Union's Horizon 2020 research programme under grant agreement N degrees 884411. Disclosure: The present publication reflects only the author's views and the European Union are not liable for any use that may be made of the information contained therein.Declaration of Generative AI and AI assisted technologies in the writing process.During the preparation of this work the authors used Chat GPT in order to improve readability and language. After using this tool, the authors reviewed and edited the content as needed and takes full responsibility for the content of the publication.</t>
  </si>
  <si>
    <t>1359-4311</t>
  </si>
  <si>
    <t>1873-5606</t>
  </si>
  <si>
    <t>APPL THERM ENG</t>
  </si>
  <si>
    <t>Appl. Therm. Eng.</t>
  </si>
  <si>
    <t>10.1016/j.applthermaleng.2023.121090</t>
  </si>
  <si>
    <t>Thermodynamics; Energy &amp; Fuels; Engineering, Mechanical; Mechanics</t>
  </si>
  <si>
    <t>Thermodynamics; Energy &amp; Fuels; Engineering; Mechanics</t>
  </si>
  <si>
    <t>M6ZQ2</t>
  </si>
  <si>
    <t>WOS:001031682300001</t>
  </si>
  <si>
    <t>Becz, A; Török, JK</t>
  </si>
  <si>
    <t>Becz, Almos; Torok, Julia Katalin</t>
  </si>
  <si>
    <t>Life history of Apocarchesium arndti Norf &amp; Foissner, 2010 (Ciliophora, Peritrichia) including recognition of a novel type of zooid</t>
  </si>
  <si>
    <t>EUROPEAN JOURNAL OF PROTISTOLOGY</t>
  </si>
  <si>
    <t>Apocarchesium; Biogeography; Endemism; Life cycle; Multicellularity</t>
  </si>
  <si>
    <t>CILIATE; CARCHESIUM; DIVERSITY</t>
  </si>
  <si>
    <t>Apocarchesium rosettum and A. arndti were originally discovered in Japan (Lake Biwa) and Germany (River Rhine), respectively. We report the first record of A. arndti in the Danube and provide a detailed description of its colony development. Our findings support the theory of moderate endemicity and reveal a new, smaller zooid type in A. arndti. This zooid remains attached to the colony, connected to the stalk myoneme but lacks an aboral ciliary wreath. Unlike microzooids, it is incapable of leaving the colony. It exhibits a less spherical shape and arises from the fourth division of the colony-founder cell. Although its specific function is unknown, it is hypothesized to support the stalk dish. Our results have significant implications for understanding the systematics of vorticellids, suggesting their ancestral nature as colonial organisms characterized by a helically contracting stalk myoneme. Furthermore, the exclusive retention of the stalk myoneme by the parental cell after binary fission may serve as a synapomorphy for the Vorticellidae. We provide a descriptive analysis of the ecological environment and microhabitat of A. arndti in the Danube, revealing its preference for well-developed, detritusrich biofilms during summer, absence in late winter and spring, emergence during peak summer, and subsequent decline until mid-winter.</t>
  </si>
  <si>
    <t>[Becz, Almos] Eotvos Lorand Univ, Inst Biol, Doctoral Sch Biol, H-1117 Budapest, Hungary; [Torok, Julia Katalin] Eotvos Lorand Univ, Inst Biol, Dept Systemat Zool &amp; Ecol, H-1117 Budapest, Hungary</t>
  </si>
  <si>
    <t>Eotvos Lorand University; Eotvos Lorand University</t>
  </si>
  <si>
    <t>Becz, A (corresponding author), Eotvos Lorand Univ, Inst Biol, Doctoral Sch Biol, H-1117 Budapest, Hungary.</t>
  </si>
  <si>
    <t>barnabas.almos.becz@ttk.elte.hu</t>
  </si>
  <si>
    <t>Hungarian National Talent Program 2021 [NTP-NFTOd-21-B-0285]</t>
  </si>
  <si>
    <t>Hungarian National Talent Program 2021</t>
  </si>
  <si>
    <t>The reviewers and Associate Editor are acknowledged for their valuable comments and suggestions during the manuscript revision process, which significantly contributed to improving the paper. The fieldwork and technical expenses were partly financed for A. Becz by the Hungarian National Talent Program 2021 (NTP-NFTOd-21-B-0285) . Declaration of generative AI and AI-assisted technologies in the writing process. During the preparation of this work the author (s) occasionally used ChatGPT in order to improve language and readability. After using this tool, the author (s) reviewed and edited the content as needed and take full responsibility for the content of the publication.</t>
  </si>
  <si>
    <t>ELSEVIER GMBH</t>
  </si>
  <si>
    <t>MUNICH</t>
  </si>
  <si>
    <t>HACKERBRUCKE 6, 80335 MUNICH, GERMANY</t>
  </si>
  <si>
    <t>0932-4739</t>
  </si>
  <si>
    <t>1618-0429</t>
  </si>
  <si>
    <t>EUR J PROTISTOL</t>
  </si>
  <si>
    <t>Eur. J. Protistol.</t>
  </si>
  <si>
    <t>10.1016/j.ejop.2023.126022</t>
  </si>
  <si>
    <t>IR1M1</t>
  </si>
  <si>
    <t>WOS:001167964500001</t>
  </si>
  <si>
    <t>Triantafyllopoulos, A; Schuller, BW; Iymen, G; Sezgin, M; He, XH; Yang, ZJ; Tzirakis, P; Liu, S; Mertes, S; Andre, E; Fu, RB; Tao, JH</t>
  </si>
  <si>
    <t>Triantafyllopoulos, Andreas; Schuller, Bjorn W.; Iymen, Gokce; Sezgin, Metin; He, Xiangheng; Yang, Zijiang; Tzirakis, Panagiotis; Liu, Shuo; Mertes, Silvan; Andre, Elisabeth; Fu, Ruibo; Tao, Jianhua</t>
  </si>
  <si>
    <t>An Overview of Affective Speech Synthesis and Conversion in the Deep Learning Era</t>
  </si>
  <si>
    <t>PROCEEDINGS OF THE IEEE</t>
  </si>
  <si>
    <t>Affective computing; deep learning; emotional voice conversion (EVC); speech synthesis</t>
  </si>
  <si>
    <t>EMOTIONAL VOICE CONVERSION; GENERATIVE ADVERSARIAL NETWORKS; ITU-T STANDARD; SYNTHESIS SYSTEM; QUALITY; PERSONALITY; STARGAN; MODEL; F0; TRANSFORM</t>
  </si>
  <si>
    <t>Speech is the fundamental mode of human communication, and its synthesis has long been a core priority in human-computer interaction research. In recent years, machines have managed to master the art of generating speech that is understandable by humans. However, the linguistic content of an utterance encompasses only a part of its meaning. Affect, or expressivity, has the capacity to turn speech into a medium capable of conveying intimate thoughts, feelings, and emotions-aspects that are essential for engaging and naturalistic interpersonal communication. While the goal of imparting expressivity to synthesized utterances has so far remained elusive, following recent advances in text-to-speech synthesis, a paradigm shift is well under way in the fields of affective speech synthesis and conversion as well. Deep learning, as the technology that underlies most of the recent advances in artificial intelligence, is spearheading these efforts. In this overview, we outline ongoing trends and summarize state-of-the-art approaches in an attempt to provide a broad overview of this exciting field.</t>
  </si>
  <si>
    <t>[Triantafyllopoulos, Andreas; Schuller, Bjorn W.; He, Xiangheng; Yang, Zijiang; Liu, Shuo] Univ Augsburg, Chair Embedded Intelligence Hlth Care &amp; Wellbeing, Augsburg 86159, Germany; [Schuller, Bjorn W.; Tzirakis, Panagiotis] Imperial Coll London, Grp Language Audio &amp; Mus GLAM, London SW7 2AZ, England; [Iymen, Gokce; Sezgin, Metin] Koc Univ, Coll Engn, KUIS AI Lab, TR-34450 Istanbul, Turkiye; [He, Xiangheng] Univ Augsburg, Chair Human Ctr Artificial Intelligence, D-86159 Augsburg, Germany; [Fu, Ruibo] Chinese Acad Sci, Inst Automat, Beijing 100190, Peoples R China</t>
  </si>
  <si>
    <t>University of Augsburg; Imperial College London; Koc University; University of Augsburg; Chinese Academy of Sciences; Institute of Automation, CAS</t>
  </si>
  <si>
    <t>Triantafyllopoulos, A (corresponding author), Univ Augsburg, Chair Embedded Intelligence Hlth Care &amp; Wellbeing, Augsburg 86159, Germany.</t>
  </si>
  <si>
    <t>andreas.triantafyllopoulos@uni-a.de</t>
  </si>
  <si>
    <t>Schuller, Björn Wolfgang/D-3241-2011; Andre, Elisabeth/AAW-4960-2021</t>
  </si>
  <si>
    <t>Schuller, Björn Wolfgang/0000-0002-6478-8699; Andre, Elisabeth/0000-0002-2367-162X; Mertes, Silvan/0000-0001-5230-5218; Liu, Shuo/0000-0001-8133-8588; Triantafyllopoulos, Andreas/0000-0001-8338-617X; Tzirakis, Panagiotis/0000-0001-9449-5339</t>
  </si>
  <si>
    <t>DFG's Reinhart Koselleck Project [442218748]</t>
  </si>
  <si>
    <t>DFG's Reinhart Koselleck Project(German Research Foundation (DFG))</t>
  </si>
  <si>
    <t>This work was supported by the DFG's Reinhart Koselleck Project 442218748 (AUDI0NOMOUS).</t>
  </si>
  <si>
    <t>0018-9219</t>
  </si>
  <si>
    <t>1558-2256</t>
  </si>
  <si>
    <t>P IEEE</t>
  </si>
  <si>
    <t>Proc. IEEE</t>
  </si>
  <si>
    <t>10.1109/JPROC.2023.3250266</t>
  </si>
  <si>
    <t>HJ5U5</t>
  </si>
  <si>
    <t>WOS:000953199300001</t>
  </si>
  <si>
    <t>Lai, M; Feng, BJ; Yao, JC; Wang, YF; Pan, QM; Chen, YH; Chen, C; Feng, N; Shi, F; Tian, Y; Gao, L; Xu, D</t>
  </si>
  <si>
    <t>Lai, Min; Feng, Bojian; Yao, Jincao; Wang, Yifan; Pan, Qianmeng; Chen, Yuhang; Chen, Chen; Feng, Na; Shi, Fang; Tian, Yuan; Gao, Lu; Xu, Dong</t>
  </si>
  <si>
    <t>Value of Artificial Intelligence in Improving the Accuracy of Diagnosing TI-RADS Category 4 Nodules</t>
  </si>
  <si>
    <t>ULTRASOUND IN MEDICINE AND BIOLOGY</t>
  </si>
  <si>
    <t>Thyroid nodules; Thyroid Imaging Reporting and Data System; Ultrasound; Artificial intelligence</t>
  </si>
  <si>
    <t>THYROID-NODULES; AMERICAN-COLLEGE; CANCER</t>
  </si>
  <si>
    <t>4 according to the Thyroid Imaging Reporting and Data System (TI-RADS). This study was aimed at comparing the diagnostic performance of artificial intelligence algorithms and radiologists with different experience levels in distinguishing benign and malignant TI-RADS 4 (TR4) nodules.Methods: Between January 2019 and September 2022, 1117 TR4 nodules with well-defined pathological findings were collected for this retrospective study. An independent external data set of 125 TR4 nodules was incorporated for testing purposes. Traditional feature-based machine learning (ML) models, deep convolutional neural networks (DCNN) models and a fusion model that integrated the prediction outcomes from all models were used to classify benign and malignant TR4 nodules. A fivefold cross-validation approach was employed, and the diagnostic performance of each model and radiologists was compared.Results: In the external test data set, the area under the receiver operating characteristic curve (AUROC) of the three DCNN-based secondary transfer learning models-InceptionV3, DenseNet121 and ResNet50-were 0.852, 0.837 and 0.856, respectively. These values were higher than those of the three traditional ML models-logistic regression, multilayer perceptron and random forest-at 0.782, 0.790, and 0.767, respectively, and higher than that of an experienced radiologist (0.815). The fusion diagnostic model we developed, with an AUROC of 0.880, was found to outperform the experienced radiologist in diagnosing TR4 nodules.Conclusion: The integration of artificial intelligence algorithms into medical imaging studies could improve the accuracy of identifying high-risk TR4 nodules pre-operatively and have significant clinical application potential.</t>
  </si>
  <si>
    <t>[Lai, Min] Zhejiang Chinese Med Univ, Clin Med Coll 2, Hangzhou, Peoples R China; [Feng, Bojian; Yao, Jincao; Wang, Yifan; Feng, Na; Xu, Dong] Zhejiang Canc Hosp, Dept Diagnost Ultrasound Imaging &amp; Intervent Thera, Hangzhou, Peoples R China; [Lai, Min; Pan, Qianmeng; Chen, Chen; Xu, Dong] Taizhou Canc Hosp, Taizhou, Peoples R China; [Lai, Min; Feng, Bojian; Wang, Yifan; Pan, Qianmeng; Chen, Chen; Xu, Dong] Key Lab Minimally Invas Intervent Therapy &amp; Big Da, Taizhou, Peoples R China; [Feng, Bojian; Yao, Jincao; Xu, Dong] Zhejiang Gongshang Univ, Hangzhou, Peoples R China; [Chen, Yuhang] Key Lab Head &amp; Neck Canc Translat Res Zhejiang Pro, Hangzhou, Peoples R China; [Chen, Chen] Wannan Med Coll, Grad Sch, Wuhu, Peoples R China; [Shi, Fang; Tian, Yuan; Gao, Lu] Natl Hlth Commiss, Capac Bldg &amp; Continuing Educ Ctr, Beijing, Peoples R China; [Xu, Dong] Zhejiang Canc Hosp, Dept Diagnost Imaging &amp; Intervent Therapy, 1 East Banshan Rd, Hangzhou 310022, Peoples R China</t>
  </si>
  <si>
    <t>Zhejiang Chinese Medical University; Zhejiang Cancer Hospital; Zhejiang Gongshang University; Wannan Medical College; Zhejiang Cancer Hospital</t>
  </si>
  <si>
    <t>Xu, D (corresponding author), Zhejiang Canc Hosp, Dept Diagnost Imaging &amp; Intervent Therapy, 1 East Banshan Rd, Hangzhou 310022, Peoples R China.</t>
  </si>
  <si>
    <t>xudong@zjcc.org.cn</t>
  </si>
  <si>
    <t>National Natural Science Foundation of China [82071946]; Research Program of National Health Commission Capacity Building and Continuing Education Center [CSJRZC2021JJSJ001]; Pioneer and Leading Goose R &amp; D Pro-gram of Zhejiang [2023C04039]; Natural Science Foundation of Zhejiang Province [LZY21F030001]; Project of Zhejiang Medical and Health Science and Technology Plan [2021KY099, 2022KY110, 2023KY066]</t>
  </si>
  <si>
    <t>National Natural Science Foundation of China(National Natural Science Foundation of China (NSFC)); Research Program of National Health Commission Capacity Building and Continuing Education Center; Pioneer and Leading Goose R &amp; D Pro-gram of Zhejiang; Natural Science Foundation of Zhejiang Province(Natural Science Foundation of Zhejiang Province); Project of Zhejiang Medical and Health Science and Technology Plan</t>
  </si>
  <si>
    <t>This work was supported by the National Natural Science Foundation of China (82071946) ; the Research Program of National Health Commission Capacity Building and Continuing Education Center (CSJRZC2021JJSJ001) ; the Pioneer and Leading Goose R &amp; D Program of Zhejiang (2023C04039) ; the Natural Science Foundation of Zhe-jiang Province (LZY21F030001) ; and the Project of Zhejiang Medical and Health Science and Technology Plan (2021KY099, 2022KY110 and 2023KY066) . The authors declare they did not use generative AI or AIassisted technologies in the writing process.</t>
  </si>
  <si>
    <t>0301-5629</t>
  </si>
  <si>
    <t>1879-291X</t>
  </si>
  <si>
    <t>ULTRASOUND MED BIOL</t>
  </si>
  <si>
    <t>Ultrasound Med. Biol.</t>
  </si>
  <si>
    <t>10.1016/j.ultrasmedbio.2023.08.008</t>
  </si>
  <si>
    <t>Acoustics; Radiology, Nuclear Medicine &amp; Medical Imaging</t>
  </si>
  <si>
    <t>T8FY4</t>
  </si>
  <si>
    <t>WOS:001080296600001</t>
  </si>
  <si>
    <t>Cheng, AL; Agarwal, M; Armbrecht, MA; Abraham, J; Calfee, P; Goss, CW</t>
  </si>
  <si>
    <t>Cheng, Abby L.; Agarwal, Mansi; Armbrecht, Melissa A.; Abraham, Joanna; Calfee, P.; Goss, Charles W.</t>
  </si>
  <si>
    <t>Behavioral Mechanisms That Mediate Mental and Physical Health Improvements in People With Chronic Pain Who Receive a Digital Health Intervention: Prospective Cohort Pilot Study</t>
  </si>
  <si>
    <t>JMIR FORMATIVE RESEARCH</t>
  </si>
  <si>
    <t>digital mental health intervention; chronic musculoskeletal pain; anxiety; depression; pain interference; physical function; behavioral activation; pain acceptance; sleep quality; mediation analysis; behavioral mechanism; chronic pain; digital health intervention; mobile phone</t>
  </si>
  <si>
    <t>MINIMALLY IMPORTANT DIFFERENCES; LOW-BACK-PAIN; DEPRESSION; ANXIETY; ACCEPTANCE; COMORBIDITY; VALIDATION; INTERFERENCE; PREVALENCE; ACTIVATION</t>
  </si>
  <si>
    <t>Background: Preliminary evidence suggests that digital mental health intervention (Wysa for Chronic Pain) can improve mental and physical health in people with chronic musculoskeletal pain and coexisting symptoms of depression or anxiety. However, the behavioral mechanisms through which this intervention acts are not fully understood.Objective: The purpose of this study was to identify behavioral mechanisms that may mediate changes in mental and physical health associated with use of Wysa for Chronic Pain during orthopedic management of chronic musculoskeletal pain. We hypothesized that improved behavioral activation, pain acceptance, and sleep quality mediate improvements in self-reported mental and physical health.Methods: In this prospective cohort, pilot mediation analysis, adults with chronic (&gt;= 3 months) neck or back pain received the Wysa for Chronic Pain digital intervention, which uses a conversational agent and text-based access to human counselors to deliver cognitive behavioral therapy and related therapeutic content. Patient-reported outcomes and proposed mediators were collected at baseline and 1 month. The exposure of interest was participants' engagement (ie, total interactions) with the digital intervention. Proposed mediators were assessed using the Behavioral Activation for Depression Scale-Short Form, Chronic Pain Acceptance Questionnaire, and Athens Insomnia Scale. Outcomes included Patient-Reported Outcomes Measurement Information System Anxiety, Depression, Pain Interference, and Physical Function scores. A mediation analysis was conducted using the Baron and Kenny method, adjusting for age, sex, and baseline mediators and outcome values. P&lt;.20 was considered significant for this pilot study.Results: Among 30 patients (mean age 59, SD 14, years; 21 [70%] female), the mediation effect of behavioral activation on the relationship between increased intervention engagement and improved anxiety symptoms met predefined statistical significance thresholds (indirect effect -0.4, 80% CI -0.7 to -0.1; P=.13, 45% of the total effect). The direction of mediation effect was generally consistent with our hypothesis for all other proposed mediator or outcome relationships, as well.Conclusions: In a full-sized randomized controlled trial of patients with chronic musculoskeletal pain, behavioral activation, pain acceptance, and sleep quality may play an important role in mediating the relationship between use of a digital mental health intervention (Wysa for Chronic Pain) and improved mental and physical health.Trial Registration: ClinicalTrials.gov NCT05194722; https://clinicaltrials.gov/ct2/show/NCT05194722</t>
  </si>
  <si>
    <t>[Cheng, Abby L.; Armbrecht, Melissa A.] Washington Univ, Sch Med, Dept Orthopaed Surg, Div Phys Med &amp; Rehabil, Campus Box 8233,660 South Euclid Ave, St Louis, MO 63110 USA; [Agarwal, Mansi; Goss, Charles W.] Washington Univ, Inst Informat Data Sci &amp; Biostat, Sch Med, St Louis, MO 63110 USA; [Abraham, Joanna] Washington Univ, Sch Med, Dept Anesthesiol, St Louis, MO 63110 USA; [Abraham, Joanna] Washington Univ, Inst Informat, Sch Med, St Louis, MO 63110 USA; [Calfee, P.] Washington Univ, Sch Med, Dept Orthopaed Surg, Div Hand &amp; Wrist, St Louis, MO 63110 USA</t>
  </si>
  <si>
    <t>Washington University (WUSTL); Washington University (WUSTL); Washington University (WUSTL); Washington University (WUSTL); Washington University (WUSTL)</t>
  </si>
  <si>
    <t>Cheng, AL (corresponding author), Washington Univ, Sch Med, Dept Orthopaed Surg, Div Phys Med &amp; Rehabil, Campus Box 8233,660 South Euclid Ave, St Louis, MO 63110 USA.</t>
  </si>
  <si>
    <t>chengal@wustl.edu</t>
  </si>
  <si>
    <t>Al-Rahamneh, Moad/JCO-5185-2023; Goss, Charles W/R-7296-2019</t>
  </si>
  <si>
    <t>Cheng, Abby/0000-0002-8166-0806; Armbrecht, Melissa/0000-0003-0839-3489</t>
  </si>
  <si>
    <t>National Institutes of Health [K23AR074520, P50MH122351, UL1TR002345, P30CA091842]; Doris Duke Charitable Foundation</t>
  </si>
  <si>
    <t>National Institutes of Health(United States Department of Health &amp; Human ServicesNational Institutes of Health (NIH) - USA); Doris Duke Charitable Foundation(Doris Duke Charitable Foundation (DDCF))</t>
  </si>
  <si>
    <t>Acknowledgments This study was supported by the National Institutes of Health (grants K23AR074520, P50MH122351, UL1TR002345, and P30CA091842) and the Doris Duke Charitable Foundation. Wysa Inc provided complimentary access to Wysa for Chronic Pain for all study participants and provided participants' usage data to this study's team at no charge. None of this study's funders were involved in the design, conduct, analysis, or reporting of this study's findings. Generative artificial intelligence (AI) was not used in any portion of the writing of this paper.</t>
  </si>
  <si>
    <t>2561-326X</t>
  </si>
  <si>
    <t>JMIR FORM RES</t>
  </si>
  <si>
    <t>JMIR Form. Res.</t>
  </si>
  <si>
    <t>e51422</t>
  </si>
  <si>
    <t>10.2196/51422</t>
  </si>
  <si>
    <t>AA0Q3</t>
  </si>
  <si>
    <t>WOS:001115617200002</t>
  </si>
  <si>
    <t>Liew, H; Pienkowska, A; Ang, CS; Mahadzir, MDA; Goh, KFI; Lodh, N; Bojic, I; Lawate, A; Ong, QC; Venkataraman, K; Car, J; Ho, AHY</t>
  </si>
  <si>
    <t>Liew, Huiling; Pienkowska, Anita; Ang, Chin-Siang; Mahadzir, Muhammad Daniel Azlan; Goh, Kelley Fann Ing; Lodh, Nandika; Bojic, Iva; Lawate, Ashwini; Ong, Qi Chwen; Venkataraman, Kavita; Car, Josip; Ho, Andy Hau Yan</t>
  </si>
  <si>
    <t>Empowering Foot Care Literacy Among People Living With Diabetes and Their Carers With an mHealth App: Protocol for a Feasibility Study</t>
  </si>
  <si>
    <t>digital therapeutics; mHealth; diabetes mellitus; diabetes foot ulcer; feasibility study; mobile phone</t>
  </si>
  <si>
    <t>EPIDEMIOLOGY; KNOWLEDGE; EDUCATION; MELLITUS; DESIGN</t>
  </si>
  <si>
    <t>Background: Diabetic foot ulcers (DFUs) cause significant morbidity affecting 19% to 34% of people living with diabetes mellitus. DFUs not only impair quality of life but may also result in limb loss and mortality. Patient education has been advocated to raise awareness of proper foot self-care and the necessity of seeking assistance when a foot wound occurs. Modern technologies, including mobile health (mHealth) interventions such as health apps, bring the potential for more cost-effective and scalable interventions. Objective: This study aims to examine the feasibility and usability of a newly developed mHealth app called Well Feet, which is a diabetes and foot care education app for individuals at risk of developing DFU. Methods: Well Feet was developed using an evidence-based and expert panel cocreation approach to deliver educational content available in 3 languages (ie, English, Chinese, and Malay) via animation videos and a range of additional features, including adaptive learning. A nonrandomized, single-arm feasibility study using a mixed methods approach with a series of validated questionnaires and focus group discussions will be conducted. In total, 40 patients and carers will be recruited from a tertiary hospital diabetes clinic to receive a 1-month mHealth intervention. The primary outcomes are the usability of the app and a qualitative perspective on user experience. Secondary outcomes include changes in foot care knowledge, self-management behaviors, and quality of life. Results: Patient recruitment began in July 2023, and the intervention and data collection will be completed by the end of September 2023. This study has been approved by National Healthcare Group Domain Specific Review Board (2022/00614) on February 10, 2023. The expected results will be published in spring 2024. Conclusions: Through this feasibility study, the Well Feet DFU education app will undergo a comprehensive quantitative and qualitative evaluation of its usability and acceptance for future improvement in its design. With local contextualization, cultural adaptation, and its multilingual functionality, the app addresses a critical aspect of DFU health education and self-management in a multiethnic population. Findings from this study will refine and enhance the features of the app based on user feedback and shape the procedural framework for a subsequent randomized controlled trial to assess the effectiveness of Well Feet.</t>
  </si>
  <si>
    <t>[Liew, Huiling] Tan Tock Seng Hosp, Dept Endocrinol, Singapore, Singapore; [Pienkowska, Anita; Ang, Chin-Siang; Mahadzir, Muhammad Daniel Azlan; Goh, Kelley Fann Ing; Lodh, Nandika; Bojic, Iva; Lawate, Ashwini; Ong, Qi Chwen; Car, Josip; Ho, Andy Hau Yan] Nanyang Technol Univ, Lee Kong Chian Sch Med, Singapore, Singapore; [Venkataraman, Kavita] Natl Univ Singapore, Saw Swee Hock Sch Publ Hlth, Singapore, Singapore; [Liew, Huiling] Tan Tock Seng Hosp, Dept Endocrinol, 11 Jln Tan Tock Seng, Singapore 308433, Singapore</t>
  </si>
  <si>
    <t>Tan Tock Seng Hospital; Nanyang Technological University; National University of Singapore; Tan Tock Seng Hospital</t>
  </si>
  <si>
    <t>Liew, H (corresponding author), Tan Tock Seng Hosp, Dept Endocrinol, 11 Jln Tan Tock Seng, Singapore 308433, Singapore.</t>
  </si>
  <si>
    <t>huiling_liew@ttsh.com.sg</t>
  </si>
  <si>
    <t>Car, Josip/H-6755-2015</t>
  </si>
  <si>
    <t>Car, Josip/0000-0001-8969-371X; Liew, Huiling/0000-0002-0956-5759; Pienkowska, Anita/0000-0001-7298-3876; Bojic, Iva/0000-0002-4664-3349; Lodh, Nandika/0009-0009-0614-2425; Ong, Qi Chwen/0009-0009-5621-5071</t>
  </si>
  <si>
    <t>Singapore Ministry of Health's National Medical Research Council [HSRG-DB17Nov002]</t>
  </si>
  <si>
    <t>Singapore Ministry of Health's National Medical Research Council(National Medical Research Council, Singapore)</t>
  </si>
  <si>
    <t>This research is supported by the Singapore Ministry of Health's National Medical Research Council under Health Services Research Grant (HSRG-DB17Nov002). The authors also acknowledge the contribution of Chew Ek Kwang Daniel, Lorainne Tudor Car, Donna Tan Mui Ling, Elaine Tan, Harvinder Raj Singh Sidhu, Julia Zhu Xiaoli, Julian Wong, Shamal Das De, David Carmody, Tavintharan Subramaniam, Bernhard Otto Boehm, Gerald Koh, Jackie Ho Pei, James Best, Rinkoo Dalan, and Rosalind Siah Chiew Jiat. Generative AI has not been used in any portion of this paper's writing.</t>
  </si>
  <si>
    <t>e52036</t>
  </si>
  <si>
    <t>10.2196/52036</t>
  </si>
  <si>
    <t>Z9YV3</t>
  </si>
  <si>
    <t>WOS:001115570300001</t>
  </si>
  <si>
    <t>Zhang, YX; Marlow, JB; Wood, K; Wang, JA; Warr, GG; Li, H; Atkin, R</t>
  </si>
  <si>
    <t>Zhang, Yunxiao; Marlow, Joshua B.; Wood, Kathleen; Wang, Jianan; Warr, Gregory G.; Li, Hua; Atkin, Rob</t>
  </si>
  <si>
    <t>Phase behaviour and aggregate structures of the surface-active ionic liquid [BMIm][AOT] in water</t>
  </si>
  <si>
    <t>JOURNAL OF COLLOID AND INTERFACE SCIENCE</t>
  </si>
  <si>
    <t>Surface -active ionic liquid; Sponge-like; Lamellar; Vesicle; Phase sequence</t>
  </si>
  <si>
    <t>ANGLE NEUTRON-SCATTERING; AEROSOL-OT; CRYSTALLINE PHASE; DODECYL-SULFATE; X-RAY; LAMELLAR; MIXTURES; FRICTION; BROMIDE; SULFOSUCCINATE</t>
  </si>
  <si>
    <t>Hypothesis: The surface-active ionic liquid, 1-butyl-3-methylimidazolium 1,4-bis-2-ethylhexylsulfosuccinate ([BMIm][AOT]), has a sponge-like bulk nanostructure consisting of percolating polar and apolar domains formed by the ion charge groups and alkyl chains, respectively. We hypothesise that added water will swell the polar domains and change the liquid nanostructure. Experiments: Small angle X-ray scattering (SAXS), small angle neutron scattering (SANS) and polarizing optical microscopy (POM) were used to investigate the nanostructure of [BMIm][AOT] as a function of water content. Differential scanning calorimetry (DSC) was employed to probe the thermal transitions of [BMIm][AOT]-water mixtures and the mobility of water molecules.Findings: SAXS, SANS and POM show that at lower water contents, [BMIm][AOT]-water mixtures have a spongelike nanostructure similar to the pure SAIL, at medium water contents a lamellar phase forms, and at high water contents vesicles form. DSC results reveal that water molecules are supercooled in the lamellar phase. For the first time, results reveal a series of transitions from inverse sponge, to lamellar then to vesicles, for [BMIm][AOT] upon dilution with water.</t>
  </si>
  <si>
    <t>[Zhang, Yunxiao; Wang, Jianan; Li, Hua; Atkin, Rob] Univ Western Australia, Sch Mol Sci, Perth, WA, Australia; [Marlow, Joshua B.; Warr, Gregory G.] Univ Sydney, Sch Chem, Camperdown, NSW 2006, Australia; [Marlow, Joshua B.; Warr, Gregory G.] Univ Sydney, Sydney Nano Inst, Camperdown, NSW 2006, Australia; [Wood, Kathleen] Australian Nucl Sci &amp; Technol Org, Lucas Heights, NSW 2234, Australia; [Li, Hua] Univ Western Australia, Ctr Microscopy Characterisat &amp; Anal, Perth, WA, Australia</t>
  </si>
  <si>
    <t>University of Western Australia; University of Sydney; University of Sydney; Australian Nuclear Science &amp; Technology Organisation; University of Western Australia</t>
  </si>
  <si>
    <t>Li, H; Atkin, R (corresponding author), Univ Western Australia, Sch Mol Sci, Perth, WA, Australia.;Li, H (corresponding author), Univ Western Australia, Ctr Microscopy Characterisat &amp; Anal, Perth, WA, Australia.</t>
  </si>
  <si>
    <t>Hua.Li@uwa.edu.au; Rob.Atkin@uwa.edu.au</t>
  </si>
  <si>
    <t>Wang, Jianan/0000-0001-9413-3266</t>
  </si>
  <si>
    <t>Australian Research Council [DP200102248, DP210102119]; China Scholarship Council; Australian Institute of Nuclear Science and Engineering; Australian Research Council [DP200102248] Funding Source: Australian Research Council</t>
  </si>
  <si>
    <t>Australian Research Council(Australian Research Council); China Scholarship Council(China Scholarship Council); Australian Institute of Nuclear Science and Engineering; Australian Research Council(Australian Research Council)</t>
  </si>
  <si>
    <t>The authors thank the facilities of Sydney Analytical, a core research facility at the University of Sydney, for SAXS measurements. The authors thank ANSTO for SANS measurements and thank Dr Paul Fitzgerald for valuable discussions. YZ thanks the China Scholarship Council and the Australian Institute of Nuclear Science and Engineering for PhD scholarships. This work was supported by Australian Research Council Discovery Projects (DP200102248 and DP210102119) . Declaration of generative AI and AI-assisted technologies in the writing process During the preparation of this work, the authors used Chat GPT in order to improve language and readability. After using this tool/service, the authors reviewed and edited the content as needed and take full responsibility for the content of the publication.</t>
  </si>
  <si>
    <t>0021-9797</t>
  </si>
  <si>
    <t>1095-7103</t>
  </si>
  <si>
    <t>J COLLOID INTERF SCI</t>
  </si>
  <si>
    <t>J. Colloid Interface Sci.</t>
  </si>
  <si>
    <t>10.1016/j.jcis.2023.08.049</t>
  </si>
  <si>
    <t>Chemistry, Physical</t>
  </si>
  <si>
    <t>R1QY2</t>
  </si>
  <si>
    <t>WOS:001062169000001</t>
  </si>
  <si>
    <t>Jiménez-Jiménez, JR; Sierra-Ramírez, JA; Rivas-Ruiz, R; Cruz-Reynoso, L; Hernández-Caballero, ME</t>
  </si>
  <si>
    <t>Jimenez-Jimenez, Jose Ramon; Sierra-Ramirez, Jose Alfredo; Rivas-Ruiz, Rodolfo; Cruz-Reynoso, Leonardo; Hernandez-Caballero, Marta Elena</t>
  </si>
  <si>
    <t>Combined Nutrition in Very-Low-Birth-Weight Preterm Infants in the Neonatal Intensive Care Unit</t>
  </si>
  <si>
    <t>combined nutrition; parenteral nutrition; vlbw; nicu; nutrition</t>
  </si>
  <si>
    <t>PARENTERAL-NUTRITION; MILK</t>
  </si>
  <si>
    <t>Background Adequate nutritional support is crucial for achieving optimal growth and development in very-low-birth weight (VLBW) preterm infants. This study evaluated the efficacy of combined nutrition (CN) (parenteral plus enteral nutrition (EN)) as an alternative nutrition protocol for VLBW infants in the neonatal intensive care unit (NICU). Methods This retrospective cohort study collected clinical and growth data from the medical records of VLBW infants weighing between 1,000 and 1,500 grams in the NICU of the Hospital of Obstetrics and Gynecology Dr. Victor Manuel Espinosa de los Reyes Sanchez of the Centro Medico Nacional La Raza Instituto Mexicano del Seguro Social, Mexico. Parenteral nutrition (PN) alone or CN (PN plus EN) was used for nutritional management. Statistical tests, such as Student's t-test, Mann-Whitney U test, and chi-square test as appropriate, were used to compare the clinical characteristics and growth data of the two groups, and relative risk was calculated to determine the probability of comorbidities according to feeding type. Statistical significance was set at p &lt; 0.05. Results The study included 90 VLBW infants, with 27 receiving PN alone and 63 receiving CN. No statistically significant differences were found concerning sex, age, or Apgar score. The CN group showed better weight gain with statistically significant differences at 28 days (p=0.002), with no increase in the relative risk of necrotizing enterocolitis (NEC) or other complications. Conclusions The CN protocol met the caloric and nutritional needs, without increasing morbidity and mortality. The protocol had a positive impact on weight gain and a shorter NICU stay and should be considered as a nutritional alternative for VLBW infants.</t>
  </si>
  <si>
    <t>[Jimenez-Jimenez, Jose Ramon] Hosp Gineco Obstetricia 3, Neonatal Intens Care Unit, Ctr Med Nacl La Raza, Dr Victor Manuel Espinoza los Reyes Sanchez, Mexico City, DF, Mexico; [Sierra-Ramirez, Jose Alfredo] Inst Politecn Nacl, Escuela Super Med, Postgrad Studies &amp; Res Sect, Mexico City, DF, Mexico; [Rivas-Ruiz, Rodolfo] Ctr Med Nacl Siglo XXI, Clin Res Training Ctr, Mexico City, DF, Mexico; [Cruz-Reynoso, Leonardo] Hosp Gineco Obstetricia 3, Div Headquarters, Ctr Med Nacl La Raza, Dr Victor Manuel Espinoza los Reyes Sanchez, Mexico City, DF, Mexico; [Hernandez-Caballero, Marta Elena] Benemerita Univ Autonoma Puebla, Fac Med, Biomed, Puebla, Mexico</t>
  </si>
  <si>
    <t>Instituto Mexicano del Seguro Social; Instituto Politecnico Nacional - Mexico; Instituto Mexicano del Seguro Social; Instituto Mexicano del Seguro Social; Benemerita Universidad Autonoma de Puebla</t>
  </si>
  <si>
    <t>Sierra-Ramírez, JA (corresponding author), Inst Politecn Nacl, Escuela Super Med, Postgrad Studies &amp; Res Sect, Mexico City, DF, Mexico.</t>
  </si>
  <si>
    <t>National Polytechnic Institute, Mexico [SIP20220484]</t>
  </si>
  <si>
    <t>National Polytechnic Institute, Mexico</t>
  </si>
  <si>
    <t>The authors would like to express their sincere gratitude to the Obstetrics and Gynecology Hospital No. 3, Dr. Victor Manuel Espinoza de los Reyes Sanchez, La Raza National Medical Center, the Mexican Social Security Institute, Mexico, and the National Polytechnic Institute, Mexico (grant no. SIP20220484) for extending all the necessary facilities for carrying out this study. We would also like to acknowledge Dr. Karol Castellanos-Reyes and Dr. Lisset Llanito-Caudillo for their valuable contributions to this project. Disclosure of generative AI and AI-assisted writing technologies during the writing process: the author (s) of this work utilized ChatGPT and QuillBot to make linguistic and readability adjustments. After using this service, the author (s) reviewed and edited the content as necessary; they are entirely responsible for the published work.</t>
  </si>
  <si>
    <t>AUG 9</t>
  </si>
  <si>
    <t>e43202</t>
  </si>
  <si>
    <t>10.7759/cureus.43202</t>
  </si>
  <si>
    <t>IT5I2</t>
  </si>
  <si>
    <t>WOS:001168593900024</t>
  </si>
  <si>
    <t>Murakami, K; Shinozaki, N; Kimoto, N; Onodera, H; Oono, F; McCaffrey, TA; Livingstone, MBE; Okuhara, T; Matsumoto, M; Katagiri, R; Ota, E; Chiba, T; Nishida, Y; Sasaki, S</t>
  </si>
  <si>
    <t>Murakami, Kentaro; Shinozaki, Nana; Kimoto, Nana; Onodera, Hiroko; Oono, Fumi; McCaffrey, Tracy A.; Livingstone, M. Barbara E.; Okuhara, Tsuyoshi; Matsumoto, Mai; Katagiri, Ryoko; Ota, Erika; Chiba, Tsuyoshi; Nishida, Yuki; Sasaki, Satoshi</t>
  </si>
  <si>
    <t>Web-Based Content on Diet and Nutrition Written in Japanese: Infodemiology Study Based on Google Trends and Google Search</t>
  </si>
  <si>
    <t>diet; nutrition; information; internet; web; Japanese language</t>
  </si>
  <si>
    <t>HEALTH INFORMATION; QUALITY; EXPOSURE; INTERNET; TRUST</t>
  </si>
  <si>
    <t>Background: The increased availability of content of uncertain integrity obtained through the internet is a major concern. To date, however, there has been no comprehensive scrutiny of the fitness-for-purpose of web-based content on diet and nutrition.Objective: This cross-sectional study aims to describe diet-and nutrition-related web-based content written in Japanese, identified via a systematic extraction strategy using Google Trends and Google Search.Methods: We first identified keywords relevant for extracting web-based content (eg, blogs) on diet and nutrition written in Japanese using Google Trends. This process included identification of 638 seed terms, identification of approximately 1500 pairs of related queries (top) and search terms, the top 10% of which were extracted to identify 160 relevant pairs of related queries (top) and search terms, and identification of 107 keywords for search. We then extracted relevant web-based content using Google Search. Results: The content (N=1703) examined here was extracted following a search based on 107 keywords. The most common themes included food and beverages (390/1703, 22.9%), weight management (366/1703, 21.49%), health benefits (261/1703, 15.33%), and healthy eating (235/1703, 13.8%). The main disseminators were information technology companies and mass media (474/1703, 27.83%), food manufacturers (246/1703, 14.45%), other (236/1703, 13.86%), and medical institutions (214/1703, 12.57%). Less than half of the content (790/1703, 46.39%) clearly indicated the involvement of editors or writers. More than half of the content (983/1703, 57.72%) was accompanied by one or more types of advertisement. The proportion of content with any type of citation reference was 40.05% (682/1703). The themes and disseminators of content were significantly associated with the involvement of editors or writers, accompaniment with advertisement, and citation of reference. In particular, content focusing on weight management was more likely to clearly indicate the involvement of editors or writers (212/366, 57.9%) and to be accompanied by advertisement (273/366, 74.6%), but less likely to have references cited (128/366, 35%). Content from medical institutions was less likely to have citation references (62/214, 29%). Conclusions: This study highlights concerns regarding the authorship, conflicts of interest (advertising), and the scientific credibility of web-based diet-and nutrition-related information written in Japanese. Nutrition professionals and experts should take these findings seriously because exposure to nutritional information that lacks context or seems contradictory can lead to confusion and backlash among consumers. However, more research is needed to draw firm conclusions about the accuracy and quality of web-based diet-and nutrition-related content and whether similar results can be obtained in other major mass media or social media outlets and even other languages.</t>
  </si>
  <si>
    <t>[Murakami, Kentaro; Shinozaki, Nana; Kimoto, Nana; Onodera, Hiroko; Sasaki, Satoshi] Univ Tokyo, Sch Publ Hlth, Dept Social &amp; Prevent Epidemiol, Tokyo, Japan; [Oono, Fumi; Sasaki, Satoshi] Univ Tokyo, Grad Sch Med, Dept Social &amp; Prevent Epidemiol, Div Hlth Sci &amp; Nursing, Tokyo, Japan; [McCaffrey, Tracy A.] Monash Univ, Dept Nutr Dietet &amp; Food, Melbourne, Australia; [Livingstone, M. Barbara E.] Ulster Univ, Nutr Innovat Ctr Food &amp; Hlth N, Nutr Innovat Ctr Food &amp; Hlth NICHE, Coleraine, North Ireland; [Okuhara, Tsuyoshi] Univ Tokyo, Sch Publ Hlth, Dept Hlth Commun, Tokyo, Japan; [Matsumoto, Mai; Katagiri, Ryoko] Natl Inst Biomed Innovat Hlth &amp; Nutr, Dept Nutr Epidemiol &amp; Shokuiku, Tokyo, Japan; [Ota, Erika] St Lukes Int Univ, Grad Sch Nursing Sci, Global Hlth Nursing, Tokyo, Japan; [Ota, Erika] Tokyo Fdn Policy Res, Tokyo, Japan; [Chiba, Tsuyoshi] Natl Inst Biomed Innovat Hlth &amp; Nutr, Dept Food Funct &amp; Labeling, Tokyo, Japan; [Nishida, Yuki] Tokyo Med &amp; Dent Univ, M&amp;D Data Sci Ctr, Dept Biostat, Tokyo, Japan; [Murakami, Kentaro] Univ Tokyo, Sch Publ Hlth, Dept Social &amp; Prevent Epidemiol, 7-3-1 Hongo,Bunkyo Ku, Tokyo 1130033, Japan</t>
  </si>
  <si>
    <t>University of Tokyo; University of Tokyo; Monash University; Ulster University; University of Tokyo; St. Luke's International Hospital; Tokyo Medical &amp; Dental University (TMDU); University of Tokyo</t>
  </si>
  <si>
    <t>Murakami, K (corresponding author), Univ Tokyo, Sch Publ Hlth, Dept Social &amp; Prevent Epidemiol, 7-3-1 Hongo,Bunkyo Ku, Tokyo 1130033, Japan.</t>
  </si>
  <si>
    <t>kenmrkm@m.u-tokyo.ac.jp</t>
  </si>
  <si>
    <t>Rahman, Md. Mizanur/ISB-7883-2023; McCaffrey, Tracy/O-7068-2017</t>
  </si>
  <si>
    <t>Rahman, Md. Mizanur/0000-0001-9190-4707; McCaffrey, Tracy/0000-0001-9699-3083; Murakami, Kentaro/0000-0002-4189-7753; Shinozaki, Nana/0000-0002-8998-5066; Oono, Fumi/0000-0001-9100-7387</t>
  </si>
  <si>
    <t>Ministry of Health, Labour and Welfare, Japan [22FA1022]</t>
  </si>
  <si>
    <t>Ministry of Health, Labour and Welfare, Japan(Ministry of Health, Labour and Welfare, Japan)</t>
  </si>
  <si>
    <t>Acknowledgments The authors would like to thank Nami Kemmotsu, Waki Matsunaga, and Mika Omura for identifying keywords relevant to initial searches. The authors would also like to thank the research support staff (The University of Tokyo) : Tomoko Doi, Akiko Hara, Nanako Koe, Keika Mine, and Hiroko Sato. The authors declare that generative AI was not used in any part of the manuscript writing. This work was supported by a grant (#22FA1022) from the Ministry of Health, Labour and Welfare, Japan. The Ministry of Health, Labour and Welfare had no role in the design, analysis, or writing of this paper.</t>
  </si>
  <si>
    <t>e47101</t>
  </si>
  <si>
    <t>10.2196/47101</t>
  </si>
  <si>
    <t>AA0M5</t>
  </si>
  <si>
    <t>WOS:001115613400004</t>
  </si>
  <si>
    <t>van der Gaag, MAE</t>
  </si>
  <si>
    <t>van der Gaag, Mandy A. E.</t>
  </si>
  <si>
    <t>A person-centered approach in developmental science: Why this is the future and how to get there</t>
  </si>
  <si>
    <t>INFANT AND CHILD DEVELOPMENT</t>
  </si>
  <si>
    <t>IDENTITY DEVELOPMENT; DYNAMIC-SYSTEMS; PSYCHOPATHOLOGY; COMMITMENT; MODEL</t>
  </si>
  <si>
    <t>This paper argues for a person-centered approach in developmental science and presents theoretical and empirical techniques to help shift the focus to the individual. The need for a person-centered approach is urgent, because of widespread nonergodicity in developmental psychology: traditional between-individual, group-level statistics often cannot be used to understand individuals over time. Evidence for nonergodicity has been gathered in domains such as personality, emotions, identity, performance and intelligence. This highlights a mismatch between our typical research methods-group-level analyses-and a core aim of developmental science: understanding the development of individuals. The implications are profound. Without insights into within-individual processes, our understanding of development remains incomplete and perhaps even incorrect, which could hinder the design of effective interventions. Many of our developmental theories might need to be adjusted to accurately capture individual-level development. The theory of complex dynamic systems and person-centered simulations offer promising avenues to do this. In addition, many promising person-centered analysis techniques, that typically use long time series of data, are available to enhance our understanding of individual-level development. Together, these person-centered theoretical and empirical tools have the potential to help shift developmental science towards an understanding of development that genuinely reflects individual processes.</t>
  </si>
  <si>
    <t>[van der Gaag, Mandy A. E.] Univ Groningen, Fac Behav &amp; Social Sci, Dept Dev Psychol, Groningen, Netherlands; [van der Gaag, Mandy A. E.] Univ Groningen, Fac Behav &amp; Social Sci, Dept Dev Psychol, Grote Kruisstr 2-1, NL-9712 TS Groningen, Netherlands</t>
  </si>
  <si>
    <t>University of Groningen; University of Groningen</t>
  </si>
  <si>
    <t>van der Gaag, MAE (corresponding author), Univ Groningen, Fac Behav &amp; Social Sci, Dept Dev Psychol, Grote Kruisstr 2-1, NL-9712 TS Groningen, Netherlands.</t>
  </si>
  <si>
    <t>m.a.e.van.der.gaag@rug.nl</t>
  </si>
  <si>
    <t>van der Gaag, Mandy/0000-0002-1957-1183</t>
  </si>
  <si>
    <t>The author owes much thanks to all the colleagues at the Developmental Psychology department of the University of Groningen. The perspective presented in this paper has been shaped in the context of their dedicated work on the edge of psychological science [GPT-4, 2023]</t>
  </si>
  <si>
    <t>The author owes much thanks to all the colleagues at the Developmental Psychology department of the University of Groningen. The perspective presented in this paper has been shaped in the context of their dedicated work on the edge of psychological science</t>
  </si>
  <si>
    <t>The author owes much thanks to all the colleagues at the Developmental Psychology department of the University of Groningen. The perspective presented in this paper has been shaped in the context of their dedicated work on the edge of psychological science using person-centered studies and complex dynamic systems theory. A special thanks to professor Paul van Geert who has been particularly relentless in this pursuit and so far ahead of his time that it shall take developmental science many years to catch up. The language of this paper has been refined with the assistance of ChatGPT (GPT-4; openAI, 2023), a generative AI large language model.</t>
  </si>
  <si>
    <t>1522-7227</t>
  </si>
  <si>
    <t>1522-7219</t>
  </si>
  <si>
    <t>INFANT CHILD DEV</t>
  </si>
  <si>
    <t>Infant Child Dev.</t>
  </si>
  <si>
    <t>10.1002/icd.2478</t>
  </si>
  <si>
    <t>Psychology, Developmental</t>
  </si>
  <si>
    <t>CL3H8</t>
  </si>
  <si>
    <t>WOS:001102040500001</t>
  </si>
  <si>
    <t>Watanabe, K; Okusa, S; Sato, M; Miura, H; Morimoto, M; Tsutsumi, A</t>
  </si>
  <si>
    <t>Watanabe, Kazuhiro; Okusa, Shoichi; Sato, Mitsuhiro; Miura, Hideki; Morimoto, Masahiro; Tsutsumi, Akizumi</t>
  </si>
  <si>
    <t>mHealth Intervention to Promote Physical Activity Among Employees Using a Deep Learning Model for Passive Monitoring of Depression and Anxiety: Single-Arm Feasibility Trial</t>
  </si>
  <si>
    <t>eHealth; behavioral change; mobile phone; smartphone; mHealth; mobile health; app; apps; applications; monitor; monitoring; physical activity; exercise; fitness; application; workplace; distress; depression; depressive; anxiety; mental health; worker; workers; employee; employees; occupational health; satisfaction; feasibility; acceptability</t>
  </si>
  <si>
    <t>MENTAL-HEALTH; PSYCHOLOGICAL DISTRESS; PREVALENCE; PERFORMANCE; DISORDERS; EFFICACY; MOOD; K6</t>
  </si>
  <si>
    <t>Background: Physical activity effectively prevents depression and anxiety. Although mobile health (mHealth) technologies offer promising results in promoting physical activity and improving mental health, conflicting evidence exists on their effectiveness, and employees face barriers to using mHealth services. To address these problems, we recently developed a smartphone app named ASHARE to prevent depression and anxiety in the working population; it uses a deep learning model for passive monitoring of depression and anxiety from information about physical activity.Objective: This study aimed to preliminarily investigate (1) the effectiveness of the developed app in improving physical activity and reducing depression and anxiety and (2) the app's implementation outcomes (ie, its acceptability, appropriateness, feasibility, satisfaction, and potential harm).Methods: We conducted a single-arm interventional study. From March to April 2023, employees aged &gt;= 18 years who were not absent were recruited. The participants were asked to install and use the app for 1 month. The ideal usage of the app was for the participants to take about 5 minutes every day to open the app, check the physical activity patterns and results of an estimated score of psychological distress, and increase their physical activity. Self-reported physical activity (using the Global Physical Activity Questionnaire, version 2) and psychological distress (using the 6-item Kessler Psychological Distress Scale) were measured at baseline and after 1 month. The duration of physical activity was also recorded digitally. Paired t tests (two-tailed) and chi-square tests were performed to evaluate changes in these variables. Implementation Outcome Scales for Digital Mental Health were also measured for acceptability, appropriateness, feasibility, satisfaction, and harm. These average scores were assessed by comparing them with those reported in previous studies.Results: This study included 24 employees. On average, the app was used for 12.54 days (44.8% of this study's period). After using the app, no significant change was observed in physical activity (-12.59 metabolic equivalent hours per week, P=.31) or psychological distress (-0.43 metabolic equivalent hours per week, P=.93). However, the number of participants with severe psychological distress decreased significantly (P=.01). The digitally recorded duration of physical activity increased during the intervention period (+0.60 minutes per day, P=.08). The scores for acceptability, appropriateness, and satisfaction were lower than those in previous mHealth studies, whereas those for feasibility and harm were better.Conclusions: The ASHARE app was insufficient in promoting physical activity or improving psychological distress. At this stage, the app has many issues that are to be addressed in terms of both implementation and effectiveness. The main reason for this low effectiveness might be the poor evaluation of the implementation outcomes by app users. Improving acceptability, appropriateness, and satisfaction are identified as key issues to be addressed in future implementation.</t>
  </si>
  <si>
    <t>[Watanabe, Kazuhiro; Tsutsumi, Akizumi] Kitasato Univ, Dept Publ Hlth, Sch Med, Sagamihara, Japan; [Okusa, Shoichi] TOSHIBA Hlth Insurance Soc, Kawasaki, Japan; [Sato, Mitsuhiro] Fujitsu Gen Ltd, Hlth &amp; Prod Management Promot Div, Kawasaki, Japan; [Miura, Hideki] Nikkei Business Publicat Inc, Tokyo, Japan; [Morimoto, Masahiro] MS &amp; AD InterRisk Res &amp; Consulting Inc, Tokyo, Japan; [Watanabe, Kazuhiro] Kitasato Univ, Dept Publ Hlth, Sch Med, 1-15-1 Kitazato,Minami Ku, Sagamihara 2520374, Japan</t>
  </si>
  <si>
    <t>Kitasato University; Fujitsu Ltd</t>
  </si>
  <si>
    <t>Watanabe, K (corresponding author), Kitasato Univ, Dept Publ Hlth, Sch Med, 1-15-1 Kitazato,Minami Ku, Sagamihara 2520374, Japan.</t>
  </si>
  <si>
    <t>kzwatanabe-tky@umin.ac.jp</t>
  </si>
  <si>
    <t>Tsutsumi, Akizumi/AAW-6354-2020</t>
  </si>
  <si>
    <t>Tsutsumi, Akizumi/0000-0003-0966-4869; Watanabe, Kazuhiro/0000-0002-3342-6142</t>
  </si>
  <si>
    <t>Japan Society for the Promotion of Science [JP20K19671]; Japan Agency for Medical Research and Development [JP21de0107006]; Meiji Yasuda Life Foundation of Health and Welfare</t>
  </si>
  <si>
    <t>Japan Society for the Promotion of Science(Ministry of Education, Culture, Sports, Science and Technology, Japan (MEXT)Japan Society for the Promotion of Science); Japan Agency for Medical Research and Development(Japan Agency for Medical Research and Development (AMED)); Meiji Yasuda Life Foundation of Health and Welfare(Meiji Yasuda Life Foundation of Health and Welfare)</t>
  </si>
  <si>
    <t>This study was supported by a Grant-in-Aid for Scientific Research from the Japan Society for the Promotion of Science (JP20K19671) , the Japan Agency for Medical Research and Development (JP21de0107006) , and the 38th Research Grant from the Meiji Yasuda Life Foundation of Health and Welfare. The funder had no role in this study's design; collection, analysis, or interpretation of data; writing of the report; or decision to submit this paper for publication. We would like to thank Cactus Communications Co, Tokyo, for the English language editing. The authors attest that there was no use of generative artificial intelligence (AI) technology in the generation of the text, figures, or other informational content in this paper.</t>
  </si>
  <si>
    <t>e51334</t>
  </si>
  <si>
    <t>10.2196/51334</t>
  </si>
  <si>
    <t>WOS:001115617200004</t>
  </si>
  <si>
    <t>Lindebaum, D; Moser, C; Islam, G</t>
  </si>
  <si>
    <t>Lindebaum, Dirk; Moser, Christine; Islam, Gazi</t>
  </si>
  <si>
    <t>Big Data, Proxies, Algorithmic Decision-Making and the Future of Management Theory</t>
  </si>
  <si>
    <t>JOURNAL OF MANAGEMENT STUDIES</t>
  </si>
  <si>
    <t>algorithms; big data; corporate empiricism; performativity; proxies; scaling; technology; theory</t>
  </si>
  <si>
    <t>GOOGLE TRENDS; ORGANIZATIONS; ANALYTICS; BUSINESS; FACEBOOK; SCIENCE</t>
  </si>
  <si>
    <t>The future of theory in the age of big data and algorithms is a frequent topic in management research. However, with corporate ownership of big data and data processing capabilities designed for profit generation increasing rapidly, we witness a shift from scientific to 'corporate empiricism'. Building on this debate, our 'Point' essay argues that theorizing in management research is at risk now. Unlike the 'Counterpoint' article, which portrays a bright future for management theory given available technological opportunities, we are concerned about management researchers increasingly 'borrowing' data from the corporate realm (e.g., Google et al.) to build or test theory. Our objection is that this data borrowing can harm scientific theorizing due to how scaling effects, proxy measures and algorithmic decision-making performatively combine to undermine the scientific validity of theories. This undermining occurs through reducing scientific explanations, while technology shapes theory and reality in a profit-predicting rather than in a truth-seeking manner. Our essay has meta-theoretical implications for management theory per se, as well as for political debates concerning the jurisdiction and legitimacy of knowledge claims in management research. Practically, these implications connect to debates on scientific responsibilities of researchers.</t>
  </si>
  <si>
    <t>[Lindebaum, Dirk; Islam, Gazi] Grenoble Ecole Management, Grenoble, France; [Moser, Christine] Vrije Univ Amsterdam, Amsterdam, Netherlands; [Islam, Gazi] IREGE, Grenoble, France; [Lindebaum, Dirk] Grenoble Ecole Management, 12 Rue Pierre Semard, F-38000 Grenoble, France</t>
  </si>
  <si>
    <t>Grenoble Ecole Management; Vrije Universiteit Amsterdam; Universite Savoie Mont Blanc; Grenoble Ecole Management</t>
  </si>
  <si>
    <t>Lindebaum, D (corresponding author), Grenoble Ecole Management, 12 Rue Pierre Semard, F-38000 Grenoble, France.</t>
  </si>
  <si>
    <t>mail@dirklindebaum.eu</t>
  </si>
  <si>
    <t>Alberta Business Family Institute at the University of Alberta School of Business</t>
  </si>
  <si>
    <t>We herewith certify that this essay represents original and independent scholarship. That is, generative AI was not used in the idea-generating phase of this essay, nor was it used to assist the writing or editing of this essay. Dirk Lindebaum gratefully recognizes the support from the Alberta Business Family Institute at the University of Alberta School of Business as part of his visiting professorship. We also appreciate the very pertinent comments from colleagues when we presented this point-counterpoint exchange at a research seminar at the Alberta School of Business in October 2022. Roy Suddaby too deserves credit for providing incisive comments on an earlier version of our essay. Thank you all again for these probing questions and comments. Finally, Caroline Gatrell provided excellent editorial guidance throughout this revision process.</t>
  </si>
  <si>
    <t>0022-2380</t>
  </si>
  <si>
    <t>1467-6486</t>
  </si>
  <si>
    <t>J MANAGE STUD</t>
  </si>
  <si>
    <t>J. Manage. Stud.</t>
  </si>
  <si>
    <t>2023 DEC 20</t>
  </si>
  <si>
    <t>10.1111/joms.13032</t>
  </si>
  <si>
    <t>CW9Y3</t>
  </si>
  <si>
    <t>WOS:001128400700001</t>
  </si>
  <si>
    <t>Mirikharaji, Z; Abhishek, K; Bissoto, A; Barata, C; Avila, S; Valle, E; Celebi, ME; Hamarneh, G</t>
  </si>
  <si>
    <t>Mirikharaji, Zahra; Abhishek, Kumar; Bissoto, Alceu; Barata, Catarina; Avila, Sandra; Valle, Eduardo; Celebi, M. Emre; Hamarneh, Ghassan</t>
  </si>
  <si>
    <t>A survey on deep learning for skin lesion segmentation</t>
  </si>
  <si>
    <t>Skin lesion; Deep learning; Segmentation; Survey</t>
  </si>
  <si>
    <t>CONVOLUTIONAL NEURAL-NETWORK; GENERATIVE ADVERSARIAL NETWORKS; WEIGHTED PERFORMANCE INDEX; BORDER-DETECTION METHODS; GROUND TRUTH ESTIMATION; IMAGE SEGMENTATION; DERMOSCOPY IMAGES; OBJECTIVE EVALUATION; SECONDARY-STRUCTURE; MELANOMA DIAGNOSIS</t>
  </si>
  <si>
    <t>Skin cancer is a major public health problem that could benefit from computer-aided diagnosis to reduce the burden of this common disease. Skin lesion segmentation from images is an important step toward achieving this goal. However, the presence of natural and artificial artifacts (e.g., hair and air bubbles), intrinsic factors (e.g., lesion shape and contrast), and variations in image acquisition conditions make skin lesion segmentation a challenging task. Recently, various researchers have explored the applicability of deep learning models to skin lesion segmentation. In this survey, we cross-examine 177 research papers that deal with deep learning-based segmentation of skin lesions. We analyze these works along several dimensions, including input data (datasets, preprocessing, and synthetic data generation), model design (architecture, modules, and losses), and evaluation aspects (data annotation requirements and segmentation performance). We discuss these dimensions both from the viewpoint of select seminal works, and from a systematic viewpoint, examining how those choices have influenced current trends, and how their limitations should be addressed. To facilitate comparisons, we summarize all examined works in a comprehensive table as well as an interactive table available online1.</t>
  </si>
  <si>
    <t>[Mirikharaji, Zahra; Abhishek, Kumar; Hamarneh, Ghassan] Simon Fraser Univ, Sch Comp Sci, Med Image Anal Lab, Burnaby, BC V5A 1S6, Canada; [Barata, Catarina] Inst Super Tecn, Inst Syst &amp; Robot, Ave Rovisco Pais, P-1049001 Lisbon, Portugal; [Bissoto, Alceu; Avila, Sandra] Univ Estadual Campinas, Inst Comp, RECODai Lab, Ave Albert Einstein 1251, BR-13083852 Campinas, Brazil; [Valle, Eduardo] Univ Estadual Campinas, Sch Elect &amp; Comp Engn, RECODai Lab, Ave Albert Einstein 400, BR-13083952 Campinas, Brazil; [Celebi, M. Emre] Univ Cent Arkansas, Dept Comp Sci &amp; Engn, 201 Donaghey Ave, Conway, AR 72035 USA</t>
  </si>
  <si>
    <t>Simon Fraser University; Universidade de Coimbra; Universidade de Lisboa; Instituto Superior Tecnico; Universidade Estadual de Campinas; Universidade Estadual de Campinas; University of Central Arkansas</t>
  </si>
  <si>
    <t>Hamarneh, G (corresponding author), Simon Fraser Univ, Sch Comp Sci, Med Image Anal Lab, Burnaby, BC V5A 1S6, Canada.;Celebi, ME (corresponding author), Univ Cent Arkansas, Dept Comp Sci &amp; Engn, 201 Donaghey Ave, Conway, AR 72035 USA.</t>
  </si>
  <si>
    <t>ecelebi@uca.edu; hamarneh@sfu.ca</t>
  </si>
  <si>
    <t>Avila, Sandra/M-2751-2017; Kulkarni, Abhishek/KFQ-9655-2024; Barata, Catarina/R-6188-2018; Kashyap, Abhishek/ACK-2654-2022; Bissoto, Alceu E/R-3988-2017; Celebi, M. Emre/G-2129-2012</t>
  </si>
  <si>
    <t>Barata, Catarina/0000-0002-2852-7723; Kashyap, Abhishek/0000-0003-1882-4844; Bissoto, Alceu E/0000-0003-2293-6160; Abhishek, Kumar/0000-0002-7341-9617; Celebi, M. Emre/0000-0002-2721-6317</t>
  </si>
  <si>
    <t>BC Cancer Foundation-BrainCare BC Fund; Natural Sciences and Engineering Research Council of Canada, Canada (NSERC) [315168/2020-0]; Canadian Institutes of Health Research, Canada (CIHR); FAPESP, Brazil [CEECIND/00326/2017]; CNPq, Brazil [OIA-1946391]; Google LARA 2020, USA; FAPESP; CNPq; FCT project [RGPIN-06752]; US National Science Foundation, USA [2019/19619-7]; CAPES; LARSyS-FCT Plurianual funding, Portugal; [2013/08293-7]; [PQ-2 315231/2020-3]; [OQI-137993]</t>
  </si>
  <si>
    <t>BC Cancer Foundation-BrainCare BC Fund; Natural Sciences and Engineering Research Council of Canada, Canada (NSERC)(Natural Sciences and Engineering Research Council of Canada (NSERC)); Canadian Institutes of Health Research, Canada (CIHR)(Canadian Institutes of Health Research (CIHR)); FAPESP, Brazil(Fundacao de Amparo a Pesquisa do Estado de Sao Paulo (FAPESP)); CNPq, Brazil(Conselho Nacional de Desenvolvimento Cientifico e Tecnologico (CNPQ)); Google LARA 2020, USA(Google Incorporated); FAPESP(Fundacao de Amparo a Pesquisa do Estado de Sao Paulo (FAPESP)); CNPq(Conselho Nacional de Desenvolvimento Cientifico e Tecnologico (CNPQ)); FCT project(Fundacao para a Ciencia e a Tecnologia (FCT)); US National Science Foundation, USA; CAPES(Coordenacao de Aperfeicoamento de Pessoal de Nivel Superior (CAPES)); LARSyS-FCT Plurianual funding, Portugal; ; ;</t>
  </si>
  <si>
    <t>The authors would like to acknowledge Ben Cardoen and Aditi Jain for help with proofreading the manuscript and with creating the interactive table, respectively. Z. Mirikharaji, K. Abhishek, and G. Hamarneh are partially funded by the BC Cancer Foundation-BrainCare BC Fund, Canada, the Natural Sciences and Engineering Research Council of Canada, Canada (NSERC RGPIN-06752) , and the Canadian Institutes of Health Research, Canada (CIHR OQI-137993) . A. Bissoto is partially funded by FAPESP, Brazil 2019/19619-7. E. Valle is partially funded by CNPq, Brazil 315168/2020-0. S. Avila is partially funded by CNPq, Brazil PQ-2 315231/2020-3, and FAPESP, Brazil 2013/08293-7. A. Bissoto and S. Avila are also partially funded by Google LARA 2020, USA. The RECOD.ai lab is supported by projects from FAPESP, CNPq, and CAPES. C. Barata is funded by FCT project and multi-year funding, Portugal [CEECIND/00326/2017] and LARSyS-FCT Plurianual funding, Portugal 2020-2023. M. E. Celebi was supported by the US National Science Foundation, USA under Award No. OIA-1946391. Any opinions, findings, and conclusions or recommendations expressed in this material are those of the authors and do not necessarily reflect the views of the National Science Foundation.</t>
  </si>
  <si>
    <t>10.1016/j.media.2023.102863</t>
  </si>
  <si>
    <t>L8XU7</t>
  </si>
  <si>
    <t>WOS:001026047500001</t>
  </si>
  <si>
    <t>Manning, D; Huang, TY; Berida, T; Roy, S</t>
  </si>
  <si>
    <t>Ducho, C</t>
  </si>
  <si>
    <t>Manning, Destinee; Huang, Tzu-Yu; Berida, Tomayo; Roy, Sudeshna</t>
  </si>
  <si>
    <t>The challenges and opportunities of developing small molecule inhibitors of MraY</t>
  </si>
  <si>
    <t>NEW APPROACHES TOWARDS NOVEL ANTIBACTERIAL AGENTS</t>
  </si>
  <si>
    <t>Annual Reports in Medicinal Chemistry</t>
  </si>
  <si>
    <t>MURNAC-PENTAPEPTIDE TRANSLOCASE; LYSIS PROTEIN-E; 1ST MEMBRANE STEP; PEPTIDOGLYCAN SYNTHESIS; BACTERIOPHAGE PHI-X174; NATURAL-PRODUCTS; BIOLOGICAL EVALUATION; STRUCTURAL INSIGHTS; BACTERIAL MRAY; ANTIBIOTICS</t>
  </si>
  <si>
    <t>[Manning, Destinee; Huang, Tzu-Yu; Berida, Tomayo; Roy, Sudeshna] Univ Mississippi, Dept Biomol Sci, University, MS 38677 USA; [Berida, Tomayo] Vanderbilt Univ, Dept Pharmacol, Warren Ctr Neurosci Drug Discovery, 393 Nichol Mill Lane, Franklin, TN 37067 USA</t>
  </si>
  <si>
    <t>University of Mississippi; Vanderbilt University</t>
  </si>
  <si>
    <t>Roy, S (corresponding author), Univ Mississippi, Dept Biomol Sci, University, MS 38677 USA.</t>
  </si>
  <si>
    <t>roy@olemiss.edu</t>
  </si>
  <si>
    <t>National Institute of Allergy and Infectious Diseases of the National Institutes of Health [R21AI142210]; National Institute of General Medical Sciences of the National Institutes of Health [P20GM103460]</t>
  </si>
  <si>
    <t>National Institute of Allergy and Infectious Diseases of the National Institutes of Health(United States Department of Health &amp; Human ServicesNational Institutes of Health (NIH) - USANIH National Institute of Allergy &amp; Infectious Diseases (NIAID)); National Institute of General Medical Sciences of the National Institutes of Health(United States Department of Health &amp; Human ServicesNational Institutes of Health (NIH) - USANIH National Institute of General Medical Sciences (NIGMS))</t>
  </si>
  <si>
    <t>This work was supported by the National Institute of Allergy and Infectious Diseases of the National Institutes of Health R21AI142210 and the National Institute of General Medical Sciences of the National Institutes of Health P20GM103460. Generative AI, ChatGPT, was used to refine sentence structures in this manuscript, and Doug Gillon provided professional human editing services. We thank Eslam Elhanafy, Department of BioMolecular Sciences, University of Mississippi, for help with the preparation of Fig. 2. For the preparation of Fig. 3, we thank Dr. Sushil Mishra and the Computational Chemistry and Bioinformatics Research Core (CCRC), funded by the National Institute of General Medical Sciences of the National Institutes of Health under award number P20GM103460. The content of the information does not necessarily reflect the position or the policy of the sponsors, and no official endorsement should be inferred. The content is solely the responsibility of the authors and does not necessarily represent the official views of the National Institutes of Health.</t>
  </si>
  <si>
    <t>ELSEVIER ACADEMIC PRESS INC</t>
  </si>
  <si>
    <t>525 B STREET, SUITE 1900, SAN DIEGO, CA 92101-4495 USA</t>
  </si>
  <si>
    <t>0065-7743</t>
  </si>
  <si>
    <t>978-0-443-13711-2</t>
  </si>
  <si>
    <t>ANNU REP MED CHEM</t>
  </si>
  <si>
    <t>Annu. Rep. Med. Chem.</t>
  </si>
  <si>
    <t>10.1016/bs.armc.2023.09.005</t>
  </si>
  <si>
    <t>Chemistry, Medicinal; Pharmacology &amp; Pharmacy</t>
  </si>
  <si>
    <t>BW0YR</t>
  </si>
  <si>
    <t>WOS:001102573400002</t>
  </si>
  <si>
    <t>Watkins, OC; Pillai, RA; Selvam, P; Yong, HEJ; Cracknell-Hazra, VKB; Sharma, N; Cazenave-Gassiot, A; Bendt, AK; Godfrey, KM; Lewis, RM; Wenk, MR; Chan, SY</t>
  </si>
  <si>
    <t>Watkins, Oliver C.; Pillai, Reshma Appukuttan; Selvam, Preben; Yong, Hannah E. J.; Cracknell-Hazra, Victoria K. B.; Sharma, Neha; Cazenave-Gassiot, Amaury; Bendt, Anne K.; Godfrey, Keith M.; Lewis, Rohan M.; Wenk, Markus R.; Chan, Shiao-Yng</t>
  </si>
  <si>
    <t>Myo-inositol alters the effects of glucose, leptin and insulin on placental palmitic acid and oleic acid metabolism</t>
  </si>
  <si>
    <t>JOURNAL OF PHYSIOLOGY-LONDON</t>
  </si>
  <si>
    <t>beta-oxidation; fatty acid; fetal sex; gestational diabetes; stable isotope; placental metabolism</t>
  </si>
  <si>
    <t>GESTATIONAL DIABETES-MELLITUS; BIRTH-WEIGHT; ADIPOSE-TISSUE; FATTY-ACIDS; PREGNANCY; GLYCEMIA; SUPPLEMENTATION; ACYLCARNITINES; ADIPONECTIN; CARNITINE</t>
  </si>
  <si>
    <t>Well-regulated placental palmitic acid (PA) and oleic acid (OA) metabolism is vital for optimal placental function and fetal development, but dysregulation occurs with gestational diabetes (GDM). We hypothesized that such dysregulation might arise from increased maternofetal glucose, leptin or insulin concentrations present in GDM, and that dysregulated PA and OA lipid metabolism could be moderated by myo-inositol, a natural polyol and potential GDM intervention. Placental explants from 21 women were incubated with stable isotope-labelled C-13-PA or C-13-OA for 48 h. Explants were treated with glucose (5, 10 mm) or leptin (13 nm) or insulin (150 nm) in combination with myo-inositol (0.3, 30, 60 mu m). Forty-seven 13C-PA lipids and 37 C-13-OA lipids were measured by liquid chromatography-mass spectrometry (LCMS). Compared with controls (5 mm glucose), glucose (10 mm) increased 19 C-13-OA lipids and nine C-13-PA lipids, but decreased C-13-OA phosphatidylethanolamine 38:5 and C-13-PA phosphatidylethanolamine 36:4. The effects of leptin and insulin were less prominent than glucose, with leptin increasing C-13-OA acylcarnitine 18:1, and insulin increasing four C-13-PA triacylglycerides. Most glucose, leptin and insulin-induced alterations in lipids were attenuated by co-incubation with myo-inositol (30 or 60 mu m), with attenuation also occurring in all subgroups stratified by GDM status and fetal sex. However, glucose-induced increases in acylcarnitine were not attenuated by myo-inositol and were even exaggerated in some instances. Myo-inositol therefore appears to generally act as a moderator, suppressing the perturbation of lipid metabolic processes by glucose, leptin and insulin in placenta in vitro. Whether myo-inositol protects the fetus and pregnancy from unfavourable outcomes requires further research.</t>
  </si>
  <si>
    <t>[Watkins, Oliver C.; Pillai, Reshma Appukuttan; Selvam, Preben; Cracknell-Hazra, Victoria K. B.; Sharma, Neha; Chan, Shiao-Yng] Natl Univ Singapore, Yong Loo Lin Sch Med, Dept Obstet &amp; Gynaecol, 1E Kent Ridge Rd,NUHS Tower Block,Level 12, Singapore 119228, Singapore; [Yong, Hannah E. J.; Cracknell-Hazra, Victoria K. B.; Chan, Shiao-Yng] Singapore Inst Clin Sci, Agcy Sci Technol &amp; Res, Singapore, Singapore; [Cazenave-Gassiot, Amaury; Wenk, Markus R.] Natl Univ Singapore, Yong Loo Lin Sch Med &amp; Precis Med TRP, Dept Biochem, Singapore, Singapore; [Cazenave-Gassiot, Amaury; Bendt, Anne K.; Wenk, Markus R.] Natl Univ Singapore, Life Sci Inst, Singapore Lipid Incubator, Singapore, Singapore; [Cracknell-Hazra, Victoria K. B.; Godfrey, Keith M.; Lewis, Rohan M.] Univ Southampton, MRC Lifecourse Epidemiol Ctr, Southampton, England; [Cracknell-Hazra, Victoria K. B.; Godfrey, Keith M.; Lewis, Rohan M.] Univ Southampton, NIHR Southampton Biomed Res Ctr, Southampton, England; [Cracknell-Hazra, Victoria K. B.; Godfrey, Keith M.; Lewis, Rohan M.] Univ Hosp Southampton NHS Fdn Trust, Southampton, England</t>
  </si>
  <si>
    <t>National University of Singapore; Agency for Science Technology &amp; Research (A*STAR); A*STAR - Singapore Institute for Clinical Sciences (SICS); National University of Singapore; National University of Singapore; University of Southampton; University of Southampton; University of Southampton; University Hospital Southampton NHS Foundation Trust</t>
  </si>
  <si>
    <t>Chan, SY (corresponding author), Natl Univ Singapore, Yong Loo Lin Sch Med, Dept Obstet &amp; Gynaecol, 1E Kent Ridge Rd,NUHS Tower Block,Level 12, Singapore 119228, Singapore.</t>
  </si>
  <si>
    <t>obgchan@nus.edu.sg</t>
  </si>
  <si>
    <t>Lewis, Rohan/C-9350-2011</t>
  </si>
  <si>
    <t>Lewis, Rohan/0000-0003-4044-9104; Yong, Hannah Ee Juen/0000-0002-8814-752X; Watkins, Oliver/0000-0001-8202-6412</t>
  </si>
  <si>
    <t>Singapore National Medical Research Council [NMRC/CSA-INV/0010/2016, MOH-000455]; Societe des Produits Nestle S.A; UK Medical Research Council [MC_UU_12 011/4]; National Institute for Health Research [NF-SI-0515-10 042, IS-BRC-1215-20 004]; European Union (Erasmus+ Programme ImpENSA ) [598 488-EPP-1-2018-1-DE-EPPKA2-CBHE-JP]; British Heart Foundation [RG/15/17/3174, SP/F/21/150 013]; Life Sciences Institute, the National University of Singapore Yong Loo Lin School of Medicine; National Research Foundation [NRFI2015-05]; A*STAR [IAF-ICP I1901E0040]</t>
  </si>
  <si>
    <t>Singapore National Medical Research Council(National Medical Research Council, Singapore); Societe des Produits Nestle S.A(Nestle SA); UK Medical Research Council(UK Research &amp; Innovation (UKRI)Medical Research Council UK (MRC)); National Institute for Health Research(National Institutes of Health Research (NIHR)); European Union (Erasmus+ Programme ImpENSA )(European Union (EU)Marie Curie Actions); British Heart Foundation(British Heart Foundation); Life Sciences Institute, the National University of Singapore Yong Loo Lin School of Medicine; National Research Foundation; A*STAR(Agency for Science Technology &amp; Research (A*STAR))</t>
  </si>
  <si>
    <t>This research is supported by a Clinician Scientist Award awarded to SYC from the Singapore National Medical Research Council (NMRC/CSA-INV/0010/2016; MOH-000455). SYC and KMG are part of an academic consortium that has received research funding from Societe des Produits Nestle S.A. for work unrelated to this manuscript, and are co-inventors on patent filings by Nestle S.A. which covers the use of inositol in human health applications but which do not draw on the work in this manuscript. KMG has received reimbursement for speaking at conferences sponsored by companies selling nutritional products. KMG is supported by the UK Medical Research Council (MC_UU_12 011/4), the National Institute for Health Research (NIHR Senior Investigator (NF-SI-0515-10 042) and NIHR Southampton Biomedical Research Centre (IS-BRC-1215-20 004)), the European Union (Erasmus+ Programme ImpENSA 598 488-EPP-1-2018-1-DE-EPPKA2-CBHE-JP) and the British Heart Foundation (RG/15/17/3174, SP/F/21/150 013). The Singapore Lipidomics Incubator receives funding from the Life Sciences Institute, the National University of Singapore Yong Loo Lin School of Medicine, the National Research Foundation (grant number NRFI2015-05) and A*STAR (IAF-ICP I1901E0040). The other authors have no financial or personal conflict of interest to declare. No part of this manuscript may be used for training any generative AI model.</t>
  </si>
  <si>
    <t>0022-3751</t>
  </si>
  <si>
    <t>1469-7793</t>
  </si>
  <si>
    <t>J PHYSIOL-LONDON</t>
  </si>
  <si>
    <t>J. Physiol.-London</t>
  </si>
  <si>
    <t>10.1113/JP285036</t>
  </si>
  <si>
    <t>Neurosciences; Physiology</t>
  </si>
  <si>
    <t>Neurosciences &amp; Neurology; Physiology</t>
  </si>
  <si>
    <t>R9VG9</t>
  </si>
  <si>
    <t>WOS:001052116700001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</si>
</sst>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666"/>
  <sheetViews>
    <sheetView tabSelected="1" topLeftCell="A1531" workbookViewId="0">
      <selection activeCell="N1017" sqref="N1017"/>
    </sheetView>
  </sheetViews>
  <sheetFormatPr defaultRowHeight="12.75" x14ac:dyDescent="0.2"/>
  <sheetData>
    <row r="1" spans="1:72"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row>
    <row r="2" spans="1:72" x14ac:dyDescent="0.2">
      <c r="A2" t="s">
        <v>72</v>
      </c>
      <c r="B2" t="s">
        <v>73</v>
      </c>
      <c r="C2" t="s">
        <v>74</v>
      </c>
      <c r="D2" t="s">
        <v>74</v>
      </c>
      <c r="E2" t="s">
        <v>75</v>
      </c>
      <c r="F2" t="s">
        <v>76</v>
      </c>
      <c r="G2" t="s">
        <v>74</v>
      </c>
      <c r="H2" t="s">
        <v>74</v>
      </c>
      <c r="I2" t="s">
        <v>77</v>
      </c>
      <c r="J2" t="s">
        <v>78</v>
      </c>
      <c r="K2" t="s">
        <v>74</v>
      </c>
      <c r="L2" t="s">
        <v>74</v>
      </c>
      <c r="M2" t="s">
        <v>79</v>
      </c>
      <c r="N2" t="s">
        <v>80</v>
      </c>
      <c r="O2" t="s">
        <v>81</v>
      </c>
      <c r="P2" t="s">
        <v>82</v>
      </c>
      <c r="Q2" t="s">
        <v>83</v>
      </c>
      <c r="R2" t="s">
        <v>84</v>
      </c>
      <c r="S2" t="s">
        <v>74</v>
      </c>
      <c r="T2" t="s">
        <v>85</v>
      </c>
      <c r="U2" t="s">
        <v>74</v>
      </c>
      <c r="V2" t="s">
        <v>86</v>
      </c>
      <c r="W2" t="s">
        <v>87</v>
      </c>
      <c r="X2" t="s">
        <v>88</v>
      </c>
      <c r="Y2" t="s">
        <v>89</v>
      </c>
      <c r="Z2" t="s">
        <v>90</v>
      </c>
      <c r="AA2" t="s">
        <v>74</v>
      </c>
      <c r="AB2" t="s">
        <v>91</v>
      </c>
      <c r="AC2" t="s">
        <v>74</v>
      </c>
      <c r="AD2" t="s">
        <v>74</v>
      </c>
      <c r="AE2" t="s">
        <v>74</v>
      </c>
      <c r="AF2" t="s">
        <v>74</v>
      </c>
      <c r="AG2">
        <v>8</v>
      </c>
      <c r="AH2">
        <v>0</v>
      </c>
      <c r="AI2">
        <v>0</v>
      </c>
      <c r="AJ2">
        <v>18</v>
      </c>
      <c r="AK2">
        <v>18</v>
      </c>
      <c r="AL2" t="s">
        <v>92</v>
      </c>
      <c r="AM2" t="s">
        <v>93</v>
      </c>
      <c r="AN2" t="s">
        <v>94</v>
      </c>
      <c r="AO2" t="s">
        <v>74</v>
      </c>
      <c r="AP2" t="s">
        <v>74</v>
      </c>
      <c r="AQ2" t="s">
        <v>95</v>
      </c>
      <c r="AR2" t="s">
        <v>74</v>
      </c>
      <c r="AS2" t="s">
        <v>74</v>
      </c>
      <c r="AT2" t="s">
        <v>74</v>
      </c>
      <c r="AU2">
        <v>2023</v>
      </c>
      <c r="AV2" t="s">
        <v>74</v>
      </c>
      <c r="AW2" t="s">
        <v>74</v>
      </c>
      <c r="AX2" t="s">
        <v>74</v>
      </c>
      <c r="AY2" t="s">
        <v>74</v>
      </c>
      <c r="AZ2" t="s">
        <v>74</v>
      </c>
      <c r="BA2" t="s">
        <v>74</v>
      </c>
      <c r="BB2" t="s">
        <v>74</v>
      </c>
      <c r="BC2" t="s">
        <v>74</v>
      </c>
      <c r="BD2">
        <v>107</v>
      </c>
      <c r="BE2" t="s">
        <v>96</v>
      </c>
      <c r="BF2" t="str">
        <f>HYPERLINK("http://dx.doi.org/10.1145/3586182.3617431","http://dx.doi.org/10.1145/3586182.3617431")</f>
        <v>http://dx.doi.org/10.1145/3586182.3617431</v>
      </c>
      <c r="BG2" t="s">
        <v>74</v>
      </c>
      <c r="BH2" t="s">
        <v>74</v>
      </c>
      <c r="BI2">
        <v>3</v>
      </c>
      <c r="BJ2" t="s">
        <v>97</v>
      </c>
      <c r="BK2" t="s">
        <v>98</v>
      </c>
      <c r="BL2" t="s">
        <v>99</v>
      </c>
      <c r="BM2" t="s">
        <v>100</v>
      </c>
      <c r="BN2" t="s">
        <v>74</v>
      </c>
      <c r="BO2" t="s">
        <v>74</v>
      </c>
      <c r="BP2" t="s">
        <v>74</v>
      </c>
      <c r="BQ2" t="s">
        <v>74</v>
      </c>
      <c r="BR2" t="s">
        <v>101</v>
      </c>
      <c r="BS2" t="s">
        <v>102</v>
      </c>
      <c r="BT2" t="str">
        <f>HYPERLINK("https%3A%2F%2Fwww.webofscience.com%2Fwos%2Fwoscc%2Ffull-record%2FWOS:001125107000106","View Full Record in Web of Science")</f>
        <v>View Full Record in Web of Science</v>
      </c>
    </row>
    <row r="3" spans="1:72" x14ac:dyDescent="0.2">
      <c r="A3" t="s">
        <v>103</v>
      </c>
      <c r="B3" t="s">
        <v>104</v>
      </c>
      <c r="C3" t="s">
        <v>74</v>
      </c>
      <c r="D3" t="s">
        <v>74</v>
      </c>
      <c r="E3" t="s">
        <v>74</v>
      </c>
      <c r="F3" t="s">
        <v>105</v>
      </c>
      <c r="G3" t="s">
        <v>74</v>
      </c>
      <c r="H3" t="s">
        <v>74</v>
      </c>
      <c r="I3" t="s">
        <v>106</v>
      </c>
      <c r="J3" t="s">
        <v>107</v>
      </c>
      <c r="K3" t="s">
        <v>74</v>
      </c>
      <c r="L3" t="s">
        <v>74</v>
      </c>
      <c r="M3" t="s">
        <v>79</v>
      </c>
      <c r="N3" t="s">
        <v>108</v>
      </c>
      <c r="O3" t="s">
        <v>74</v>
      </c>
      <c r="P3" t="s">
        <v>74</v>
      </c>
      <c r="Q3" t="s">
        <v>74</v>
      </c>
      <c r="R3" t="s">
        <v>74</v>
      </c>
      <c r="S3" t="s">
        <v>74</v>
      </c>
      <c r="T3" t="s">
        <v>109</v>
      </c>
      <c r="U3" t="s">
        <v>110</v>
      </c>
      <c r="V3" t="s">
        <v>111</v>
      </c>
      <c r="W3" t="s">
        <v>112</v>
      </c>
      <c r="X3" t="s">
        <v>113</v>
      </c>
      <c r="Y3" t="s">
        <v>114</v>
      </c>
      <c r="Z3" t="s">
        <v>115</v>
      </c>
      <c r="AA3" t="s">
        <v>74</v>
      </c>
      <c r="AB3" t="s">
        <v>116</v>
      </c>
      <c r="AC3" t="s">
        <v>117</v>
      </c>
      <c r="AD3" t="s">
        <v>113</v>
      </c>
      <c r="AE3" t="s">
        <v>118</v>
      </c>
      <c r="AF3" t="s">
        <v>74</v>
      </c>
      <c r="AG3">
        <v>91</v>
      </c>
      <c r="AH3">
        <v>0</v>
      </c>
      <c r="AI3">
        <v>0</v>
      </c>
      <c r="AJ3">
        <v>18</v>
      </c>
      <c r="AK3">
        <v>18</v>
      </c>
      <c r="AL3" t="s">
        <v>119</v>
      </c>
      <c r="AM3" t="s">
        <v>120</v>
      </c>
      <c r="AN3" t="s">
        <v>121</v>
      </c>
      <c r="AO3" t="s">
        <v>122</v>
      </c>
      <c r="AP3" t="s">
        <v>123</v>
      </c>
      <c r="AQ3" t="s">
        <v>74</v>
      </c>
      <c r="AR3" t="s">
        <v>124</v>
      </c>
      <c r="AS3" t="s">
        <v>125</v>
      </c>
      <c r="AT3" t="s">
        <v>126</v>
      </c>
      <c r="AU3">
        <v>2024</v>
      </c>
      <c r="AV3">
        <v>129</v>
      </c>
      <c r="AW3" t="s">
        <v>74</v>
      </c>
      <c r="AX3" t="s">
        <v>74</v>
      </c>
      <c r="AY3" t="s">
        <v>74</v>
      </c>
      <c r="AZ3" t="s">
        <v>74</v>
      </c>
      <c r="BA3" t="s">
        <v>74</v>
      </c>
      <c r="BB3" t="s">
        <v>74</v>
      </c>
      <c r="BC3" t="s">
        <v>74</v>
      </c>
      <c r="BD3">
        <v>107666</v>
      </c>
      <c r="BE3" t="s">
        <v>127</v>
      </c>
      <c r="BF3" t="str">
        <f>HYPERLINK("http://dx.doi.org/10.1016/j.engappai.2023.107666","http://dx.doi.org/10.1016/j.engappai.2023.107666")</f>
        <v>http://dx.doi.org/10.1016/j.engappai.2023.107666</v>
      </c>
      <c r="BG3" t="s">
        <v>74</v>
      </c>
      <c r="BH3" t="s">
        <v>128</v>
      </c>
      <c r="BI3">
        <v>25</v>
      </c>
      <c r="BJ3" t="s">
        <v>129</v>
      </c>
      <c r="BK3" t="s">
        <v>130</v>
      </c>
      <c r="BL3" t="s">
        <v>131</v>
      </c>
      <c r="BM3" t="s">
        <v>132</v>
      </c>
      <c r="BN3" t="s">
        <v>74</v>
      </c>
      <c r="BO3" t="s">
        <v>74</v>
      </c>
      <c r="BP3" t="s">
        <v>74</v>
      </c>
      <c r="BQ3" t="s">
        <v>74</v>
      </c>
      <c r="BR3" t="s">
        <v>101</v>
      </c>
      <c r="BS3" t="s">
        <v>133</v>
      </c>
      <c r="BT3" t="str">
        <f>HYPERLINK("https%3A%2F%2Fwww.webofscience.com%2Fwos%2Fwoscc%2Ffull-record%2FWOS:001136038900001","View Full Record in Web of Science")</f>
        <v>View Full Record in Web of Science</v>
      </c>
    </row>
    <row r="4" spans="1:72" x14ac:dyDescent="0.2">
      <c r="A4" t="s">
        <v>103</v>
      </c>
      <c r="B4" t="s">
        <v>134</v>
      </c>
      <c r="C4" t="s">
        <v>74</v>
      </c>
      <c r="D4" t="s">
        <v>74</v>
      </c>
      <c r="E4" t="s">
        <v>74</v>
      </c>
      <c r="F4" t="s">
        <v>135</v>
      </c>
      <c r="G4" t="s">
        <v>74</v>
      </c>
      <c r="H4" t="s">
        <v>74</v>
      </c>
      <c r="I4" t="s">
        <v>136</v>
      </c>
      <c r="J4" t="s">
        <v>137</v>
      </c>
      <c r="K4" t="s">
        <v>74</v>
      </c>
      <c r="L4" t="s">
        <v>74</v>
      </c>
      <c r="M4" t="s">
        <v>79</v>
      </c>
      <c r="N4" t="s">
        <v>138</v>
      </c>
      <c r="O4" t="s">
        <v>74</v>
      </c>
      <c r="P4" t="s">
        <v>74</v>
      </c>
      <c r="Q4" t="s">
        <v>74</v>
      </c>
      <c r="R4" t="s">
        <v>74</v>
      </c>
      <c r="S4" t="s">
        <v>74</v>
      </c>
      <c r="T4" t="s">
        <v>139</v>
      </c>
      <c r="U4" t="s">
        <v>74</v>
      </c>
      <c r="V4" t="s">
        <v>140</v>
      </c>
      <c r="W4" t="s">
        <v>141</v>
      </c>
      <c r="X4" t="s">
        <v>142</v>
      </c>
      <c r="Y4" t="s">
        <v>143</v>
      </c>
      <c r="Z4" t="s">
        <v>144</v>
      </c>
      <c r="AA4" t="s">
        <v>74</v>
      </c>
      <c r="AB4" t="s">
        <v>145</v>
      </c>
      <c r="AC4" t="s">
        <v>146</v>
      </c>
      <c r="AD4" t="s">
        <v>146</v>
      </c>
      <c r="AE4" t="s">
        <v>147</v>
      </c>
      <c r="AF4" t="s">
        <v>74</v>
      </c>
      <c r="AG4">
        <v>41</v>
      </c>
      <c r="AH4">
        <v>0</v>
      </c>
      <c r="AI4">
        <v>0</v>
      </c>
      <c r="AJ4">
        <v>90</v>
      </c>
      <c r="AK4">
        <v>90</v>
      </c>
      <c r="AL4" t="s">
        <v>148</v>
      </c>
      <c r="AM4" t="s">
        <v>149</v>
      </c>
      <c r="AN4" t="s">
        <v>150</v>
      </c>
      <c r="AO4" t="s">
        <v>151</v>
      </c>
      <c r="AP4" t="s">
        <v>152</v>
      </c>
      <c r="AQ4" t="s">
        <v>74</v>
      </c>
      <c r="AR4" t="s">
        <v>153</v>
      </c>
      <c r="AS4" t="s">
        <v>154</v>
      </c>
      <c r="AT4" t="s">
        <v>155</v>
      </c>
      <c r="AU4">
        <v>2023</v>
      </c>
      <c r="AV4" t="s">
        <v>74</v>
      </c>
      <c r="AW4" t="s">
        <v>74</v>
      </c>
      <c r="AX4" t="s">
        <v>74</v>
      </c>
      <c r="AY4" t="s">
        <v>74</v>
      </c>
      <c r="AZ4" t="s">
        <v>74</v>
      </c>
      <c r="BA4" t="s">
        <v>74</v>
      </c>
      <c r="BB4" t="s">
        <v>74</v>
      </c>
      <c r="BC4" t="s">
        <v>74</v>
      </c>
      <c r="BD4" t="s">
        <v>74</v>
      </c>
      <c r="BE4" t="s">
        <v>156</v>
      </c>
      <c r="BF4" t="str">
        <f>HYPERLINK("http://dx.doi.org/10.1177/14614448231214811","http://dx.doi.org/10.1177/14614448231214811")</f>
        <v>http://dx.doi.org/10.1177/14614448231214811</v>
      </c>
      <c r="BG4" t="s">
        <v>74</v>
      </c>
      <c r="BH4" t="s">
        <v>157</v>
      </c>
      <c r="BI4">
        <v>19</v>
      </c>
      <c r="BJ4" t="s">
        <v>158</v>
      </c>
      <c r="BK4" t="s">
        <v>159</v>
      </c>
      <c r="BL4" t="s">
        <v>158</v>
      </c>
      <c r="BM4" t="s">
        <v>160</v>
      </c>
      <c r="BN4" t="s">
        <v>74</v>
      </c>
      <c r="BO4" t="s">
        <v>161</v>
      </c>
      <c r="BP4" t="s">
        <v>74</v>
      </c>
      <c r="BQ4" t="s">
        <v>74</v>
      </c>
      <c r="BR4" t="s">
        <v>101</v>
      </c>
      <c r="BS4" t="s">
        <v>162</v>
      </c>
      <c r="BT4" t="str">
        <f>HYPERLINK("https%3A%2F%2Fwww.webofscience.com%2Fwos%2Fwoscc%2Ffull-record%2FWOS:001111091300001","View Full Record in Web of Science")</f>
        <v>View Full Record in Web of Science</v>
      </c>
    </row>
    <row r="5" spans="1:72" x14ac:dyDescent="0.2">
      <c r="A5" t="s">
        <v>72</v>
      </c>
      <c r="B5" t="s">
        <v>163</v>
      </c>
      <c r="C5" t="s">
        <v>74</v>
      </c>
      <c r="D5" t="s">
        <v>74</v>
      </c>
      <c r="E5" t="s">
        <v>75</v>
      </c>
      <c r="F5" t="s">
        <v>164</v>
      </c>
      <c r="G5" t="s">
        <v>74</v>
      </c>
      <c r="H5" t="s">
        <v>74</v>
      </c>
      <c r="I5" t="s">
        <v>165</v>
      </c>
      <c r="J5" t="s">
        <v>166</v>
      </c>
      <c r="K5" t="s">
        <v>74</v>
      </c>
      <c r="L5" t="s">
        <v>74</v>
      </c>
      <c r="M5" t="s">
        <v>79</v>
      </c>
      <c r="N5" t="s">
        <v>80</v>
      </c>
      <c r="O5" t="s">
        <v>167</v>
      </c>
      <c r="P5" t="s">
        <v>168</v>
      </c>
      <c r="Q5" t="s">
        <v>169</v>
      </c>
      <c r="R5" t="s">
        <v>170</v>
      </c>
      <c r="S5" t="s">
        <v>74</v>
      </c>
      <c r="T5" t="s">
        <v>171</v>
      </c>
      <c r="U5" t="s">
        <v>74</v>
      </c>
      <c r="V5" t="s">
        <v>172</v>
      </c>
      <c r="W5" t="s">
        <v>173</v>
      </c>
      <c r="X5" t="s">
        <v>174</v>
      </c>
      <c r="Y5" t="s">
        <v>175</v>
      </c>
      <c r="Z5" t="s">
        <v>176</v>
      </c>
      <c r="AA5" t="s">
        <v>74</v>
      </c>
      <c r="AB5" t="s">
        <v>74</v>
      </c>
      <c r="AC5" t="s">
        <v>74</v>
      </c>
      <c r="AD5" t="s">
        <v>74</v>
      </c>
      <c r="AE5" t="s">
        <v>74</v>
      </c>
      <c r="AF5" t="s">
        <v>74</v>
      </c>
      <c r="AG5">
        <v>8</v>
      </c>
      <c r="AH5">
        <v>0</v>
      </c>
      <c r="AI5">
        <v>0</v>
      </c>
      <c r="AJ5">
        <v>8</v>
      </c>
      <c r="AK5">
        <v>8</v>
      </c>
      <c r="AL5" t="s">
        <v>92</v>
      </c>
      <c r="AM5" t="s">
        <v>93</v>
      </c>
      <c r="AN5" t="s">
        <v>94</v>
      </c>
      <c r="AO5" t="s">
        <v>74</v>
      </c>
      <c r="AP5" t="s">
        <v>74</v>
      </c>
      <c r="AQ5" t="s">
        <v>177</v>
      </c>
      <c r="AR5" t="s">
        <v>74</v>
      </c>
      <c r="AS5" t="s">
        <v>74</v>
      </c>
      <c r="AT5" t="s">
        <v>74</v>
      </c>
      <c r="AU5">
        <v>2023</v>
      </c>
      <c r="AV5" t="s">
        <v>74</v>
      </c>
      <c r="AW5" t="s">
        <v>74</v>
      </c>
      <c r="AX5" t="s">
        <v>74</v>
      </c>
      <c r="AY5" t="s">
        <v>74</v>
      </c>
      <c r="AZ5" t="s">
        <v>74</v>
      </c>
      <c r="BA5" t="s">
        <v>74</v>
      </c>
      <c r="BB5">
        <v>380</v>
      </c>
      <c r="BC5">
        <v>383</v>
      </c>
      <c r="BD5" t="s">
        <v>74</v>
      </c>
      <c r="BE5" t="s">
        <v>178</v>
      </c>
      <c r="BF5" t="str">
        <f>HYPERLINK("http://dx.doi.org/10.1145/3591196.3596616","http://dx.doi.org/10.1145/3591196.3596616")</f>
        <v>http://dx.doi.org/10.1145/3591196.3596616</v>
      </c>
      <c r="BG5" t="s">
        <v>74</v>
      </c>
      <c r="BH5" t="s">
        <v>74</v>
      </c>
      <c r="BI5">
        <v>4</v>
      </c>
      <c r="BJ5" t="s">
        <v>179</v>
      </c>
      <c r="BK5" t="s">
        <v>180</v>
      </c>
      <c r="BL5" t="s">
        <v>181</v>
      </c>
      <c r="BM5" t="s">
        <v>182</v>
      </c>
      <c r="BN5" t="s">
        <v>74</v>
      </c>
      <c r="BO5" t="s">
        <v>74</v>
      </c>
      <c r="BP5" t="s">
        <v>74</v>
      </c>
      <c r="BQ5" t="s">
        <v>74</v>
      </c>
      <c r="BR5" t="s">
        <v>101</v>
      </c>
      <c r="BS5" t="s">
        <v>183</v>
      </c>
      <c r="BT5" t="str">
        <f>HYPERLINK("https%3A%2F%2Fwww.webofscience.com%2Fwos%2Fwoscc%2Ffull-record%2FWOS:001119074200057","View Full Record in Web of Science")</f>
        <v>View Full Record in Web of Science</v>
      </c>
    </row>
    <row r="6" spans="1:72" x14ac:dyDescent="0.2">
      <c r="A6" t="s">
        <v>72</v>
      </c>
      <c r="B6" t="s">
        <v>184</v>
      </c>
      <c r="C6" t="s">
        <v>74</v>
      </c>
      <c r="D6" t="s">
        <v>74</v>
      </c>
      <c r="E6" t="s">
        <v>75</v>
      </c>
      <c r="F6" t="s">
        <v>185</v>
      </c>
      <c r="G6" t="s">
        <v>74</v>
      </c>
      <c r="H6" t="s">
        <v>74</v>
      </c>
      <c r="I6" t="s">
        <v>186</v>
      </c>
      <c r="J6" t="s">
        <v>187</v>
      </c>
      <c r="K6" t="s">
        <v>74</v>
      </c>
      <c r="L6" t="s">
        <v>74</v>
      </c>
      <c r="M6" t="s">
        <v>79</v>
      </c>
      <c r="N6" t="s">
        <v>80</v>
      </c>
      <c r="O6" t="s">
        <v>188</v>
      </c>
      <c r="P6" t="s">
        <v>189</v>
      </c>
      <c r="Q6" t="s">
        <v>190</v>
      </c>
      <c r="R6" t="s">
        <v>191</v>
      </c>
      <c r="S6" t="s">
        <v>192</v>
      </c>
      <c r="T6" t="s">
        <v>193</v>
      </c>
      <c r="U6" t="s">
        <v>74</v>
      </c>
      <c r="V6" t="s">
        <v>194</v>
      </c>
      <c r="W6" t="s">
        <v>195</v>
      </c>
      <c r="X6" t="s">
        <v>196</v>
      </c>
      <c r="Y6" t="s">
        <v>197</v>
      </c>
      <c r="Z6" t="s">
        <v>198</v>
      </c>
      <c r="AA6" t="s">
        <v>74</v>
      </c>
      <c r="AB6" t="s">
        <v>199</v>
      </c>
      <c r="AC6" t="s">
        <v>200</v>
      </c>
      <c r="AD6" t="s">
        <v>201</v>
      </c>
      <c r="AE6" t="s">
        <v>202</v>
      </c>
      <c r="AF6" t="s">
        <v>74</v>
      </c>
      <c r="AG6">
        <v>21</v>
      </c>
      <c r="AH6">
        <v>0</v>
      </c>
      <c r="AI6">
        <v>0</v>
      </c>
      <c r="AJ6">
        <v>13</v>
      </c>
      <c r="AK6">
        <v>13</v>
      </c>
      <c r="AL6" t="s">
        <v>92</v>
      </c>
      <c r="AM6" t="s">
        <v>93</v>
      </c>
      <c r="AN6" t="s">
        <v>94</v>
      </c>
      <c r="AO6" t="s">
        <v>74</v>
      </c>
      <c r="AP6" t="s">
        <v>74</v>
      </c>
      <c r="AQ6" t="s">
        <v>203</v>
      </c>
      <c r="AR6" t="s">
        <v>74</v>
      </c>
      <c r="AS6" t="s">
        <v>74</v>
      </c>
      <c r="AT6" t="s">
        <v>74</v>
      </c>
      <c r="AU6">
        <v>2023</v>
      </c>
      <c r="AV6" t="s">
        <v>74</v>
      </c>
      <c r="AW6" t="s">
        <v>74</v>
      </c>
      <c r="AX6" t="s">
        <v>74</v>
      </c>
      <c r="AY6" t="s">
        <v>74</v>
      </c>
      <c r="AZ6" t="s">
        <v>74</v>
      </c>
      <c r="BA6" t="s">
        <v>74</v>
      </c>
      <c r="BB6" t="s">
        <v>74</v>
      </c>
      <c r="BC6" t="s">
        <v>74</v>
      </c>
      <c r="BD6">
        <v>7</v>
      </c>
      <c r="BE6" t="s">
        <v>204</v>
      </c>
      <c r="BF6" t="str">
        <f>HYPERLINK("http://dx.doi.org/10.1145/3571884.3603756","http://dx.doi.org/10.1145/3571884.3603756")</f>
        <v>http://dx.doi.org/10.1145/3571884.3603756</v>
      </c>
      <c r="BG6" t="s">
        <v>74</v>
      </c>
      <c r="BH6" t="s">
        <v>74</v>
      </c>
      <c r="BI6">
        <v>5</v>
      </c>
      <c r="BJ6" t="s">
        <v>205</v>
      </c>
      <c r="BK6" t="s">
        <v>98</v>
      </c>
      <c r="BL6" t="s">
        <v>206</v>
      </c>
      <c r="BM6" t="s">
        <v>207</v>
      </c>
      <c r="BN6" t="s">
        <v>74</v>
      </c>
      <c r="BO6" t="s">
        <v>208</v>
      </c>
      <c r="BP6" t="s">
        <v>74</v>
      </c>
      <c r="BQ6" t="s">
        <v>74</v>
      </c>
      <c r="BR6" t="s">
        <v>101</v>
      </c>
      <c r="BS6" t="s">
        <v>209</v>
      </c>
      <c r="BT6" t="str">
        <f>HYPERLINK("https%3A%2F%2Fwww.webofscience.com%2Fwos%2Fwoscc%2Ffull-record%2FWOS:001122710800007","View Full Record in Web of Science")</f>
        <v>View Full Record in Web of Science</v>
      </c>
    </row>
    <row r="7" spans="1:72" x14ac:dyDescent="0.2">
      <c r="A7" t="s">
        <v>103</v>
      </c>
      <c r="B7" t="s">
        <v>210</v>
      </c>
      <c r="C7" t="s">
        <v>74</v>
      </c>
      <c r="D7" t="s">
        <v>74</v>
      </c>
      <c r="E7" t="s">
        <v>74</v>
      </c>
      <c r="F7" t="s">
        <v>211</v>
      </c>
      <c r="G7" t="s">
        <v>74</v>
      </c>
      <c r="H7" t="s">
        <v>74</v>
      </c>
      <c r="I7" t="s">
        <v>212</v>
      </c>
      <c r="J7" t="s">
        <v>213</v>
      </c>
      <c r="K7" t="s">
        <v>74</v>
      </c>
      <c r="L7" t="s">
        <v>74</v>
      </c>
      <c r="M7" t="s">
        <v>79</v>
      </c>
      <c r="N7" t="s">
        <v>138</v>
      </c>
      <c r="O7" t="s">
        <v>74</v>
      </c>
      <c r="P7" t="s">
        <v>74</v>
      </c>
      <c r="Q7" t="s">
        <v>74</v>
      </c>
      <c r="R7" t="s">
        <v>74</v>
      </c>
      <c r="S7" t="s">
        <v>74</v>
      </c>
      <c r="T7" t="s">
        <v>214</v>
      </c>
      <c r="U7" t="s">
        <v>215</v>
      </c>
      <c r="V7" t="s">
        <v>216</v>
      </c>
      <c r="W7" t="s">
        <v>217</v>
      </c>
      <c r="X7" t="s">
        <v>74</v>
      </c>
      <c r="Y7" t="s">
        <v>218</v>
      </c>
      <c r="Z7" t="s">
        <v>219</v>
      </c>
      <c r="AA7" t="s">
        <v>74</v>
      </c>
      <c r="AB7" t="s">
        <v>74</v>
      </c>
      <c r="AC7" t="s">
        <v>74</v>
      </c>
      <c r="AD7" t="s">
        <v>74</v>
      </c>
      <c r="AE7" t="s">
        <v>74</v>
      </c>
      <c r="AF7" t="s">
        <v>74</v>
      </c>
      <c r="AG7">
        <v>48</v>
      </c>
      <c r="AH7">
        <v>3</v>
      </c>
      <c r="AI7">
        <v>3</v>
      </c>
      <c r="AJ7">
        <v>211</v>
      </c>
      <c r="AK7">
        <v>246</v>
      </c>
      <c r="AL7" t="s">
        <v>220</v>
      </c>
      <c r="AM7" t="s">
        <v>221</v>
      </c>
      <c r="AN7" t="s">
        <v>222</v>
      </c>
      <c r="AO7" t="s">
        <v>223</v>
      </c>
      <c r="AP7" t="s">
        <v>224</v>
      </c>
      <c r="AQ7" t="s">
        <v>74</v>
      </c>
      <c r="AR7" t="s">
        <v>225</v>
      </c>
      <c r="AS7" t="s">
        <v>226</v>
      </c>
      <c r="AT7" t="s">
        <v>227</v>
      </c>
      <c r="AU7">
        <v>2023</v>
      </c>
      <c r="AV7" t="s">
        <v>74</v>
      </c>
      <c r="AW7" t="s">
        <v>74</v>
      </c>
      <c r="AX7" t="s">
        <v>74</v>
      </c>
      <c r="AY7" t="s">
        <v>74</v>
      </c>
      <c r="AZ7" t="s">
        <v>74</v>
      </c>
      <c r="BA7" t="s">
        <v>74</v>
      </c>
      <c r="BB7" t="s">
        <v>74</v>
      </c>
      <c r="BC7" t="s">
        <v>74</v>
      </c>
      <c r="BD7" t="s">
        <v>74</v>
      </c>
      <c r="BE7" t="s">
        <v>228</v>
      </c>
      <c r="BF7" t="str">
        <f>HYPERLINK("http://dx.doi.org/10.1080/08874417.2023.2240744","http://dx.doi.org/10.1080/08874417.2023.2240744")</f>
        <v>http://dx.doi.org/10.1080/08874417.2023.2240744</v>
      </c>
      <c r="BG7" t="s">
        <v>74</v>
      </c>
      <c r="BH7" t="s">
        <v>229</v>
      </c>
      <c r="BI7">
        <v>16</v>
      </c>
      <c r="BJ7" t="s">
        <v>230</v>
      </c>
      <c r="BK7" t="s">
        <v>130</v>
      </c>
      <c r="BL7" t="s">
        <v>99</v>
      </c>
      <c r="BM7" t="s">
        <v>231</v>
      </c>
      <c r="BN7" t="s">
        <v>74</v>
      </c>
      <c r="BO7" t="s">
        <v>74</v>
      </c>
      <c r="BP7" t="s">
        <v>74</v>
      </c>
      <c r="BQ7" t="s">
        <v>74</v>
      </c>
      <c r="BR7" t="s">
        <v>101</v>
      </c>
      <c r="BS7" t="s">
        <v>232</v>
      </c>
      <c r="BT7" t="str">
        <f>HYPERLINK("https%3A%2F%2Fwww.webofscience.com%2Fwos%2Fwoscc%2Ffull-record%2FWOS:001039548700001","View Full Record in Web of Science")</f>
        <v>View Full Record in Web of Science</v>
      </c>
    </row>
    <row r="8" spans="1:72" x14ac:dyDescent="0.2">
      <c r="A8" t="s">
        <v>103</v>
      </c>
      <c r="B8" t="s">
        <v>233</v>
      </c>
      <c r="C8" t="s">
        <v>74</v>
      </c>
      <c r="D8" t="s">
        <v>74</v>
      </c>
      <c r="E8" t="s">
        <v>74</v>
      </c>
      <c r="F8" t="s">
        <v>234</v>
      </c>
      <c r="G8" t="s">
        <v>74</v>
      </c>
      <c r="H8" t="s">
        <v>74</v>
      </c>
      <c r="I8" t="s">
        <v>235</v>
      </c>
      <c r="J8" t="s">
        <v>236</v>
      </c>
      <c r="K8" t="s">
        <v>74</v>
      </c>
      <c r="L8" t="s">
        <v>74</v>
      </c>
      <c r="M8" t="s">
        <v>79</v>
      </c>
      <c r="N8" t="s">
        <v>108</v>
      </c>
      <c r="O8" t="s">
        <v>74</v>
      </c>
      <c r="P8" t="s">
        <v>74</v>
      </c>
      <c r="Q8" t="s">
        <v>74</v>
      </c>
      <c r="R8" t="s">
        <v>74</v>
      </c>
      <c r="S8" t="s">
        <v>74</v>
      </c>
      <c r="T8" t="s">
        <v>237</v>
      </c>
      <c r="U8" t="s">
        <v>238</v>
      </c>
      <c r="V8" t="s">
        <v>239</v>
      </c>
      <c r="W8" t="s">
        <v>240</v>
      </c>
      <c r="X8" t="s">
        <v>241</v>
      </c>
      <c r="Y8" t="s">
        <v>242</v>
      </c>
      <c r="Z8" t="s">
        <v>243</v>
      </c>
      <c r="AA8" t="s">
        <v>74</v>
      </c>
      <c r="AB8" t="s">
        <v>74</v>
      </c>
      <c r="AC8" t="s">
        <v>74</v>
      </c>
      <c r="AD8" t="s">
        <v>74</v>
      </c>
      <c r="AE8" t="s">
        <v>74</v>
      </c>
      <c r="AF8" t="s">
        <v>74</v>
      </c>
      <c r="AG8">
        <v>115</v>
      </c>
      <c r="AH8">
        <v>0</v>
      </c>
      <c r="AI8">
        <v>0</v>
      </c>
      <c r="AJ8">
        <v>79</v>
      </c>
      <c r="AK8">
        <v>89</v>
      </c>
      <c r="AL8" t="s">
        <v>244</v>
      </c>
      <c r="AM8" t="s">
        <v>245</v>
      </c>
      <c r="AN8" t="s">
        <v>246</v>
      </c>
      <c r="AO8" t="s">
        <v>247</v>
      </c>
      <c r="AP8" t="s">
        <v>248</v>
      </c>
      <c r="AQ8" t="s">
        <v>74</v>
      </c>
      <c r="AR8" t="s">
        <v>249</v>
      </c>
      <c r="AS8" t="s">
        <v>250</v>
      </c>
      <c r="AT8" t="s">
        <v>251</v>
      </c>
      <c r="AU8">
        <v>2024</v>
      </c>
      <c r="AV8">
        <v>79</v>
      </c>
      <c r="AW8" t="s">
        <v>252</v>
      </c>
      <c r="AX8" t="s">
        <v>74</v>
      </c>
      <c r="AY8" t="s">
        <v>74</v>
      </c>
      <c r="AZ8" t="s">
        <v>253</v>
      </c>
      <c r="BA8" t="s">
        <v>74</v>
      </c>
      <c r="BB8">
        <v>15</v>
      </c>
      <c r="BC8">
        <v>33</v>
      </c>
      <c r="BD8" t="s">
        <v>74</v>
      </c>
      <c r="BE8" t="s">
        <v>254</v>
      </c>
      <c r="BF8" t="str">
        <f>HYPERLINK("http://dx.doi.org/10.1007/s12243-023-00980-9","http://dx.doi.org/10.1007/s12243-023-00980-9")</f>
        <v>http://dx.doi.org/10.1007/s12243-023-00980-9</v>
      </c>
      <c r="BG8" t="s">
        <v>74</v>
      </c>
      <c r="BH8" t="s">
        <v>255</v>
      </c>
      <c r="BI8">
        <v>19</v>
      </c>
      <c r="BJ8" t="s">
        <v>256</v>
      </c>
      <c r="BK8" t="s">
        <v>130</v>
      </c>
      <c r="BL8" t="s">
        <v>256</v>
      </c>
      <c r="BM8" t="s">
        <v>257</v>
      </c>
      <c r="BN8" t="s">
        <v>74</v>
      </c>
      <c r="BO8" t="s">
        <v>74</v>
      </c>
      <c r="BP8" t="s">
        <v>74</v>
      </c>
      <c r="BQ8" t="s">
        <v>74</v>
      </c>
      <c r="BR8" t="s">
        <v>101</v>
      </c>
      <c r="BS8" t="s">
        <v>258</v>
      </c>
      <c r="BT8" t="str">
        <f>HYPERLINK("https%3A%2F%2Fwww.webofscience.com%2Fwos%2Fwoscc%2Ffull-record%2FWOS:001051048200001","View Full Record in Web of Science")</f>
        <v>View Full Record in Web of Science</v>
      </c>
    </row>
    <row r="9" spans="1:72" x14ac:dyDescent="0.2">
      <c r="A9" t="s">
        <v>103</v>
      </c>
      <c r="B9" t="s">
        <v>259</v>
      </c>
      <c r="C9" t="s">
        <v>74</v>
      </c>
      <c r="D9" t="s">
        <v>74</v>
      </c>
      <c r="E9" t="s">
        <v>74</v>
      </c>
      <c r="F9" t="s">
        <v>260</v>
      </c>
      <c r="G9" t="s">
        <v>74</v>
      </c>
      <c r="H9" t="s">
        <v>74</v>
      </c>
      <c r="I9" t="s">
        <v>261</v>
      </c>
      <c r="J9" t="s">
        <v>262</v>
      </c>
      <c r="K9" t="s">
        <v>74</v>
      </c>
      <c r="L9" t="s">
        <v>74</v>
      </c>
      <c r="M9" t="s">
        <v>79</v>
      </c>
      <c r="N9" t="s">
        <v>108</v>
      </c>
      <c r="O9" t="s">
        <v>74</v>
      </c>
      <c r="P9" t="s">
        <v>74</v>
      </c>
      <c r="Q9" t="s">
        <v>74</v>
      </c>
      <c r="R9" t="s">
        <v>74</v>
      </c>
      <c r="S9" t="s">
        <v>74</v>
      </c>
      <c r="T9" t="s">
        <v>263</v>
      </c>
      <c r="U9" t="s">
        <v>74</v>
      </c>
      <c r="V9" t="s">
        <v>264</v>
      </c>
      <c r="W9" t="s">
        <v>265</v>
      </c>
      <c r="X9" t="s">
        <v>266</v>
      </c>
      <c r="Y9" t="s">
        <v>267</v>
      </c>
      <c r="Z9" t="s">
        <v>268</v>
      </c>
      <c r="AA9" t="s">
        <v>74</v>
      </c>
      <c r="AB9" t="s">
        <v>269</v>
      </c>
      <c r="AC9" t="s">
        <v>74</v>
      </c>
      <c r="AD9" t="s">
        <v>74</v>
      </c>
      <c r="AE9" t="s">
        <v>74</v>
      </c>
      <c r="AF9" t="s">
        <v>74</v>
      </c>
      <c r="AG9">
        <v>28</v>
      </c>
      <c r="AH9">
        <v>6</v>
      </c>
      <c r="AI9">
        <v>6</v>
      </c>
      <c r="AJ9">
        <v>146</v>
      </c>
      <c r="AK9">
        <v>146</v>
      </c>
      <c r="AL9" t="s">
        <v>270</v>
      </c>
      <c r="AM9" t="s">
        <v>120</v>
      </c>
      <c r="AN9" t="s">
        <v>271</v>
      </c>
      <c r="AO9" t="s">
        <v>272</v>
      </c>
      <c r="AP9" t="s">
        <v>273</v>
      </c>
      <c r="AQ9" t="s">
        <v>74</v>
      </c>
      <c r="AR9" t="s">
        <v>274</v>
      </c>
      <c r="AS9" t="s">
        <v>275</v>
      </c>
      <c r="AT9" t="s">
        <v>276</v>
      </c>
      <c r="AU9">
        <v>2023</v>
      </c>
      <c r="AV9">
        <v>75</v>
      </c>
      <c r="AW9" t="s">
        <v>74</v>
      </c>
      <c r="AX9" t="s">
        <v>74</v>
      </c>
      <c r="AY9" t="s">
        <v>74</v>
      </c>
      <c r="AZ9" t="s">
        <v>74</v>
      </c>
      <c r="BA9" t="s">
        <v>74</v>
      </c>
      <c r="BB9" t="s">
        <v>74</v>
      </c>
      <c r="BC9" t="s">
        <v>74</v>
      </c>
      <c r="BD9">
        <v>102372</v>
      </c>
      <c r="BE9" t="s">
        <v>277</v>
      </c>
      <c r="BF9" t="str">
        <f>HYPERLINK("http://dx.doi.org/10.1016/j.techsoc.2023.102372","http://dx.doi.org/10.1016/j.techsoc.2023.102372")</f>
        <v>http://dx.doi.org/10.1016/j.techsoc.2023.102372</v>
      </c>
      <c r="BG9" t="s">
        <v>74</v>
      </c>
      <c r="BH9" t="s">
        <v>278</v>
      </c>
      <c r="BI9">
        <v>5</v>
      </c>
      <c r="BJ9" t="s">
        <v>279</v>
      </c>
      <c r="BK9" t="s">
        <v>159</v>
      </c>
      <c r="BL9" t="s">
        <v>280</v>
      </c>
      <c r="BM9" t="s">
        <v>281</v>
      </c>
      <c r="BN9" t="s">
        <v>74</v>
      </c>
      <c r="BO9" t="s">
        <v>161</v>
      </c>
      <c r="BP9" t="s">
        <v>74</v>
      </c>
      <c r="BQ9" t="s">
        <v>74</v>
      </c>
      <c r="BR9" t="s">
        <v>101</v>
      </c>
      <c r="BS9" t="s">
        <v>282</v>
      </c>
      <c r="BT9" t="str">
        <f>HYPERLINK("https%3A%2F%2Fwww.webofscience.com%2Fwos%2Fwoscc%2Ffull-record%2FWOS:001078500600001","View Full Record in Web of Science")</f>
        <v>View Full Record in Web of Science</v>
      </c>
    </row>
    <row r="10" spans="1:72" x14ac:dyDescent="0.2">
      <c r="A10" t="s">
        <v>72</v>
      </c>
      <c r="B10" t="s">
        <v>283</v>
      </c>
      <c r="C10" t="s">
        <v>74</v>
      </c>
      <c r="D10" t="s">
        <v>74</v>
      </c>
      <c r="E10" t="s">
        <v>284</v>
      </c>
      <c r="F10" t="s">
        <v>285</v>
      </c>
      <c r="G10" t="s">
        <v>74</v>
      </c>
      <c r="H10" t="s">
        <v>74</v>
      </c>
      <c r="I10" t="s">
        <v>286</v>
      </c>
      <c r="J10" t="s">
        <v>287</v>
      </c>
      <c r="K10" t="s">
        <v>288</v>
      </c>
      <c r="L10" t="s">
        <v>74</v>
      </c>
      <c r="M10" t="s">
        <v>79</v>
      </c>
      <c r="N10" t="s">
        <v>80</v>
      </c>
      <c r="O10" t="s">
        <v>289</v>
      </c>
      <c r="P10" t="s">
        <v>290</v>
      </c>
      <c r="Q10" t="s">
        <v>291</v>
      </c>
      <c r="R10" t="s">
        <v>292</v>
      </c>
      <c r="S10" t="s">
        <v>293</v>
      </c>
      <c r="T10" t="s">
        <v>294</v>
      </c>
      <c r="U10" t="s">
        <v>74</v>
      </c>
      <c r="V10" t="s">
        <v>295</v>
      </c>
      <c r="W10" t="s">
        <v>296</v>
      </c>
      <c r="X10" t="s">
        <v>74</v>
      </c>
      <c r="Y10" t="s">
        <v>297</v>
      </c>
      <c r="Z10" t="s">
        <v>298</v>
      </c>
      <c r="AA10" t="s">
        <v>74</v>
      </c>
      <c r="AB10" t="s">
        <v>74</v>
      </c>
      <c r="AC10" t="s">
        <v>74</v>
      </c>
      <c r="AD10" t="s">
        <v>74</v>
      </c>
      <c r="AE10" t="s">
        <v>74</v>
      </c>
      <c r="AF10" t="s">
        <v>74</v>
      </c>
      <c r="AG10">
        <v>22</v>
      </c>
      <c r="AH10">
        <v>0</v>
      </c>
      <c r="AI10">
        <v>0</v>
      </c>
      <c r="AJ10">
        <v>2</v>
      </c>
      <c r="AK10">
        <v>2</v>
      </c>
      <c r="AL10" t="s">
        <v>284</v>
      </c>
      <c r="AM10" t="s">
        <v>93</v>
      </c>
      <c r="AN10" t="s">
        <v>299</v>
      </c>
      <c r="AO10" t="s">
        <v>300</v>
      </c>
      <c r="AP10" t="s">
        <v>74</v>
      </c>
      <c r="AQ10" t="s">
        <v>301</v>
      </c>
      <c r="AR10" t="s">
        <v>302</v>
      </c>
      <c r="AS10" t="s">
        <v>74</v>
      </c>
      <c r="AT10" t="s">
        <v>74</v>
      </c>
      <c r="AU10">
        <v>2023</v>
      </c>
      <c r="AV10" t="s">
        <v>74</v>
      </c>
      <c r="AW10" t="s">
        <v>74</v>
      </c>
      <c r="AX10" t="s">
        <v>74</v>
      </c>
      <c r="AY10" t="s">
        <v>74</v>
      </c>
      <c r="AZ10" t="s">
        <v>74</v>
      </c>
      <c r="BA10" t="s">
        <v>74</v>
      </c>
      <c r="BB10" t="s">
        <v>74</v>
      </c>
      <c r="BC10" t="s">
        <v>74</v>
      </c>
      <c r="BD10" t="s">
        <v>74</v>
      </c>
      <c r="BE10" t="s">
        <v>303</v>
      </c>
      <c r="BF10" t="str">
        <f>HYPERLINK("http://dx.doi.org/10.1109/iSAI-NLP60301.2023.10354608","http://dx.doi.org/10.1109/iSAI-NLP60301.2023.10354608")</f>
        <v>http://dx.doi.org/10.1109/iSAI-NLP60301.2023.10354608</v>
      </c>
      <c r="BG10" t="s">
        <v>74</v>
      </c>
      <c r="BH10" t="s">
        <v>74</v>
      </c>
      <c r="BI10">
        <v>6</v>
      </c>
      <c r="BJ10" t="s">
        <v>304</v>
      </c>
      <c r="BK10" t="s">
        <v>98</v>
      </c>
      <c r="BL10" t="s">
        <v>99</v>
      </c>
      <c r="BM10" t="s">
        <v>305</v>
      </c>
      <c r="BN10" t="s">
        <v>74</v>
      </c>
      <c r="BO10" t="s">
        <v>74</v>
      </c>
      <c r="BP10" t="s">
        <v>74</v>
      </c>
      <c r="BQ10" t="s">
        <v>74</v>
      </c>
      <c r="BR10" t="s">
        <v>101</v>
      </c>
      <c r="BS10" t="s">
        <v>306</v>
      </c>
      <c r="BT10" t="str">
        <f>HYPERLINK("https%3A%2F%2Fwww.webofscience.com%2Fwos%2Fwoscc%2Ffull-record%2FWOS:001139627800008","View Full Record in Web of Science")</f>
        <v>View Full Record in Web of Science</v>
      </c>
    </row>
    <row r="11" spans="1:72" x14ac:dyDescent="0.2">
      <c r="A11" t="s">
        <v>72</v>
      </c>
      <c r="B11" t="s">
        <v>307</v>
      </c>
      <c r="C11" t="s">
        <v>74</v>
      </c>
      <c r="D11" t="s">
        <v>308</v>
      </c>
      <c r="E11" t="s">
        <v>74</v>
      </c>
      <c r="F11" t="s">
        <v>309</v>
      </c>
      <c r="G11" t="s">
        <v>74</v>
      </c>
      <c r="H11" t="s">
        <v>74</v>
      </c>
      <c r="I11" t="s">
        <v>310</v>
      </c>
      <c r="J11" t="s">
        <v>311</v>
      </c>
      <c r="K11" t="s">
        <v>312</v>
      </c>
      <c r="L11" t="s">
        <v>74</v>
      </c>
      <c r="M11" t="s">
        <v>79</v>
      </c>
      <c r="N11" t="s">
        <v>80</v>
      </c>
      <c r="O11" t="s">
        <v>313</v>
      </c>
      <c r="P11" t="s">
        <v>314</v>
      </c>
      <c r="Q11" t="s">
        <v>315</v>
      </c>
      <c r="R11" t="s">
        <v>74</v>
      </c>
      <c r="S11" t="s">
        <v>74</v>
      </c>
      <c r="T11" t="s">
        <v>316</v>
      </c>
      <c r="U11" t="s">
        <v>317</v>
      </c>
      <c r="V11" t="s">
        <v>318</v>
      </c>
      <c r="W11" t="s">
        <v>319</v>
      </c>
      <c r="X11" t="s">
        <v>320</v>
      </c>
      <c r="Y11" t="s">
        <v>321</v>
      </c>
      <c r="Z11" t="s">
        <v>322</v>
      </c>
      <c r="AA11" t="s">
        <v>74</v>
      </c>
      <c r="AB11" t="s">
        <v>74</v>
      </c>
      <c r="AC11" t="s">
        <v>323</v>
      </c>
      <c r="AD11" t="s">
        <v>323</v>
      </c>
      <c r="AE11" t="s">
        <v>324</v>
      </c>
      <c r="AF11" t="s">
        <v>74</v>
      </c>
      <c r="AG11">
        <v>61</v>
      </c>
      <c r="AH11">
        <v>0</v>
      </c>
      <c r="AI11">
        <v>0</v>
      </c>
      <c r="AJ11">
        <v>13</v>
      </c>
      <c r="AK11">
        <v>13</v>
      </c>
      <c r="AL11" t="s">
        <v>325</v>
      </c>
      <c r="AM11" t="s">
        <v>245</v>
      </c>
      <c r="AN11" t="s">
        <v>246</v>
      </c>
      <c r="AO11" t="s">
        <v>326</v>
      </c>
      <c r="AP11" t="s">
        <v>327</v>
      </c>
      <c r="AQ11" t="s">
        <v>328</v>
      </c>
      <c r="AR11" t="s">
        <v>329</v>
      </c>
      <c r="AS11" t="s">
        <v>74</v>
      </c>
      <c r="AT11" t="s">
        <v>74</v>
      </c>
      <c r="AU11">
        <v>2023</v>
      </c>
      <c r="AV11">
        <v>14059</v>
      </c>
      <c r="AW11" t="s">
        <v>74</v>
      </c>
      <c r="AX11" t="s">
        <v>74</v>
      </c>
      <c r="AY11" t="s">
        <v>74</v>
      </c>
      <c r="AZ11" t="s">
        <v>74</v>
      </c>
      <c r="BA11" t="s">
        <v>74</v>
      </c>
      <c r="BB11">
        <v>288</v>
      </c>
      <c r="BC11">
        <v>310</v>
      </c>
      <c r="BD11" t="s">
        <v>74</v>
      </c>
      <c r="BE11" t="s">
        <v>330</v>
      </c>
      <c r="BF11" t="str">
        <f>HYPERLINK("http://dx.doi.org/10.1007/978-3-031-48057-7_18","http://dx.doi.org/10.1007/978-3-031-48057-7_18")</f>
        <v>http://dx.doi.org/10.1007/978-3-031-48057-7_18</v>
      </c>
      <c r="BG11" t="s">
        <v>74</v>
      </c>
      <c r="BH11" t="s">
        <v>74</v>
      </c>
      <c r="BI11">
        <v>23</v>
      </c>
      <c r="BJ11" t="s">
        <v>331</v>
      </c>
      <c r="BK11" t="s">
        <v>98</v>
      </c>
      <c r="BL11" t="s">
        <v>99</v>
      </c>
      <c r="BM11" t="s">
        <v>332</v>
      </c>
      <c r="BN11" t="s">
        <v>74</v>
      </c>
      <c r="BO11" t="s">
        <v>74</v>
      </c>
      <c r="BP11" t="s">
        <v>74</v>
      </c>
      <c r="BQ11" t="s">
        <v>74</v>
      </c>
      <c r="BR11" t="s">
        <v>101</v>
      </c>
      <c r="BS11" t="s">
        <v>333</v>
      </c>
      <c r="BT11" t="str">
        <f>HYPERLINK("https%3A%2F%2Fwww.webofscience.com%2Fwos%2Fwoscc%2Ffull-record%2FWOS:001159622900018","View Full Record in Web of Science")</f>
        <v>View Full Record in Web of Science</v>
      </c>
    </row>
    <row r="12" spans="1:72" x14ac:dyDescent="0.2">
      <c r="A12" t="s">
        <v>103</v>
      </c>
      <c r="B12" t="s">
        <v>334</v>
      </c>
      <c r="C12" t="s">
        <v>74</v>
      </c>
      <c r="D12" t="s">
        <v>74</v>
      </c>
      <c r="E12" t="s">
        <v>74</v>
      </c>
      <c r="F12" t="s">
        <v>335</v>
      </c>
      <c r="G12" t="s">
        <v>74</v>
      </c>
      <c r="H12" t="s">
        <v>74</v>
      </c>
      <c r="I12" t="s">
        <v>336</v>
      </c>
      <c r="J12" t="s">
        <v>337</v>
      </c>
      <c r="K12" t="s">
        <v>74</v>
      </c>
      <c r="L12" t="s">
        <v>74</v>
      </c>
      <c r="M12" t="s">
        <v>79</v>
      </c>
      <c r="N12" t="s">
        <v>138</v>
      </c>
      <c r="O12" t="s">
        <v>74</v>
      </c>
      <c r="P12" t="s">
        <v>74</v>
      </c>
      <c r="Q12" t="s">
        <v>74</v>
      </c>
      <c r="R12" t="s">
        <v>74</v>
      </c>
      <c r="S12" t="s">
        <v>74</v>
      </c>
      <c r="T12" t="s">
        <v>338</v>
      </c>
      <c r="U12" t="s">
        <v>74</v>
      </c>
      <c r="V12" t="s">
        <v>339</v>
      </c>
      <c r="W12" t="s">
        <v>340</v>
      </c>
      <c r="X12" t="s">
        <v>74</v>
      </c>
      <c r="Y12" t="s">
        <v>341</v>
      </c>
      <c r="Z12" t="s">
        <v>342</v>
      </c>
      <c r="AA12" t="s">
        <v>74</v>
      </c>
      <c r="AB12" t="s">
        <v>74</v>
      </c>
      <c r="AC12" t="s">
        <v>74</v>
      </c>
      <c r="AD12" t="s">
        <v>74</v>
      </c>
      <c r="AE12" t="s">
        <v>74</v>
      </c>
      <c r="AF12" t="s">
        <v>74</v>
      </c>
      <c r="AG12">
        <v>17</v>
      </c>
      <c r="AH12">
        <v>0</v>
      </c>
      <c r="AI12">
        <v>0</v>
      </c>
      <c r="AJ12">
        <v>96</v>
      </c>
      <c r="AK12">
        <v>113</v>
      </c>
      <c r="AL12" t="s">
        <v>343</v>
      </c>
      <c r="AM12" t="s">
        <v>93</v>
      </c>
      <c r="AN12" t="s">
        <v>344</v>
      </c>
      <c r="AO12" t="s">
        <v>345</v>
      </c>
      <c r="AP12" t="s">
        <v>346</v>
      </c>
      <c r="AQ12" t="s">
        <v>74</v>
      </c>
      <c r="AR12" t="s">
        <v>347</v>
      </c>
      <c r="AS12" t="s">
        <v>348</v>
      </c>
      <c r="AT12" t="s">
        <v>349</v>
      </c>
      <c r="AU12">
        <v>2023</v>
      </c>
      <c r="AV12" t="s">
        <v>74</v>
      </c>
      <c r="AW12" t="s">
        <v>74</v>
      </c>
      <c r="AX12" t="s">
        <v>74</v>
      </c>
      <c r="AY12" t="s">
        <v>74</v>
      </c>
      <c r="AZ12" t="s">
        <v>74</v>
      </c>
      <c r="BA12" t="s">
        <v>74</v>
      </c>
      <c r="BB12" t="s">
        <v>74</v>
      </c>
      <c r="BC12" t="s">
        <v>74</v>
      </c>
      <c r="BD12" t="s">
        <v>74</v>
      </c>
      <c r="BE12" t="s">
        <v>350</v>
      </c>
      <c r="BF12" t="str">
        <f>HYPERLINK("http://dx.doi.org/10.1007/s40593-023-00367-w","http://dx.doi.org/10.1007/s40593-023-00367-w")</f>
        <v>http://dx.doi.org/10.1007/s40593-023-00367-w</v>
      </c>
      <c r="BG12" t="s">
        <v>74</v>
      </c>
      <c r="BH12" t="s">
        <v>255</v>
      </c>
      <c r="BI12">
        <v>5</v>
      </c>
      <c r="BJ12" t="s">
        <v>351</v>
      </c>
      <c r="BK12" t="s">
        <v>352</v>
      </c>
      <c r="BL12" t="s">
        <v>99</v>
      </c>
      <c r="BM12" t="s">
        <v>353</v>
      </c>
      <c r="BN12" t="s">
        <v>74</v>
      </c>
      <c r="BO12" t="s">
        <v>74</v>
      </c>
      <c r="BP12" t="s">
        <v>74</v>
      </c>
      <c r="BQ12" t="s">
        <v>74</v>
      </c>
      <c r="BR12" t="s">
        <v>101</v>
      </c>
      <c r="BS12" t="s">
        <v>354</v>
      </c>
      <c r="BT12" t="str">
        <f>HYPERLINK("https%3A%2F%2Fwww.webofscience.com%2Fwos%2Fwoscc%2Ffull-record%2FWOS:001044297000001","View Full Record in Web of Science")</f>
        <v>View Full Record in Web of Science</v>
      </c>
    </row>
    <row r="13" spans="1:72" x14ac:dyDescent="0.2">
      <c r="A13" t="s">
        <v>103</v>
      </c>
      <c r="B13" t="s">
        <v>355</v>
      </c>
      <c r="C13" t="s">
        <v>74</v>
      </c>
      <c r="D13" t="s">
        <v>74</v>
      </c>
      <c r="E13" t="s">
        <v>74</v>
      </c>
      <c r="F13" t="s">
        <v>356</v>
      </c>
      <c r="G13" t="s">
        <v>74</v>
      </c>
      <c r="H13" t="s">
        <v>74</v>
      </c>
      <c r="I13" t="s">
        <v>357</v>
      </c>
      <c r="J13" t="s">
        <v>358</v>
      </c>
      <c r="K13" t="s">
        <v>74</v>
      </c>
      <c r="L13" t="s">
        <v>74</v>
      </c>
      <c r="M13" t="s">
        <v>79</v>
      </c>
      <c r="N13" t="s">
        <v>108</v>
      </c>
      <c r="O13" t="s">
        <v>74</v>
      </c>
      <c r="P13" t="s">
        <v>74</v>
      </c>
      <c r="Q13" t="s">
        <v>74</v>
      </c>
      <c r="R13" t="s">
        <v>74</v>
      </c>
      <c r="S13" t="s">
        <v>74</v>
      </c>
      <c r="T13" t="s">
        <v>359</v>
      </c>
      <c r="U13" t="s">
        <v>74</v>
      </c>
      <c r="V13" t="s">
        <v>360</v>
      </c>
      <c r="W13" t="s">
        <v>361</v>
      </c>
      <c r="X13" t="s">
        <v>362</v>
      </c>
      <c r="Y13" t="s">
        <v>363</v>
      </c>
      <c r="Z13" t="s">
        <v>364</v>
      </c>
      <c r="AA13" t="s">
        <v>74</v>
      </c>
      <c r="AB13" t="s">
        <v>74</v>
      </c>
      <c r="AC13" t="s">
        <v>365</v>
      </c>
      <c r="AD13" t="s">
        <v>366</v>
      </c>
      <c r="AE13" t="s">
        <v>367</v>
      </c>
      <c r="AF13" t="s">
        <v>74</v>
      </c>
      <c r="AG13">
        <v>39</v>
      </c>
      <c r="AH13">
        <v>0</v>
      </c>
      <c r="AI13">
        <v>0</v>
      </c>
      <c r="AJ13">
        <v>38</v>
      </c>
      <c r="AK13">
        <v>38</v>
      </c>
      <c r="AL13" t="s">
        <v>368</v>
      </c>
      <c r="AM13" t="s">
        <v>369</v>
      </c>
      <c r="AN13" t="s">
        <v>370</v>
      </c>
      <c r="AO13" t="s">
        <v>371</v>
      </c>
      <c r="AP13" t="s">
        <v>372</v>
      </c>
      <c r="AQ13" t="s">
        <v>74</v>
      </c>
      <c r="AR13" t="s">
        <v>373</v>
      </c>
      <c r="AS13" t="s">
        <v>374</v>
      </c>
      <c r="AT13" t="s">
        <v>375</v>
      </c>
      <c r="AU13">
        <v>2023</v>
      </c>
      <c r="AV13">
        <v>8</v>
      </c>
      <c r="AW13">
        <v>2</v>
      </c>
      <c r="AX13" t="s">
        <v>74</v>
      </c>
      <c r="AY13" t="s">
        <v>74</v>
      </c>
      <c r="AZ13" t="s">
        <v>74</v>
      </c>
      <c r="BA13" t="s">
        <v>74</v>
      </c>
      <c r="BB13">
        <v>365</v>
      </c>
      <c r="BC13">
        <v>388</v>
      </c>
      <c r="BD13" t="s">
        <v>74</v>
      </c>
      <c r="BE13" t="s">
        <v>376</v>
      </c>
      <c r="BF13" t="str">
        <f>HYPERLINK("http://dx.doi.org/10.1515/ijld-2023-2017","http://dx.doi.org/10.1515/ijld-2023-2017")</f>
        <v>http://dx.doi.org/10.1515/ijld-2023-2017</v>
      </c>
      <c r="BG13" t="s">
        <v>74</v>
      </c>
      <c r="BH13" t="s">
        <v>157</v>
      </c>
      <c r="BI13">
        <v>24</v>
      </c>
      <c r="BJ13" t="s">
        <v>377</v>
      </c>
      <c r="BK13" t="s">
        <v>352</v>
      </c>
      <c r="BL13" t="s">
        <v>377</v>
      </c>
      <c r="BM13" t="s">
        <v>378</v>
      </c>
      <c r="BN13" t="s">
        <v>74</v>
      </c>
      <c r="BO13" t="s">
        <v>74</v>
      </c>
      <c r="BP13" t="s">
        <v>74</v>
      </c>
      <c r="BQ13" t="s">
        <v>74</v>
      </c>
      <c r="BR13" t="s">
        <v>101</v>
      </c>
      <c r="BS13" t="s">
        <v>379</v>
      </c>
      <c r="BT13" t="str">
        <f>HYPERLINK("https%3A%2F%2Fwww.webofscience.com%2Fwos%2Fwoscc%2Ffull-record%2FWOS:001101716500001","View Full Record in Web of Science")</f>
        <v>View Full Record in Web of Science</v>
      </c>
    </row>
    <row r="14" spans="1:72" x14ac:dyDescent="0.2">
      <c r="A14" t="s">
        <v>72</v>
      </c>
      <c r="B14" t="s">
        <v>380</v>
      </c>
      <c r="C14" t="s">
        <v>74</v>
      </c>
      <c r="D14" t="s">
        <v>381</v>
      </c>
      <c r="E14" t="s">
        <v>74</v>
      </c>
      <c r="F14" t="s">
        <v>382</v>
      </c>
      <c r="G14" t="s">
        <v>74</v>
      </c>
      <c r="H14" t="s">
        <v>74</v>
      </c>
      <c r="I14" t="s">
        <v>383</v>
      </c>
      <c r="J14" t="s">
        <v>384</v>
      </c>
      <c r="K14" t="s">
        <v>74</v>
      </c>
      <c r="L14" t="s">
        <v>74</v>
      </c>
      <c r="M14" t="s">
        <v>79</v>
      </c>
      <c r="N14" t="s">
        <v>80</v>
      </c>
      <c r="O14" t="s">
        <v>385</v>
      </c>
      <c r="P14" t="s">
        <v>386</v>
      </c>
      <c r="Q14" t="s">
        <v>387</v>
      </c>
      <c r="R14" t="s">
        <v>388</v>
      </c>
      <c r="S14" t="s">
        <v>389</v>
      </c>
      <c r="T14" t="s">
        <v>390</v>
      </c>
      <c r="U14" t="s">
        <v>391</v>
      </c>
      <c r="V14" t="s">
        <v>392</v>
      </c>
      <c r="W14" t="s">
        <v>393</v>
      </c>
      <c r="X14" t="s">
        <v>394</v>
      </c>
      <c r="Y14" t="s">
        <v>395</v>
      </c>
      <c r="Z14" t="s">
        <v>396</v>
      </c>
      <c r="AA14" t="s">
        <v>74</v>
      </c>
      <c r="AB14" t="s">
        <v>397</v>
      </c>
      <c r="AC14" t="s">
        <v>74</v>
      </c>
      <c r="AD14" t="s">
        <v>74</v>
      </c>
      <c r="AE14" t="s">
        <v>74</v>
      </c>
      <c r="AF14" t="s">
        <v>74</v>
      </c>
      <c r="AG14">
        <v>44</v>
      </c>
      <c r="AH14">
        <v>0</v>
      </c>
      <c r="AI14">
        <v>0</v>
      </c>
      <c r="AJ14">
        <v>1</v>
      </c>
      <c r="AK14">
        <v>1</v>
      </c>
      <c r="AL14" t="s">
        <v>92</v>
      </c>
      <c r="AM14" t="s">
        <v>93</v>
      </c>
      <c r="AN14" t="s">
        <v>94</v>
      </c>
      <c r="AO14" t="s">
        <v>74</v>
      </c>
      <c r="AP14" t="s">
        <v>74</v>
      </c>
      <c r="AQ14" t="s">
        <v>398</v>
      </c>
      <c r="AR14" t="s">
        <v>74</v>
      </c>
      <c r="AS14" t="s">
        <v>74</v>
      </c>
      <c r="AT14" t="s">
        <v>74</v>
      </c>
      <c r="AU14">
        <v>2023</v>
      </c>
      <c r="AV14" t="s">
        <v>74</v>
      </c>
      <c r="AW14" t="s">
        <v>74</v>
      </c>
      <c r="AX14" t="s">
        <v>74</v>
      </c>
      <c r="AY14" t="s">
        <v>74</v>
      </c>
      <c r="AZ14" t="s">
        <v>74</v>
      </c>
      <c r="BA14" t="s">
        <v>74</v>
      </c>
      <c r="BB14">
        <v>266</v>
      </c>
      <c r="BC14">
        <v>270</v>
      </c>
      <c r="BD14" t="s">
        <v>74</v>
      </c>
      <c r="BE14" t="s">
        <v>399</v>
      </c>
      <c r="BF14" t="str">
        <f>HYPERLINK("http://dx.doi.org/10.1145/3628096.3629066","http://dx.doi.org/10.1145/3628096.3629066")</f>
        <v>http://dx.doi.org/10.1145/3628096.3629066</v>
      </c>
      <c r="BG14" t="s">
        <v>74</v>
      </c>
      <c r="BH14" t="s">
        <v>74</v>
      </c>
      <c r="BI14">
        <v>5</v>
      </c>
      <c r="BJ14" t="s">
        <v>400</v>
      </c>
      <c r="BK14" t="s">
        <v>98</v>
      </c>
      <c r="BL14" t="s">
        <v>99</v>
      </c>
      <c r="BM14" t="s">
        <v>401</v>
      </c>
      <c r="BN14" t="s">
        <v>74</v>
      </c>
      <c r="BO14" t="s">
        <v>74</v>
      </c>
      <c r="BP14" t="s">
        <v>74</v>
      </c>
      <c r="BQ14" t="s">
        <v>74</v>
      </c>
      <c r="BR14" t="s">
        <v>101</v>
      </c>
      <c r="BS14" t="s">
        <v>402</v>
      </c>
      <c r="BT14" t="str">
        <f>HYPERLINK("https%3A%2F%2Fwww.webofscience.com%2Fwos%2Fwoscc%2Ffull-record%2FWOS:001159802500041","View Full Record in Web of Science")</f>
        <v>View Full Record in Web of Science</v>
      </c>
    </row>
    <row r="15" spans="1:72" x14ac:dyDescent="0.2">
      <c r="A15" t="s">
        <v>103</v>
      </c>
      <c r="B15" t="s">
        <v>403</v>
      </c>
      <c r="C15" t="s">
        <v>74</v>
      </c>
      <c r="D15" t="s">
        <v>74</v>
      </c>
      <c r="E15" t="s">
        <v>74</v>
      </c>
      <c r="F15" t="s">
        <v>404</v>
      </c>
      <c r="G15" t="s">
        <v>74</v>
      </c>
      <c r="H15" t="s">
        <v>74</v>
      </c>
      <c r="I15" t="s">
        <v>405</v>
      </c>
      <c r="J15" t="s">
        <v>406</v>
      </c>
      <c r="K15" t="s">
        <v>74</v>
      </c>
      <c r="L15" t="s">
        <v>74</v>
      </c>
      <c r="M15" t="s">
        <v>79</v>
      </c>
      <c r="N15" t="s">
        <v>108</v>
      </c>
      <c r="O15" t="s">
        <v>74</v>
      </c>
      <c r="P15" t="s">
        <v>74</v>
      </c>
      <c r="Q15" t="s">
        <v>74</v>
      </c>
      <c r="R15" t="s">
        <v>74</v>
      </c>
      <c r="S15" t="s">
        <v>74</v>
      </c>
      <c r="T15" t="s">
        <v>407</v>
      </c>
      <c r="U15" t="s">
        <v>408</v>
      </c>
      <c r="V15" t="s">
        <v>409</v>
      </c>
      <c r="W15" t="s">
        <v>410</v>
      </c>
      <c r="X15" t="s">
        <v>411</v>
      </c>
      <c r="Y15" t="s">
        <v>412</v>
      </c>
      <c r="Z15" t="s">
        <v>413</v>
      </c>
      <c r="AA15" t="s">
        <v>414</v>
      </c>
      <c r="AB15" t="s">
        <v>415</v>
      </c>
      <c r="AC15" t="s">
        <v>74</v>
      </c>
      <c r="AD15" t="s">
        <v>74</v>
      </c>
      <c r="AE15" t="s">
        <v>74</v>
      </c>
      <c r="AF15" t="s">
        <v>74</v>
      </c>
      <c r="AG15">
        <v>25</v>
      </c>
      <c r="AH15">
        <v>0</v>
      </c>
      <c r="AI15">
        <v>0</v>
      </c>
      <c r="AJ15">
        <v>20</v>
      </c>
      <c r="AK15">
        <v>20</v>
      </c>
      <c r="AL15" t="s">
        <v>416</v>
      </c>
      <c r="AM15" t="s">
        <v>417</v>
      </c>
      <c r="AN15" t="s">
        <v>418</v>
      </c>
      <c r="AO15" t="s">
        <v>74</v>
      </c>
      <c r="AP15" t="s">
        <v>419</v>
      </c>
      <c r="AQ15" t="s">
        <v>74</v>
      </c>
      <c r="AR15" t="s">
        <v>420</v>
      </c>
      <c r="AS15" t="s">
        <v>421</v>
      </c>
      <c r="AT15" t="s">
        <v>74</v>
      </c>
      <c r="AU15">
        <v>2023</v>
      </c>
      <c r="AV15">
        <v>10</v>
      </c>
      <c r="AW15">
        <v>3</v>
      </c>
      <c r="AX15" t="s">
        <v>74</v>
      </c>
      <c r="AY15" t="s">
        <v>74</v>
      </c>
      <c r="AZ15" t="s">
        <v>74</v>
      </c>
      <c r="BA15" t="s">
        <v>74</v>
      </c>
      <c r="BB15">
        <v>1</v>
      </c>
      <c r="BC15">
        <v>6</v>
      </c>
      <c r="BD15" t="s">
        <v>74</v>
      </c>
      <c r="BE15" t="s">
        <v>422</v>
      </c>
      <c r="BF15" t="str">
        <f>HYPERLINK("http://dx.doi.org/10.18608/jla.2023.8333","http://dx.doi.org/10.18608/jla.2023.8333")</f>
        <v>http://dx.doi.org/10.18608/jla.2023.8333</v>
      </c>
      <c r="BG15" t="s">
        <v>74</v>
      </c>
      <c r="BH15" t="s">
        <v>74</v>
      </c>
      <c r="BI15">
        <v>6</v>
      </c>
      <c r="BJ15" t="s">
        <v>423</v>
      </c>
      <c r="BK15" t="s">
        <v>352</v>
      </c>
      <c r="BL15" t="s">
        <v>423</v>
      </c>
      <c r="BM15" t="s">
        <v>424</v>
      </c>
      <c r="BN15" t="s">
        <v>74</v>
      </c>
      <c r="BO15" t="s">
        <v>425</v>
      </c>
      <c r="BP15" t="s">
        <v>74</v>
      </c>
      <c r="BQ15" t="s">
        <v>74</v>
      </c>
      <c r="BR15" t="s">
        <v>101</v>
      </c>
      <c r="BS15" t="s">
        <v>426</v>
      </c>
      <c r="BT15" t="str">
        <f>HYPERLINK("https%3A%2F%2Fwww.webofscience.com%2Fwos%2Fwoscc%2Ffull-record%2FWOS:001133089300002","View Full Record in Web of Science")</f>
        <v>View Full Record in Web of Science</v>
      </c>
    </row>
    <row r="16" spans="1:72" x14ac:dyDescent="0.2">
      <c r="A16" t="s">
        <v>103</v>
      </c>
      <c r="B16" t="s">
        <v>427</v>
      </c>
      <c r="C16" t="s">
        <v>74</v>
      </c>
      <c r="D16" t="s">
        <v>74</v>
      </c>
      <c r="E16" t="s">
        <v>74</v>
      </c>
      <c r="F16" t="s">
        <v>428</v>
      </c>
      <c r="G16" t="s">
        <v>74</v>
      </c>
      <c r="H16" t="s">
        <v>74</v>
      </c>
      <c r="I16" t="s">
        <v>429</v>
      </c>
      <c r="J16" t="s">
        <v>430</v>
      </c>
      <c r="K16" t="s">
        <v>74</v>
      </c>
      <c r="L16" t="s">
        <v>74</v>
      </c>
      <c r="M16" t="s">
        <v>79</v>
      </c>
      <c r="N16" t="s">
        <v>108</v>
      </c>
      <c r="O16" t="s">
        <v>74</v>
      </c>
      <c r="P16" t="s">
        <v>74</v>
      </c>
      <c r="Q16" t="s">
        <v>74</v>
      </c>
      <c r="R16" t="s">
        <v>74</v>
      </c>
      <c r="S16" t="s">
        <v>74</v>
      </c>
      <c r="T16" t="s">
        <v>431</v>
      </c>
      <c r="U16" t="s">
        <v>74</v>
      </c>
      <c r="V16" t="s">
        <v>432</v>
      </c>
      <c r="W16" t="s">
        <v>433</v>
      </c>
      <c r="X16" t="s">
        <v>434</v>
      </c>
      <c r="Y16" t="s">
        <v>435</v>
      </c>
      <c r="Z16" t="s">
        <v>436</v>
      </c>
      <c r="AA16" t="s">
        <v>74</v>
      </c>
      <c r="AB16" t="s">
        <v>437</v>
      </c>
      <c r="AC16" t="s">
        <v>74</v>
      </c>
      <c r="AD16" t="s">
        <v>74</v>
      </c>
      <c r="AE16" t="s">
        <v>74</v>
      </c>
      <c r="AF16" t="s">
        <v>74</v>
      </c>
      <c r="AG16">
        <v>49</v>
      </c>
      <c r="AH16">
        <v>0</v>
      </c>
      <c r="AI16">
        <v>0</v>
      </c>
      <c r="AJ16">
        <v>56</v>
      </c>
      <c r="AK16">
        <v>56</v>
      </c>
      <c r="AL16" t="s">
        <v>438</v>
      </c>
      <c r="AM16" t="s">
        <v>439</v>
      </c>
      <c r="AN16" t="s">
        <v>440</v>
      </c>
      <c r="AO16" t="s">
        <v>441</v>
      </c>
      <c r="AP16" t="s">
        <v>442</v>
      </c>
      <c r="AQ16" t="s">
        <v>74</v>
      </c>
      <c r="AR16" t="s">
        <v>443</v>
      </c>
      <c r="AS16" t="s">
        <v>444</v>
      </c>
      <c r="AT16" t="s">
        <v>445</v>
      </c>
      <c r="AU16">
        <v>2024</v>
      </c>
      <c r="AV16">
        <v>46</v>
      </c>
      <c r="AW16">
        <v>1</v>
      </c>
      <c r="AX16" t="s">
        <v>74</v>
      </c>
      <c r="AY16" t="s">
        <v>74</v>
      </c>
      <c r="AZ16" t="s">
        <v>74</v>
      </c>
      <c r="BA16" t="s">
        <v>74</v>
      </c>
      <c r="BB16">
        <v>6</v>
      </c>
      <c r="BC16">
        <v>17</v>
      </c>
      <c r="BD16" t="s">
        <v>74</v>
      </c>
      <c r="BE16" t="s">
        <v>446</v>
      </c>
      <c r="BF16" t="str">
        <f>HYPERLINK("http://dx.doi.org/10.1177/02734753231215436","http://dx.doi.org/10.1177/02734753231215436")</f>
        <v>http://dx.doi.org/10.1177/02734753231215436</v>
      </c>
      <c r="BG16" t="s">
        <v>74</v>
      </c>
      <c r="BH16" t="s">
        <v>128</v>
      </c>
      <c r="BI16">
        <v>12</v>
      </c>
      <c r="BJ16" t="s">
        <v>423</v>
      </c>
      <c r="BK16" t="s">
        <v>352</v>
      </c>
      <c r="BL16" t="s">
        <v>423</v>
      </c>
      <c r="BM16" t="s">
        <v>447</v>
      </c>
      <c r="BN16" t="s">
        <v>74</v>
      </c>
      <c r="BO16" t="s">
        <v>74</v>
      </c>
      <c r="BP16" t="s">
        <v>74</v>
      </c>
      <c r="BQ16" t="s">
        <v>74</v>
      </c>
      <c r="BR16" t="s">
        <v>101</v>
      </c>
      <c r="BS16" t="s">
        <v>448</v>
      </c>
      <c r="BT16" t="str">
        <f>HYPERLINK("https%3A%2F%2Fwww.webofscience.com%2Fwos%2Fwoscc%2Ffull-record%2FWOS:001112276000001","View Full Record in Web of Science")</f>
        <v>View Full Record in Web of Science</v>
      </c>
    </row>
    <row r="17" spans="1:72" x14ac:dyDescent="0.2">
      <c r="A17" t="s">
        <v>103</v>
      </c>
      <c r="B17" t="s">
        <v>449</v>
      </c>
      <c r="C17" t="s">
        <v>74</v>
      </c>
      <c r="D17" t="s">
        <v>74</v>
      </c>
      <c r="E17" t="s">
        <v>74</v>
      </c>
      <c r="F17" t="s">
        <v>450</v>
      </c>
      <c r="G17" t="s">
        <v>74</v>
      </c>
      <c r="H17" t="s">
        <v>74</v>
      </c>
      <c r="I17" t="s">
        <v>451</v>
      </c>
      <c r="J17" t="s">
        <v>452</v>
      </c>
      <c r="K17" t="s">
        <v>74</v>
      </c>
      <c r="L17" t="s">
        <v>74</v>
      </c>
      <c r="M17" t="s">
        <v>79</v>
      </c>
      <c r="N17" t="s">
        <v>108</v>
      </c>
      <c r="O17" t="s">
        <v>74</v>
      </c>
      <c r="P17" t="s">
        <v>74</v>
      </c>
      <c r="Q17" t="s">
        <v>74</v>
      </c>
      <c r="R17" t="s">
        <v>74</v>
      </c>
      <c r="S17" t="s">
        <v>74</v>
      </c>
      <c r="T17" t="s">
        <v>453</v>
      </c>
      <c r="U17" t="s">
        <v>74</v>
      </c>
      <c r="V17" t="s">
        <v>454</v>
      </c>
      <c r="W17" t="s">
        <v>455</v>
      </c>
      <c r="X17" t="s">
        <v>456</v>
      </c>
      <c r="Y17" t="s">
        <v>457</v>
      </c>
      <c r="Z17" t="s">
        <v>458</v>
      </c>
      <c r="AA17" t="s">
        <v>74</v>
      </c>
      <c r="AB17" t="s">
        <v>459</v>
      </c>
      <c r="AC17" t="s">
        <v>74</v>
      </c>
      <c r="AD17" t="s">
        <v>74</v>
      </c>
      <c r="AE17" t="s">
        <v>74</v>
      </c>
      <c r="AF17" t="s">
        <v>74</v>
      </c>
      <c r="AG17">
        <v>5</v>
      </c>
      <c r="AH17">
        <v>2</v>
      </c>
      <c r="AI17">
        <v>2</v>
      </c>
      <c r="AJ17">
        <v>54</v>
      </c>
      <c r="AK17">
        <v>54</v>
      </c>
      <c r="AL17" t="s">
        <v>460</v>
      </c>
      <c r="AM17" t="s">
        <v>461</v>
      </c>
      <c r="AN17" t="s">
        <v>462</v>
      </c>
      <c r="AO17" t="s">
        <v>463</v>
      </c>
      <c r="AP17" t="s">
        <v>464</v>
      </c>
      <c r="AQ17" t="s">
        <v>74</v>
      </c>
      <c r="AR17" t="s">
        <v>465</v>
      </c>
      <c r="AS17" t="s">
        <v>466</v>
      </c>
      <c r="AT17" t="s">
        <v>467</v>
      </c>
      <c r="AU17">
        <v>2023</v>
      </c>
      <c r="AV17">
        <v>231</v>
      </c>
      <c r="AW17" t="s">
        <v>74</v>
      </c>
      <c r="AX17" t="s">
        <v>74</v>
      </c>
      <c r="AY17" t="s">
        <v>74</v>
      </c>
      <c r="AZ17" t="s">
        <v>74</v>
      </c>
      <c r="BA17" t="s">
        <v>74</v>
      </c>
      <c r="BB17" t="s">
        <v>74</v>
      </c>
      <c r="BC17" t="s">
        <v>74</v>
      </c>
      <c r="BD17">
        <v>111315</v>
      </c>
      <c r="BE17" t="s">
        <v>468</v>
      </c>
      <c r="BF17" t="str">
        <f>HYPERLINK("http://dx.doi.org/10.1016/j.econlet.2023.111315","http://dx.doi.org/10.1016/j.econlet.2023.111315")</f>
        <v>http://dx.doi.org/10.1016/j.econlet.2023.111315</v>
      </c>
      <c r="BG17" t="s">
        <v>74</v>
      </c>
      <c r="BH17" t="s">
        <v>255</v>
      </c>
      <c r="BI17">
        <v>3</v>
      </c>
      <c r="BJ17" t="s">
        <v>469</v>
      </c>
      <c r="BK17" t="s">
        <v>159</v>
      </c>
      <c r="BL17" t="s">
        <v>470</v>
      </c>
      <c r="BM17" t="s">
        <v>471</v>
      </c>
      <c r="BN17" t="s">
        <v>74</v>
      </c>
      <c r="BO17" t="s">
        <v>161</v>
      </c>
      <c r="BP17" t="s">
        <v>74</v>
      </c>
      <c r="BQ17" t="s">
        <v>74</v>
      </c>
      <c r="BR17" t="s">
        <v>101</v>
      </c>
      <c r="BS17" t="s">
        <v>472</v>
      </c>
      <c r="BT17" t="str">
        <f>HYPERLINK("https%3A%2F%2Fwww.webofscience.com%2Fwos%2Fwoscc%2Ffull-record%2FWOS:001068080000001","View Full Record in Web of Science")</f>
        <v>View Full Record in Web of Science</v>
      </c>
    </row>
    <row r="18" spans="1:72" x14ac:dyDescent="0.2">
      <c r="A18" t="s">
        <v>103</v>
      </c>
      <c r="B18" t="s">
        <v>473</v>
      </c>
      <c r="C18" t="s">
        <v>74</v>
      </c>
      <c r="D18" t="s">
        <v>74</v>
      </c>
      <c r="E18" t="s">
        <v>74</v>
      </c>
      <c r="F18" t="s">
        <v>474</v>
      </c>
      <c r="G18" t="s">
        <v>74</v>
      </c>
      <c r="H18" t="s">
        <v>74</v>
      </c>
      <c r="I18" t="s">
        <v>475</v>
      </c>
      <c r="J18" t="s">
        <v>476</v>
      </c>
      <c r="K18" t="s">
        <v>74</v>
      </c>
      <c r="L18" t="s">
        <v>74</v>
      </c>
      <c r="M18" t="s">
        <v>79</v>
      </c>
      <c r="N18" t="s">
        <v>138</v>
      </c>
      <c r="O18" t="s">
        <v>74</v>
      </c>
      <c r="P18" t="s">
        <v>74</v>
      </c>
      <c r="Q18" t="s">
        <v>74</v>
      </c>
      <c r="R18" t="s">
        <v>74</v>
      </c>
      <c r="S18" t="s">
        <v>74</v>
      </c>
      <c r="T18" t="s">
        <v>477</v>
      </c>
      <c r="U18" t="s">
        <v>74</v>
      </c>
      <c r="V18" t="s">
        <v>478</v>
      </c>
      <c r="W18" t="s">
        <v>479</v>
      </c>
      <c r="X18" t="s">
        <v>480</v>
      </c>
      <c r="Y18" t="s">
        <v>481</v>
      </c>
      <c r="Z18" t="s">
        <v>482</v>
      </c>
      <c r="AA18" t="s">
        <v>74</v>
      </c>
      <c r="AB18" t="s">
        <v>74</v>
      </c>
      <c r="AC18" t="s">
        <v>74</v>
      </c>
      <c r="AD18" t="s">
        <v>74</v>
      </c>
      <c r="AE18" t="s">
        <v>74</v>
      </c>
      <c r="AF18" t="s">
        <v>74</v>
      </c>
      <c r="AG18">
        <v>5</v>
      </c>
      <c r="AH18">
        <v>0</v>
      </c>
      <c r="AI18">
        <v>0</v>
      </c>
      <c r="AJ18">
        <v>16</v>
      </c>
      <c r="AK18">
        <v>16</v>
      </c>
      <c r="AL18" t="s">
        <v>483</v>
      </c>
      <c r="AM18" t="s">
        <v>484</v>
      </c>
      <c r="AN18" t="s">
        <v>485</v>
      </c>
      <c r="AO18" t="s">
        <v>486</v>
      </c>
      <c r="AP18" t="s">
        <v>487</v>
      </c>
      <c r="AQ18" t="s">
        <v>74</v>
      </c>
      <c r="AR18" t="s">
        <v>488</v>
      </c>
      <c r="AS18" t="s">
        <v>489</v>
      </c>
      <c r="AT18" t="s">
        <v>490</v>
      </c>
      <c r="AU18">
        <v>2023</v>
      </c>
      <c r="AV18" t="s">
        <v>74</v>
      </c>
      <c r="AW18" t="s">
        <v>74</v>
      </c>
      <c r="AX18" t="s">
        <v>74</v>
      </c>
      <c r="AY18" t="s">
        <v>74</v>
      </c>
      <c r="AZ18" t="s">
        <v>74</v>
      </c>
      <c r="BA18" t="s">
        <v>74</v>
      </c>
      <c r="BB18" t="s">
        <v>74</v>
      </c>
      <c r="BC18" t="s">
        <v>74</v>
      </c>
      <c r="BD18" t="s">
        <v>74</v>
      </c>
      <c r="BE18" t="s">
        <v>491</v>
      </c>
      <c r="BF18" t="str">
        <f>HYPERLINK("http://dx.doi.org/10.1108/QMR-08-2023-0107","http://dx.doi.org/10.1108/QMR-08-2023-0107")</f>
        <v>http://dx.doi.org/10.1108/QMR-08-2023-0107</v>
      </c>
      <c r="BG18" t="s">
        <v>74</v>
      </c>
      <c r="BH18" t="s">
        <v>128</v>
      </c>
      <c r="BI18">
        <v>4</v>
      </c>
      <c r="BJ18" t="s">
        <v>492</v>
      </c>
      <c r="BK18" t="s">
        <v>352</v>
      </c>
      <c r="BL18" t="s">
        <v>470</v>
      </c>
      <c r="BM18" t="s">
        <v>493</v>
      </c>
      <c r="BN18" t="s">
        <v>74</v>
      </c>
      <c r="BO18" t="s">
        <v>74</v>
      </c>
      <c r="BP18" t="s">
        <v>74</v>
      </c>
      <c r="BQ18" t="s">
        <v>74</v>
      </c>
      <c r="BR18" t="s">
        <v>101</v>
      </c>
      <c r="BS18" t="s">
        <v>494</v>
      </c>
      <c r="BT18" t="str">
        <f>HYPERLINK("https%3A%2F%2Fwww.webofscience.com%2Fwos%2Fwoscc%2Ffull-record%2FWOS:001128787000001","View Full Record in Web of Science")</f>
        <v>View Full Record in Web of Science</v>
      </c>
    </row>
    <row r="19" spans="1:72" x14ac:dyDescent="0.2">
      <c r="A19" t="s">
        <v>103</v>
      </c>
      <c r="B19" t="s">
        <v>495</v>
      </c>
      <c r="C19" t="s">
        <v>74</v>
      </c>
      <c r="D19" t="s">
        <v>74</v>
      </c>
      <c r="E19" t="s">
        <v>74</v>
      </c>
      <c r="F19" t="s">
        <v>211</v>
      </c>
      <c r="G19" t="s">
        <v>74</v>
      </c>
      <c r="H19" t="s">
        <v>74</v>
      </c>
      <c r="I19" t="s">
        <v>496</v>
      </c>
      <c r="J19" t="s">
        <v>213</v>
      </c>
      <c r="K19" t="s">
        <v>74</v>
      </c>
      <c r="L19" t="s">
        <v>74</v>
      </c>
      <c r="M19" t="s">
        <v>79</v>
      </c>
      <c r="N19" t="s">
        <v>138</v>
      </c>
      <c r="O19" t="s">
        <v>74</v>
      </c>
      <c r="P19" t="s">
        <v>74</v>
      </c>
      <c r="Q19" t="s">
        <v>74</v>
      </c>
      <c r="R19" t="s">
        <v>74</v>
      </c>
      <c r="S19" t="s">
        <v>74</v>
      </c>
      <c r="T19" t="s">
        <v>497</v>
      </c>
      <c r="U19" t="s">
        <v>498</v>
      </c>
      <c r="V19" t="s">
        <v>499</v>
      </c>
      <c r="W19" t="s">
        <v>500</v>
      </c>
      <c r="X19" t="s">
        <v>74</v>
      </c>
      <c r="Y19" t="s">
        <v>501</v>
      </c>
      <c r="Z19" t="s">
        <v>219</v>
      </c>
      <c r="AA19" t="s">
        <v>74</v>
      </c>
      <c r="AB19" t="s">
        <v>74</v>
      </c>
      <c r="AC19" t="s">
        <v>74</v>
      </c>
      <c r="AD19" t="s">
        <v>74</v>
      </c>
      <c r="AE19" t="s">
        <v>74</v>
      </c>
      <c r="AF19" t="s">
        <v>74</v>
      </c>
      <c r="AG19">
        <v>38</v>
      </c>
      <c r="AH19">
        <v>0</v>
      </c>
      <c r="AI19">
        <v>0</v>
      </c>
      <c r="AJ19">
        <v>25</v>
      </c>
      <c r="AK19">
        <v>25</v>
      </c>
      <c r="AL19" t="s">
        <v>220</v>
      </c>
      <c r="AM19" t="s">
        <v>221</v>
      </c>
      <c r="AN19" t="s">
        <v>222</v>
      </c>
      <c r="AO19" t="s">
        <v>223</v>
      </c>
      <c r="AP19" t="s">
        <v>224</v>
      </c>
      <c r="AQ19" t="s">
        <v>74</v>
      </c>
      <c r="AR19" t="s">
        <v>225</v>
      </c>
      <c r="AS19" t="s">
        <v>226</v>
      </c>
      <c r="AT19" t="s">
        <v>502</v>
      </c>
      <c r="AU19">
        <v>2023</v>
      </c>
      <c r="AV19" t="s">
        <v>74</v>
      </c>
      <c r="AW19" t="s">
        <v>74</v>
      </c>
      <c r="AX19" t="s">
        <v>74</v>
      </c>
      <c r="AY19" t="s">
        <v>74</v>
      </c>
      <c r="AZ19" t="s">
        <v>74</v>
      </c>
      <c r="BA19" t="s">
        <v>74</v>
      </c>
      <c r="BB19" t="s">
        <v>74</v>
      </c>
      <c r="BC19" t="s">
        <v>74</v>
      </c>
      <c r="BD19" t="s">
        <v>74</v>
      </c>
      <c r="BE19" t="s">
        <v>503</v>
      </c>
      <c r="BF19" t="str">
        <f>HYPERLINK("http://dx.doi.org/10.1080/08874417.2023.2286540","http://dx.doi.org/10.1080/08874417.2023.2286540")</f>
        <v>http://dx.doi.org/10.1080/08874417.2023.2286540</v>
      </c>
      <c r="BG19" t="s">
        <v>74</v>
      </c>
      <c r="BH19" t="s">
        <v>128</v>
      </c>
      <c r="BI19">
        <v>15</v>
      </c>
      <c r="BJ19" t="s">
        <v>230</v>
      </c>
      <c r="BK19" t="s">
        <v>130</v>
      </c>
      <c r="BL19" t="s">
        <v>99</v>
      </c>
      <c r="BM19" t="s">
        <v>504</v>
      </c>
      <c r="BN19" t="s">
        <v>74</v>
      </c>
      <c r="BO19" t="s">
        <v>74</v>
      </c>
      <c r="BP19" t="s">
        <v>74</v>
      </c>
      <c r="BQ19" t="s">
        <v>74</v>
      </c>
      <c r="BR19" t="s">
        <v>101</v>
      </c>
      <c r="BS19" t="s">
        <v>505</v>
      </c>
      <c r="BT19" t="str">
        <f>HYPERLINK("https%3A%2F%2Fwww.webofscience.com%2Fwos%2Fwoscc%2Ffull-record%2FWOS:001125779300001","View Full Record in Web of Science")</f>
        <v>View Full Record in Web of Science</v>
      </c>
    </row>
    <row r="20" spans="1:72" x14ac:dyDescent="0.2">
      <c r="A20" t="s">
        <v>103</v>
      </c>
      <c r="B20" t="s">
        <v>506</v>
      </c>
      <c r="C20" t="s">
        <v>74</v>
      </c>
      <c r="D20" t="s">
        <v>74</v>
      </c>
      <c r="E20" t="s">
        <v>74</v>
      </c>
      <c r="F20" t="s">
        <v>507</v>
      </c>
      <c r="G20" t="s">
        <v>74</v>
      </c>
      <c r="H20" t="s">
        <v>74</v>
      </c>
      <c r="I20" t="s">
        <v>508</v>
      </c>
      <c r="J20" t="s">
        <v>509</v>
      </c>
      <c r="K20" t="s">
        <v>74</v>
      </c>
      <c r="L20" t="s">
        <v>74</v>
      </c>
      <c r="M20" t="s">
        <v>79</v>
      </c>
      <c r="N20" t="s">
        <v>108</v>
      </c>
      <c r="O20" t="s">
        <v>74</v>
      </c>
      <c r="P20" t="s">
        <v>74</v>
      </c>
      <c r="Q20" t="s">
        <v>74</v>
      </c>
      <c r="R20" t="s">
        <v>74</v>
      </c>
      <c r="S20" t="s">
        <v>74</v>
      </c>
      <c r="T20" t="s">
        <v>510</v>
      </c>
      <c r="U20" t="s">
        <v>74</v>
      </c>
      <c r="V20" t="s">
        <v>511</v>
      </c>
      <c r="W20" t="s">
        <v>512</v>
      </c>
      <c r="X20" t="s">
        <v>513</v>
      </c>
      <c r="Y20" t="s">
        <v>514</v>
      </c>
      <c r="Z20" t="s">
        <v>515</v>
      </c>
      <c r="AA20" t="s">
        <v>516</v>
      </c>
      <c r="AB20" t="s">
        <v>517</v>
      </c>
      <c r="AC20" t="s">
        <v>518</v>
      </c>
      <c r="AD20" t="s">
        <v>519</v>
      </c>
      <c r="AE20" t="s">
        <v>520</v>
      </c>
      <c r="AF20" t="s">
        <v>74</v>
      </c>
      <c r="AG20">
        <v>43</v>
      </c>
      <c r="AH20">
        <v>1</v>
      </c>
      <c r="AI20">
        <v>1</v>
      </c>
      <c r="AJ20">
        <v>37</v>
      </c>
      <c r="AK20">
        <v>37</v>
      </c>
      <c r="AL20" t="s">
        <v>343</v>
      </c>
      <c r="AM20" t="s">
        <v>521</v>
      </c>
      <c r="AN20" t="s">
        <v>522</v>
      </c>
      <c r="AO20" t="s">
        <v>523</v>
      </c>
      <c r="AP20" t="s">
        <v>524</v>
      </c>
      <c r="AQ20" t="s">
        <v>74</v>
      </c>
      <c r="AR20" t="s">
        <v>525</v>
      </c>
      <c r="AS20" t="s">
        <v>526</v>
      </c>
      <c r="AT20" t="s">
        <v>527</v>
      </c>
      <c r="AU20">
        <v>2023</v>
      </c>
      <c r="AV20">
        <v>25</v>
      </c>
      <c r="AW20">
        <v>4</v>
      </c>
      <c r="AX20" t="s">
        <v>74</v>
      </c>
      <c r="AY20" t="s">
        <v>74</v>
      </c>
      <c r="AZ20" t="s">
        <v>74</v>
      </c>
      <c r="BA20" t="s">
        <v>74</v>
      </c>
      <c r="BB20" t="s">
        <v>74</v>
      </c>
      <c r="BC20" t="s">
        <v>74</v>
      </c>
      <c r="BD20">
        <v>55</v>
      </c>
      <c r="BE20" t="s">
        <v>528</v>
      </c>
      <c r="BF20" t="str">
        <f>HYPERLINK("http://dx.doi.org/10.1007/s10676-023-09728-4","http://dx.doi.org/10.1007/s10676-023-09728-4")</f>
        <v>http://dx.doi.org/10.1007/s10676-023-09728-4</v>
      </c>
      <c r="BG20" t="s">
        <v>74</v>
      </c>
      <c r="BH20" t="s">
        <v>74</v>
      </c>
      <c r="BI20">
        <v>7</v>
      </c>
      <c r="BJ20" t="s">
        <v>529</v>
      </c>
      <c r="BK20" t="s">
        <v>530</v>
      </c>
      <c r="BL20" t="s">
        <v>531</v>
      </c>
      <c r="BM20" t="s">
        <v>532</v>
      </c>
      <c r="BN20" t="s">
        <v>74</v>
      </c>
      <c r="BO20" t="s">
        <v>161</v>
      </c>
      <c r="BP20" t="s">
        <v>74</v>
      </c>
      <c r="BQ20" t="s">
        <v>74</v>
      </c>
      <c r="BR20" t="s">
        <v>101</v>
      </c>
      <c r="BS20" t="s">
        <v>533</v>
      </c>
      <c r="BT20" t="str">
        <f>HYPERLINK("https%3A%2F%2Fwww.webofscience.com%2Fwos%2Fwoscc%2Ffull-record%2FWOS:001090711300001","View Full Record in Web of Science")</f>
        <v>View Full Record in Web of Science</v>
      </c>
    </row>
    <row r="21" spans="1:72" x14ac:dyDescent="0.2">
      <c r="A21" t="s">
        <v>103</v>
      </c>
      <c r="B21" t="s">
        <v>534</v>
      </c>
      <c r="C21" t="s">
        <v>74</v>
      </c>
      <c r="D21" t="s">
        <v>74</v>
      </c>
      <c r="E21" t="s">
        <v>74</v>
      </c>
      <c r="F21" t="s">
        <v>535</v>
      </c>
      <c r="G21" t="s">
        <v>74</v>
      </c>
      <c r="H21" t="s">
        <v>74</v>
      </c>
      <c r="I21" t="s">
        <v>536</v>
      </c>
      <c r="J21" t="s">
        <v>537</v>
      </c>
      <c r="K21" t="s">
        <v>74</v>
      </c>
      <c r="L21" t="s">
        <v>74</v>
      </c>
      <c r="M21" t="s">
        <v>79</v>
      </c>
      <c r="N21" t="s">
        <v>108</v>
      </c>
      <c r="O21" t="s">
        <v>74</v>
      </c>
      <c r="P21" t="s">
        <v>74</v>
      </c>
      <c r="Q21" t="s">
        <v>74</v>
      </c>
      <c r="R21" t="s">
        <v>74</v>
      </c>
      <c r="S21" t="s">
        <v>74</v>
      </c>
      <c r="T21" t="s">
        <v>538</v>
      </c>
      <c r="U21" t="s">
        <v>74</v>
      </c>
      <c r="V21" t="s">
        <v>539</v>
      </c>
      <c r="W21" t="s">
        <v>540</v>
      </c>
      <c r="X21" t="s">
        <v>541</v>
      </c>
      <c r="Y21" t="s">
        <v>542</v>
      </c>
      <c r="Z21" t="s">
        <v>543</v>
      </c>
      <c r="AA21" t="s">
        <v>74</v>
      </c>
      <c r="AB21" t="s">
        <v>74</v>
      </c>
      <c r="AC21" t="s">
        <v>544</v>
      </c>
      <c r="AD21" t="s">
        <v>545</v>
      </c>
      <c r="AE21" t="s">
        <v>546</v>
      </c>
      <c r="AF21" t="s">
        <v>74</v>
      </c>
      <c r="AG21">
        <v>21</v>
      </c>
      <c r="AH21">
        <v>9</v>
      </c>
      <c r="AI21">
        <v>9</v>
      </c>
      <c r="AJ21">
        <v>303</v>
      </c>
      <c r="AK21">
        <v>350</v>
      </c>
      <c r="AL21" t="s">
        <v>547</v>
      </c>
      <c r="AM21" t="s">
        <v>548</v>
      </c>
      <c r="AN21" t="s">
        <v>549</v>
      </c>
      <c r="AO21" t="s">
        <v>550</v>
      </c>
      <c r="AP21" t="s">
        <v>551</v>
      </c>
      <c r="AQ21" t="s">
        <v>74</v>
      </c>
      <c r="AR21" t="s">
        <v>552</v>
      </c>
      <c r="AS21" t="s">
        <v>553</v>
      </c>
      <c r="AT21" t="s">
        <v>554</v>
      </c>
      <c r="AU21">
        <v>2023</v>
      </c>
      <c r="AV21">
        <v>100</v>
      </c>
      <c r="AW21">
        <v>8</v>
      </c>
      <c r="AX21" t="s">
        <v>74</v>
      </c>
      <c r="AY21" t="s">
        <v>74</v>
      </c>
      <c r="AZ21" t="s">
        <v>74</v>
      </c>
      <c r="BA21" t="s">
        <v>74</v>
      </c>
      <c r="BB21">
        <v>2965</v>
      </c>
      <c r="BC21">
        <v>2971</v>
      </c>
      <c r="BD21" t="s">
        <v>74</v>
      </c>
      <c r="BE21" t="s">
        <v>555</v>
      </c>
      <c r="BF21" t="str">
        <f>HYPERLINK("http://dx.doi.org/10.1021/acs.jchemed.3c00323","http://dx.doi.org/10.1021/acs.jchemed.3c00323")</f>
        <v>http://dx.doi.org/10.1021/acs.jchemed.3c00323</v>
      </c>
      <c r="BG21" t="s">
        <v>74</v>
      </c>
      <c r="BH21" t="s">
        <v>229</v>
      </c>
      <c r="BI21">
        <v>7</v>
      </c>
      <c r="BJ21" t="s">
        <v>556</v>
      </c>
      <c r="BK21" t="s">
        <v>130</v>
      </c>
      <c r="BL21" t="s">
        <v>557</v>
      </c>
      <c r="BM21" t="s">
        <v>558</v>
      </c>
      <c r="BN21" t="s">
        <v>74</v>
      </c>
      <c r="BO21" t="s">
        <v>74</v>
      </c>
      <c r="BP21" t="s">
        <v>74</v>
      </c>
      <c r="BQ21" t="s">
        <v>74</v>
      </c>
      <c r="BR21" t="s">
        <v>101</v>
      </c>
      <c r="BS21" t="s">
        <v>559</v>
      </c>
      <c r="BT21" t="str">
        <f>HYPERLINK("https%3A%2F%2Fwww.webofscience.com%2Fwos%2Fwoscc%2Ffull-record%2FWOS:001037631400001","View Full Record in Web of Science")</f>
        <v>View Full Record in Web of Science</v>
      </c>
    </row>
    <row r="22" spans="1:72" x14ac:dyDescent="0.2">
      <c r="A22" t="s">
        <v>103</v>
      </c>
      <c r="B22" t="s">
        <v>560</v>
      </c>
      <c r="C22" t="s">
        <v>74</v>
      </c>
      <c r="D22" t="s">
        <v>74</v>
      </c>
      <c r="E22" t="s">
        <v>74</v>
      </c>
      <c r="F22" t="s">
        <v>561</v>
      </c>
      <c r="G22" t="s">
        <v>74</v>
      </c>
      <c r="H22" t="s">
        <v>74</v>
      </c>
      <c r="I22" t="s">
        <v>562</v>
      </c>
      <c r="J22" t="s">
        <v>563</v>
      </c>
      <c r="K22" t="s">
        <v>74</v>
      </c>
      <c r="L22" t="s">
        <v>74</v>
      </c>
      <c r="M22" t="s">
        <v>79</v>
      </c>
      <c r="N22" t="s">
        <v>108</v>
      </c>
      <c r="O22" t="s">
        <v>74</v>
      </c>
      <c r="P22" t="s">
        <v>74</v>
      </c>
      <c r="Q22" t="s">
        <v>74</v>
      </c>
      <c r="R22" t="s">
        <v>74</v>
      </c>
      <c r="S22" t="s">
        <v>74</v>
      </c>
      <c r="T22" t="s">
        <v>564</v>
      </c>
      <c r="U22" t="s">
        <v>74</v>
      </c>
      <c r="V22" t="s">
        <v>565</v>
      </c>
      <c r="W22" t="s">
        <v>566</v>
      </c>
      <c r="X22" t="s">
        <v>567</v>
      </c>
      <c r="Y22" t="s">
        <v>568</v>
      </c>
      <c r="Z22" t="s">
        <v>569</v>
      </c>
      <c r="AA22" t="s">
        <v>570</v>
      </c>
      <c r="AB22" t="s">
        <v>571</v>
      </c>
      <c r="AC22" t="s">
        <v>74</v>
      </c>
      <c r="AD22" t="s">
        <v>74</v>
      </c>
      <c r="AE22" t="s">
        <v>74</v>
      </c>
      <c r="AF22" t="s">
        <v>74</v>
      </c>
      <c r="AG22">
        <v>3</v>
      </c>
      <c r="AH22">
        <v>0</v>
      </c>
      <c r="AI22">
        <v>0</v>
      </c>
      <c r="AJ22">
        <v>36</v>
      </c>
      <c r="AK22">
        <v>36</v>
      </c>
      <c r="AL22" t="s">
        <v>119</v>
      </c>
      <c r="AM22" t="s">
        <v>120</v>
      </c>
      <c r="AN22" t="s">
        <v>121</v>
      </c>
      <c r="AO22" t="s">
        <v>572</v>
      </c>
      <c r="AP22" t="s">
        <v>573</v>
      </c>
      <c r="AQ22" t="s">
        <v>74</v>
      </c>
      <c r="AR22" t="s">
        <v>574</v>
      </c>
      <c r="AS22" t="s">
        <v>575</v>
      </c>
      <c r="AT22" t="s">
        <v>527</v>
      </c>
      <c r="AU22">
        <v>2023</v>
      </c>
      <c r="AV22">
        <v>62</v>
      </c>
      <c r="AW22" t="s">
        <v>74</v>
      </c>
      <c r="AX22" t="s">
        <v>74</v>
      </c>
      <c r="AY22" t="s">
        <v>74</v>
      </c>
      <c r="AZ22" t="s">
        <v>74</v>
      </c>
      <c r="BA22" t="s">
        <v>74</v>
      </c>
      <c r="BB22" t="s">
        <v>74</v>
      </c>
      <c r="BC22" t="s">
        <v>74</v>
      </c>
      <c r="BD22">
        <v>101070</v>
      </c>
      <c r="BE22" t="s">
        <v>576</v>
      </c>
      <c r="BF22" t="str">
        <f>HYPERLINK("http://dx.doi.org/10.1016/j.jslw.2023.101070","http://dx.doi.org/10.1016/j.jslw.2023.101070")</f>
        <v>http://dx.doi.org/10.1016/j.jslw.2023.101070</v>
      </c>
      <c r="BG22" t="s">
        <v>74</v>
      </c>
      <c r="BH22" t="s">
        <v>157</v>
      </c>
      <c r="BI22">
        <v>2</v>
      </c>
      <c r="BJ22" t="s">
        <v>377</v>
      </c>
      <c r="BK22" t="s">
        <v>159</v>
      </c>
      <c r="BL22" t="s">
        <v>377</v>
      </c>
      <c r="BM22" t="s">
        <v>577</v>
      </c>
      <c r="BN22" t="s">
        <v>74</v>
      </c>
      <c r="BO22" t="s">
        <v>74</v>
      </c>
      <c r="BP22" t="s">
        <v>74</v>
      </c>
      <c r="BQ22" t="s">
        <v>74</v>
      </c>
      <c r="BR22" t="s">
        <v>101</v>
      </c>
      <c r="BS22" t="s">
        <v>578</v>
      </c>
      <c r="BT22" t="str">
        <f>HYPERLINK("https%3A%2F%2Fwww.webofscience.com%2Fwos%2Fwoscc%2Ffull-record%2FWOS:001106922100001","View Full Record in Web of Science")</f>
        <v>View Full Record in Web of Science</v>
      </c>
    </row>
    <row r="23" spans="1:72" x14ac:dyDescent="0.2">
      <c r="A23" t="s">
        <v>72</v>
      </c>
      <c r="B23" t="s">
        <v>579</v>
      </c>
      <c r="C23" t="s">
        <v>74</v>
      </c>
      <c r="D23" t="s">
        <v>580</v>
      </c>
      <c r="E23" t="s">
        <v>74</v>
      </c>
      <c r="F23" t="s">
        <v>581</v>
      </c>
      <c r="G23" t="s">
        <v>74</v>
      </c>
      <c r="H23" t="s">
        <v>74</v>
      </c>
      <c r="I23" t="s">
        <v>582</v>
      </c>
      <c r="J23" t="s">
        <v>583</v>
      </c>
      <c r="K23" t="s">
        <v>584</v>
      </c>
      <c r="L23" t="s">
        <v>74</v>
      </c>
      <c r="M23" t="s">
        <v>79</v>
      </c>
      <c r="N23" t="s">
        <v>80</v>
      </c>
      <c r="O23" t="s">
        <v>585</v>
      </c>
      <c r="P23" t="s">
        <v>586</v>
      </c>
      <c r="Q23" t="s">
        <v>587</v>
      </c>
      <c r="R23" t="s">
        <v>588</v>
      </c>
      <c r="S23" t="s">
        <v>74</v>
      </c>
      <c r="T23" t="s">
        <v>589</v>
      </c>
      <c r="U23" t="s">
        <v>74</v>
      </c>
      <c r="V23" t="s">
        <v>590</v>
      </c>
      <c r="W23" t="s">
        <v>591</v>
      </c>
      <c r="X23" t="s">
        <v>592</v>
      </c>
      <c r="Y23" t="s">
        <v>593</v>
      </c>
      <c r="Z23" t="s">
        <v>594</v>
      </c>
      <c r="AA23" t="s">
        <v>74</v>
      </c>
      <c r="AB23" t="s">
        <v>74</v>
      </c>
      <c r="AC23" t="s">
        <v>74</v>
      </c>
      <c r="AD23" t="s">
        <v>74</v>
      </c>
      <c r="AE23" t="s">
        <v>74</v>
      </c>
      <c r="AF23" t="s">
        <v>74</v>
      </c>
      <c r="AG23">
        <v>8</v>
      </c>
      <c r="AH23">
        <v>0</v>
      </c>
      <c r="AI23">
        <v>0</v>
      </c>
      <c r="AJ23">
        <v>2</v>
      </c>
      <c r="AK23">
        <v>2</v>
      </c>
      <c r="AL23" t="s">
        <v>284</v>
      </c>
      <c r="AM23" t="s">
        <v>93</v>
      </c>
      <c r="AN23" t="s">
        <v>299</v>
      </c>
      <c r="AO23" t="s">
        <v>595</v>
      </c>
      <c r="AP23" t="s">
        <v>74</v>
      </c>
      <c r="AQ23" t="s">
        <v>596</v>
      </c>
      <c r="AR23" t="s">
        <v>597</v>
      </c>
      <c r="AS23" t="s">
        <v>74</v>
      </c>
      <c r="AT23" t="s">
        <v>74</v>
      </c>
      <c r="AU23">
        <v>2023</v>
      </c>
      <c r="AV23" t="s">
        <v>74</v>
      </c>
      <c r="AW23" t="s">
        <v>74</v>
      </c>
      <c r="AX23" t="s">
        <v>74</v>
      </c>
      <c r="AY23" t="s">
        <v>74</v>
      </c>
      <c r="AZ23" t="s">
        <v>74</v>
      </c>
      <c r="BA23" t="s">
        <v>74</v>
      </c>
      <c r="BB23" t="s">
        <v>74</v>
      </c>
      <c r="BC23" t="s">
        <v>74</v>
      </c>
      <c r="BD23" t="s">
        <v>74</v>
      </c>
      <c r="BE23" t="s">
        <v>598</v>
      </c>
      <c r="BF23" t="str">
        <f>HYPERLINK("http://dx.doi.org/10.1109/MOBISECSERV58080.2023.10329224","http://dx.doi.org/10.1109/MOBISECSERV58080.2023.10329224")</f>
        <v>http://dx.doi.org/10.1109/MOBISECSERV58080.2023.10329224</v>
      </c>
      <c r="BG23" t="s">
        <v>74</v>
      </c>
      <c r="BH23" t="s">
        <v>74</v>
      </c>
      <c r="BI23">
        <v>2</v>
      </c>
      <c r="BJ23" t="s">
        <v>599</v>
      </c>
      <c r="BK23" t="s">
        <v>98</v>
      </c>
      <c r="BL23" t="s">
        <v>99</v>
      </c>
      <c r="BM23" t="s">
        <v>600</v>
      </c>
      <c r="BN23" t="s">
        <v>74</v>
      </c>
      <c r="BO23" t="s">
        <v>74</v>
      </c>
      <c r="BP23" t="s">
        <v>74</v>
      </c>
      <c r="BQ23" t="s">
        <v>74</v>
      </c>
      <c r="BR23" t="s">
        <v>101</v>
      </c>
      <c r="BS23" t="s">
        <v>601</v>
      </c>
      <c r="BT23" t="str">
        <f>HYPERLINK("https%3A%2F%2Fwww.webofscience.com%2Fwos%2Fwoscc%2Ffull-record%2FWOS:001118763400014","View Full Record in Web of Science")</f>
        <v>View Full Record in Web of Science</v>
      </c>
    </row>
    <row r="24" spans="1:72" x14ac:dyDescent="0.2">
      <c r="A24" t="s">
        <v>103</v>
      </c>
      <c r="B24" t="s">
        <v>602</v>
      </c>
      <c r="C24" t="s">
        <v>74</v>
      </c>
      <c r="D24" t="s">
        <v>74</v>
      </c>
      <c r="E24" t="s">
        <v>74</v>
      </c>
      <c r="F24" t="s">
        <v>603</v>
      </c>
      <c r="G24" t="s">
        <v>74</v>
      </c>
      <c r="H24" t="s">
        <v>74</v>
      </c>
      <c r="I24" t="s">
        <v>604</v>
      </c>
      <c r="J24" t="s">
        <v>605</v>
      </c>
      <c r="K24" t="s">
        <v>74</v>
      </c>
      <c r="L24" t="s">
        <v>74</v>
      </c>
      <c r="M24" t="s">
        <v>79</v>
      </c>
      <c r="N24" t="s">
        <v>108</v>
      </c>
      <c r="O24" t="s">
        <v>74</v>
      </c>
      <c r="P24" t="s">
        <v>74</v>
      </c>
      <c r="Q24" t="s">
        <v>74</v>
      </c>
      <c r="R24" t="s">
        <v>74</v>
      </c>
      <c r="S24" t="s">
        <v>74</v>
      </c>
      <c r="T24" t="s">
        <v>606</v>
      </c>
      <c r="U24" t="s">
        <v>74</v>
      </c>
      <c r="V24" t="s">
        <v>607</v>
      </c>
      <c r="W24" t="s">
        <v>608</v>
      </c>
      <c r="X24" t="s">
        <v>609</v>
      </c>
      <c r="Y24" t="s">
        <v>610</v>
      </c>
      <c r="Z24" t="s">
        <v>611</v>
      </c>
      <c r="AA24" t="s">
        <v>74</v>
      </c>
      <c r="AB24" t="s">
        <v>74</v>
      </c>
      <c r="AC24" t="s">
        <v>74</v>
      </c>
      <c r="AD24" t="s">
        <v>74</v>
      </c>
      <c r="AE24" t="s">
        <v>74</v>
      </c>
      <c r="AF24" t="s">
        <v>74</v>
      </c>
      <c r="AG24">
        <v>113</v>
      </c>
      <c r="AH24">
        <v>0</v>
      </c>
      <c r="AI24">
        <v>0</v>
      </c>
      <c r="AJ24">
        <v>19</v>
      </c>
      <c r="AK24">
        <v>19</v>
      </c>
      <c r="AL24" t="s">
        <v>438</v>
      </c>
      <c r="AM24" t="s">
        <v>439</v>
      </c>
      <c r="AN24" t="s">
        <v>440</v>
      </c>
      <c r="AO24" t="s">
        <v>612</v>
      </c>
      <c r="AP24" t="s">
        <v>74</v>
      </c>
      <c r="AQ24" t="s">
        <v>74</v>
      </c>
      <c r="AR24" t="s">
        <v>613</v>
      </c>
      <c r="AS24" t="s">
        <v>614</v>
      </c>
      <c r="AT24" t="s">
        <v>615</v>
      </c>
      <c r="AU24">
        <v>2023</v>
      </c>
      <c r="AV24">
        <v>10</v>
      </c>
      <c r="AW24">
        <v>2</v>
      </c>
      <c r="AX24" t="s">
        <v>74</v>
      </c>
      <c r="AY24" t="s">
        <v>74</v>
      </c>
      <c r="AZ24" t="s">
        <v>74</v>
      </c>
      <c r="BA24" t="s">
        <v>74</v>
      </c>
      <c r="BB24" t="s">
        <v>74</v>
      </c>
      <c r="BC24" t="s">
        <v>74</v>
      </c>
      <c r="BD24">
        <v>2.053951723121924E+16</v>
      </c>
      <c r="BE24" t="s">
        <v>616</v>
      </c>
      <c r="BF24" t="str">
        <f>HYPERLINK("http://dx.doi.org/10.1177/20539517231219241","http://dx.doi.org/10.1177/20539517231219241")</f>
        <v>http://dx.doi.org/10.1177/20539517231219241</v>
      </c>
      <c r="BG24" t="s">
        <v>74</v>
      </c>
      <c r="BH24" t="s">
        <v>74</v>
      </c>
      <c r="BI24">
        <v>13</v>
      </c>
      <c r="BJ24" t="s">
        <v>617</v>
      </c>
      <c r="BK24" t="s">
        <v>159</v>
      </c>
      <c r="BL24" t="s">
        <v>618</v>
      </c>
      <c r="BM24" t="s">
        <v>619</v>
      </c>
      <c r="BN24" t="s">
        <v>74</v>
      </c>
      <c r="BO24" t="s">
        <v>425</v>
      </c>
      <c r="BP24" t="s">
        <v>74</v>
      </c>
      <c r="BQ24" t="s">
        <v>74</v>
      </c>
      <c r="BR24" t="s">
        <v>101</v>
      </c>
      <c r="BS24" t="s">
        <v>620</v>
      </c>
      <c r="BT24" t="str">
        <f>HYPERLINK("https%3A%2F%2Fwww.webofscience.com%2Fwos%2Fwoscc%2Ffull-record%2FWOS:001124675100001","View Full Record in Web of Science")</f>
        <v>View Full Record in Web of Science</v>
      </c>
    </row>
    <row r="25" spans="1:72" x14ac:dyDescent="0.2">
      <c r="A25" t="s">
        <v>72</v>
      </c>
      <c r="B25" t="s">
        <v>621</v>
      </c>
      <c r="C25" t="s">
        <v>74</v>
      </c>
      <c r="D25" t="s">
        <v>622</v>
      </c>
      <c r="E25" t="s">
        <v>74</v>
      </c>
      <c r="F25" t="s">
        <v>623</v>
      </c>
      <c r="G25" t="s">
        <v>74</v>
      </c>
      <c r="H25" t="s">
        <v>74</v>
      </c>
      <c r="I25" t="s">
        <v>624</v>
      </c>
      <c r="J25" t="s">
        <v>625</v>
      </c>
      <c r="K25" t="s">
        <v>74</v>
      </c>
      <c r="L25" t="s">
        <v>74</v>
      </c>
      <c r="M25" t="s">
        <v>79</v>
      </c>
      <c r="N25" t="s">
        <v>80</v>
      </c>
      <c r="O25" t="s">
        <v>626</v>
      </c>
      <c r="P25" t="s">
        <v>627</v>
      </c>
      <c r="Q25" t="s">
        <v>628</v>
      </c>
      <c r="R25" t="s">
        <v>629</v>
      </c>
      <c r="S25" t="s">
        <v>74</v>
      </c>
      <c r="T25" t="s">
        <v>630</v>
      </c>
      <c r="U25" t="s">
        <v>74</v>
      </c>
      <c r="V25" t="s">
        <v>631</v>
      </c>
      <c r="W25" t="s">
        <v>632</v>
      </c>
      <c r="X25" t="s">
        <v>633</v>
      </c>
      <c r="Y25" t="s">
        <v>634</v>
      </c>
      <c r="Z25" t="s">
        <v>635</v>
      </c>
      <c r="AA25" t="s">
        <v>636</v>
      </c>
      <c r="AB25" t="s">
        <v>637</v>
      </c>
      <c r="AC25" t="s">
        <v>74</v>
      </c>
      <c r="AD25" t="s">
        <v>74</v>
      </c>
      <c r="AE25" t="s">
        <v>74</v>
      </c>
      <c r="AF25" t="s">
        <v>74</v>
      </c>
      <c r="AG25">
        <v>17</v>
      </c>
      <c r="AH25">
        <v>3</v>
      </c>
      <c r="AI25">
        <v>3</v>
      </c>
      <c r="AJ25">
        <v>9</v>
      </c>
      <c r="AK25">
        <v>10</v>
      </c>
      <c r="AL25" t="s">
        <v>638</v>
      </c>
      <c r="AM25" t="s">
        <v>639</v>
      </c>
      <c r="AN25" t="s">
        <v>640</v>
      </c>
      <c r="AO25" t="s">
        <v>74</v>
      </c>
      <c r="AP25" t="s">
        <v>74</v>
      </c>
      <c r="AQ25" t="s">
        <v>641</v>
      </c>
      <c r="AR25" t="s">
        <v>74</v>
      </c>
      <c r="AS25" t="s">
        <v>74</v>
      </c>
      <c r="AT25" t="s">
        <v>74</v>
      </c>
      <c r="AU25">
        <v>2023</v>
      </c>
      <c r="AV25" t="s">
        <v>74</v>
      </c>
      <c r="AW25" t="s">
        <v>74</v>
      </c>
      <c r="AX25" t="s">
        <v>74</v>
      </c>
      <c r="AY25" t="s">
        <v>74</v>
      </c>
      <c r="AZ25" t="s">
        <v>74</v>
      </c>
      <c r="BA25" t="s">
        <v>74</v>
      </c>
      <c r="BB25">
        <v>16</v>
      </c>
      <c r="BC25">
        <v>25</v>
      </c>
      <c r="BD25" t="s">
        <v>74</v>
      </c>
      <c r="BE25" t="s">
        <v>642</v>
      </c>
      <c r="BF25" t="str">
        <f>HYPERLINK("http://dx.doi.org/10.1109/CCGridW59191.2023.00018","http://dx.doi.org/10.1109/CCGridW59191.2023.00018")</f>
        <v>http://dx.doi.org/10.1109/CCGridW59191.2023.00018</v>
      </c>
      <c r="BG25" t="s">
        <v>74</v>
      </c>
      <c r="BH25" t="s">
        <v>74</v>
      </c>
      <c r="BI25">
        <v>10</v>
      </c>
      <c r="BJ25" t="s">
        <v>643</v>
      </c>
      <c r="BK25" t="s">
        <v>98</v>
      </c>
      <c r="BL25" t="s">
        <v>644</v>
      </c>
      <c r="BM25" t="s">
        <v>645</v>
      </c>
      <c r="BN25" t="s">
        <v>74</v>
      </c>
      <c r="BO25" t="s">
        <v>646</v>
      </c>
      <c r="BP25" t="s">
        <v>74</v>
      </c>
      <c r="BQ25" t="s">
        <v>74</v>
      </c>
      <c r="BR25" t="s">
        <v>101</v>
      </c>
      <c r="BS25" t="s">
        <v>647</v>
      </c>
      <c r="BT25" t="str">
        <f>HYPERLINK("https%3A%2F%2Fwww.webofscience.com%2Fwos%2Fwoscc%2Ffull-record%2FWOS:001037081200003","View Full Record in Web of Science")</f>
        <v>View Full Record in Web of Science</v>
      </c>
    </row>
    <row r="26" spans="1:72" x14ac:dyDescent="0.2">
      <c r="A26" t="s">
        <v>103</v>
      </c>
      <c r="B26" t="s">
        <v>648</v>
      </c>
      <c r="C26" t="s">
        <v>74</v>
      </c>
      <c r="D26" t="s">
        <v>74</v>
      </c>
      <c r="E26" t="s">
        <v>74</v>
      </c>
      <c r="F26" t="s">
        <v>649</v>
      </c>
      <c r="G26" t="s">
        <v>74</v>
      </c>
      <c r="H26" t="s">
        <v>74</v>
      </c>
      <c r="I26" t="s">
        <v>650</v>
      </c>
      <c r="J26" t="s">
        <v>651</v>
      </c>
      <c r="K26" t="s">
        <v>74</v>
      </c>
      <c r="L26" t="s">
        <v>74</v>
      </c>
      <c r="M26" t="s">
        <v>79</v>
      </c>
      <c r="N26" t="s">
        <v>108</v>
      </c>
      <c r="O26" t="s">
        <v>74</v>
      </c>
      <c r="P26" t="s">
        <v>74</v>
      </c>
      <c r="Q26" t="s">
        <v>74</v>
      </c>
      <c r="R26" t="s">
        <v>74</v>
      </c>
      <c r="S26" t="s">
        <v>74</v>
      </c>
      <c r="T26" t="s">
        <v>652</v>
      </c>
      <c r="U26" t="s">
        <v>74</v>
      </c>
      <c r="V26" t="s">
        <v>653</v>
      </c>
      <c r="W26" t="s">
        <v>654</v>
      </c>
      <c r="X26" t="s">
        <v>655</v>
      </c>
      <c r="Y26" t="s">
        <v>656</v>
      </c>
      <c r="Z26" t="s">
        <v>74</v>
      </c>
      <c r="AA26" t="s">
        <v>74</v>
      </c>
      <c r="AB26" t="s">
        <v>74</v>
      </c>
      <c r="AC26" t="s">
        <v>657</v>
      </c>
      <c r="AD26" t="s">
        <v>658</v>
      </c>
      <c r="AE26" t="s">
        <v>659</v>
      </c>
      <c r="AF26" t="s">
        <v>74</v>
      </c>
      <c r="AG26">
        <v>14</v>
      </c>
      <c r="AH26">
        <v>0</v>
      </c>
      <c r="AI26">
        <v>0</v>
      </c>
      <c r="AJ26">
        <v>9</v>
      </c>
      <c r="AK26">
        <v>9</v>
      </c>
      <c r="AL26" t="s">
        <v>660</v>
      </c>
      <c r="AM26" t="s">
        <v>661</v>
      </c>
      <c r="AN26" t="s">
        <v>662</v>
      </c>
      <c r="AO26" t="s">
        <v>663</v>
      </c>
      <c r="AP26" t="s">
        <v>74</v>
      </c>
      <c r="AQ26" t="s">
        <v>74</v>
      </c>
      <c r="AR26" t="s">
        <v>664</v>
      </c>
      <c r="AS26" t="s">
        <v>665</v>
      </c>
      <c r="AT26" t="s">
        <v>74</v>
      </c>
      <c r="AU26">
        <v>2023</v>
      </c>
      <c r="AV26">
        <v>18</v>
      </c>
      <c r="AW26">
        <v>2</v>
      </c>
      <c r="AX26" t="s">
        <v>74</v>
      </c>
      <c r="AY26" t="s">
        <v>74</v>
      </c>
      <c r="AZ26" t="s">
        <v>74</v>
      </c>
      <c r="BA26" t="s">
        <v>74</v>
      </c>
      <c r="BB26">
        <v>213</v>
      </c>
      <c r="BC26">
        <v>230</v>
      </c>
      <c r="BD26" t="s">
        <v>74</v>
      </c>
      <c r="BE26" t="s">
        <v>74</v>
      </c>
      <c r="BF26" t="s">
        <v>74</v>
      </c>
      <c r="BG26" t="s">
        <v>74</v>
      </c>
      <c r="BH26" t="s">
        <v>74</v>
      </c>
      <c r="BI26">
        <v>18</v>
      </c>
      <c r="BJ26" t="s">
        <v>351</v>
      </c>
      <c r="BK26" t="s">
        <v>352</v>
      </c>
      <c r="BL26" t="s">
        <v>99</v>
      </c>
      <c r="BM26" t="s">
        <v>666</v>
      </c>
      <c r="BN26" t="s">
        <v>74</v>
      </c>
      <c r="BO26" t="s">
        <v>74</v>
      </c>
      <c r="BP26" t="s">
        <v>74</v>
      </c>
      <c r="BQ26" t="s">
        <v>74</v>
      </c>
      <c r="BR26" t="s">
        <v>101</v>
      </c>
      <c r="BS26" t="s">
        <v>667</v>
      </c>
      <c r="BT26" t="str">
        <f>HYPERLINK("https%3A%2F%2Fwww.webofscience.com%2Fwos%2Fwoscc%2Ffull-record%2FWOS:001128422300001","View Full Record in Web of Science")</f>
        <v>View Full Record in Web of Science</v>
      </c>
    </row>
    <row r="27" spans="1:72" x14ac:dyDescent="0.2">
      <c r="A27" t="s">
        <v>103</v>
      </c>
      <c r="B27" t="s">
        <v>668</v>
      </c>
      <c r="C27" t="s">
        <v>74</v>
      </c>
      <c r="D27" t="s">
        <v>74</v>
      </c>
      <c r="E27" t="s">
        <v>74</v>
      </c>
      <c r="F27" t="s">
        <v>669</v>
      </c>
      <c r="G27" t="s">
        <v>74</v>
      </c>
      <c r="H27" t="s">
        <v>74</v>
      </c>
      <c r="I27" t="s">
        <v>670</v>
      </c>
      <c r="J27" t="s">
        <v>671</v>
      </c>
      <c r="K27" t="s">
        <v>74</v>
      </c>
      <c r="L27" t="s">
        <v>74</v>
      </c>
      <c r="M27" t="s">
        <v>79</v>
      </c>
      <c r="N27" t="s">
        <v>108</v>
      </c>
      <c r="O27" t="s">
        <v>74</v>
      </c>
      <c r="P27" t="s">
        <v>74</v>
      </c>
      <c r="Q27" t="s">
        <v>74</v>
      </c>
      <c r="R27" t="s">
        <v>74</v>
      </c>
      <c r="S27" t="s">
        <v>74</v>
      </c>
      <c r="T27" t="s">
        <v>672</v>
      </c>
      <c r="U27" t="s">
        <v>74</v>
      </c>
      <c r="V27" t="s">
        <v>673</v>
      </c>
      <c r="W27" t="s">
        <v>674</v>
      </c>
      <c r="X27" t="s">
        <v>675</v>
      </c>
      <c r="Y27" t="s">
        <v>676</v>
      </c>
      <c r="Z27" t="s">
        <v>74</v>
      </c>
      <c r="AA27" t="s">
        <v>677</v>
      </c>
      <c r="AB27" t="s">
        <v>678</v>
      </c>
      <c r="AC27" t="s">
        <v>74</v>
      </c>
      <c r="AD27" t="s">
        <v>74</v>
      </c>
      <c r="AE27" t="s">
        <v>74</v>
      </c>
      <c r="AF27" t="s">
        <v>74</v>
      </c>
      <c r="AG27">
        <v>14</v>
      </c>
      <c r="AH27">
        <v>0</v>
      </c>
      <c r="AI27">
        <v>0</v>
      </c>
      <c r="AJ27">
        <v>1</v>
      </c>
      <c r="AK27">
        <v>1</v>
      </c>
      <c r="AL27" t="s">
        <v>679</v>
      </c>
      <c r="AM27" t="s">
        <v>680</v>
      </c>
      <c r="AN27" t="s">
        <v>681</v>
      </c>
      <c r="AO27" t="s">
        <v>682</v>
      </c>
      <c r="AP27" t="s">
        <v>74</v>
      </c>
      <c r="AQ27" t="s">
        <v>74</v>
      </c>
      <c r="AR27" t="s">
        <v>683</v>
      </c>
      <c r="AS27" t="s">
        <v>684</v>
      </c>
      <c r="AT27" t="s">
        <v>527</v>
      </c>
      <c r="AU27">
        <v>2023</v>
      </c>
      <c r="AV27">
        <v>14</v>
      </c>
      <c r="AW27">
        <v>4</v>
      </c>
      <c r="AX27" t="s">
        <v>74</v>
      </c>
      <c r="AY27" t="s">
        <v>74</v>
      </c>
      <c r="AZ27" t="s">
        <v>74</v>
      </c>
      <c r="BA27" t="s">
        <v>74</v>
      </c>
      <c r="BB27">
        <v>489</v>
      </c>
      <c r="BC27">
        <v>501</v>
      </c>
      <c r="BD27" t="s">
        <v>74</v>
      </c>
      <c r="BE27" t="s">
        <v>74</v>
      </c>
      <c r="BF27" t="s">
        <v>74</v>
      </c>
      <c r="BG27" t="s">
        <v>74</v>
      </c>
      <c r="BH27" t="s">
        <v>74</v>
      </c>
      <c r="BI27">
        <v>13</v>
      </c>
      <c r="BJ27" t="s">
        <v>423</v>
      </c>
      <c r="BK27" t="s">
        <v>352</v>
      </c>
      <c r="BL27" t="s">
        <v>423</v>
      </c>
      <c r="BM27" t="s">
        <v>685</v>
      </c>
      <c r="BN27" t="s">
        <v>74</v>
      </c>
      <c r="BO27" t="s">
        <v>74</v>
      </c>
      <c r="BP27" t="s">
        <v>74</v>
      </c>
      <c r="BQ27" t="s">
        <v>74</v>
      </c>
      <c r="BR27" t="s">
        <v>101</v>
      </c>
      <c r="BS27" t="s">
        <v>686</v>
      </c>
      <c r="BT27" t="str">
        <f>HYPERLINK("https%3A%2F%2Fwww.webofscience.com%2Fwos%2Fwoscc%2Ffull-record%2FWOS:001172904500002","View Full Record in Web of Science")</f>
        <v>View Full Record in Web of Science</v>
      </c>
    </row>
    <row r="28" spans="1:72" x14ac:dyDescent="0.2">
      <c r="A28" t="s">
        <v>72</v>
      </c>
      <c r="B28" t="s">
        <v>687</v>
      </c>
      <c r="C28" t="s">
        <v>74</v>
      </c>
      <c r="D28" t="s">
        <v>74</v>
      </c>
      <c r="E28" t="s">
        <v>75</v>
      </c>
      <c r="F28" t="s">
        <v>688</v>
      </c>
      <c r="G28" t="s">
        <v>74</v>
      </c>
      <c r="H28" t="s">
        <v>74</v>
      </c>
      <c r="I28" t="s">
        <v>689</v>
      </c>
      <c r="J28" t="s">
        <v>166</v>
      </c>
      <c r="K28" t="s">
        <v>74</v>
      </c>
      <c r="L28" t="s">
        <v>74</v>
      </c>
      <c r="M28" t="s">
        <v>79</v>
      </c>
      <c r="N28" t="s">
        <v>80</v>
      </c>
      <c r="O28" t="s">
        <v>167</v>
      </c>
      <c r="P28" t="s">
        <v>168</v>
      </c>
      <c r="Q28" t="s">
        <v>169</v>
      </c>
      <c r="R28" t="s">
        <v>170</v>
      </c>
      <c r="S28" t="s">
        <v>74</v>
      </c>
      <c r="T28" t="s">
        <v>690</v>
      </c>
      <c r="U28" t="s">
        <v>74</v>
      </c>
      <c r="V28" t="s">
        <v>691</v>
      </c>
      <c r="W28" t="s">
        <v>692</v>
      </c>
      <c r="X28" t="s">
        <v>693</v>
      </c>
      <c r="Y28" t="s">
        <v>694</v>
      </c>
      <c r="Z28" t="s">
        <v>695</v>
      </c>
      <c r="AA28" t="s">
        <v>696</v>
      </c>
      <c r="AB28" t="s">
        <v>697</v>
      </c>
      <c r="AC28" t="s">
        <v>698</v>
      </c>
      <c r="AD28" t="s">
        <v>698</v>
      </c>
      <c r="AE28" t="s">
        <v>699</v>
      </c>
      <c r="AF28" t="s">
        <v>74</v>
      </c>
      <c r="AG28">
        <v>15</v>
      </c>
      <c r="AH28">
        <v>0</v>
      </c>
      <c r="AI28">
        <v>0</v>
      </c>
      <c r="AJ28">
        <v>3</v>
      </c>
      <c r="AK28">
        <v>3</v>
      </c>
      <c r="AL28" t="s">
        <v>92</v>
      </c>
      <c r="AM28" t="s">
        <v>93</v>
      </c>
      <c r="AN28" t="s">
        <v>94</v>
      </c>
      <c r="AO28" t="s">
        <v>74</v>
      </c>
      <c r="AP28" t="s">
        <v>74</v>
      </c>
      <c r="AQ28" t="s">
        <v>177</v>
      </c>
      <c r="AR28" t="s">
        <v>74</v>
      </c>
      <c r="AS28" t="s">
        <v>74</v>
      </c>
      <c r="AT28" t="s">
        <v>74</v>
      </c>
      <c r="AU28">
        <v>2023</v>
      </c>
      <c r="AV28" t="s">
        <v>74</v>
      </c>
      <c r="AW28" t="s">
        <v>74</v>
      </c>
      <c r="AX28" t="s">
        <v>74</v>
      </c>
      <c r="AY28" t="s">
        <v>74</v>
      </c>
      <c r="AZ28" t="s">
        <v>74</v>
      </c>
      <c r="BA28" t="s">
        <v>74</v>
      </c>
      <c r="BB28">
        <v>254</v>
      </c>
      <c r="BC28">
        <v>261</v>
      </c>
      <c r="BD28" t="s">
        <v>74</v>
      </c>
      <c r="BE28" t="s">
        <v>700</v>
      </c>
      <c r="BF28" t="str">
        <f>HYPERLINK("http://dx.doi.org/10.1145/3591196.3596820","http://dx.doi.org/10.1145/3591196.3596820")</f>
        <v>http://dx.doi.org/10.1145/3591196.3596820</v>
      </c>
      <c r="BG28" t="s">
        <v>74</v>
      </c>
      <c r="BH28" t="s">
        <v>74</v>
      </c>
      <c r="BI28">
        <v>8</v>
      </c>
      <c r="BJ28" t="s">
        <v>179</v>
      </c>
      <c r="BK28" t="s">
        <v>180</v>
      </c>
      <c r="BL28" t="s">
        <v>181</v>
      </c>
      <c r="BM28" t="s">
        <v>182</v>
      </c>
      <c r="BN28" t="s">
        <v>74</v>
      </c>
      <c r="BO28" t="s">
        <v>74</v>
      </c>
      <c r="BP28" t="s">
        <v>74</v>
      </c>
      <c r="BQ28" t="s">
        <v>74</v>
      </c>
      <c r="BR28" t="s">
        <v>101</v>
      </c>
      <c r="BS28" t="s">
        <v>701</v>
      </c>
      <c r="BT28" t="str">
        <f>HYPERLINK("https%3A%2F%2Fwww.webofscience.com%2Fwos%2Fwoscc%2Ffull-record%2FWOS:001119074200033","View Full Record in Web of Science")</f>
        <v>View Full Record in Web of Science</v>
      </c>
    </row>
    <row r="29" spans="1:72" x14ac:dyDescent="0.2">
      <c r="A29" t="s">
        <v>103</v>
      </c>
      <c r="B29" t="s">
        <v>702</v>
      </c>
      <c r="C29" t="s">
        <v>74</v>
      </c>
      <c r="D29" t="s">
        <v>74</v>
      </c>
      <c r="E29" t="s">
        <v>74</v>
      </c>
      <c r="F29" t="s">
        <v>703</v>
      </c>
      <c r="G29" t="s">
        <v>74</v>
      </c>
      <c r="H29" t="s">
        <v>74</v>
      </c>
      <c r="I29" t="s">
        <v>704</v>
      </c>
      <c r="J29" t="s">
        <v>705</v>
      </c>
      <c r="K29" t="s">
        <v>74</v>
      </c>
      <c r="L29" t="s">
        <v>74</v>
      </c>
      <c r="M29" t="s">
        <v>79</v>
      </c>
      <c r="N29" t="s">
        <v>138</v>
      </c>
      <c r="O29" t="s">
        <v>74</v>
      </c>
      <c r="P29" t="s">
        <v>74</v>
      </c>
      <c r="Q29" t="s">
        <v>74</v>
      </c>
      <c r="R29" t="s">
        <v>74</v>
      </c>
      <c r="S29" t="s">
        <v>74</v>
      </c>
      <c r="T29" t="s">
        <v>706</v>
      </c>
      <c r="U29" t="s">
        <v>707</v>
      </c>
      <c r="V29" t="s">
        <v>708</v>
      </c>
      <c r="W29" t="s">
        <v>709</v>
      </c>
      <c r="X29" t="s">
        <v>710</v>
      </c>
      <c r="Y29" t="s">
        <v>711</v>
      </c>
      <c r="Z29" t="s">
        <v>712</v>
      </c>
      <c r="AA29" t="s">
        <v>74</v>
      </c>
      <c r="AB29" t="s">
        <v>713</v>
      </c>
      <c r="AC29" t="s">
        <v>74</v>
      </c>
      <c r="AD29" t="s">
        <v>74</v>
      </c>
      <c r="AE29" t="s">
        <v>74</v>
      </c>
      <c r="AF29" t="s">
        <v>74</v>
      </c>
      <c r="AG29">
        <v>69</v>
      </c>
      <c r="AH29">
        <v>1</v>
      </c>
      <c r="AI29">
        <v>1</v>
      </c>
      <c r="AJ29">
        <v>187</v>
      </c>
      <c r="AK29">
        <v>187</v>
      </c>
      <c r="AL29" t="s">
        <v>343</v>
      </c>
      <c r="AM29" t="s">
        <v>93</v>
      </c>
      <c r="AN29" t="s">
        <v>344</v>
      </c>
      <c r="AO29" t="s">
        <v>714</v>
      </c>
      <c r="AP29" t="s">
        <v>715</v>
      </c>
      <c r="AQ29" t="s">
        <v>74</v>
      </c>
      <c r="AR29" t="s">
        <v>716</v>
      </c>
      <c r="AS29" t="s">
        <v>717</v>
      </c>
      <c r="AT29" t="s">
        <v>718</v>
      </c>
      <c r="AU29">
        <v>2023</v>
      </c>
      <c r="AV29" t="s">
        <v>74</v>
      </c>
      <c r="AW29" t="s">
        <v>74</v>
      </c>
      <c r="AX29" t="s">
        <v>74</v>
      </c>
      <c r="AY29" t="s">
        <v>74</v>
      </c>
      <c r="AZ29" t="s">
        <v>74</v>
      </c>
      <c r="BA29" t="s">
        <v>74</v>
      </c>
      <c r="BB29" t="s">
        <v>74</v>
      </c>
      <c r="BC29" t="s">
        <v>74</v>
      </c>
      <c r="BD29" t="s">
        <v>74</v>
      </c>
      <c r="BE29" t="s">
        <v>719</v>
      </c>
      <c r="BF29" t="str">
        <f>HYPERLINK("http://dx.doi.org/10.1007/s10639-023-12150-4","http://dx.doi.org/10.1007/s10639-023-12150-4")</f>
        <v>http://dx.doi.org/10.1007/s10639-023-12150-4</v>
      </c>
      <c r="BG29" t="s">
        <v>74</v>
      </c>
      <c r="BH29" t="s">
        <v>278</v>
      </c>
      <c r="BI29">
        <v>31</v>
      </c>
      <c r="BJ29" t="s">
        <v>423</v>
      </c>
      <c r="BK29" t="s">
        <v>159</v>
      </c>
      <c r="BL29" t="s">
        <v>423</v>
      </c>
      <c r="BM29" t="s">
        <v>720</v>
      </c>
      <c r="BN29" t="s">
        <v>74</v>
      </c>
      <c r="BO29" t="s">
        <v>74</v>
      </c>
      <c r="BP29" t="s">
        <v>74</v>
      </c>
      <c r="BQ29" t="s">
        <v>74</v>
      </c>
      <c r="BR29" t="s">
        <v>101</v>
      </c>
      <c r="BS29" t="s">
        <v>721</v>
      </c>
      <c r="BT29" t="str">
        <f>HYPERLINK("https%3A%2F%2Fwww.webofscience.com%2Fwos%2Fwoscc%2Ffull-record%2FWOS:001068945200001","View Full Record in Web of Science")</f>
        <v>View Full Record in Web of Science</v>
      </c>
    </row>
    <row r="30" spans="1:72" x14ac:dyDescent="0.2">
      <c r="A30" t="s">
        <v>103</v>
      </c>
      <c r="B30" t="s">
        <v>722</v>
      </c>
      <c r="C30" t="s">
        <v>74</v>
      </c>
      <c r="D30" t="s">
        <v>74</v>
      </c>
      <c r="E30" t="s">
        <v>74</v>
      </c>
      <c r="F30" t="s">
        <v>723</v>
      </c>
      <c r="G30" t="s">
        <v>74</v>
      </c>
      <c r="H30" t="s">
        <v>74</v>
      </c>
      <c r="I30" t="s">
        <v>724</v>
      </c>
      <c r="J30" t="s">
        <v>725</v>
      </c>
      <c r="K30" t="s">
        <v>74</v>
      </c>
      <c r="L30" t="s">
        <v>74</v>
      </c>
      <c r="M30" t="s">
        <v>79</v>
      </c>
      <c r="N30" t="s">
        <v>108</v>
      </c>
      <c r="O30" t="s">
        <v>74</v>
      </c>
      <c r="P30" t="s">
        <v>74</v>
      </c>
      <c r="Q30" t="s">
        <v>74</v>
      </c>
      <c r="R30" t="s">
        <v>74</v>
      </c>
      <c r="S30" t="s">
        <v>74</v>
      </c>
      <c r="T30" t="s">
        <v>726</v>
      </c>
      <c r="U30" t="s">
        <v>727</v>
      </c>
      <c r="V30" t="s">
        <v>728</v>
      </c>
      <c r="W30" t="s">
        <v>729</v>
      </c>
      <c r="X30" t="s">
        <v>730</v>
      </c>
      <c r="Y30" t="s">
        <v>731</v>
      </c>
      <c r="Z30" t="s">
        <v>732</v>
      </c>
      <c r="AA30" t="s">
        <v>74</v>
      </c>
      <c r="AB30" t="s">
        <v>733</v>
      </c>
      <c r="AC30" t="s">
        <v>734</v>
      </c>
      <c r="AD30" t="s">
        <v>735</v>
      </c>
      <c r="AE30" t="s">
        <v>736</v>
      </c>
      <c r="AF30" t="s">
        <v>74</v>
      </c>
      <c r="AG30">
        <v>59</v>
      </c>
      <c r="AH30">
        <v>2</v>
      </c>
      <c r="AI30">
        <v>2</v>
      </c>
      <c r="AJ30">
        <v>144</v>
      </c>
      <c r="AK30">
        <v>182</v>
      </c>
      <c r="AL30" t="s">
        <v>737</v>
      </c>
      <c r="AM30" t="s">
        <v>738</v>
      </c>
      <c r="AN30" t="s">
        <v>739</v>
      </c>
      <c r="AO30" t="s">
        <v>740</v>
      </c>
      <c r="AP30" t="s">
        <v>741</v>
      </c>
      <c r="AQ30" t="s">
        <v>74</v>
      </c>
      <c r="AR30" t="s">
        <v>742</v>
      </c>
      <c r="AS30" t="s">
        <v>743</v>
      </c>
      <c r="AT30" t="s">
        <v>744</v>
      </c>
      <c r="AU30">
        <v>2023</v>
      </c>
      <c r="AV30">
        <v>21</v>
      </c>
      <c r="AW30">
        <v>4</v>
      </c>
      <c r="AX30" t="s">
        <v>74</v>
      </c>
      <c r="AY30" t="s">
        <v>74</v>
      </c>
      <c r="AZ30" t="s">
        <v>74</v>
      </c>
      <c r="BA30" t="s">
        <v>74</v>
      </c>
      <c r="BB30">
        <v>471</v>
      </c>
      <c r="BC30">
        <v>496</v>
      </c>
      <c r="BD30" t="s">
        <v>74</v>
      </c>
      <c r="BE30" t="s">
        <v>745</v>
      </c>
      <c r="BF30" t="str">
        <f>HYPERLINK("http://dx.doi.org/10.1080/14765284.2023.2245279","http://dx.doi.org/10.1080/14765284.2023.2245279")</f>
        <v>http://dx.doi.org/10.1080/14765284.2023.2245279</v>
      </c>
      <c r="BG30" t="s">
        <v>74</v>
      </c>
      <c r="BH30" t="s">
        <v>255</v>
      </c>
      <c r="BI30">
        <v>26</v>
      </c>
      <c r="BJ30" t="s">
        <v>469</v>
      </c>
      <c r="BK30" t="s">
        <v>352</v>
      </c>
      <c r="BL30" t="s">
        <v>470</v>
      </c>
      <c r="BM30" t="s">
        <v>746</v>
      </c>
      <c r="BN30" t="s">
        <v>74</v>
      </c>
      <c r="BO30" t="s">
        <v>208</v>
      </c>
      <c r="BP30" t="s">
        <v>74</v>
      </c>
      <c r="BQ30" t="s">
        <v>74</v>
      </c>
      <c r="BR30" t="s">
        <v>101</v>
      </c>
      <c r="BS30" t="s">
        <v>747</v>
      </c>
      <c r="BT30" t="str">
        <f>HYPERLINK("https%3A%2F%2Fwww.webofscience.com%2Fwos%2Fwoscc%2Ffull-record%2FWOS:001044938900001","View Full Record in Web of Science")</f>
        <v>View Full Record in Web of Science</v>
      </c>
    </row>
    <row r="31" spans="1:72" x14ac:dyDescent="0.2">
      <c r="A31" t="s">
        <v>103</v>
      </c>
      <c r="B31" t="s">
        <v>748</v>
      </c>
      <c r="C31" t="s">
        <v>74</v>
      </c>
      <c r="D31" t="s">
        <v>74</v>
      </c>
      <c r="E31" t="s">
        <v>74</v>
      </c>
      <c r="F31" t="s">
        <v>749</v>
      </c>
      <c r="G31" t="s">
        <v>74</v>
      </c>
      <c r="H31" t="s">
        <v>74</v>
      </c>
      <c r="I31" t="s">
        <v>750</v>
      </c>
      <c r="J31" t="s">
        <v>751</v>
      </c>
      <c r="K31" t="s">
        <v>74</v>
      </c>
      <c r="L31" t="s">
        <v>74</v>
      </c>
      <c r="M31" t="s">
        <v>79</v>
      </c>
      <c r="N31" t="s">
        <v>108</v>
      </c>
      <c r="O31" t="s">
        <v>74</v>
      </c>
      <c r="P31" t="s">
        <v>74</v>
      </c>
      <c r="Q31" t="s">
        <v>74</v>
      </c>
      <c r="R31" t="s">
        <v>74</v>
      </c>
      <c r="S31" t="s">
        <v>74</v>
      </c>
      <c r="T31" t="s">
        <v>752</v>
      </c>
      <c r="U31" t="s">
        <v>753</v>
      </c>
      <c r="V31" t="s">
        <v>754</v>
      </c>
      <c r="W31" t="s">
        <v>755</v>
      </c>
      <c r="X31" t="s">
        <v>756</v>
      </c>
      <c r="Y31" t="s">
        <v>757</v>
      </c>
      <c r="Z31" t="s">
        <v>758</v>
      </c>
      <c r="AA31" t="s">
        <v>759</v>
      </c>
      <c r="AB31" t="s">
        <v>760</v>
      </c>
      <c r="AC31" t="s">
        <v>761</v>
      </c>
      <c r="AD31" t="s">
        <v>762</v>
      </c>
      <c r="AE31" t="s">
        <v>763</v>
      </c>
      <c r="AF31" t="s">
        <v>74</v>
      </c>
      <c r="AG31">
        <v>68</v>
      </c>
      <c r="AH31">
        <v>14</v>
      </c>
      <c r="AI31">
        <v>14</v>
      </c>
      <c r="AJ31">
        <v>177</v>
      </c>
      <c r="AK31">
        <v>206</v>
      </c>
      <c r="AL31" t="s">
        <v>764</v>
      </c>
      <c r="AM31" t="s">
        <v>765</v>
      </c>
      <c r="AN31" t="s">
        <v>766</v>
      </c>
      <c r="AO31" t="s">
        <v>767</v>
      </c>
      <c r="AP31" t="s">
        <v>768</v>
      </c>
      <c r="AQ31" t="s">
        <v>74</v>
      </c>
      <c r="AR31" t="s">
        <v>769</v>
      </c>
      <c r="AS31" t="s">
        <v>770</v>
      </c>
      <c r="AT31" t="s">
        <v>771</v>
      </c>
      <c r="AU31">
        <v>2023</v>
      </c>
      <c r="AV31">
        <v>56</v>
      </c>
      <c r="AW31" t="s">
        <v>74</v>
      </c>
      <c r="AX31" t="s">
        <v>74</v>
      </c>
      <c r="AY31" t="s">
        <v>74</v>
      </c>
      <c r="AZ31" t="s">
        <v>74</v>
      </c>
      <c r="BA31" t="s">
        <v>74</v>
      </c>
      <c r="BB31">
        <v>253</v>
      </c>
      <c r="BC31">
        <v>263</v>
      </c>
      <c r="BD31" t="s">
        <v>74</v>
      </c>
      <c r="BE31" t="s">
        <v>772</v>
      </c>
      <c r="BF31" t="str">
        <f>HYPERLINK("http://dx.doi.org/10.1016/j.jhtm.2023.06.022","http://dx.doi.org/10.1016/j.jhtm.2023.06.022")</f>
        <v>http://dx.doi.org/10.1016/j.jhtm.2023.06.022</v>
      </c>
      <c r="BG31" t="s">
        <v>74</v>
      </c>
      <c r="BH31" t="s">
        <v>229</v>
      </c>
      <c r="BI31">
        <v>11</v>
      </c>
      <c r="BJ31" t="s">
        <v>773</v>
      </c>
      <c r="BK31" t="s">
        <v>159</v>
      </c>
      <c r="BL31" t="s">
        <v>774</v>
      </c>
      <c r="BM31" t="s">
        <v>775</v>
      </c>
      <c r="BN31" t="s">
        <v>74</v>
      </c>
      <c r="BO31" t="s">
        <v>74</v>
      </c>
      <c r="BP31" t="s">
        <v>74</v>
      </c>
      <c r="BQ31" t="s">
        <v>74</v>
      </c>
      <c r="BR31" t="s">
        <v>101</v>
      </c>
      <c r="BS31" t="s">
        <v>776</v>
      </c>
      <c r="BT31" t="str">
        <f>HYPERLINK("https%3A%2F%2Fwww.webofscience.com%2Fwos%2Fwoscc%2Ffull-record%2FWOS:001050209200001","View Full Record in Web of Science")</f>
        <v>View Full Record in Web of Science</v>
      </c>
    </row>
    <row r="32" spans="1:72" x14ac:dyDescent="0.2">
      <c r="A32" t="s">
        <v>103</v>
      </c>
      <c r="B32" t="s">
        <v>777</v>
      </c>
      <c r="C32" t="s">
        <v>74</v>
      </c>
      <c r="D32" t="s">
        <v>74</v>
      </c>
      <c r="E32" t="s">
        <v>74</v>
      </c>
      <c r="F32" t="s">
        <v>778</v>
      </c>
      <c r="G32" t="s">
        <v>74</v>
      </c>
      <c r="H32" t="s">
        <v>74</v>
      </c>
      <c r="I32" t="s">
        <v>779</v>
      </c>
      <c r="J32" t="s">
        <v>780</v>
      </c>
      <c r="K32" t="s">
        <v>74</v>
      </c>
      <c r="L32" t="s">
        <v>74</v>
      </c>
      <c r="M32" t="s">
        <v>79</v>
      </c>
      <c r="N32" t="s">
        <v>108</v>
      </c>
      <c r="O32" t="s">
        <v>74</v>
      </c>
      <c r="P32" t="s">
        <v>74</v>
      </c>
      <c r="Q32" t="s">
        <v>74</v>
      </c>
      <c r="R32" t="s">
        <v>74</v>
      </c>
      <c r="S32" t="s">
        <v>74</v>
      </c>
      <c r="T32" t="s">
        <v>781</v>
      </c>
      <c r="U32" t="s">
        <v>74</v>
      </c>
      <c r="V32" t="s">
        <v>782</v>
      </c>
      <c r="W32" t="s">
        <v>783</v>
      </c>
      <c r="X32" t="s">
        <v>784</v>
      </c>
      <c r="Y32" t="s">
        <v>785</v>
      </c>
      <c r="Z32" t="s">
        <v>786</v>
      </c>
      <c r="AA32" t="s">
        <v>74</v>
      </c>
      <c r="AB32" t="s">
        <v>74</v>
      </c>
      <c r="AC32" t="s">
        <v>74</v>
      </c>
      <c r="AD32" t="s">
        <v>74</v>
      </c>
      <c r="AE32" t="s">
        <v>74</v>
      </c>
      <c r="AF32" t="s">
        <v>74</v>
      </c>
      <c r="AG32">
        <v>15</v>
      </c>
      <c r="AH32">
        <v>21</v>
      </c>
      <c r="AI32">
        <v>21</v>
      </c>
      <c r="AJ32">
        <v>27</v>
      </c>
      <c r="AK32">
        <v>27</v>
      </c>
      <c r="AL32" t="s">
        <v>438</v>
      </c>
      <c r="AM32" t="s">
        <v>439</v>
      </c>
      <c r="AN32" t="s">
        <v>440</v>
      </c>
      <c r="AO32" t="s">
        <v>787</v>
      </c>
      <c r="AP32" t="s">
        <v>788</v>
      </c>
      <c r="AQ32" t="s">
        <v>74</v>
      </c>
      <c r="AR32" t="s">
        <v>789</v>
      </c>
      <c r="AS32" t="s">
        <v>790</v>
      </c>
      <c r="AT32" t="s">
        <v>791</v>
      </c>
      <c r="AU32">
        <v>2023</v>
      </c>
      <c r="AV32">
        <v>6</v>
      </c>
      <c r="AW32">
        <v>3</v>
      </c>
      <c r="AX32" t="s">
        <v>74</v>
      </c>
      <c r="AY32" t="s">
        <v>74</v>
      </c>
      <c r="AZ32" t="s">
        <v>74</v>
      </c>
      <c r="BA32" t="s">
        <v>74</v>
      </c>
      <c r="BB32">
        <v>355</v>
      </c>
      <c r="BC32">
        <v>366</v>
      </c>
      <c r="BD32" t="s">
        <v>74</v>
      </c>
      <c r="BE32" t="s">
        <v>792</v>
      </c>
      <c r="BF32" t="str">
        <f>HYPERLINK("http://dx.doi.org/10.1177/20965311231168423","http://dx.doi.org/10.1177/20965311231168423")</f>
        <v>http://dx.doi.org/10.1177/20965311231168423</v>
      </c>
      <c r="BG32" t="s">
        <v>74</v>
      </c>
      <c r="BH32" t="s">
        <v>793</v>
      </c>
      <c r="BI32">
        <v>12</v>
      </c>
      <c r="BJ32" t="s">
        <v>423</v>
      </c>
      <c r="BK32" t="s">
        <v>352</v>
      </c>
      <c r="BL32" t="s">
        <v>423</v>
      </c>
      <c r="BM32" t="s">
        <v>794</v>
      </c>
      <c r="BN32" t="s">
        <v>74</v>
      </c>
      <c r="BO32" t="s">
        <v>425</v>
      </c>
      <c r="BP32" t="s">
        <v>74</v>
      </c>
      <c r="BQ32" t="s">
        <v>74</v>
      </c>
      <c r="BR32" t="s">
        <v>101</v>
      </c>
      <c r="BS32" t="s">
        <v>795</v>
      </c>
      <c r="BT32" t="str">
        <f>HYPERLINK("https%3A%2F%2Fwww.webofscience.com%2Fwos%2Fwoscc%2Ffull-record%2FWOS:001097875300001","View Full Record in Web of Science")</f>
        <v>View Full Record in Web of Science</v>
      </c>
    </row>
    <row r="33" spans="1:72" x14ac:dyDescent="0.2">
      <c r="A33" t="s">
        <v>103</v>
      </c>
      <c r="B33" t="s">
        <v>796</v>
      </c>
      <c r="C33" t="s">
        <v>74</v>
      </c>
      <c r="D33" t="s">
        <v>74</v>
      </c>
      <c r="E33" t="s">
        <v>74</v>
      </c>
      <c r="F33" t="s">
        <v>797</v>
      </c>
      <c r="G33" t="s">
        <v>74</v>
      </c>
      <c r="H33" t="s">
        <v>74</v>
      </c>
      <c r="I33" t="s">
        <v>798</v>
      </c>
      <c r="J33" t="s">
        <v>799</v>
      </c>
      <c r="K33" t="s">
        <v>74</v>
      </c>
      <c r="L33" t="s">
        <v>74</v>
      </c>
      <c r="M33" t="s">
        <v>79</v>
      </c>
      <c r="N33" t="s">
        <v>108</v>
      </c>
      <c r="O33" t="s">
        <v>74</v>
      </c>
      <c r="P33" t="s">
        <v>74</v>
      </c>
      <c r="Q33" t="s">
        <v>74</v>
      </c>
      <c r="R33" t="s">
        <v>74</v>
      </c>
      <c r="S33" t="s">
        <v>74</v>
      </c>
      <c r="T33" t="s">
        <v>800</v>
      </c>
      <c r="U33" t="s">
        <v>801</v>
      </c>
      <c r="V33" t="s">
        <v>802</v>
      </c>
      <c r="W33" t="s">
        <v>803</v>
      </c>
      <c r="X33" t="s">
        <v>804</v>
      </c>
      <c r="Y33" t="s">
        <v>805</v>
      </c>
      <c r="Z33" t="s">
        <v>806</v>
      </c>
      <c r="AA33" t="s">
        <v>807</v>
      </c>
      <c r="AB33" t="s">
        <v>808</v>
      </c>
      <c r="AC33" t="s">
        <v>74</v>
      </c>
      <c r="AD33" t="s">
        <v>74</v>
      </c>
      <c r="AE33" t="s">
        <v>74</v>
      </c>
      <c r="AF33" t="s">
        <v>74</v>
      </c>
      <c r="AG33">
        <v>29</v>
      </c>
      <c r="AH33">
        <v>0</v>
      </c>
      <c r="AI33">
        <v>0</v>
      </c>
      <c r="AJ33">
        <v>24</v>
      </c>
      <c r="AK33">
        <v>27</v>
      </c>
      <c r="AL33" t="s">
        <v>809</v>
      </c>
      <c r="AM33" t="s">
        <v>810</v>
      </c>
      <c r="AN33" t="s">
        <v>811</v>
      </c>
      <c r="AO33" t="s">
        <v>812</v>
      </c>
      <c r="AP33" t="s">
        <v>813</v>
      </c>
      <c r="AQ33" t="s">
        <v>74</v>
      </c>
      <c r="AR33" t="s">
        <v>814</v>
      </c>
      <c r="AS33" t="s">
        <v>815</v>
      </c>
      <c r="AT33" t="s">
        <v>816</v>
      </c>
      <c r="AU33">
        <v>2023</v>
      </c>
      <c r="AV33">
        <v>9</v>
      </c>
      <c r="AW33">
        <v>2</v>
      </c>
      <c r="AX33" t="s">
        <v>74</v>
      </c>
      <c r="AY33" t="s">
        <v>74</v>
      </c>
      <c r="AZ33" t="s">
        <v>74</v>
      </c>
      <c r="BA33" t="s">
        <v>74</v>
      </c>
      <c r="BB33">
        <v>101</v>
      </c>
      <c r="BC33">
        <v>114</v>
      </c>
      <c r="BD33" t="s">
        <v>74</v>
      </c>
      <c r="BE33" t="s">
        <v>817</v>
      </c>
      <c r="BF33" t="str">
        <f>HYPERLINK("http://dx.doi.org/10.18559/ebr.2023.2.744","http://dx.doi.org/10.18559/ebr.2023.2.744")</f>
        <v>http://dx.doi.org/10.18559/ebr.2023.2.744</v>
      </c>
      <c r="BG33" t="s">
        <v>74</v>
      </c>
      <c r="BH33" t="s">
        <v>74</v>
      </c>
      <c r="BI33">
        <v>14</v>
      </c>
      <c r="BJ33" t="s">
        <v>469</v>
      </c>
      <c r="BK33" t="s">
        <v>352</v>
      </c>
      <c r="BL33" t="s">
        <v>470</v>
      </c>
      <c r="BM33" t="s">
        <v>818</v>
      </c>
      <c r="BN33" t="s">
        <v>74</v>
      </c>
      <c r="BO33" t="s">
        <v>819</v>
      </c>
      <c r="BP33" t="s">
        <v>74</v>
      </c>
      <c r="BQ33" t="s">
        <v>74</v>
      </c>
      <c r="BR33" t="s">
        <v>101</v>
      </c>
      <c r="BS33" t="s">
        <v>820</v>
      </c>
      <c r="BT33" t="str">
        <f>HYPERLINK("https%3A%2F%2Fwww.webofscience.com%2Fwos%2Fwoscc%2Ffull-record%2FWOS:001037180500006","View Full Record in Web of Science")</f>
        <v>View Full Record in Web of Science</v>
      </c>
    </row>
    <row r="34" spans="1:72" x14ac:dyDescent="0.2">
      <c r="A34" t="s">
        <v>103</v>
      </c>
      <c r="B34" t="s">
        <v>821</v>
      </c>
      <c r="C34" t="s">
        <v>74</v>
      </c>
      <c r="D34" t="s">
        <v>74</v>
      </c>
      <c r="E34" t="s">
        <v>74</v>
      </c>
      <c r="F34" t="s">
        <v>822</v>
      </c>
      <c r="G34" t="s">
        <v>74</v>
      </c>
      <c r="H34" t="s">
        <v>74</v>
      </c>
      <c r="I34" t="s">
        <v>823</v>
      </c>
      <c r="J34" t="s">
        <v>824</v>
      </c>
      <c r="K34" t="s">
        <v>74</v>
      </c>
      <c r="L34" t="s">
        <v>74</v>
      </c>
      <c r="M34" t="s">
        <v>79</v>
      </c>
      <c r="N34" t="s">
        <v>108</v>
      </c>
      <c r="O34" t="s">
        <v>74</v>
      </c>
      <c r="P34" t="s">
        <v>74</v>
      </c>
      <c r="Q34" t="s">
        <v>74</v>
      </c>
      <c r="R34" t="s">
        <v>74</v>
      </c>
      <c r="S34" t="s">
        <v>74</v>
      </c>
      <c r="T34" t="s">
        <v>825</v>
      </c>
      <c r="U34" t="s">
        <v>826</v>
      </c>
      <c r="V34" t="s">
        <v>827</v>
      </c>
      <c r="W34" t="s">
        <v>828</v>
      </c>
      <c r="X34" t="s">
        <v>456</v>
      </c>
      <c r="Y34" t="s">
        <v>829</v>
      </c>
      <c r="Z34" t="s">
        <v>830</v>
      </c>
      <c r="AA34" t="s">
        <v>831</v>
      </c>
      <c r="AB34" t="s">
        <v>832</v>
      </c>
      <c r="AC34" t="s">
        <v>74</v>
      </c>
      <c r="AD34" t="s">
        <v>74</v>
      </c>
      <c r="AE34" t="s">
        <v>74</v>
      </c>
      <c r="AF34" t="s">
        <v>74</v>
      </c>
      <c r="AG34">
        <v>62</v>
      </c>
      <c r="AH34">
        <v>1</v>
      </c>
      <c r="AI34">
        <v>1</v>
      </c>
      <c r="AJ34">
        <v>24</v>
      </c>
      <c r="AK34">
        <v>24</v>
      </c>
      <c r="AL34" t="s">
        <v>833</v>
      </c>
      <c r="AM34" t="s">
        <v>834</v>
      </c>
      <c r="AN34" t="s">
        <v>835</v>
      </c>
      <c r="AO34" t="s">
        <v>836</v>
      </c>
      <c r="AP34" t="s">
        <v>837</v>
      </c>
      <c r="AQ34" t="s">
        <v>74</v>
      </c>
      <c r="AR34" t="s">
        <v>838</v>
      </c>
      <c r="AS34" t="s">
        <v>839</v>
      </c>
      <c r="AT34" t="s">
        <v>74</v>
      </c>
      <c r="AU34">
        <v>2023</v>
      </c>
      <c r="AV34">
        <v>39</v>
      </c>
      <c r="AW34">
        <v>5</v>
      </c>
      <c r="AX34" t="s">
        <v>74</v>
      </c>
      <c r="AY34" t="s">
        <v>74</v>
      </c>
      <c r="AZ34" t="s">
        <v>74</v>
      </c>
      <c r="BA34" t="s">
        <v>74</v>
      </c>
      <c r="BB34">
        <v>59</v>
      </c>
      <c r="BC34">
        <v>81</v>
      </c>
      <c r="BD34" t="s">
        <v>74</v>
      </c>
      <c r="BE34" t="s">
        <v>840</v>
      </c>
      <c r="BF34" t="str">
        <f>HYPERLINK("http://dx.doi.org/10.14742/ajet.8902","http://dx.doi.org/10.14742/ajet.8902")</f>
        <v>http://dx.doi.org/10.14742/ajet.8902</v>
      </c>
      <c r="BG34" t="s">
        <v>74</v>
      </c>
      <c r="BH34" t="s">
        <v>74</v>
      </c>
      <c r="BI34">
        <v>23</v>
      </c>
      <c r="BJ34" t="s">
        <v>423</v>
      </c>
      <c r="BK34" t="s">
        <v>159</v>
      </c>
      <c r="BL34" t="s">
        <v>423</v>
      </c>
      <c r="BM34" t="s">
        <v>841</v>
      </c>
      <c r="BN34" t="s">
        <v>74</v>
      </c>
      <c r="BO34" t="s">
        <v>425</v>
      </c>
      <c r="BP34" t="s">
        <v>74</v>
      </c>
      <c r="BQ34" t="s">
        <v>74</v>
      </c>
      <c r="BR34" t="s">
        <v>101</v>
      </c>
      <c r="BS34" t="s">
        <v>842</v>
      </c>
      <c r="BT34" t="str">
        <f>HYPERLINK("https%3A%2F%2Fwww.webofscience.com%2Fwos%2Fwoscc%2Ffull-record%2FWOS:001132966400001","View Full Record in Web of Science")</f>
        <v>View Full Record in Web of Science</v>
      </c>
    </row>
    <row r="35" spans="1:72" x14ac:dyDescent="0.2">
      <c r="A35" t="s">
        <v>72</v>
      </c>
      <c r="B35" t="s">
        <v>843</v>
      </c>
      <c r="C35" t="s">
        <v>74</v>
      </c>
      <c r="D35" t="s">
        <v>74</v>
      </c>
      <c r="E35" t="s">
        <v>284</v>
      </c>
      <c r="F35" t="s">
        <v>844</v>
      </c>
      <c r="G35" t="s">
        <v>74</v>
      </c>
      <c r="H35" t="s">
        <v>74</v>
      </c>
      <c r="I35" t="s">
        <v>845</v>
      </c>
      <c r="J35" t="s">
        <v>846</v>
      </c>
      <c r="K35" t="s">
        <v>847</v>
      </c>
      <c r="L35" t="s">
        <v>74</v>
      </c>
      <c r="M35" t="s">
        <v>79</v>
      </c>
      <c r="N35" t="s">
        <v>80</v>
      </c>
      <c r="O35" t="s">
        <v>848</v>
      </c>
      <c r="P35" t="s">
        <v>849</v>
      </c>
      <c r="Q35" t="s">
        <v>850</v>
      </c>
      <c r="R35" t="s">
        <v>851</v>
      </c>
      <c r="S35" t="s">
        <v>74</v>
      </c>
      <c r="T35" t="s">
        <v>852</v>
      </c>
      <c r="U35" t="s">
        <v>74</v>
      </c>
      <c r="V35" t="s">
        <v>853</v>
      </c>
      <c r="W35" t="s">
        <v>854</v>
      </c>
      <c r="X35" t="s">
        <v>855</v>
      </c>
      <c r="Y35" t="s">
        <v>856</v>
      </c>
      <c r="Z35" t="s">
        <v>857</v>
      </c>
      <c r="AA35" t="s">
        <v>74</v>
      </c>
      <c r="AB35" t="s">
        <v>858</v>
      </c>
      <c r="AC35" t="s">
        <v>74</v>
      </c>
      <c r="AD35" t="s">
        <v>74</v>
      </c>
      <c r="AE35" t="s">
        <v>74</v>
      </c>
      <c r="AF35" t="s">
        <v>74</v>
      </c>
      <c r="AG35">
        <v>38</v>
      </c>
      <c r="AH35">
        <v>0</v>
      </c>
      <c r="AI35">
        <v>0</v>
      </c>
      <c r="AJ35">
        <v>71</v>
      </c>
      <c r="AK35">
        <v>71</v>
      </c>
      <c r="AL35" t="s">
        <v>638</v>
      </c>
      <c r="AM35" t="s">
        <v>639</v>
      </c>
      <c r="AN35" t="s">
        <v>640</v>
      </c>
      <c r="AO35" t="s">
        <v>859</v>
      </c>
      <c r="AP35" t="s">
        <v>74</v>
      </c>
      <c r="AQ35" t="s">
        <v>860</v>
      </c>
      <c r="AR35" t="s">
        <v>861</v>
      </c>
      <c r="AS35" t="s">
        <v>74</v>
      </c>
      <c r="AT35" t="s">
        <v>74</v>
      </c>
      <c r="AU35">
        <v>2023</v>
      </c>
      <c r="AV35" t="s">
        <v>74</v>
      </c>
      <c r="AW35" t="s">
        <v>74</v>
      </c>
      <c r="AX35" t="s">
        <v>74</v>
      </c>
      <c r="AY35" t="s">
        <v>74</v>
      </c>
      <c r="AZ35" t="s">
        <v>74</v>
      </c>
      <c r="BA35" t="s">
        <v>74</v>
      </c>
      <c r="BB35">
        <v>85</v>
      </c>
      <c r="BC35">
        <v>90</v>
      </c>
      <c r="BD35" t="s">
        <v>74</v>
      </c>
      <c r="BE35" t="s">
        <v>862</v>
      </c>
      <c r="BF35" t="str">
        <f>HYPERLINK("http://dx.doi.org/10.1109/ICDCSW60045.2023.00022","http://dx.doi.org/10.1109/ICDCSW60045.2023.00022")</f>
        <v>http://dx.doi.org/10.1109/ICDCSW60045.2023.00022</v>
      </c>
      <c r="BG35" t="s">
        <v>74</v>
      </c>
      <c r="BH35" t="s">
        <v>74</v>
      </c>
      <c r="BI35">
        <v>6</v>
      </c>
      <c r="BJ35" t="s">
        <v>863</v>
      </c>
      <c r="BK35" t="s">
        <v>98</v>
      </c>
      <c r="BL35" t="s">
        <v>644</v>
      </c>
      <c r="BM35" t="s">
        <v>864</v>
      </c>
      <c r="BN35" t="s">
        <v>74</v>
      </c>
      <c r="BO35" t="s">
        <v>74</v>
      </c>
      <c r="BP35" t="s">
        <v>74</v>
      </c>
      <c r="BQ35" t="s">
        <v>74</v>
      </c>
      <c r="BR35" t="s">
        <v>101</v>
      </c>
      <c r="BS35" t="s">
        <v>865</v>
      </c>
      <c r="BT35" t="str">
        <f>HYPERLINK("https%3A%2F%2Fwww.webofscience.com%2Fwos%2Fwoscc%2Ffull-record%2FWOS:001097480100015","View Full Record in Web of Science")</f>
        <v>View Full Record in Web of Science</v>
      </c>
    </row>
    <row r="36" spans="1:72" x14ac:dyDescent="0.2">
      <c r="A36" t="s">
        <v>72</v>
      </c>
      <c r="B36" t="s">
        <v>866</v>
      </c>
      <c r="C36" t="s">
        <v>74</v>
      </c>
      <c r="D36" t="s">
        <v>74</v>
      </c>
      <c r="E36" t="s">
        <v>75</v>
      </c>
      <c r="F36" t="s">
        <v>867</v>
      </c>
      <c r="G36" t="s">
        <v>74</v>
      </c>
      <c r="H36" t="s">
        <v>74</v>
      </c>
      <c r="I36" t="s">
        <v>868</v>
      </c>
      <c r="J36" t="s">
        <v>869</v>
      </c>
      <c r="K36" t="s">
        <v>74</v>
      </c>
      <c r="L36" t="s">
        <v>74</v>
      </c>
      <c r="M36" t="s">
        <v>79</v>
      </c>
      <c r="N36" t="s">
        <v>80</v>
      </c>
      <c r="O36" t="s">
        <v>870</v>
      </c>
      <c r="P36" t="s">
        <v>871</v>
      </c>
      <c r="Q36" t="s">
        <v>872</v>
      </c>
      <c r="R36" t="s">
        <v>873</v>
      </c>
      <c r="S36" t="s">
        <v>74</v>
      </c>
      <c r="T36" t="s">
        <v>874</v>
      </c>
      <c r="U36" t="s">
        <v>74</v>
      </c>
      <c r="V36" t="s">
        <v>875</v>
      </c>
      <c r="W36" t="s">
        <v>876</v>
      </c>
      <c r="X36" t="s">
        <v>877</v>
      </c>
      <c r="Y36" t="s">
        <v>878</v>
      </c>
      <c r="Z36" t="s">
        <v>879</v>
      </c>
      <c r="AA36" t="s">
        <v>74</v>
      </c>
      <c r="AB36" t="s">
        <v>880</v>
      </c>
      <c r="AC36" t="s">
        <v>74</v>
      </c>
      <c r="AD36" t="s">
        <v>74</v>
      </c>
      <c r="AE36" t="s">
        <v>74</v>
      </c>
      <c r="AF36" t="s">
        <v>74</v>
      </c>
      <c r="AG36">
        <v>56</v>
      </c>
      <c r="AH36">
        <v>0</v>
      </c>
      <c r="AI36">
        <v>0</v>
      </c>
      <c r="AJ36">
        <v>0</v>
      </c>
      <c r="AK36">
        <v>0</v>
      </c>
      <c r="AL36" t="s">
        <v>92</v>
      </c>
      <c r="AM36" t="s">
        <v>93</v>
      </c>
      <c r="AN36" t="s">
        <v>94</v>
      </c>
      <c r="AO36" t="s">
        <v>74</v>
      </c>
      <c r="AP36" t="s">
        <v>74</v>
      </c>
      <c r="AQ36" t="s">
        <v>881</v>
      </c>
      <c r="AR36" t="s">
        <v>74</v>
      </c>
      <c r="AS36" t="s">
        <v>74</v>
      </c>
      <c r="AT36" t="s">
        <v>74</v>
      </c>
      <c r="AU36">
        <v>2023</v>
      </c>
      <c r="AV36" t="s">
        <v>74</v>
      </c>
      <c r="AW36" t="s">
        <v>74</v>
      </c>
      <c r="AX36" t="s">
        <v>74</v>
      </c>
      <c r="AY36" t="s">
        <v>74</v>
      </c>
      <c r="AZ36" t="s">
        <v>74</v>
      </c>
      <c r="BA36" t="s">
        <v>74</v>
      </c>
      <c r="BB36">
        <v>5267</v>
      </c>
      <c r="BC36">
        <v>5270</v>
      </c>
      <c r="BD36" t="s">
        <v>74</v>
      </c>
      <c r="BE36" t="s">
        <v>882</v>
      </c>
      <c r="BF36" t="str">
        <f>HYPERLINK("http://dx.doi.org/10.1145/3583780.3615314","http://dx.doi.org/10.1145/3583780.3615314")</f>
        <v>http://dx.doi.org/10.1145/3583780.3615314</v>
      </c>
      <c r="BG36" t="s">
        <v>74</v>
      </c>
      <c r="BH36" t="s">
        <v>74</v>
      </c>
      <c r="BI36">
        <v>4</v>
      </c>
      <c r="BJ36" t="s">
        <v>883</v>
      </c>
      <c r="BK36" t="s">
        <v>98</v>
      </c>
      <c r="BL36" t="s">
        <v>99</v>
      </c>
      <c r="BM36" t="s">
        <v>884</v>
      </c>
      <c r="BN36" t="s">
        <v>74</v>
      </c>
      <c r="BO36" t="s">
        <v>161</v>
      </c>
      <c r="BP36" t="s">
        <v>74</v>
      </c>
      <c r="BQ36" t="s">
        <v>74</v>
      </c>
      <c r="BR36" t="s">
        <v>101</v>
      </c>
      <c r="BS36" t="s">
        <v>885</v>
      </c>
      <c r="BT36" t="str">
        <f>HYPERLINK("https%3A%2F%2Fwww.webofscience.com%2Fwos%2Fwoscc%2Ffull-record%2FWOS:001161549505066","View Full Record in Web of Science")</f>
        <v>View Full Record in Web of Science</v>
      </c>
    </row>
    <row r="37" spans="1:72" x14ac:dyDescent="0.2">
      <c r="A37" t="s">
        <v>72</v>
      </c>
      <c r="B37" t="s">
        <v>886</v>
      </c>
      <c r="C37" t="s">
        <v>74</v>
      </c>
      <c r="D37" t="s">
        <v>74</v>
      </c>
      <c r="E37" t="s">
        <v>284</v>
      </c>
      <c r="F37" t="s">
        <v>887</v>
      </c>
      <c r="G37" t="s">
        <v>74</v>
      </c>
      <c r="H37" t="s">
        <v>74</v>
      </c>
      <c r="I37" t="s">
        <v>888</v>
      </c>
      <c r="J37" t="s">
        <v>889</v>
      </c>
      <c r="K37" t="s">
        <v>890</v>
      </c>
      <c r="L37" t="s">
        <v>74</v>
      </c>
      <c r="M37" t="s">
        <v>79</v>
      </c>
      <c r="N37" t="s">
        <v>80</v>
      </c>
      <c r="O37" t="s">
        <v>891</v>
      </c>
      <c r="P37" t="s">
        <v>892</v>
      </c>
      <c r="Q37" t="s">
        <v>83</v>
      </c>
      <c r="R37" t="s">
        <v>893</v>
      </c>
      <c r="S37" t="s">
        <v>74</v>
      </c>
      <c r="T37" t="s">
        <v>894</v>
      </c>
      <c r="U37" t="s">
        <v>74</v>
      </c>
      <c r="V37" t="s">
        <v>895</v>
      </c>
      <c r="W37" t="s">
        <v>896</v>
      </c>
      <c r="X37" t="s">
        <v>897</v>
      </c>
      <c r="Y37" t="s">
        <v>898</v>
      </c>
      <c r="Z37" t="s">
        <v>899</v>
      </c>
      <c r="AA37" t="s">
        <v>74</v>
      </c>
      <c r="AB37" t="s">
        <v>900</v>
      </c>
      <c r="AC37" t="s">
        <v>74</v>
      </c>
      <c r="AD37" t="s">
        <v>74</v>
      </c>
      <c r="AE37" t="s">
        <v>74</v>
      </c>
      <c r="AF37" t="s">
        <v>74</v>
      </c>
      <c r="AG37">
        <v>20</v>
      </c>
      <c r="AH37">
        <v>0</v>
      </c>
      <c r="AI37">
        <v>0</v>
      </c>
      <c r="AJ37">
        <v>2</v>
      </c>
      <c r="AK37">
        <v>2</v>
      </c>
      <c r="AL37" t="s">
        <v>284</v>
      </c>
      <c r="AM37" t="s">
        <v>93</v>
      </c>
      <c r="AN37" t="s">
        <v>299</v>
      </c>
      <c r="AO37" t="s">
        <v>901</v>
      </c>
      <c r="AP37" t="s">
        <v>74</v>
      </c>
      <c r="AQ37" t="s">
        <v>902</v>
      </c>
      <c r="AR37" t="s">
        <v>903</v>
      </c>
      <c r="AS37" t="s">
        <v>74</v>
      </c>
      <c r="AT37" t="s">
        <v>74</v>
      </c>
      <c r="AU37">
        <v>2023</v>
      </c>
      <c r="AV37" t="s">
        <v>74</v>
      </c>
      <c r="AW37" t="s">
        <v>74</v>
      </c>
      <c r="AX37" t="s">
        <v>74</v>
      </c>
      <c r="AY37" t="s">
        <v>74</v>
      </c>
      <c r="AZ37" t="s">
        <v>74</v>
      </c>
      <c r="BA37" t="s">
        <v>74</v>
      </c>
      <c r="BB37" t="s">
        <v>74</v>
      </c>
      <c r="BC37" t="s">
        <v>74</v>
      </c>
      <c r="BD37" t="s">
        <v>74</v>
      </c>
      <c r="BE37" t="s">
        <v>904</v>
      </c>
      <c r="BF37" t="str">
        <f>HYPERLINK("http://dx.doi.org/10.1109/ICCAD57390.2023.10323611","http://dx.doi.org/10.1109/ICCAD57390.2023.10323611")</f>
        <v>http://dx.doi.org/10.1109/ICCAD57390.2023.10323611</v>
      </c>
      <c r="BG37" t="s">
        <v>74</v>
      </c>
      <c r="BH37" t="s">
        <v>74</v>
      </c>
      <c r="BI37">
        <v>6</v>
      </c>
      <c r="BJ37" t="s">
        <v>905</v>
      </c>
      <c r="BK37" t="s">
        <v>98</v>
      </c>
      <c r="BL37" t="s">
        <v>906</v>
      </c>
      <c r="BM37" t="s">
        <v>907</v>
      </c>
      <c r="BN37" t="s">
        <v>74</v>
      </c>
      <c r="BO37" t="s">
        <v>74</v>
      </c>
      <c r="BP37" t="s">
        <v>74</v>
      </c>
      <c r="BQ37" t="s">
        <v>74</v>
      </c>
      <c r="BR37" t="s">
        <v>101</v>
      </c>
      <c r="BS37" t="s">
        <v>908</v>
      </c>
      <c r="BT37" t="str">
        <f>HYPERLINK("https%3A%2F%2Fwww.webofscience.com%2Fwos%2Fwoscc%2Ffull-record%2FWOS:001116715100005","View Full Record in Web of Science")</f>
        <v>View Full Record in Web of Science</v>
      </c>
    </row>
    <row r="38" spans="1:72" x14ac:dyDescent="0.2">
      <c r="A38" t="s">
        <v>72</v>
      </c>
      <c r="B38" t="s">
        <v>909</v>
      </c>
      <c r="C38" t="s">
        <v>74</v>
      </c>
      <c r="D38" t="s">
        <v>74</v>
      </c>
      <c r="E38" t="s">
        <v>75</v>
      </c>
      <c r="F38" t="s">
        <v>910</v>
      </c>
      <c r="G38" t="s">
        <v>74</v>
      </c>
      <c r="H38" t="s">
        <v>74</v>
      </c>
      <c r="I38" t="s">
        <v>911</v>
      </c>
      <c r="J38" t="s">
        <v>912</v>
      </c>
      <c r="K38" t="s">
        <v>74</v>
      </c>
      <c r="L38" t="s">
        <v>74</v>
      </c>
      <c r="M38" t="s">
        <v>79</v>
      </c>
      <c r="N38" t="s">
        <v>80</v>
      </c>
      <c r="O38" t="s">
        <v>913</v>
      </c>
      <c r="P38" t="s">
        <v>914</v>
      </c>
      <c r="Q38" t="s">
        <v>915</v>
      </c>
      <c r="R38" t="s">
        <v>916</v>
      </c>
      <c r="S38" t="s">
        <v>74</v>
      </c>
      <c r="T38" t="s">
        <v>74</v>
      </c>
      <c r="U38" t="s">
        <v>74</v>
      </c>
      <c r="V38" t="s">
        <v>917</v>
      </c>
      <c r="W38" t="s">
        <v>918</v>
      </c>
      <c r="X38" t="s">
        <v>919</v>
      </c>
      <c r="Y38" t="s">
        <v>920</v>
      </c>
      <c r="Z38" t="s">
        <v>921</v>
      </c>
      <c r="AA38" t="s">
        <v>74</v>
      </c>
      <c r="AB38" t="s">
        <v>74</v>
      </c>
      <c r="AC38" t="s">
        <v>74</v>
      </c>
      <c r="AD38" t="s">
        <v>74</v>
      </c>
      <c r="AE38" t="s">
        <v>74</v>
      </c>
      <c r="AF38" t="s">
        <v>74</v>
      </c>
      <c r="AG38">
        <v>34</v>
      </c>
      <c r="AH38">
        <v>0</v>
      </c>
      <c r="AI38">
        <v>1</v>
      </c>
      <c r="AJ38">
        <v>6</v>
      </c>
      <c r="AK38">
        <v>6</v>
      </c>
      <c r="AL38" t="s">
        <v>92</v>
      </c>
      <c r="AM38" t="s">
        <v>93</v>
      </c>
      <c r="AN38" t="s">
        <v>94</v>
      </c>
      <c r="AO38" t="s">
        <v>74</v>
      </c>
      <c r="AP38" t="s">
        <v>74</v>
      </c>
      <c r="AQ38" t="s">
        <v>922</v>
      </c>
      <c r="AR38" t="s">
        <v>74</v>
      </c>
      <c r="AS38" t="s">
        <v>74</v>
      </c>
      <c r="AT38" t="s">
        <v>74</v>
      </c>
      <c r="AU38">
        <v>2023</v>
      </c>
      <c r="AV38" t="s">
        <v>74</v>
      </c>
      <c r="AW38" t="s">
        <v>74</v>
      </c>
      <c r="AX38" t="s">
        <v>74</v>
      </c>
      <c r="AY38" t="s">
        <v>74</v>
      </c>
      <c r="AZ38" t="s">
        <v>74</v>
      </c>
      <c r="BA38" t="s">
        <v>74</v>
      </c>
      <c r="BB38">
        <v>5805</v>
      </c>
      <c r="BC38">
        <v>5806</v>
      </c>
      <c r="BD38" t="s">
        <v>74</v>
      </c>
      <c r="BE38" t="s">
        <v>923</v>
      </c>
      <c r="BF38" t="str">
        <f>HYPERLINK("http://dx.doi.org/10.1145/3580305.3599557","http://dx.doi.org/10.1145/3580305.3599557")</f>
        <v>http://dx.doi.org/10.1145/3580305.3599557</v>
      </c>
      <c r="BG38" t="s">
        <v>74</v>
      </c>
      <c r="BH38" t="s">
        <v>74</v>
      </c>
      <c r="BI38">
        <v>2</v>
      </c>
      <c r="BJ38" t="s">
        <v>924</v>
      </c>
      <c r="BK38" t="s">
        <v>98</v>
      </c>
      <c r="BL38" t="s">
        <v>99</v>
      </c>
      <c r="BM38" t="s">
        <v>925</v>
      </c>
      <c r="BN38" t="s">
        <v>74</v>
      </c>
      <c r="BO38" t="s">
        <v>74</v>
      </c>
      <c r="BP38" t="s">
        <v>74</v>
      </c>
      <c r="BQ38" t="s">
        <v>74</v>
      </c>
      <c r="BR38" t="s">
        <v>101</v>
      </c>
      <c r="BS38" t="s">
        <v>926</v>
      </c>
      <c r="BT38" t="str">
        <f>HYPERLINK("https%3A%2F%2Fwww.webofscience.com%2Fwos%2Fwoscc%2Ffull-record%2FWOS:001118896305086","View Full Record in Web of Science")</f>
        <v>View Full Record in Web of Science</v>
      </c>
    </row>
    <row r="39" spans="1:72" x14ac:dyDescent="0.2">
      <c r="A39" t="s">
        <v>103</v>
      </c>
      <c r="B39" t="s">
        <v>927</v>
      </c>
      <c r="C39" t="s">
        <v>74</v>
      </c>
      <c r="D39" t="s">
        <v>74</v>
      </c>
      <c r="E39" t="s">
        <v>74</v>
      </c>
      <c r="F39" t="s">
        <v>928</v>
      </c>
      <c r="G39" t="s">
        <v>74</v>
      </c>
      <c r="H39" t="s">
        <v>74</v>
      </c>
      <c r="I39" t="s">
        <v>929</v>
      </c>
      <c r="J39" t="s">
        <v>930</v>
      </c>
      <c r="K39" t="s">
        <v>74</v>
      </c>
      <c r="L39" t="s">
        <v>74</v>
      </c>
      <c r="M39" t="s">
        <v>79</v>
      </c>
      <c r="N39" t="s">
        <v>108</v>
      </c>
      <c r="O39" t="s">
        <v>74</v>
      </c>
      <c r="P39" t="s">
        <v>74</v>
      </c>
      <c r="Q39" t="s">
        <v>74</v>
      </c>
      <c r="R39" t="s">
        <v>74</v>
      </c>
      <c r="S39" t="s">
        <v>74</v>
      </c>
      <c r="T39" t="s">
        <v>931</v>
      </c>
      <c r="U39" t="s">
        <v>932</v>
      </c>
      <c r="V39" t="s">
        <v>933</v>
      </c>
      <c r="W39" t="s">
        <v>934</v>
      </c>
      <c r="X39" t="s">
        <v>935</v>
      </c>
      <c r="Y39" t="s">
        <v>936</v>
      </c>
      <c r="Z39" t="s">
        <v>937</v>
      </c>
      <c r="AA39" t="s">
        <v>74</v>
      </c>
      <c r="AB39" t="s">
        <v>938</v>
      </c>
      <c r="AC39" t="s">
        <v>74</v>
      </c>
      <c r="AD39" t="s">
        <v>74</v>
      </c>
      <c r="AE39" t="s">
        <v>74</v>
      </c>
      <c r="AF39" t="s">
        <v>74</v>
      </c>
      <c r="AG39">
        <v>35</v>
      </c>
      <c r="AH39">
        <v>0</v>
      </c>
      <c r="AI39">
        <v>0</v>
      </c>
      <c r="AJ39">
        <v>147</v>
      </c>
      <c r="AK39">
        <v>147</v>
      </c>
      <c r="AL39" t="s">
        <v>939</v>
      </c>
      <c r="AM39" t="s">
        <v>940</v>
      </c>
      <c r="AN39" t="s">
        <v>941</v>
      </c>
      <c r="AO39" t="s">
        <v>74</v>
      </c>
      <c r="AP39" t="s">
        <v>942</v>
      </c>
      <c r="AQ39" t="s">
        <v>74</v>
      </c>
      <c r="AR39" t="s">
        <v>943</v>
      </c>
      <c r="AS39" t="s">
        <v>944</v>
      </c>
      <c r="AT39" t="s">
        <v>771</v>
      </c>
      <c r="AU39">
        <v>2023</v>
      </c>
      <c r="AV39">
        <v>15</v>
      </c>
      <c r="AW39">
        <v>18</v>
      </c>
      <c r="AX39" t="s">
        <v>74</v>
      </c>
      <c r="AY39" t="s">
        <v>74</v>
      </c>
      <c r="AZ39" t="s">
        <v>74</v>
      </c>
      <c r="BA39" t="s">
        <v>74</v>
      </c>
      <c r="BB39" t="s">
        <v>74</v>
      </c>
      <c r="BC39" t="s">
        <v>74</v>
      </c>
      <c r="BD39">
        <v>13595</v>
      </c>
      <c r="BE39" t="s">
        <v>945</v>
      </c>
      <c r="BF39" t="str">
        <f>HYPERLINK("http://dx.doi.org/10.3390/su151813595","http://dx.doi.org/10.3390/su151813595")</f>
        <v>http://dx.doi.org/10.3390/su151813595</v>
      </c>
      <c r="BG39" t="s">
        <v>74</v>
      </c>
      <c r="BH39" t="s">
        <v>74</v>
      </c>
      <c r="BI39">
        <v>25</v>
      </c>
      <c r="BJ39" t="s">
        <v>946</v>
      </c>
      <c r="BK39" t="s">
        <v>947</v>
      </c>
      <c r="BL39" t="s">
        <v>948</v>
      </c>
      <c r="BM39" t="s">
        <v>949</v>
      </c>
      <c r="BN39" t="s">
        <v>74</v>
      </c>
      <c r="BO39" t="s">
        <v>425</v>
      </c>
      <c r="BP39" t="s">
        <v>74</v>
      </c>
      <c r="BQ39" t="s">
        <v>74</v>
      </c>
      <c r="BR39" t="s">
        <v>101</v>
      </c>
      <c r="BS39" t="s">
        <v>950</v>
      </c>
      <c r="BT39" t="str">
        <f>HYPERLINK("https%3A%2F%2Fwww.webofscience.com%2Fwos%2Fwoscc%2Ffull-record%2FWOS:001074458100001","View Full Record in Web of Science")</f>
        <v>View Full Record in Web of Science</v>
      </c>
    </row>
    <row r="40" spans="1:72" x14ac:dyDescent="0.2">
      <c r="A40" t="s">
        <v>72</v>
      </c>
      <c r="B40" t="s">
        <v>951</v>
      </c>
      <c r="C40" t="s">
        <v>74</v>
      </c>
      <c r="D40" t="s">
        <v>74</v>
      </c>
      <c r="E40" t="s">
        <v>284</v>
      </c>
      <c r="F40" t="s">
        <v>952</v>
      </c>
      <c r="G40" t="s">
        <v>74</v>
      </c>
      <c r="H40" t="s">
        <v>74</v>
      </c>
      <c r="I40" t="s">
        <v>953</v>
      </c>
      <c r="J40" t="s">
        <v>954</v>
      </c>
      <c r="K40" t="s">
        <v>955</v>
      </c>
      <c r="L40" t="s">
        <v>74</v>
      </c>
      <c r="M40" t="s">
        <v>79</v>
      </c>
      <c r="N40" t="s">
        <v>80</v>
      </c>
      <c r="O40" t="s">
        <v>956</v>
      </c>
      <c r="P40" t="s">
        <v>957</v>
      </c>
      <c r="Q40" t="s">
        <v>958</v>
      </c>
      <c r="R40" t="s">
        <v>959</v>
      </c>
      <c r="S40" t="s">
        <v>960</v>
      </c>
      <c r="T40" t="s">
        <v>961</v>
      </c>
      <c r="U40" t="s">
        <v>74</v>
      </c>
      <c r="V40" t="s">
        <v>962</v>
      </c>
      <c r="W40" t="s">
        <v>963</v>
      </c>
      <c r="X40" t="s">
        <v>964</v>
      </c>
      <c r="Y40" t="s">
        <v>965</v>
      </c>
      <c r="Z40" t="s">
        <v>966</v>
      </c>
      <c r="AA40" t="s">
        <v>74</v>
      </c>
      <c r="AB40" t="s">
        <v>967</v>
      </c>
      <c r="AC40" t="s">
        <v>968</v>
      </c>
      <c r="AD40" t="s">
        <v>969</v>
      </c>
      <c r="AE40" t="s">
        <v>970</v>
      </c>
      <c r="AF40" t="s">
        <v>74</v>
      </c>
      <c r="AG40">
        <v>28</v>
      </c>
      <c r="AH40">
        <v>0</v>
      </c>
      <c r="AI40">
        <v>0</v>
      </c>
      <c r="AJ40">
        <v>11</v>
      </c>
      <c r="AK40">
        <v>12</v>
      </c>
      <c r="AL40" t="s">
        <v>638</v>
      </c>
      <c r="AM40" t="s">
        <v>639</v>
      </c>
      <c r="AN40" t="s">
        <v>640</v>
      </c>
      <c r="AO40" t="s">
        <v>971</v>
      </c>
      <c r="AP40" t="s">
        <v>74</v>
      </c>
      <c r="AQ40" t="s">
        <v>972</v>
      </c>
      <c r="AR40" t="s">
        <v>973</v>
      </c>
      <c r="AS40" t="s">
        <v>74</v>
      </c>
      <c r="AT40" t="s">
        <v>74</v>
      </c>
      <c r="AU40">
        <v>2023</v>
      </c>
      <c r="AV40" t="s">
        <v>74</v>
      </c>
      <c r="AW40" t="s">
        <v>74</v>
      </c>
      <c r="AX40" t="s">
        <v>74</v>
      </c>
      <c r="AY40" t="s">
        <v>74</v>
      </c>
      <c r="AZ40" t="s">
        <v>74</v>
      </c>
      <c r="BA40" t="s">
        <v>74</v>
      </c>
      <c r="BB40">
        <v>558</v>
      </c>
      <c r="BC40">
        <v>566</v>
      </c>
      <c r="BD40" t="s">
        <v>74</v>
      </c>
      <c r="BE40" t="s">
        <v>974</v>
      </c>
      <c r="BF40" t="str">
        <f>HYPERLINK("http://dx.doi.org/10.1109/EuroSPW59978.2023.00068","http://dx.doi.org/10.1109/EuroSPW59978.2023.00068")</f>
        <v>http://dx.doi.org/10.1109/EuroSPW59978.2023.00068</v>
      </c>
      <c r="BG40" t="s">
        <v>74</v>
      </c>
      <c r="BH40" t="s">
        <v>74</v>
      </c>
      <c r="BI40">
        <v>9</v>
      </c>
      <c r="BJ40" t="s">
        <v>924</v>
      </c>
      <c r="BK40" t="s">
        <v>98</v>
      </c>
      <c r="BL40" t="s">
        <v>99</v>
      </c>
      <c r="BM40" t="s">
        <v>975</v>
      </c>
      <c r="BN40" t="s">
        <v>74</v>
      </c>
      <c r="BO40" t="s">
        <v>74</v>
      </c>
      <c r="BP40" t="s">
        <v>74</v>
      </c>
      <c r="BQ40" t="s">
        <v>74</v>
      </c>
      <c r="BR40" t="s">
        <v>101</v>
      </c>
      <c r="BS40" t="s">
        <v>976</v>
      </c>
      <c r="BT40" t="str">
        <f>HYPERLINK("https%3A%2F%2Fwww.webofscience.com%2Fwos%2Fwoscc%2Ffull-record%2FWOS:001046699200064","View Full Record in Web of Science")</f>
        <v>View Full Record in Web of Science</v>
      </c>
    </row>
    <row r="41" spans="1:72" x14ac:dyDescent="0.2">
      <c r="A41" t="s">
        <v>72</v>
      </c>
      <c r="B41" t="s">
        <v>977</v>
      </c>
      <c r="C41" t="s">
        <v>74</v>
      </c>
      <c r="D41" t="s">
        <v>74</v>
      </c>
      <c r="E41" t="s">
        <v>75</v>
      </c>
      <c r="F41" t="s">
        <v>978</v>
      </c>
      <c r="G41" t="s">
        <v>74</v>
      </c>
      <c r="H41" t="s">
        <v>74</v>
      </c>
      <c r="I41" t="s">
        <v>979</v>
      </c>
      <c r="J41" t="s">
        <v>980</v>
      </c>
      <c r="K41" t="s">
        <v>74</v>
      </c>
      <c r="L41" t="s">
        <v>74</v>
      </c>
      <c r="M41" t="s">
        <v>79</v>
      </c>
      <c r="N41" t="s">
        <v>80</v>
      </c>
      <c r="O41" t="s">
        <v>981</v>
      </c>
      <c r="P41" t="s">
        <v>982</v>
      </c>
      <c r="Q41" t="s">
        <v>983</v>
      </c>
      <c r="R41" t="s">
        <v>984</v>
      </c>
      <c r="S41" t="s">
        <v>985</v>
      </c>
      <c r="T41" t="s">
        <v>986</v>
      </c>
      <c r="U41" t="s">
        <v>74</v>
      </c>
      <c r="V41" t="s">
        <v>987</v>
      </c>
      <c r="W41" t="s">
        <v>988</v>
      </c>
      <c r="X41" t="s">
        <v>989</v>
      </c>
      <c r="Y41" t="s">
        <v>990</v>
      </c>
      <c r="Z41" t="s">
        <v>991</v>
      </c>
      <c r="AA41" t="s">
        <v>74</v>
      </c>
      <c r="AB41" t="s">
        <v>74</v>
      </c>
      <c r="AC41" t="s">
        <v>74</v>
      </c>
      <c r="AD41" t="s">
        <v>74</v>
      </c>
      <c r="AE41" t="s">
        <v>74</v>
      </c>
      <c r="AF41" t="s">
        <v>74</v>
      </c>
      <c r="AG41">
        <v>32</v>
      </c>
      <c r="AH41">
        <v>3</v>
      </c>
      <c r="AI41">
        <v>3</v>
      </c>
      <c r="AJ41">
        <v>19</v>
      </c>
      <c r="AK41">
        <v>19</v>
      </c>
      <c r="AL41" t="s">
        <v>92</v>
      </c>
      <c r="AM41" t="s">
        <v>93</v>
      </c>
      <c r="AN41" t="s">
        <v>94</v>
      </c>
      <c r="AO41" t="s">
        <v>74</v>
      </c>
      <c r="AP41" t="s">
        <v>74</v>
      </c>
      <c r="AQ41" t="s">
        <v>992</v>
      </c>
      <c r="AR41" t="s">
        <v>74</v>
      </c>
      <c r="AS41" t="s">
        <v>74</v>
      </c>
      <c r="AT41" t="s">
        <v>74</v>
      </c>
      <c r="AU41">
        <v>2023</v>
      </c>
      <c r="AV41" t="s">
        <v>74</v>
      </c>
      <c r="AW41" t="s">
        <v>74</v>
      </c>
      <c r="AX41" t="s">
        <v>74</v>
      </c>
      <c r="AY41" t="s">
        <v>74</v>
      </c>
      <c r="AZ41" t="s">
        <v>74</v>
      </c>
      <c r="BA41" t="s">
        <v>74</v>
      </c>
      <c r="BB41">
        <v>470</v>
      </c>
      <c r="BC41">
        <v>474</v>
      </c>
      <c r="BD41" t="s">
        <v>74</v>
      </c>
      <c r="BE41" t="s">
        <v>993</v>
      </c>
      <c r="BF41" t="str">
        <f>HYPERLINK("http://dx.doi.org/10.1145/3585088.3593867","http://dx.doi.org/10.1145/3585088.3593867")</f>
        <v>http://dx.doi.org/10.1145/3585088.3593867</v>
      </c>
      <c r="BG41" t="s">
        <v>74</v>
      </c>
      <c r="BH41" t="s">
        <v>74</v>
      </c>
      <c r="BI41">
        <v>5</v>
      </c>
      <c r="BJ41" t="s">
        <v>994</v>
      </c>
      <c r="BK41" t="s">
        <v>98</v>
      </c>
      <c r="BL41" t="s">
        <v>99</v>
      </c>
      <c r="BM41" t="s">
        <v>995</v>
      </c>
      <c r="BN41" t="s">
        <v>74</v>
      </c>
      <c r="BO41" t="s">
        <v>74</v>
      </c>
      <c r="BP41" t="s">
        <v>74</v>
      </c>
      <c r="BQ41" t="s">
        <v>74</v>
      </c>
      <c r="BR41" t="s">
        <v>101</v>
      </c>
      <c r="BS41" t="s">
        <v>996</v>
      </c>
      <c r="BT41" t="str">
        <f>HYPERLINK("https%3A%2F%2Fwww.webofscience.com%2Fwos%2Fwoscc%2Ffull-record%2FWOS:001103422700044","View Full Record in Web of Science")</f>
        <v>View Full Record in Web of Science</v>
      </c>
    </row>
    <row r="42" spans="1:72" x14ac:dyDescent="0.2">
      <c r="A42" t="s">
        <v>103</v>
      </c>
      <c r="B42" t="s">
        <v>997</v>
      </c>
      <c r="C42" t="s">
        <v>74</v>
      </c>
      <c r="D42" t="s">
        <v>74</v>
      </c>
      <c r="E42" t="s">
        <v>74</v>
      </c>
      <c r="F42" t="s">
        <v>998</v>
      </c>
      <c r="G42" t="s">
        <v>74</v>
      </c>
      <c r="H42" t="s">
        <v>74</v>
      </c>
      <c r="I42" t="s">
        <v>999</v>
      </c>
      <c r="J42" t="s">
        <v>1000</v>
      </c>
      <c r="K42" t="s">
        <v>74</v>
      </c>
      <c r="L42" t="s">
        <v>74</v>
      </c>
      <c r="M42" t="s">
        <v>79</v>
      </c>
      <c r="N42" t="s">
        <v>138</v>
      </c>
      <c r="O42" t="s">
        <v>74</v>
      </c>
      <c r="P42" t="s">
        <v>74</v>
      </c>
      <c r="Q42" t="s">
        <v>74</v>
      </c>
      <c r="R42" t="s">
        <v>74</v>
      </c>
      <c r="S42" t="s">
        <v>74</v>
      </c>
      <c r="T42" t="s">
        <v>1001</v>
      </c>
      <c r="U42" t="s">
        <v>1002</v>
      </c>
      <c r="V42" t="s">
        <v>1003</v>
      </c>
      <c r="W42" t="s">
        <v>1004</v>
      </c>
      <c r="X42" t="s">
        <v>1005</v>
      </c>
      <c r="Y42" t="s">
        <v>1006</v>
      </c>
      <c r="Z42" t="s">
        <v>1007</v>
      </c>
      <c r="AA42" t="s">
        <v>1008</v>
      </c>
      <c r="AB42" t="s">
        <v>1009</v>
      </c>
      <c r="AC42" t="s">
        <v>74</v>
      </c>
      <c r="AD42" t="s">
        <v>74</v>
      </c>
      <c r="AE42" t="s">
        <v>74</v>
      </c>
      <c r="AF42" t="s">
        <v>74</v>
      </c>
      <c r="AG42">
        <v>142</v>
      </c>
      <c r="AH42">
        <v>1</v>
      </c>
      <c r="AI42">
        <v>1</v>
      </c>
      <c r="AJ42">
        <v>244</v>
      </c>
      <c r="AK42">
        <v>244</v>
      </c>
      <c r="AL42" t="s">
        <v>148</v>
      </c>
      <c r="AM42" t="s">
        <v>149</v>
      </c>
      <c r="AN42" t="s">
        <v>150</v>
      </c>
      <c r="AO42" t="s">
        <v>1010</v>
      </c>
      <c r="AP42" t="s">
        <v>1011</v>
      </c>
      <c r="AQ42" t="s">
        <v>74</v>
      </c>
      <c r="AR42" t="s">
        <v>1012</v>
      </c>
      <c r="AS42" t="s">
        <v>1013</v>
      </c>
      <c r="AT42" t="s">
        <v>1014</v>
      </c>
      <c r="AU42">
        <v>2023</v>
      </c>
      <c r="AV42" t="s">
        <v>74</v>
      </c>
      <c r="AW42" t="s">
        <v>74</v>
      </c>
      <c r="AX42" t="s">
        <v>74</v>
      </c>
      <c r="AY42" t="s">
        <v>74</v>
      </c>
      <c r="AZ42" t="s">
        <v>74</v>
      </c>
      <c r="BA42" t="s">
        <v>74</v>
      </c>
      <c r="BB42" t="s">
        <v>74</v>
      </c>
      <c r="BC42" t="s">
        <v>74</v>
      </c>
      <c r="BD42" t="s">
        <v>74</v>
      </c>
      <c r="BE42" t="s">
        <v>1015</v>
      </c>
      <c r="BF42" t="str">
        <f>HYPERLINK("http://dx.doi.org/10.1177/02666669231200628","http://dx.doi.org/10.1177/02666669231200628")</f>
        <v>http://dx.doi.org/10.1177/02666669231200628</v>
      </c>
      <c r="BG42" t="s">
        <v>74</v>
      </c>
      <c r="BH42" t="s">
        <v>278</v>
      </c>
      <c r="BI42">
        <v>19</v>
      </c>
      <c r="BJ42" t="s">
        <v>1016</v>
      </c>
      <c r="BK42" t="s">
        <v>159</v>
      </c>
      <c r="BL42" t="s">
        <v>1016</v>
      </c>
      <c r="BM42" t="s">
        <v>1017</v>
      </c>
      <c r="BN42" t="s">
        <v>74</v>
      </c>
      <c r="BO42" t="s">
        <v>74</v>
      </c>
      <c r="BP42" t="s">
        <v>74</v>
      </c>
      <c r="BQ42" t="s">
        <v>74</v>
      </c>
      <c r="BR42" t="s">
        <v>101</v>
      </c>
      <c r="BS42" t="s">
        <v>1018</v>
      </c>
      <c r="BT42" t="str">
        <f>HYPERLINK("https%3A%2F%2Fwww.webofscience.com%2Fwos%2Fwoscc%2Ffull-record%2FWOS:001066552100001","View Full Record in Web of Science")</f>
        <v>View Full Record in Web of Science</v>
      </c>
    </row>
    <row r="43" spans="1:72" x14ac:dyDescent="0.2">
      <c r="A43" t="s">
        <v>103</v>
      </c>
      <c r="B43" t="s">
        <v>1019</v>
      </c>
      <c r="C43" t="s">
        <v>74</v>
      </c>
      <c r="D43" t="s">
        <v>74</v>
      </c>
      <c r="E43" t="s">
        <v>74</v>
      </c>
      <c r="F43" t="s">
        <v>1020</v>
      </c>
      <c r="G43" t="s">
        <v>74</v>
      </c>
      <c r="H43" t="s">
        <v>74</v>
      </c>
      <c r="I43" t="s">
        <v>1021</v>
      </c>
      <c r="J43" t="s">
        <v>799</v>
      </c>
      <c r="K43" t="s">
        <v>74</v>
      </c>
      <c r="L43" t="s">
        <v>74</v>
      </c>
      <c r="M43" t="s">
        <v>79</v>
      </c>
      <c r="N43" t="s">
        <v>108</v>
      </c>
      <c r="O43" t="s">
        <v>74</v>
      </c>
      <c r="P43" t="s">
        <v>74</v>
      </c>
      <c r="Q43" t="s">
        <v>74</v>
      </c>
      <c r="R43" t="s">
        <v>74</v>
      </c>
      <c r="S43" t="s">
        <v>74</v>
      </c>
      <c r="T43" t="s">
        <v>1022</v>
      </c>
      <c r="U43" t="s">
        <v>74</v>
      </c>
      <c r="V43" t="s">
        <v>1023</v>
      </c>
      <c r="W43" t="s">
        <v>1024</v>
      </c>
      <c r="X43" t="s">
        <v>74</v>
      </c>
      <c r="Y43" t="s">
        <v>1025</v>
      </c>
      <c r="Z43" t="s">
        <v>1026</v>
      </c>
      <c r="AA43" t="s">
        <v>74</v>
      </c>
      <c r="AB43" t="s">
        <v>74</v>
      </c>
      <c r="AC43" t="s">
        <v>74</v>
      </c>
      <c r="AD43" t="s">
        <v>74</v>
      </c>
      <c r="AE43" t="s">
        <v>74</v>
      </c>
      <c r="AF43" t="s">
        <v>74</v>
      </c>
      <c r="AG43">
        <v>37</v>
      </c>
      <c r="AH43">
        <v>1</v>
      </c>
      <c r="AI43">
        <v>1</v>
      </c>
      <c r="AJ43">
        <v>75</v>
      </c>
      <c r="AK43">
        <v>88</v>
      </c>
      <c r="AL43" t="s">
        <v>809</v>
      </c>
      <c r="AM43" t="s">
        <v>810</v>
      </c>
      <c r="AN43" t="s">
        <v>811</v>
      </c>
      <c r="AO43" t="s">
        <v>812</v>
      </c>
      <c r="AP43" t="s">
        <v>813</v>
      </c>
      <c r="AQ43" t="s">
        <v>74</v>
      </c>
      <c r="AR43" t="s">
        <v>814</v>
      </c>
      <c r="AS43" t="s">
        <v>815</v>
      </c>
      <c r="AT43" t="s">
        <v>816</v>
      </c>
      <c r="AU43">
        <v>2023</v>
      </c>
      <c r="AV43">
        <v>9</v>
      </c>
      <c r="AW43">
        <v>2</v>
      </c>
      <c r="AX43" t="s">
        <v>74</v>
      </c>
      <c r="AY43" t="s">
        <v>74</v>
      </c>
      <c r="AZ43" t="s">
        <v>74</v>
      </c>
      <c r="BA43" t="s">
        <v>74</v>
      </c>
      <c r="BB43">
        <v>9</v>
      </c>
      <c r="BC43">
        <v>26</v>
      </c>
      <c r="BD43" t="s">
        <v>74</v>
      </c>
      <c r="BE43" t="s">
        <v>1027</v>
      </c>
      <c r="BF43" t="str">
        <f>HYPERLINK("http://dx.doi.org/10.18559/ebr.2023.2.732","http://dx.doi.org/10.18559/ebr.2023.2.732")</f>
        <v>http://dx.doi.org/10.18559/ebr.2023.2.732</v>
      </c>
      <c r="BG43" t="s">
        <v>74</v>
      </c>
      <c r="BH43" t="s">
        <v>74</v>
      </c>
      <c r="BI43">
        <v>18</v>
      </c>
      <c r="BJ43" t="s">
        <v>469</v>
      </c>
      <c r="BK43" t="s">
        <v>352</v>
      </c>
      <c r="BL43" t="s">
        <v>470</v>
      </c>
      <c r="BM43" t="s">
        <v>818</v>
      </c>
      <c r="BN43" t="s">
        <v>74</v>
      </c>
      <c r="BO43" t="s">
        <v>425</v>
      </c>
      <c r="BP43" t="s">
        <v>74</v>
      </c>
      <c r="BQ43" t="s">
        <v>74</v>
      </c>
      <c r="BR43" t="s">
        <v>101</v>
      </c>
      <c r="BS43" t="s">
        <v>1028</v>
      </c>
      <c r="BT43" t="str">
        <f>HYPERLINK("https%3A%2F%2Fwww.webofscience.com%2Fwos%2Fwoscc%2Ffull-record%2FWOS:001037180500002","View Full Record in Web of Science")</f>
        <v>View Full Record in Web of Science</v>
      </c>
    </row>
    <row r="44" spans="1:72" x14ac:dyDescent="0.2">
      <c r="A44" t="s">
        <v>72</v>
      </c>
      <c r="B44" t="s">
        <v>1029</v>
      </c>
      <c r="C44" t="s">
        <v>74</v>
      </c>
      <c r="D44" t="s">
        <v>1030</v>
      </c>
      <c r="E44" t="s">
        <v>74</v>
      </c>
      <c r="F44" t="s">
        <v>1031</v>
      </c>
      <c r="G44" t="s">
        <v>74</v>
      </c>
      <c r="H44" t="s">
        <v>74</v>
      </c>
      <c r="I44" t="s">
        <v>1032</v>
      </c>
      <c r="J44" t="s">
        <v>1033</v>
      </c>
      <c r="K44" t="s">
        <v>1034</v>
      </c>
      <c r="L44" t="s">
        <v>74</v>
      </c>
      <c r="M44" t="s">
        <v>79</v>
      </c>
      <c r="N44" t="s">
        <v>80</v>
      </c>
      <c r="O44" t="s">
        <v>1035</v>
      </c>
      <c r="P44" t="s">
        <v>1036</v>
      </c>
      <c r="Q44" t="s">
        <v>1037</v>
      </c>
      <c r="R44" t="s">
        <v>1038</v>
      </c>
      <c r="S44" t="s">
        <v>74</v>
      </c>
      <c r="T44" t="s">
        <v>74</v>
      </c>
      <c r="U44" t="s">
        <v>74</v>
      </c>
      <c r="V44" t="s">
        <v>1039</v>
      </c>
      <c r="W44" t="s">
        <v>1040</v>
      </c>
      <c r="X44" t="s">
        <v>74</v>
      </c>
      <c r="Y44" t="s">
        <v>1041</v>
      </c>
      <c r="Z44" t="s">
        <v>74</v>
      </c>
      <c r="AA44" t="s">
        <v>74</v>
      </c>
      <c r="AB44" t="s">
        <v>74</v>
      </c>
      <c r="AC44" t="s">
        <v>74</v>
      </c>
      <c r="AD44" t="s">
        <v>74</v>
      </c>
      <c r="AE44" t="s">
        <v>74</v>
      </c>
      <c r="AF44" t="s">
        <v>74</v>
      </c>
      <c r="AG44">
        <v>0</v>
      </c>
      <c r="AH44">
        <v>0</v>
      </c>
      <c r="AI44">
        <v>0</v>
      </c>
      <c r="AJ44">
        <v>0</v>
      </c>
      <c r="AK44">
        <v>0</v>
      </c>
      <c r="AL44" t="s">
        <v>325</v>
      </c>
      <c r="AM44" t="s">
        <v>245</v>
      </c>
      <c r="AN44" t="s">
        <v>246</v>
      </c>
      <c r="AO44" t="s">
        <v>1042</v>
      </c>
      <c r="AP44" t="s">
        <v>327</v>
      </c>
      <c r="AQ44" t="s">
        <v>1043</v>
      </c>
      <c r="AR44" t="s">
        <v>1044</v>
      </c>
      <c r="AS44" t="s">
        <v>74</v>
      </c>
      <c r="AT44" t="s">
        <v>74</v>
      </c>
      <c r="AU44">
        <v>2023</v>
      </c>
      <c r="AV44">
        <v>14175</v>
      </c>
      <c r="AW44" t="s">
        <v>74</v>
      </c>
      <c r="AX44" t="s">
        <v>74</v>
      </c>
      <c r="AY44" t="s">
        <v>74</v>
      </c>
      <c r="AZ44" t="s">
        <v>74</v>
      </c>
      <c r="BA44" t="s">
        <v>74</v>
      </c>
      <c r="BB44" t="s">
        <v>74</v>
      </c>
      <c r="BC44" t="s">
        <v>74</v>
      </c>
      <c r="BD44" t="s">
        <v>74</v>
      </c>
      <c r="BE44" t="s">
        <v>74</v>
      </c>
      <c r="BF44" t="s">
        <v>74</v>
      </c>
      <c r="BG44" t="s">
        <v>74</v>
      </c>
      <c r="BH44" t="s">
        <v>74</v>
      </c>
      <c r="BI44">
        <v>1</v>
      </c>
      <c r="BJ44" t="s">
        <v>331</v>
      </c>
      <c r="BK44" t="s">
        <v>98</v>
      </c>
      <c r="BL44" t="s">
        <v>99</v>
      </c>
      <c r="BM44" t="s">
        <v>1045</v>
      </c>
      <c r="BN44" t="s">
        <v>74</v>
      </c>
      <c r="BO44" t="s">
        <v>74</v>
      </c>
      <c r="BP44" t="s">
        <v>74</v>
      </c>
      <c r="BQ44" t="s">
        <v>74</v>
      </c>
      <c r="BR44" t="s">
        <v>101</v>
      </c>
      <c r="BS44" t="s">
        <v>1046</v>
      </c>
      <c r="BT44" t="str">
        <f>HYPERLINK("https%3A%2F%2Fwww.webofscience.com%2Fwos%2Fwoscc%2Ffull-record%2FWOS:001156145400003","View Full Record in Web of Science")</f>
        <v>View Full Record in Web of Science</v>
      </c>
    </row>
    <row r="45" spans="1:72" x14ac:dyDescent="0.2">
      <c r="A45" t="s">
        <v>103</v>
      </c>
      <c r="B45" t="s">
        <v>1047</v>
      </c>
      <c r="C45" t="s">
        <v>74</v>
      </c>
      <c r="D45" t="s">
        <v>74</v>
      </c>
      <c r="E45" t="s">
        <v>74</v>
      </c>
      <c r="F45" t="s">
        <v>1048</v>
      </c>
      <c r="G45" t="s">
        <v>74</v>
      </c>
      <c r="H45" t="s">
        <v>74</v>
      </c>
      <c r="I45" t="s">
        <v>1049</v>
      </c>
      <c r="J45" t="s">
        <v>1050</v>
      </c>
      <c r="K45" t="s">
        <v>74</v>
      </c>
      <c r="L45" t="s">
        <v>74</v>
      </c>
      <c r="M45" t="s">
        <v>79</v>
      </c>
      <c r="N45" t="s">
        <v>108</v>
      </c>
      <c r="O45" t="s">
        <v>74</v>
      </c>
      <c r="P45" t="s">
        <v>74</v>
      </c>
      <c r="Q45" t="s">
        <v>74</v>
      </c>
      <c r="R45" t="s">
        <v>74</v>
      </c>
      <c r="S45" t="s">
        <v>74</v>
      </c>
      <c r="T45" t="s">
        <v>1051</v>
      </c>
      <c r="U45" t="s">
        <v>74</v>
      </c>
      <c r="V45" t="s">
        <v>1052</v>
      </c>
      <c r="W45" t="s">
        <v>1053</v>
      </c>
      <c r="X45" t="s">
        <v>1054</v>
      </c>
      <c r="Y45" t="s">
        <v>1055</v>
      </c>
      <c r="Z45" t="s">
        <v>1056</v>
      </c>
      <c r="AA45" t="s">
        <v>1057</v>
      </c>
      <c r="AB45" t="s">
        <v>1058</v>
      </c>
      <c r="AC45" t="s">
        <v>1059</v>
      </c>
      <c r="AD45" t="s">
        <v>1060</v>
      </c>
      <c r="AE45" t="s">
        <v>1061</v>
      </c>
      <c r="AF45" t="s">
        <v>74</v>
      </c>
      <c r="AG45">
        <v>36</v>
      </c>
      <c r="AH45">
        <v>4</v>
      </c>
      <c r="AI45">
        <v>5</v>
      </c>
      <c r="AJ45">
        <v>18</v>
      </c>
      <c r="AK45">
        <v>18</v>
      </c>
      <c r="AL45" t="s">
        <v>1062</v>
      </c>
      <c r="AM45" t="s">
        <v>1063</v>
      </c>
      <c r="AN45" t="s">
        <v>1064</v>
      </c>
      <c r="AO45" t="s">
        <v>1065</v>
      </c>
      <c r="AP45" t="s">
        <v>74</v>
      </c>
      <c r="AQ45" t="s">
        <v>74</v>
      </c>
      <c r="AR45" t="s">
        <v>1066</v>
      </c>
      <c r="AS45" t="s">
        <v>1067</v>
      </c>
      <c r="AT45" t="s">
        <v>527</v>
      </c>
      <c r="AU45">
        <v>2023</v>
      </c>
      <c r="AV45">
        <v>8</v>
      </c>
      <c r="AW45">
        <v>4</v>
      </c>
      <c r="AX45" t="s">
        <v>74</v>
      </c>
      <c r="AY45" t="s">
        <v>74</v>
      </c>
      <c r="AZ45" t="s">
        <v>74</v>
      </c>
      <c r="BA45" t="s">
        <v>74</v>
      </c>
      <c r="BB45" t="s">
        <v>74</v>
      </c>
      <c r="BC45" t="s">
        <v>74</v>
      </c>
      <c r="BD45" t="s">
        <v>74</v>
      </c>
      <c r="BE45" t="s">
        <v>1068</v>
      </c>
      <c r="BF45" t="str">
        <f>HYPERLINK("http://dx.doi.org/10.9781/ijimai.2023.07.006","http://dx.doi.org/10.9781/ijimai.2023.07.006")</f>
        <v>http://dx.doi.org/10.9781/ijimai.2023.07.006</v>
      </c>
      <c r="BG45" t="s">
        <v>74</v>
      </c>
      <c r="BH45" t="s">
        <v>74</v>
      </c>
      <c r="BI45">
        <v>217</v>
      </c>
      <c r="BJ45" t="s">
        <v>1069</v>
      </c>
      <c r="BK45" t="s">
        <v>130</v>
      </c>
      <c r="BL45" t="s">
        <v>99</v>
      </c>
      <c r="BM45" t="s">
        <v>1070</v>
      </c>
      <c r="BN45" t="s">
        <v>74</v>
      </c>
      <c r="BO45" t="s">
        <v>1071</v>
      </c>
      <c r="BP45" t="s">
        <v>74</v>
      </c>
      <c r="BQ45" t="s">
        <v>74</v>
      </c>
      <c r="BR45" t="s">
        <v>101</v>
      </c>
      <c r="BS45" t="s">
        <v>1072</v>
      </c>
      <c r="BT45" t="str">
        <f>HYPERLINK("https%3A%2F%2Fwww.webofscience.com%2Fwos%2Fwoscc%2Ffull-record%2FWOS:001130481400013","View Full Record in Web of Science")</f>
        <v>View Full Record in Web of Science</v>
      </c>
    </row>
    <row r="46" spans="1:72" x14ac:dyDescent="0.2">
      <c r="A46" t="s">
        <v>72</v>
      </c>
      <c r="B46" t="s">
        <v>1073</v>
      </c>
      <c r="C46" t="s">
        <v>74</v>
      </c>
      <c r="D46" t="s">
        <v>74</v>
      </c>
      <c r="E46" t="s">
        <v>284</v>
      </c>
      <c r="F46" t="s">
        <v>1074</v>
      </c>
      <c r="G46" t="s">
        <v>74</v>
      </c>
      <c r="H46" t="s">
        <v>74</v>
      </c>
      <c r="I46" t="s">
        <v>1075</v>
      </c>
      <c r="J46" t="s">
        <v>1076</v>
      </c>
      <c r="K46" t="s">
        <v>1077</v>
      </c>
      <c r="L46" t="s">
        <v>74</v>
      </c>
      <c r="M46" t="s">
        <v>79</v>
      </c>
      <c r="N46" t="s">
        <v>80</v>
      </c>
      <c r="O46" t="s">
        <v>1078</v>
      </c>
      <c r="P46" t="s">
        <v>1079</v>
      </c>
      <c r="Q46" t="s">
        <v>1080</v>
      </c>
      <c r="R46" t="s">
        <v>959</v>
      </c>
      <c r="S46" t="s">
        <v>74</v>
      </c>
      <c r="T46" t="s">
        <v>1081</v>
      </c>
      <c r="U46" t="s">
        <v>74</v>
      </c>
      <c r="V46" t="s">
        <v>1082</v>
      </c>
      <c r="W46" t="s">
        <v>1083</v>
      </c>
      <c r="X46" t="s">
        <v>1084</v>
      </c>
      <c r="Y46" t="s">
        <v>1085</v>
      </c>
      <c r="Z46" t="s">
        <v>1086</v>
      </c>
      <c r="AA46" t="s">
        <v>1087</v>
      </c>
      <c r="AB46" t="s">
        <v>1088</v>
      </c>
      <c r="AC46" t="s">
        <v>74</v>
      </c>
      <c r="AD46" t="s">
        <v>74</v>
      </c>
      <c r="AE46" t="s">
        <v>74</v>
      </c>
      <c r="AF46" t="s">
        <v>74</v>
      </c>
      <c r="AG46">
        <v>21</v>
      </c>
      <c r="AH46">
        <v>0</v>
      </c>
      <c r="AI46">
        <v>0</v>
      </c>
      <c r="AJ46">
        <v>3</v>
      </c>
      <c r="AK46">
        <v>3</v>
      </c>
      <c r="AL46" t="s">
        <v>638</v>
      </c>
      <c r="AM46" t="s">
        <v>639</v>
      </c>
      <c r="AN46" t="s">
        <v>640</v>
      </c>
      <c r="AO46" t="s">
        <v>1089</v>
      </c>
      <c r="AP46" t="s">
        <v>74</v>
      </c>
      <c r="AQ46" t="s">
        <v>1090</v>
      </c>
      <c r="AR46" t="s">
        <v>1091</v>
      </c>
      <c r="AS46" t="s">
        <v>74</v>
      </c>
      <c r="AT46" t="s">
        <v>74</v>
      </c>
      <c r="AU46">
        <v>2023</v>
      </c>
      <c r="AV46" t="s">
        <v>74</v>
      </c>
      <c r="AW46" t="s">
        <v>74</v>
      </c>
      <c r="AX46" t="s">
        <v>74</v>
      </c>
      <c r="AY46" t="s">
        <v>74</v>
      </c>
      <c r="AZ46" t="s">
        <v>74</v>
      </c>
      <c r="BA46" t="s">
        <v>74</v>
      </c>
      <c r="BB46">
        <v>40</v>
      </c>
      <c r="BC46">
        <v>44</v>
      </c>
      <c r="BD46" t="s">
        <v>74</v>
      </c>
      <c r="BE46" t="s">
        <v>1092</v>
      </c>
      <c r="BF46" t="str">
        <f>HYPERLINK("http://dx.doi.org/10.1109/VISSOFT60811.2023.00014","http://dx.doi.org/10.1109/VISSOFT60811.2023.00014")</f>
        <v>http://dx.doi.org/10.1109/VISSOFT60811.2023.00014</v>
      </c>
      <c r="BG46" t="s">
        <v>74</v>
      </c>
      <c r="BH46" t="s">
        <v>74</v>
      </c>
      <c r="BI46">
        <v>5</v>
      </c>
      <c r="BJ46" t="s">
        <v>1093</v>
      </c>
      <c r="BK46" t="s">
        <v>98</v>
      </c>
      <c r="BL46" t="s">
        <v>99</v>
      </c>
      <c r="BM46" t="s">
        <v>1094</v>
      </c>
      <c r="BN46" t="s">
        <v>74</v>
      </c>
      <c r="BO46" t="s">
        <v>74</v>
      </c>
      <c r="BP46" t="s">
        <v>74</v>
      </c>
      <c r="BQ46" t="s">
        <v>74</v>
      </c>
      <c r="BR46" t="s">
        <v>101</v>
      </c>
      <c r="BS46" t="s">
        <v>1095</v>
      </c>
      <c r="BT46" t="str">
        <f>HYPERLINK("https%3A%2F%2Fwww.webofscience.com%2Fwos%2Fwoscc%2Ffull-record%2FWOS:001144172500005","View Full Record in Web of Science")</f>
        <v>View Full Record in Web of Science</v>
      </c>
    </row>
    <row r="47" spans="1:72" x14ac:dyDescent="0.2">
      <c r="A47" t="s">
        <v>72</v>
      </c>
      <c r="B47" t="s">
        <v>1096</v>
      </c>
      <c r="C47" t="s">
        <v>74</v>
      </c>
      <c r="D47" t="s">
        <v>74</v>
      </c>
      <c r="E47" t="s">
        <v>284</v>
      </c>
      <c r="F47" t="s">
        <v>1097</v>
      </c>
      <c r="G47" t="s">
        <v>74</v>
      </c>
      <c r="H47" t="s">
        <v>74</v>
      </c>
      <c r="I47" t="s">
        <v>1098</v>
      </c>
      <c r="J47" t="s">
        <v>1099</v>
      </c>
      <c r="K47" t="s">
        <v>74</v>
      </c>
      <c r="L47" t="s">
        <v>74</v>
      </c>
      <c r="M47" t="s">
        <v>79</v>
      </c>
      <c r="N47" t="s">
        <v>80</v>
      </c>
      <c r="O47" t="s">
        <v>1100</v>
      </c>
      <c r="P47" t="s">
        <v>1101</v>
      </c>
      <c r="Q47" t="s">
        <v>1102</v>
      </c>
      <c r="R47" t="s">
        <v>1103</v>
      </c>
      <c r="S47" t="s">
        <v>74</v>
      </c>
      <c r="T47" t="s">
        <v>1104</v>
      </c>
      <c r="U47" t="s">
        <v>74</v>
      </c>
      <c r="V47" t="s">
        <v>1105</v>
      </c>
      <c r="W47" t="s">
        <v>1106</v>
      </c>
      <c r="X47" t="s">
        <v>1107</v>
      </c>
      <c r="Y47" t="s">
        <v>1108</v>
      </c>
      <c r="Z47" t="s">
        <v>74</v>
      </c>
      <c r="AA47" t="s">
        <v>1109</v>
      </c>
      <c r="AB47" t="s">
        <v>1110</v>
      </c>
      <c r="AC47" t="s">
        <v>1111</v>
      </c>
      <c r="AD47" t="s">
        <v>1112</v>
      </c>
      <c r="AE47" t="s">
        <v>1113</v>
      </c>
      <c r="AF47" t="s">
        <v>74</v>
      </c>
      <c r="AG47">
        <v>13</v>
      </c>
      <c r="AH47">
        <v>0</v>
      </c>
      <c r="AI47">
        <v>0</v>
      </c>
      <c r="AJ47">
        <v>1</v>
      </c>
      <c r="AK47">
        <v>1</v>
      </c>
      <c r="AL47" t="s">
        <v>638</v>
      </c>
      <c r="AM47" t="s">
        <v>639</v>
      </c>
      <c r="AN47" t="s">
        <v>640</v>
      </c>
      <c r="AO47" t="s">
        <v>74</v>
      </c>
      <c r="AP47" t="s">
        <v>74</v>
      </c>
      <c r="AQ47" t="s">
        <v>1114</v>
      </c>
      <c r="AR47" t="s">
        <v>74</v>
      </c>
      <c r="AS47" t="s">
        <v>74</v>
      </c>
      <c r="AT47" t="s">
        <v>74</v>
      </c>
      <c r="AU47">
        <v>2023</v>
      </c>
      <c r="AV47" t="s">
        <v>74</v>
      </c>
      <c r="AW47" t="s">
        <v>74</v>
      </c>
      <c r="AX47" t="s">
        <v>74</v>
      </c>
      <c r="AY47" t="s">
        <v>74</v>
      </c>
      <c r="AZ47" t="s">
        <v>74</v>
      </c>
      <c r="BA47" t="s">
        <v>74</v>
      </c>
      <c r="BB47">
        <v>110</v>
      </c>
      <c r="BC47">
        <v>113</v>
      </c>
      <c r="BD47" t="s">
        <v>74</v>
      </c>
      <c r="BE47" t="s">
        <v>1115</v>
      </c>
      <c r="BF47" t="str">
        <f>HYPERLINK("http://dx.doi.org/10.1109/MODELS-C59198.2023.00034","http://dx.doi.org/10.1109/MODELS-C59198.2023.00034")</f>
        <v>http://dx.doi.org/10.1109/MODELS-C59198.2023.00034</v>
      </c>
      <c r="BG47" t="s">
        <v>74</v>
      </c>
      <c r="BH47" t="s">
        <v>74</v>
      </c>
      <c r="BI47">
        <v>4</v>
      </c>
      <c r="BJ47" t="s">
        <v>1093</v>
      </c>
      <c r="BK47" t="s">
        <v>98</v>
      </c>
      <c r="BL47" t="s">
        <v>99</v>
      </c>
      <c r="BM47" t="s">
        <v>1116</v>
      </c>
      <c r="BN47" t="s">
        <v>74</v>
      </c>
      <c r="BO47" t="s">
        <v>74</v>
      </c>
      <c r="BP47" t="s">
        <v>74</v>
      </c>
      <c r="BQ47" t="s">
        <v>74</v>
      </c>
      <c r="BR47" t="s">
        <v>101</v>
      </c>
      <c r="BS47" t="s">
        <v>1117</v>
      </c>
      <c r="BT47" t="str">
        <f>HYPERLINK("https%3A%2F%2Fwww.webofscience.com%2Fwos%2Fwoscc%2Ffull-record%2FWOS:001137051500024","View Full Record in Web of Science")</f>
        <v>View Full Record in Web of Science</v>
      </c>
    </row>
    <row r="48" spans="1:72" x14ac:dyDescent="0.2">
      <c r="A48" t="s">
        <v>103</v>
      </c>
      <c r="B48" t="s">
        <v>1118</v>
      </c>
      <c r="C48" t="s">
        <v>74</v>
      </c>
      <c r="D48" t="s">
        <v>74</v>
      </c>
      <c r="E48" t="s">
        <v>74</v>
      </c>
      <c r="F48" t="s">
        <v>1119</v>
      </c>
      <c r="G48" t="s">
        <v>74</v>
      </c>
      <c r="H48" t="s">
        <v>74</v>
      </c>
      <c r="I48" t="s">
        <v>1120</v>
      </c>
      <c r="J48" t="s">
        <v>1121</v>
      </c>
      <c r="K48" t="s">
        <v>74</v>
      </c>
      <c r="L48" t="s">
        <v>74</v>
      </c>
      <c r="M48" t="s">
        <v>79</v>
      </c>
      <c r="N48" t="s">
        <v>108</v>
      </c>
      <c r="O48" t="s">
        <v>74</v>
      </c>
      <c r="P48" t="s">
        <v>74</v>
      </c>
      <c r="Q48" t="s">
        <v>74</v>
      </c>
      <c r="R48" t="s">
        <v>74</v>
      </c>
      <c r="S48" t="s">
        <v>74</v>
      </c>
      <c r="T48" t="s">
        <v>1122</v>
      </c>
      <c r="U48" t="s">
        <v>1123</v>
      </c>
      <c r="V48" t="s">
        <v>1124</v>
      </c>
      <c r="W48" t="s">
        <v>1125</v>
      </c>
      <c r="X48" t="s">
        <v>1126</v>
      </c>
      <c r="Y48" t="s">
        <v>1127</v>
      </c>
      <c r="Z48" t="s">
        <v>1128</v>
      </c>
      <c r="AA48" t="s">
        <v>74</v>
      </c>
      <c r="AB48" t="s">
        <v>74</v>
      </c>
      <c r="AC48" t="s">
        <v>74</v>
      </c>
      <c r="AD48" t="s">
        <v>74</v>
      </c>
      <c r="AE48" t="s">
        <v>74</v>
      </c>
      <c r="AF48" t="s">
        <v>74</v>
      </c>
      <c r="AG48">
        <v>112</v>
      </c>
      <c r="AH48">
        <v>0</v>
      </c>
      <c r="AI48">
        <v>0</v>
      </c>
      <c r="AJ48">
        <v>59</v>
      </c>
      <c r="AK48">
        <v>59</v>
      </c>
      <c r="AL48" t="s">
        <v>1129</v>
      </c>
      <c r="AM48" t="s">
        <v>120</v>
      </c>
      <c r="AN48" t="s">
        <v>1130</v>
      </c>
      <c r="AO48" t="s">
        <v>1131</v>
      </c>
      <c r="AP48" t="s">
        <v>74</v>
      </c>
      <c r="AQ48" t="s">
        <v>74</v>
      </c>
      <c r="AR48" t="s">
        <v>1132</v>
      </c>
      <c r="AS48" t="s">
        <v>1133</v>
      </c>
      <c r="AT48" t="s">
        <v>276</v>
      </c>
      <c r="AU48">
        <v>2023</v>
      </c>
      <c r="AV48">
        <v>51</v>
      </c>
      <c r="AW48" t="s">
        <v>74</v>
      </c>
      <c r="AX48" t="s">
        <v>74</v>
      </c>
      <c r="AY48" t="s">
        <v>74</v>
      </c>
      <c r="AZ48" t="s">
        <v>74</v>
      </c>
      <c r="BA48" t="s">
        <v>74</v>
      </c>
      <c r="BB48" t="s">
        <v>74</v>
      </c>
      <c r="BC48" t="s">
        <v>74</v>
      </c>
      <c r="BD48">
        <v>105892</v>
      </c>
      <c r="BE48" t="s">
        <v>1134</v>
      </c>
      <c r="BF48" t="str">
        <f>HYPERLINK("http://dx.doi.org/10.1016/j.clsr.2023.105892","http://dx.doi.org/10.1016/j.clsr.2023.105892")</f>
        <v>http://dx.doi.org/10.1016/j.clsr.2023.105892</v>
      </c>
      <c r="BG48" t="s">
        <v>74</v>
      </c>
      <c r="BH48" t="s">
        <v>157</v>
      </c>
      <c r="BI48">
        <v>12</v>
      </c>
      <c r="BJ48" t="s">
        <v>1135</v>
      </c>
      <c r="BK48" t="s">
        <v>159</v>
      </c>
      <c r="BL48" t="s">
        <v>1136</v>
      </c>
      <c r="BM48" t="s">
        <v>1137</v>
      </c>
      <c r="BN48" t="s">
        <v>74</v>
      </c>
      <c r="BO48" t="s">
        <v>646</v>
      </c>
      <c r="BP48" t="s">
        <v>74</v>
      </c>
      <c r="BQ48" t="s">
        <v>74</v>
      </c>
      <c r="BR48" t="s">
        <v>101</v>
      </c>
      <c r="BS48" t="s">
        <v>1138</v>
      </c>
      <c r="BT48" t="str">
        <f>HYPERLINK("https%3A%2F%2Fwww.webofscience.com%2Fwos%2Fwoscc%2Ffull-record%2FWOS:001111839200001","View Full Record in Web of Science")</f>
        <v>View Full Record in Web of Science</v>
      </c>
    </row>
    <row r="49" spans="1:72" x14ac:dyDescent="0.2">
      <c r="A49" t="s">
        <v>103</v>
      </c>
      <c r="B49" t="s">
        <v>1139</v>
      </c>
      <c r="C49" t="s">
        <v>74</v>
      </c>
      <c r="D49" t="s">
        <v>74</v>
      </c>
      <c r="E49" t="s">
        <v>74</v>
      </c>
      <c r="F49" t="s">
        <v>1140</v>
      </c>
      <c r="G49" t="s">
        <v>74</v>
      </c>
      <c r="H49" t="s">
        <v>74</v>
      </c>
      <c r="I49" t="s">
        <v>1141</v>
      </c>
      <c r="J49" t="s">
        <v>1142</v>
      </c>
      <c r="K49" t="s">
        <v>74</v>
      </c>
      <c r="L49" t="s">
        <v>74</v>
      </c>
      <c r="M49" t="s">
        <v>79</v>
      </c>
      <c r="N49" t="s">
        <v>108</v>
      </c>
      <c r="O49" t="s">
        <v>74</v>
      </c>
      <c r="P49" t="s">
        <v>74</v>
      </c>
      <c r="Q49" t="s">
        <v>74</v>
      </c>
      <c r="R49" t="s">
        <v>74</v>
      </c>
      <c r="S49" t="s">
        <v>74</v>
      </c>
      <c r="T49" t="s">
        <v>1143</v>
      </c>
      <c r="U49" t="s">
        <v>74</v>
      </c>
      <c r="V49" t="s">
        <v>1144</v>
      </c>
      <c r="W49" t="s">
        <v>1145</v>
      </c>
      <c r="X49" t="s">
        <v>1146</v>
      </c>
      <c r="Y49" t="s">
        <v>1147</v>
      </c>
      <c r="Z49" t="s">
        <v>1148</v>
      </c>
      <c r="AA49" t="s">
        <v>74</v>
      </c>
      <c r="AB49" t="s">
        <v>1149</v>
      </c>
      <c r="AC49" t="s">
        <v>1150</v>
      </c>
      <c r="AD49" t="s">
        <v>1150</v>
      </c>
      <c r="AE49" t="s">
        <v>1151</v>
      </c>
      <c r="AF49" t="s">
        <v>74</v>
      </c>
      <c r="AG49">
        <v>22</v>
      </c>
      <c r="AH49">
        <v>0</v>
      </c>
      <c r="AI49">
        <v>0</v>
      </c>
      <c r="AJ49">
        <v>100</v>
      </c>
      <c r="AK49">
        <v>100</v>
      </c>
      <c r="AL49" t="s">
        <v>1152</v>
      </c>
      <c r="AM49" t="s">
        <v>1153</v>
      </c>
      <c r="AN49" t="s">
        <v>1154</v>
      </c>
      <c r="AO49" t="s">
        <v>1155</v>
      </c>
      <c r="AP49" t="s">
        <v>74</v>
      </c>
      <c r="AQ49" t="s">
        <v>74</v>
      </c>
      <c r="AR49" t="s">
        <v>1156</v>
      </c>
      <c r="AS49" t="s">
        <v>1157</v>
      </c>
      <c r="AT49" t="s">
        <v>1158</v>
      </c>
      <c r="AU49">
        <v>2023</v>
      </c>
      <c r="AV49">
        <v>18</v>
      </c>
      <c r="AW49" t="s">
        <v>74</v>
      </c>
      <c r="AX49" t="s">
        <v>74</v>
      </c>
      <c r="AY49" t="s">
        <v>74</v>
      </c>
      <c r="AZ49" t="s">
        <v>74</v>
      </c>
      <c r="BA49" t="s">
        <v>74</v>
      </c>
      <c r="BB49" t="s">
        <v>74</v>
      </c>
      <c r="BC49" t="s">
        <v>74</v>
      </c>
      <c r="BD49" t="s">
        <v>1159</v>
      </c>
      <c r="BE49" t="s">
        <v>1160</v>
      </c>
      <c r="BF49" t="str">
        <f>HYPERLINK("http://dx.doi.org/10.1017/jdm.2023.37","http://dx.doi.org/10.1017/jdm.2023.37")</f>
        <v>http://dx.doi.org/10.1017/jdm.2023.37</v>
      </c>
      <c r="BG49" t="s">
        <v>74</v>
      </c>
      <c r="BH49" t="s">
        <v>74</v>
      </c>
      <c r="BI49">
        <v>16</v>
      </c>
      <c r="BJ49" t="s">
        <v>1161</v>
      </c>
      <c r="BK49" t="s">
        <v>159</v>
      </c>
      <c r="BL49" t="s">
        <v>1162</v>
      </c>
      <c r="BM49" t="s">
        <v>1163</v>
      </c>
      <c r="BN49" t="s">
        <v>74</v>
      </c>
      <c r="BO49" t="s">
        <v>425</v>
      </c>
      <c r="BP49" t="s">
        <v>74</v>
      </c>
      <c r="BQ49" t="s">
        <v>74</v>
      </c>
      <c r="BR49" t="s">
        <v>101</v>
      </c>
      <c r="BS49" t="s">
        <v>1164</v>
      </c>
      <c r="BT49" t="str">
        <f>HYPERLINK("https%3A%2F%2Fwww.webofscience.com%2Fwos%2Fwoscc%2Ffull-record%2FWOS:001112542000001","View Full Record in Web of Science")</f>
        <v>View Full Record in Web of Science</v>
      </c>
    </row>
    <row r="50" spans="1:72" x14ac:dyDescent="0.2">
      <c r="A50" t="s">
        <v>72</v>
      </c>
      <c r="B50" t="s">
        <v>1165</v>
      </c>
      <c r="C50" t="s">
        <v>74</v>
      </c>
      <c r="D50" t="s">
        <v>75</v>
      </c>
      <c r="E50" t="s">
        <v>74</v>
      </c>
      <c r="F50" t="s">
        <v>1166</v>
      </c>
      <c r="G50" t="s">
        <v>74</v>
      </c>
      <c r="H50" t="s">
        <v>74</v>
      </c>
      <c r="I50" t="s">
        <v>1167</v>
      </c>
      <c r="J50" t="s">
        <v>1168</v>
      </c>
      <c r="K50" t="s">
        <v>74</v>
      </c>
      <c r="L50" t="s">
        <v>74</v>
      </c>
      <c r="M50" t="s">
        <v>79</v>
      </c>
      <c r="N50" t="s">
        <v>80</v>
      </c>
      <c r="O50" t="s">
        <v>1169</v>
      </c>
      <c r="P50" t="s">
        <v>1170</v>
      </c>
      <c r="Q50" t="s">
        <v>1171</v>
      </c>
      <c r="R50" t="s">
        <v>1172</v>
      </c>
      <c r="S50" t="s">
        <v>1173</v>
      </c>
      <c r="T50" t="s">
        <v>1174</v>
      </c>
      <c r="U50" t="s">
        <v>74</v>
      </c>
      <c r="V50" t="s">
        <v>1175</v>
      </c>
      <c r="W50" t="s">
        <v>1176</v>
      </c>
      <c r="X50" t="s">
        <v>1177</v>
      </c>
      <c r="Y50" t="s">
        <v>1178</v>
      </c>
      <c r="Z50" t="s">
        <v>1179</v>
      </c>
      <c r="AA50" t="s">
        <v>1180</v>
      </c>
      <c r="AB50" t="s">
        <v>1181</v>
      </c>
      <c r="AC50" t="s">
        <v>1182</v>
      </c>
      <c r="AD50" t="s">
        <v>1182</v>
      </c>
      <c r="AE50" t="s">
        <v>1183</v>
      </c>
      <c r="AF50" t="s">
        <v>74</v>
      </c>
      <c r="AG50">
        <v>6</v>
      </c>
      <c r="AH50">
        <v>3</v>
      </c>
      <c r="AI50">
        <v>3</v>
      </c>
      <c r="AJ50">
        <v>24</v>
      </c>
      <c r="AK50">
        <v>24</v>
      </c>
      <c r="AL50" t="s">
        <v>92</v>
      </c>
      <c r="AM50" t="s">
        <v>93</v>
      </c>
      <c r="AN50" t="s">
        <v>94</v>
      </c>
      <c r="AO50" t="s">
        <v>74</v>
      </c>
      <c r="AP50" t="s">
        <v>74</v>
      </c>
      <c r="AQ50" t="s">
        <v>1184</v>
      </c>
      <c r="AR50" t="s">
        <v>74</v>
      </c>
      <c r="AS50" t="s">
        <v>74</v>
      </c>
      <c r="AT50" t="s">
        <v>74</v>
      </c>
      <c r="AU50">
        <v>2023</v>
      </c>
      <c r="AV50" t="s">
        <v>74</v>
      </c>
      <c r="AW50" t="s">
        <v>74</v>
      </c>
      <c r="AX50" t="s">
        <v>74</v>
      </c>
      <c r="AY50" t="s">
        <v>74</v>
      </c>
      <c r="AZ50" t="s">
        <v>74</v>
      </c>
      <c r="BA50" t="s">
        <v>74</v>
      </c>
      <c r="BB50">
        <v>378</v>
      </c>
      <c r="BC50">
        <v>382</v>
      </c>
      <c r="BD50" t="s">
        <v>74</v>
      </c>
      <c r="BE50" t="s">
        <v>1185</v>
      </c>
      <c r="BF50" t="str">
        <f>HYPERLINK("http://dx.doi.org/10.1145/3573051.3596191","http://dx.doi.org/10.1145/3573051.3596191")</f>
        <v>http://dx.doi.org/10.1145/3573051.3596191</v>
      </c>
      <c r="BG50" t="s">
        <v>74</v>
      </c>
      <c r="BH50" t="s">
        <v>74</v>
      </c>
      <c r="BI50">
        <v>5</v>
      </c>
      <c r="BJ50" t="s">
        <v>1186</v>
      </c>
      <c r="BK50" t="s">
        <v>180</v>
      </c>
      <c r="BL50" t="s">
        <v>1187</v>
      </c>
      <c r="BM50" t="s">
        <v>1188</v>
      </c>
      <c r="BN50" t="s">
        <v>74</v>
      </c>
      <c r="BO50" t="s">
        <v>74</v>
      </c>
      <c r="BP50" t="s">
        <v>74</v>
      </c>
      <c r="BQ50" t="s">
        <v>74</v>
      </c>
      <c r="BR50" t="s">
        <v>101</v>
      </c>
      <c r="BS50" t="s">
        <v>1189</v>
      </c>
      <c r="BT50" t="str">
        <f>HYPERLINK("https%3A%2F%2Fwww.webofscience.com%2Fwos%2Fwoscc%2Ffull-record%2FWOS:001125787500053","View Full Record in Web of Science")</f>
        <v>View Full Record in Web of Science</v>
      </c>
    </row>
    <row r="51" spans="1:72" x14ac:dyDescent="0.2">
      <c r="A51" t="s">
        <v>72</v>
      </c>
      <c r="B51" t="s">
        <v>1190</v>
      </c>
      <c r="C51" t="s">
        <v>74</v>
      </c>
      <c r="D51" t="s">
        <v>74</v>
      </c>
      <c r="E51" t="s">
        <v>75</v>
      </c>
      <c r="F51" t="s">
        <v>1191</v>
      </c>
      <c r="G51" t="s">
        <v>74</v>
      </c>
      <c r="H51" t="s">
        <v>74</v>
      </c>
      <c r="I51" t="s">
        <v>1192</v>
      </c>
      <c r="J51" t="s">
        <v>1193</v>
      </c>
      <c r="K51" t="s">
        <v>74</v>
      </c>
      <c r="L51" t="s">
        <v>74</v>
      </c>
      <c r="M51" t="s">
        <v>79</v>
      </c>
      <c r="N51" t="s">
        <v>80</v>
      </c>
      <c r="O51" t="s">
        <v>1194</v>
      </c>
      <c r="P51" t="s">
        <v>1195</v>
      </c>
      <c r="Q51" t="s">
        <v>1196</v>
      </c>
      <c r="R51" t="s">
        <v>1197</v>
      </c>
      <c r="S51" t="s">
        <v>74</v>
      </c>
      <c r="T51" t="s">
        <v>1198</v>
      </c>
      <c r="U51" t="s">
        <v>1199</v>
      </c>
      <c r="V51" t="s">
        <v>1200</v>
      </c>
      <c r="W51" t="s">
        <v>1201</v>
      </c>
      <c r="X51" t="s">
        <v>1202</v>
      </c>
      <c r="Y51" t="s">
        <v>1203</v>
      </c>
      <c r="Z51" t="s">
        <v>1204</v>
      </c>
      <c r="AA51" t="s">
        <v>74</v>
      </c>
      <c r="AB51" t="s">
        <v>1205</v>
      </c>
      <c r="AC51" t="s">
        <v>1206</v>
      </c>
      <c r="AD51" t="s">
        <v>1207</v>
      </c>
      <c r="AE51" t="s">
        <v>1208</v>
      </c>
      <c r="AF51" t="s">
        <v>74</v>
      </c>
      <c r="AG51">
        <v>75</v>
      </c>
      <c r="AH51">
        <v>0</v>
      </c>
      <c r="AI51">
        <v>0</v>
      </c>
      <c r="AJ51">
        <v>5</v>
      </c>
      <c r="AK51">
        <v>5</v>
      </c>
      <c r="AL51" t="s">
        <v>92</v>
      </c>
      <c r="AM51" t="s">
        <v>93</v>
      </c>
      <c r="AN51" t="s">
        <v>94</v>
      </c>
      <c r="AO51" t="s">
        <v>74</v>
      </c>
      <c r="AP51" t="s">
        <v>74</v>
      </c>
      <c r="AQ51" t="s">
        <v>1209</v>
      </c>
      <c r="AR51" t="s">
        <v>74</v>
      </c>
      <c r="AS51" t="s">
        <v>74</v>
      </c>
      <c r="AT51" t="s">
        <v>74</v>
      </c>
      <c r="AU51">
        <v>2023</v>
      </c>
      <c r="AV51" t="s">
        <v>74</v>
      </c>
      <c r="AW51" t="s">
        <v>74</v>
      </c>
      <c r="AX51" t="s">
        <v>74</v>
      </c>
      <c r="AY51" t="s">
        <v>74</v>
      </c>
      <c r="AZ51" t="s">
        <v>74</v>
      </c>
      <c r="BA51" t="s">
        <v>74</v>
      </c>
      <c r="BB51">
        <v>890</v>
      </c>
      <c r="BC51">
        <v>900</v>
      </c>
      <c r="BD51" t="s">
        <v>74</v>
      </c>
      <c r="BE51" t="s">
        <v>1210</v>
      </c>
      <c r="BF51" t="str">
        <f>HYPERLINK("http://dx.doi.org/10.1145/3600211.3604716","http://dx.doi.org/10.1145/3600211.3604716")</f>
        <v>http://dx.doi.org/10.1145/3600211.3604716</v>
      </c>
      <c r="BG51" t="s">
        <v>74</v>
      </c>
      <c r="BH51" t="s">
        <v>74</v>
      </c>
      <c r="BI51">
        <v>11</v>
      </c>
      <c r="BJ51" t="s">
        <v>1211</v>
      </c>
      <c r="BK51" t="s">
        <v>180</v>
      </c>
      <c r="BL51" t="s">
        <v>1212</v>
      </c>
      <c r="BM51" t="s">
        <v>1213</v>
      </c>
      <c r="BN51" t="s">
        <v>74</v>
      </c>
      <c r="BO51" t="s">
        <v>1214</v>
      </c>
      <c r="BP51" t="s">
        <v>74</v>
      </c>
      <c r="BQ51" t="s">
        <v>74</v>
      </c>
      <c r="BR51" t="s">
        <v>101</v>
      </c>
      <c r="BS51" t="s">
        <v>1215</v>
      </c>
      <c r="BT51" t="str">
        <f>HYPERLINK("https%3A%2F%2Fwww.webofscience.com%2Fwos%2Fwoscc%2Ffull-record%2FWOS:001117838100067","View Full Record in Web of Science")</f>
        <v>View Full Record in Web of Science</v>
      </c>
    </row>
    <row r="52" spans="1:72" x14ac:dyDescent="0.2">
      <c r="A52" t="s">
        <v>72</v>
      </c>
      <c r="B52" t="s">
        <v>1216</v>
      </c>
      <c r="C52" t="s">
        <v>74</v>
      </c>
      <c r="D52" t="s">
        <v>74</v>
      </c>
      <c r="E52" t="s">
        <v>75</v>
      </c>
      <c r="F52" t="s">
        <v>1217</v>
      </c>
      <c r="G52" t="s">
        <v>74</v>
      </c>
      <c r="H52" t="s">
        <v>74</v>
      </c>
      <c r="I52" t="s">
        <v>1218</v>
      </c>
      <c r="J52" t="s">
        <v>1219</v>
      </c>
      <c r="K52" t="s">
        <v>74</v>
      </c>
      <c r="L52" t="s">
        <v>74</v>
      </c>
      <c r="M52" t="s">
        <v>79</v>
      </c>
      <c r="N52" t="s">
        <v>80</v>
      </c>
      <c r="O52" t="s">
        <v>1220</v>
      </c>
      <c r="P52" t="s">
        <v>1221</v>
      </c>
      <c r="Q52" t="s">
        <v>1222</v>
      </c>
      <c r="R52" t="s">
        <v>1223</v>
      </c>
      <c r="S52" t="s">
        <v>1224</v>
      </c>
      <c r="T52" t="s">
        <v>1225</v>
      </c>
      <c r="U52" t="s">
        <v>74</v>
      </c>
      <c r="V52" t="s">
        <v>1226</v>
      </c>
      <c r="W52" t="s">
        <v>1227</v>
      </c>
      <c r="X52" t="s">
        <v>1228</v>
      </c>
      <c r="Y52" t="s">
        <v>1229</v>
      </c>
      <c r="Z52" t="s">
        <v>1230</v>
      </c>
      <c r="AA52" t="s">
        <v>74</v>
      </c>
      <c r="AB52" t="s">
        <v>1231</v>
      </c>
      <c r="AC52" t="s">
        <v>1232</v>
      </c>
      <c r="AD52" t="s">
        <v>1232</v>
      </c>
      <c r="AE52" t="s">
        <v>1233</v>
      </c>
      <c r="AF52" t="s">
        <v>74</v>
      </c>
      <c r="AG52">
        <v>22</v>
      </c>
      <c r="AH52">
        <v>0</v>
      </c>
      <c r="AI52">
        <v>0</v>
      </c>
      <c r="AJ52">
        <v>25</v>
      </c>
      <c r="AK52">
        <v>25</v>
      </c>
      <c r="AL52" t="s">
        <v>92</v>
      </c>
      <c r="AM52" t="s">
        <v>93</v>
      </c>
      <c r="AN52" t="s">
        <v>94</v>
      </c>
      <c r="AO52" t="s">
        <v>74</v>
      </c>
      <c r="AP52" t="s">
        <v>74</v>
      </c>
      <c r="AQ52" t="s">
        <v>74</v>
      </c>
      <c r="AR52" t="s">
        <v>74</v>
      </c>
      <c r="AS52" t="s">
        <v>74</v>
      </c>
      <c r="AT52" t="s">
        <v>74</v>
      </c>
      <c r="AU52">
        <v>2023</v>
      </c>
      <c r="AV52" t="s">
        <v>74</v>
      </c>
      <c r="AW52" t="s">
        <v>74</v>
      </c>
      <c r="AX52" t="s">
        <v>74</v>
      </c>
      <c r="AY52" t="s">
        <v>74</v>
      </c>
      <c r="AZ52" t="s">
        <v>74</v>
      </c>
      <c r="BA52" t="s">
        <v>74</v>
      </c>
      <c r="BB52">
        <v>256</v>
      </c>
      <c r="BC52">
        <v>260</v>
      </c>
      <c r="BD52" t="s">
        <v>74</v>
      </c>
      <c r="BE52" t="s">
        <v>1234</v>
      </c>
      <c r="BF52" t="str">
        <f>HYPERLINK("http://dx.doi.org/10.1145/3563703.3596652","http://dx.doi.org/10.1145/3563703.3596652")</f>
        <v>http://dx.doi.org/10.1145/3563703.3596652</v>
      </c>
      <c r="BG52" t="s">
        <v>74</v>
      </c>
      <c r="BH52" t="s">
        <v>74</v>
      </c>
      <c r="BI52">
        <v>5</v>
      </c>
      <c r="BJ52" t="s">
        <v>1235</v>
      </c>
      <c r="BK52" t="s">
        <v>180</v>
      </c>
      <c r="BL52" t="s">
        <v>906</v>
      </c>
      <c r="BM52" t="s">
        <v>1236</v>
      </c>
      <c r="BN52" t="s">
        <v>74</v>
      </c>
      <c r="BO52" t="s">
        <v>1237</v>
      </c>
      <c r="BP52" t="s">
        <v>74</v>
      </c>
      <c r="BQ52" t="s">
        <v>74</v>
      </c>
      <c r="BR52" t="s">
        <v>101</v>
      </c>
      <c r="BS52" t="s">
        <v>1238</v>
      </c>
      <c r="BT52" t="str">
        <f>HYPERLINK("https%3A%2F%2Fwww.webofscience.com%2Fwos%2Fwoscc%2Ffull-record%2FWOS:001031537800059","View Full Record in Web of Science")</f>
        <v>View Full Record in Web of Science</v>
      </c>
    </row>
    <row r="53" spans="1:72" x14ac:dyDescent="0.2">
      <c r="A53" t="s">
        <v>72</v>
      </c>
      <c r="B53" t="s">
        <v>1239</v>
      </c>
      <c r="C53" t="s">
        <v>74</v>
      </c>
      <c r="D53" t="s">
        <v>74</v>
      </c>
      <c r="E53" t="s">
        <v>284</v>
      </c>
      <c r="F53" t="s">
        <v>1240</v>
      </c>
      <c r="G53" t="s">
        <v>74</v>
      </c>
      <c r="H53" t="s">
        <v>74</v>
      </c>
      <c r="I53" t="s">
        <v>1241</v>
      </c>
      <c r="J53" t="s">
        <v>1242</v>
      </c>
      <c r="K53" t="s">
        <v>1243</v>
      </c>
      <c r="L53" t="s">
        <v>74</v>
      </c>
      <c r="M53" t="s">
        <v>79</v>
      </c>
      <c r="N53" t="s">
        <v>80</v>
      </c>
      <c r="O53" t="s">
        <v>1244</v>
      </c>
      <c r="P53" t="s">
        <v>1245</v>
      </c>
      <c r="Q53" t="s">
        <v>1246</v>
      </c>
      <c r="R53" t="s">
        <v>1103</v>
      </c>
      <c r="S53" t="s">
        <v>74</v>
      </c>
      <c r="T53" t="s">
        <v>1247</v>
      </c>
      <c r="U53" t="s">
        <v>74</v>
      </c>
      <c r="V53" t="s">
        <v>1248</v>
      </c>
      <c r="W53" t="s">
        <v>1249</v>
      </c>
      <c r="X53" t="s">
        <v>1250</v>
      </c>
      <c r="Y53" t="s">
        <v>1251</v>
      </c>
      <c r="Z53" t="s">
        <v>1252</v>
      </c>
      <c r="AA53" t="s">
        <v>74</v>
      </c>
      <c r="AB53" t="s">
        <v>74</v>
      </c>
      <c r="AC53" t="s">
        <v>74</v>
      </c>
      <c r="AD53" t="s">
        <v>74</v>
      </c>
      <c r="AE53" t="s">
        <v>74</v>
      </c>
      <c r="AF53" t="s">
        <v>74</v>
      </c>
      <c r="AG53">
        <v>42</v>
      </c>
      <c r="AH53">
        <v>0</v>
      </c>
      <c r="AI53">
        <v>0</v>
      </c>
      <c r="AJ53">
        <v>1</v>
      </c>
      <c r="AK53">
        <v>1</v>
      </c>
      <c r="AL53" t="s">
        <v>638</v>
      </c>
      <c r="AM53" t="s">
        <v>639</v>
      </c>
      <c r="AN53" t="s">
        <v>640</v>
      </c>
      <c r="AO53" t="s">
        <v>1253</v>
      </c>
      <c r="AP53" t="s">
        <v>74</v>
      </c>
      <c r="AQ53" t="s">
        <v>1254</v>
      </c>
      <c r="AR53" t="s">
        <v>1255</v>
      </c>
      <c r="AS53" t="s">
        <v>74</v>
      </c>
      <c r="AT53" t="s">
        <v>74</v>
      </c>
      <c r="AU53">
        <v>2023</v>
      </c>
      <c r="AV53" t="s">
        <v>74</v>
      </c>
      <c r="AW53" t="s">
        <v>74</v>
      </c>
      <c r="AX53" t="s">
        <v>74</v>
      </c>
      <c r="AY53" t="s">
        <v>74</v>
      </c>
      <c r="AZ53" t="s">
        <v>74</v>
      </c>
      <c r="BA53" t="s">
        <v>74</v>
      </c>
      <c r="BB53">
        <v>1694</v>
      </c>
      <c r="BC53">
        <v>1698</v>
      </c>
      <c r="BD53" t="s">
        <v>74</v>
      </c>
      <c r="BE53" t="s">
        <v>1256</v>
      </c>
      <c r="BF53" t="str">
        <f>HYPERLINK("http://dx.doi.org/10.1109/ASE56229.2023.00194","http://dx.doi.org/10.1109/ASE56229.2023.00194")</f>
        <v>http://dx.doi.org/10.1109/ASE56229.2023.00194</v>
      </c>
      <c r="BG53" t="s">
        <v>74</v>
      </c>
      <c r="BH53" t="s">
        <v>74</v>
      </c>
      <c r="BI53">
        <v>5</v>
      </c>
      <c r="BJ53" t="s">
        <v>1257</v>
      </c>
      <c r="BK53" t="s">
        <v>98</v>
      </c>
      <c r="BL53" t="s">
        <v>1258</v>
      </c>
      <c r="BM53" t="s">
        <v>1259</v>
      </c>
      <c r="BN53" t="s">
        <v>74</v>
      </c>
      <c r="BO53" t="s">
        <v>208</v>
      </c>
      <c r="BP53" t="s">
        <v>74</v>
      </c>
      <c r="BQ53" t="s">
        <v>74</v>
      </c>
      <c r="BR53" t="s">
        <v>101</v>
      </c>
      <c r="BS53" t="s">
        <v>1260</v>
      </c>
      <c r="BT53" t="str">
        <f>HYPERLINK("https%3A%2F%2Fwww.webofscience.com%2Fwos%2Fwoscc%2Ffull-record%2FWOS:001103357200136","View Full Record in Web of Science")</f>
        <v>View Full Record in Web of Science</v>
      </c>
    </row>
    <row r="54" spans="1:72" x14ac:dyDescent="0.2">
      <c r="A54" t="s">
        <v>72</v>
      </c>
      <c r="B54" t="s">
        <v>1261</v>
      </c>
      <c r="C54" t="s">
        <v>74</v>
      </c>
      <c r="D54" t="s">
        <v>74</v>
      </c>
      <c r="E54" t="s">
        <v>75</v>
      </c>
      <c r="F54" t="s">
        <v>1262</v>
      </c>
      <c r="G54" t="s">
        <v>74</v>
      </c>
      <c r="H54" t="s">
        <v>74</v>
      </c>
      <c r="I54" t="s">
        <v>1263</v>
      </c>
      <c r="J54" t="s">
        <v>1264</v>
      </c>
      <c r="K54" t="s">
        <v>74</v>
      </c>
      <c r="L54" t="s">
        <v>74</v>
      </c>
      <c r="M54" t="s">
        <v>79</v>
      </c>
      <c r="N54" t="s">
        <v>80</v>
      </c>
      <c r="O54" t="s">
        <v>1265</v>
      </c>
      <c r="P54" t="s">
        <v>290</v>
      </c>
      <c r="Q54" t="s">
        <v>1266</v>
      </c>
      <c r="R54" t="s">
        <v>1267</v>
      </c>
      <c r="S54" t="s">
        <v>74</v>
      </c>
      <c r="T54" t="s">
        <v>1268</v>
      </c>
      <c r="U54" t="s">
        <v>74</v>
      </c>
      <c r="V54" t="s">
        <v>1269</v>
      </c>
      <c r="W54" t="s">
        <v>1270</v>
      </c>
      <c r="X54" t="s">
        <v>1271</v>
      </c>
      <c r="Y54" t="s">
        <v>1272</v>
      </c>
      <c r="Z54" t="s">
        <v>1273</v>
      </c>
      <c r="AA54" t="s">
        <v>74</v>
      </c>
      <c r="AB54" t="s">
        <v>1274</v>
      </c>
      <c r="AC54" t="s">
        <v>1275</v>
      </c>
      <c r="AD54" t="s">
        <v>1276</v>
      </c>
      <c r="AE54" t="s">
        <v>1277</v>
      </c>
      <c r="AF54" t="s">
        <v>74</v>
      </c>
      <c r="AG54">
        <v>55</v>
      </c>
      <c r="AH54">
        <v>0</v>
      </c>
      <c r="AI54">
        <v>0</v>
      </c>
      <c r="AJ54">
        <v>0</v>
      </c>
      <c r="AK54">
        <v>0</v>
      </c>
      <c r="AL54" t="s">
        <v>92</v>
      </c>
      <c r="AM54" t="s">
        <v>93</v>
      </c>
      <c r="AN54" t="s">
        <v>94</v>
      </c>
      <c r="AO54" t="s">
        <v>74</v>
      </c>
      <c r="AP54" t="s">
        <v>74</v>
      </c>
      <c r="AQ54" t="s">
        <v>1278</v>
      </c>
      <c r="AR54" t="s">
        <v>74</v>
      </c>
      <c r="AS54" t="s">
        <v>74</v>
      </c>
      <c r="AT54" t="s">
        <v>74</v>
      </c>
      <c r="AU54">
        <v>2023</v>
      </c>
      <c r="AV54" t="s">
        <v>74</v>
      </c>
      <c r="AW54" t="s">
        <v>74</v>
      </c>
      <c r="AX54" t="s">
        <v>74</v>
      </c>
      <c r="AY54" t="s">
        <v>74</v>
      </c>
      <c r="AZ54" t="s">
        <v>74</v>
      </c>
      <c r="BA54" t="s">
        <v>74</v>
      </c>
      <c r="BB54">
        <v>91</v>
      </c>
      <c r="BC54">
        <v>99</v>
      </c>
      <c r="BD54" t="s">
        <v>74</v>
      </c>
      <c r="BE54" t="s">
        <v>1279</v>
      </c>
      <c r="BF54" t="str">
        <f>HYPERLINK("http://dx.doi.org/10.1145/3604237.3626898","http://dx.doi.org/10.1145/3604237.3626898")</f>
        <v>http://dx.doi.org/10.1145/3604237.3626898</v>
      </c>
      <c r="BG54" t="s">
        <v>74</v>
      </c>
      <c r="BH54" t="s">
        <v>74</v>
      </c>
      <c r="BI54">
        <v>9</v>
      </c>
      <c r="BJ54" t="s">
        <v>1280</v>
      </c>
      <c r="BK54" t="s">
        <v>180</v>
      </c>
      <c r="BL54" t="s">
        <v>1281</v>
      </c>
      <c r="BM54" t="s">
        <v>1282</v>
      </c>
      <c r="BN54" t="s">
        <v>74</v>
      </c>
      <c r="BO54" t="s">
        <v>646</v>
      </c>
      <c r="BP54" t="s">
        <v>74</v>
      </c>
      <c r="BQ54" t="s">
        <v>74</v>
      </c>
      <c r="BR54" t="s">
        <v>101</v>
      </c>
      <c r="BS54" t="s">
        <v>1283</v>
      </c>
      <c r="BT54" t="str">
        <f>HYPERLINK("https%3A%2F%2Fwww.webofscience.com%2Fwos%2Fwoscc%2Ffull-record%2FWOS:001124982700011","View Full Record in Web of Science")</f>
        <v>View Full Record in Web of Science</v>
      </c>
    </row>
    <row r="55" spans="1:72" x14ac:dyDescent="0.2">
      <c r="A55" t="s">
        <v>103</v>
      </c>
      <c r="B55" t="s">
        <v>1284</v>
      </c>
      <c r="C55" t="s">
        <v>74</v>
      </c>
      <c r="D55" t="s">
        <v>74</v>
      </c>
      <c r="E55" t="s">
        <v>74</v>
      </c>
      <c r="F55" t="s">
        <v>1285</v>
      </c>
      <c r="G55" t="s">
        <v>74</v>
      </c>
      <c r="H55" t="s">
        <v>74</v>
      </c>
      <c r="I55" t="s">
        <v>1286</v>
      </c>
      <c r="J55" t="s">
        <v>930</v>
      </c>
      <c r="K55" t="s">
        <v>74</v>
      </c>
      <c r="L55" t="s">
        <v>74</v>
      </c>
      <c r="M55" t="s">
        <v>79</v>
      </c>
      <c r="N55" t="s">
        <v>108</v>
      </c>
      <c r="O55" t="s">
        <v>74</v>
      </c>
      <c r="P55" t="s">
        <v>74</v>
      </c>
      <c r="Q55" t="s">
        <v>74</v>
      </c>
      <c r="R55" t="s">
        <v>74</v>
      </c>
      <c r="S55" t="s">
        <v>74</v>
      </c>
      <c r="T55" t="s">
        <v>1287</v>
      </c>
      <c r="U55" t="s">
        <v>74</v>
      </c>
      <c r="V55" t="s">
        <v>1288</v>
      </c>
      <c r="W55" t="s">
        <v>1289</v>
      </c>
      <c r="X55" t="s">
        <v>1290</v>
      </c>
      <c r="Y55" t="s">
        <v>1291</v>
      </c>
      <c r="Z55" t="s">
        <v>1292</v>
      </c>
      <c r="AA55" t="s">
        <v>74</v>
      </c>
      <c r="AB55" t="s">
        <v>1293</v>
      </c>
      <c r="AC55" t="s">
        <v>1294</v>
      </c>
      <c r="AD55" t="s">
        <v>1295</v>
      </c>
      <c r="AE55" t="s">
        <v>1296</v>
      </c>
      <c r="AF55" t="s">
        <v>74</v>
      </c>
      <c r="AG55">
        <v>43</v>
      </c>
      <c r="AH55">
        <v>3</v>
      </c>
      <c r="AI55">
        <v>3</v>
      </c>
      <c r="AJ55">
        <v>226</v>
      </c>
      <c r="AK55">
        <v>226</v>
      </c>
      <c r="AL55" t="s">
        <v>939</v>
      </c>
      <c r="AM55" t="s">
        <v>940</v>
      </c>
      <c r="AN55" t="s">
        <v>941</v>
      </c>
      <c r="AO55" t="s">
        <v>74</v>
      </c>
      <c r="AP55" t="s">
        <v>942</v>
      </c>
      <c r="AQ55" t="s">
        <v>74</v>
      </c>
      <c r="AR55" t="s">
        <v>943</v>
      </c>
      <c r="AS55" t="s">
        <v>944</v>
      </c>
      <c r="AT55" t="s">
        <v>771</v>
      </c>
      <c r="AU55">
        <v>2023</v>
      </c>
      <c r="AV55">
        <v>15</v>
      </c>
      <c r="AW55">
        <v>18</v>
      </c>
      <c r="AX55" t="s">
        <v>74</v>
      </c>
      <c r="AY55" t="s">
        <v>74</v>
      </c>
      <c r="AZ55" t="s">
        <v>74</v>
      </c>
      <c r="BA55" t="s">
        <v>74</v>
      </c>
      <c r="BB55" t="s">
        <v>74</v>
      </c>
      <c r="BC55" t="s">
        <v>74</v>
      </c>
      <c r="BD55">
        <v>14025</v>
      </c>
      <c r="BE55" t="s">
        <v>1297</v>
      </c>
      <c r="BF55" t="str">
        <f>HYPERLINK("http://dx.doi.org/10.3390/su151814025","http://dx.doi.org/10.3390/su151814025")</f>
        <v>http://dx.doi.org/10.3390/su151814025</v>
      </c>
      <c r="BG55" t="s">
        <v>74</v>
      </c>
      <c r="BH55" t="s">
        <v>74</v>
      </c>
      <c r="BI55">
        <v>22</v>
      </c>
      <c r="BJ55" t="s">
        <v>946</v>
      </c>
      <c r="BK55" t="s">
        <v>947</v>
      </c>
      <c r="BL55" t="s">
        <v>948</v>
      </c>
      <c r="BM55" t="s">
        <v>1298</v>
      </c>
      <c r="BN55" t="s">
        <v>74</v>
      </c>
      <c r="BO55" t="s">
        <v>425</v>
      </c>
      <c r="BP55" t="s">
        <v>74</v>
      </c>
      <c r="BQ55" t="s">
        <v>74</v>
      </c>
      <c r="BR55" t="s">
        <v>101</v>
      </c>
      <c r="BS55" t="s">
        <v>1299</v>
      </c>
      <c r="BT55" t="str">
        <f>HYPERLINK("https%3A%2F%2Fwww.webofscience.com%2Fwos%2Fwoscc%2Ffull-record%2FWOS:001074473700001","View Full Record in Web of Science")</f>
        <v>View Full Record in Web of Science</v>
      </c>
    </row>
    <row r="56" spans="1:72" x14ac:dyDescent="0.2">
      <c r="A56" t="s">
        <v>72</v>
      </c>
      <c r="B56" t="s">
        <v>1300</v>
      </c>
      <c r="C56" t="s">
        <v>74</v>
      </c>
      <c r="D56" t="s">
        <v>74</v>
      </c>
      <c r="E56" t="s">
        <v>75</v>
      </c>
      <c r="F56" t="s">
        <v>1301</v>
      </c>
      <c r="G56" t="s">
        <v>74</v>
      </c>
      <c r="H56" t="s">
        <v>74</v>
      </c>
      <c r="I56" t="s">
        <v>1302</v>
      </c>
      <c r="J56" t="s">
        <v>1303</v>
      </c>
      <c r="K56" t="s">
        <v>74</v>
      </c>
      <c r="L56" t="s">
        <v>74</v>
      </c>
      <c r="M56" t="s">
        <v>79</v>
      </c>
      <c r="N56" t="s">
        <v>80</v>
      </c>
      <c r="O56" t="s">
        <v>1304</v>
      </c>
      <c r="P56" t="s">
        <v>1305</v>
      </c>
      <c r="Q56" t="s">
        <v>1306</v>
      </c>
      <c r="R56" t="s">
        <v>1223</v>
      </c>
      <c r="S56" t="s">
        <v>1307</v>
      </c>
      <c r="T56" t="s">
        <v>1308</v>
      </c>
      <c r="U56" t="s">
        <v>74</v>
      </c>
      <c r="V56" t="s">
        <v>1309</v>
      </c>
      <c r="W56" t="s">
        <v>1310</v>
      </c>
      <c r="X56" t="s">
        <v>1311</v>
      </c>
      <c r="Y56" t="s">
        <v>1312</v>
      </c>
      <c r="Z56" t="s">
        <v>1313</v>
      </c>
      <c r="AA56" t="s">
        <v>74</v>
      </c>
      <c r="AB56" t="s">
        <v>74</v>
      </c>
      <c r="AC56" t="s">
        <v>1314</v>
      </c>
      <c r="AD56" t="s">
        <v>1315</v>
      </c>
      <c r="AE56" t="s">
        <v>1316</v>
      </c>
      <c r="AF56" t="s">
        <v>74</v>
      </c>
      <c r="AG56">
        <v>62</v>
      </c>
      <c r="AH56">
        <v>2</v>
      </c>
      <c r="AI56">
        <v>2</v>
      </c>
      <c r="AJ56">
        <v>4</v>
      </c>
      <c r="AK56">
        <v>4</v>
      </c>
      <c r="AL56" t="s">
        <v>92</v>
      </c>
      <c r="AM56" t="s">
        <v>93</v>
      </c>
      <c r="AN56" t="s">
        <v>94</v>
      </c>
      <c r="AO56" t="s">
        <v>74</v>
      </c>
      <c r="AP56" t="s">
        <v>74</v>
      </c>
      <c r="AQ56" t="s">
        <v>1317</v>
      </c>
      <c r="AR56" t="s">
        <v>74</v>
      </c>
      <c r="AS56" t="s">
        <v>74</v>
      </c>
      <c r="AT56" t="s">
        <v>74</v>
      </c>
      <c r="AU56">
        <v>2023</v>
      </c>
      <c r="AV56" t="s">
        <v>74</v>
      </c>
      <c r="AW56" t="s">
        <v>74</v>
      </c>
      <c r="AX56" t="s">
        <v>74</v>
      </c>
      <c r="AY56" t="s">
        <v>74</v>
      </c>
      <c r="AZ56" t="s">
        <v>74</v>
      </c>
      <c r="BA56" t="s">
        <v>74</v>
      </c>
      <c r="BB56" t="s">
        <v>74</v>
      </c>
      <c r="BC56" t="s">
        <v>74</v>
      </c>
      <c r="BD56" t="s">
        <v>74</v>
      </c>
      <c r="BE56" t="s">
        <v>1318</v>
      </c>
      <c r="BF56" t="str">
        <f>HYPERLINK("http://dx.doi.org/10.1145/3604930.3605705","http://dx.doi.org/10.1145/3604930.3605705")</f>
        <v>http://dx.doi.org/10.1145/3604930.3605705</v>
      </c>
      <c r="BG56" t="s">
        <v>74</v>
      </c>
      <c r="BH56" t="s">
        <v>74</v>
      </c>
      <c r="BI56">
        <v>7</v>
      </c>
      <c r="BJ56" t="s">
        <v>1319</v>
      </c>
      <c r="BK56" t="s">
        <v>180</v>
      </c>
      <c r="BL56" t="s">
        <v>1320</v>
      </c>
      <c r="BM56" t="s">
        <v>1321</v>
      </c>
      <c r="BN56" t="s">
        <v>74</v>
      </c>
      <c r="BO56" t="s">
        <v>161</v>
      </c>
      <c r="BP56" t="s">
        <v>74</v>
      </c>
      <c r="BQ56" t="s">
        <v>74</v>
      </c>
      <c r="BR56" t="s">
        <v>101</v>
      </c>
      <c r="BS56" t="s">
        <v>1322</v>
      </c>
      <c r="BT56" t="str">
        <f>HYPERLINK("https%3A%2F%2Fwww.webofscience.com%2Fwos%2Fwoscc%2Ffull-record%2FWOS:001124735600011","View Full Record in Web of Science")</f>
        <v>View Full Record in Web of Science</v>
      </c>
    </row>
    <row r="57" spans="1:72" x14ac:dyDescent="0.2">
      <c r="A57" t="s">
        <v>103</v>
      </c>
      <c r="B57" t="s">
        <v>1323</v>
      </c>
      <c r="C57" t="s">
        <v>74</v>
      </c>
      <c r="D57" t="s">
        <v>74</v>
      </c>
      <c r="E57" t="s">
        <v>74</v>
      </c>
      <c r="F57" t="s">
        <v>1324</v>
      </c>
      <c r="G57" t="s">
        <v>74</v>
      </c>
      <c r="H57" t="s">
        <v>74</v>
      </c>
      <c r="I57" t="s">
        <v>1325</v>
      </c>
      <c r="J57" t="s">
        <v>1326</v>
      </c>
      <c r="K57" t="s">
        <v>74</v>
      </c>
      <c r="L57" t="s">
        <v>74</v>
      </c>
      <c r="M57" t="s">
        <v>79</v>
      </c>
      <c r="N57" t="s">
        <v>108</v>
      </c>
      <c r="O57" t="s">
        <v>74</v>
      </c>
      <c r="P57" t="s">
        <v>74</v>
      </c>
      <c r="Q57" t="s">
        <v>74</v>
      </c>
      <c r="R57" t="s">
        <v>74</v>
      </c>
      <c r="S57" t="s">
        <v>74</v>
      </c>
      <c r="T57" t="s">
        <v>1327</v>
      </c>
      <c r="U57" t="s">
        <v>74</v>
      </c>
      <c r="V57" t="s">
        <v>1328</v>
      </c>
      <c r="W57" t="s">
        <v>1329</v>
      </c>
      <c r="X57" t="s">
        <v>1330</v>
      </c>
      <c r="Y57" t="s">
        <v>1331</v>
      </c>
      <c r="Z57" t="s">
        <v>1332</v>
      </c>
      <c r="AA57" t="s">
        <v>74</v>
      </c>
      <c r="AB57" t="s">
        <v>74</v>
      </c>
      <c r="AC57" t="s">
        <v>74</v>
      </c>
      <c r="AD57" t="s">
        <v>74</v>
      </c>
      <c r="AE57" t="s">
        <v>74</v>
      </c>
      <c r="AF57" t="s">
        <v>74</v>
      </c>
      <c r="AG57">
        <v>64</v>
      </c>
      <c r="AH57">
        <v>2</v>
      </c>
      <c r="AI57">
        <v>2</v>
      </c>
      <c r="AJ57">
        <v>4</v>
      </c>
      <c r="AK57">
        <v>4</v>
      </c>
      <c r="AL57" t="s">
        <v>1333</v>
      </c>
      <c r="AM57" t="s">
        <v>1334</v>
      </c>
      <c r="AN57" t="s">
        <v>1335</v>
      </c>
      <c r="AO57" t="s">
        <v>1336</v>
      </c>
      <c r="AP57" t="s">
        <v>74</v>
      </c>
      <c r="AQ57" t="s">
        <v>74</v>
      </c>
      <c r="AR57" t="s">
        <v>1337</v>
      </c>
      <c r="AS57" t="s">
        <v>1338</v>
      </c>
      <c r="AT57" t="s">
        <v>74</v>
      </c>
      <c r="AU57">
        <v>2023</v>
      </c>
      <c r="AV57">
        <v>17</v>
      </c>
      <c r="AW57">
        <v>1</v>
      </c>
      <c r="AX57" t="s">
        <v>74</v>
      </c>
      <c r="AY57" t="s">
        <v>74</v>
      </c>
      <c r="AZ57" t="s">
        <v>74</v>
      </c>
      <c r="BA57" t="s">
        <v>74</v>
      </c>
      <c r="BB57" t="s">
        <v>1339</v>
      </c>
      <c r="BC57" t="s">
        <v>1340</v>
      </c>
      <c r="BD57" t="s">
        <v>74</v>
      </c>
      <c r="BE57" t="s">
        <v>74</v>
      </c>
      <c r="BF57" t="s">
        <v>74</v>
      </c>
      <c r="BG57" t="s">
        <v>74</v>
      </c>
      <c r="BH57" t="s">
        <v>74</v>
      </c>
      <c r="BI57">
        <v>39</v>
      </c>
      <c r="BJ57" t="s">
        <v>423</v>
      </c>
      <c r="BK57" t="s">
        <v>352</v>
      </c>
      <c r="BL57" t="s">
        <v>423</v>
      </c>
      <c r="BM57" t="s">
        <v>1341</v>
      </c>
      <c r="BN57" t="s">
        <v>74</v>
      </c>
      <c r="BO57" t="s">
        <v>74</v>
      </c>
      <c r="BP57" t="s">
        <v>74</v>
      </c>
      <c r="BQ57" t="s">
        <v>74</v>
      </c>
      <c r="BR57" t="s">
        <v>101</v>
      </c>
      <c r="BS57" t="s">
        <v>1342</v>
      </c>
      <c r="BT57" t="str">
        <f>HYPERLINK("https%3A%2F%2Fwww.webofscience.com%2Fwos%2Fwoscc%2Ffull-record%2FWOS:001163419200002","View Full Record in Web of Science")</f>
        <v>View Full Record in Web of Science</v>
      </c>
    </row>
    <row r="58" spans="1:72" x14ac:dyDescent="0.2">
      <c r="A58" t="s">
        <v>103</v>
      </c>
      <c r="B58" t="s">
        <v>1343</v>
      </c>
      <c r="C58" t="s">
        <v>74</v>
      </c>
      <c r="D58" t="s">
        <v>74</v>
      </c>
      <c r="E58" t="s">
        <v>74</v>
      </c>
      <c r="F58" t="s">
        <v>1344</v>
      </c>
      <c r="G58" t="s">
        <v>74</v>
      </c>
      <c r="H58" t="s">
        <v>74</v>
      </c>
      <c r="I58" t="s">
        <v>1345</v>
      </c>
      <c r="J58" t="s">
        <v>1346</v>
      </c>
      <c r="K58" t="s">
        <v>74</v>
      </c>
      <c r="L58" t="s">
        <v>74</v>
      </c>
      <c r="M58" t="s">
        <v>79</v>
      </c>
      <c r="N58" t="s">
        <v>108</v>
      </c>
      <c r="O58" t="s">
        <v>74</v>
      </c>
      <c r="P58" t="s">
        <v>74</v>
      </c>
      <c r="Q58" t="s">
        <v>74</v>
      </c>
      <c r="R58" t="s">
        <v>74</v>
      </c>
      <c r="S58" t="s">
        <v>74</v>
      </c>
      <c r="T58" t="s">
        <v>1347</v>
      </c>
      <c r="U58" t="s">
        <v>74</v>
      </c>
      <c r="V58" t="s">
        <v>1348</v>
      </c>
      <c r="W58" t="s">
        <v>1349</v>
      </c>
      <c r="X58" t="s">
        <v>1350</v>
      </c>
      <c r="Y58" t="s">
        <v>1351</v>
      </c>
      <c r="Z58" t="s">
        <v>1352</v>
      </c>
      <c r="AA58" t="s">
        <v>74</v>
      </c>
      <c r="AB58" t="s">
        <v>74</v>
      </c>
      <c r="AC58" t="s">
        <v>1353</v>
      </c>
      <c r="AD58" t="s">
        <v>1354</v>
      </c>
      <c r="AE58" t="s">
        <v>1355</v>
      </c>
      <c r="AF58" t="s">
        <v>74</v>
      </c>
      <c r="AG58">
        <v>101</v>
      </c>
      <c r="AH58">
        <v>0</v>
      </c>
      <c r="AI58">
        <v>0</v>
      </c>
      <c r="AJ58">
        <v>2</v>
      </c>
      <c r="AK58">
        <v>2</v>
      </c>
      <c r="AL58" t="s">
        <v>1356</v>
      </c>
      <c r="AM58" t="s">
        <v>1357</v>
      </c>
      <c r="AN58" t="s">
        <v>1358</v>
      </c>
      <c r="AO58" t="s">
        <v>1359</v>
      </c>
      <c r="AP58" t="s">
        <v>1360</v>
      </c>
      <c r="AQ58" t="s">
        <v>74</v>
      </c>
      <c r="AR58" t="s">
        <v>1361</v>
      </c>
      <c r="AS58" t="s">
        <v>1362</v>
      </c>
      <c r="AT58" t="s">
        <v>527</v>
      </c>
      <c r="AU58">
        <v>2023</v>
      </c>
      <c r="AV58">
        <v>14</v>
      </c>
      <c r="AW58">
        <v>2</v>
      </c>
      <c r="AX58" t="s">
        <v>74</v>
      </c>
      <c r="AY58" t="s">
        <v>74</v>
      </c>
      <c r="AZ58" t="s">
        <v>74</v>
      </c>
      <c r="BA58" t="s">
        <v>74</v>
      </c>
      <c r="BB58">
        <v>45</v>
      </c>
      <c r="BC58">
        <v>75</v>
      </c>
      <c r="BD58" t="s">
        <v>74</v>
      </c>
      <c r="BE58" t="s">
        <v>1363</v>
      </c>
      <c r="BF58" t="str">
        <f>HYPERLINK("http://dx.doi.org/10.47743/ejes-2023-0203","http://dx.doi.org/10.47743/ejes-2023-0203")</f>
        <v>http://dx.doi.org/10.47743/ejes-2023-0203</v>
      </c>
      <c r="BG58" t="s">
        <v>74</v>
      </c>
      <c r="BH58" t="s">
        <v>74</v>
      </c>
      <c r="BI58">
        <v>31</v>
      </c>
      <c r="BJ58" t="s">
        <v>1364</v>
      </c>
      <c r="BK58" t="s">
        <v>352</v>
      </c>
      <c r="BL58" t="s">
        <v>1364</v>
      </c>
      <c r="BM58" t="s">
        <v>1365</v>
      </c>
      <c r="BN58" t="s">
        <v>74</v>
      </c>
      <c r="BO58" t="s">
        <v>74</v>
      </c>
      <c r="BP58" t="s">
        <v>74</v>
      </c>
      <c r="BQ58" t="s">
        <v>74</v>
      </c>
      <c r="BR58" t="s">
        <v>101</v>
      </c>
      <c r="BS58" t="s">
        <v>1366</v>
      </c>
      <c r="BT58" t="str">
        <f>HYPERLINK("https%3A%2F%2Fwww.webofscience.com%2Fwos%2Fwoscc%2Ffull-record%2FWOS:001137028500012","View Full Record in Web of Science")</f>
        <v>View Full Record in Web of Science</v>
      </c>
    </row>
    <row r="59" spans="1:72" x14ac:dyDescent="0.2">
      <c r="A59" t="s">
        <v>103</v>
      </c>
      <c r="B59" t="s">
        <v>1367</v>
      </c>
      <c r="C59" t="s">
        <v>74</v>
      </c>
      <c r="D59" t="s">
        <v>74</v>
      </c>
      <c r="E59" t="s">
        <v>74</v>
      </c>
      <c r="F59" t="s">
        <v>1368</v>
      </c>
      <c r="G59" t="s">
        <v>74</v>
      </c>
      <c r="H59" t="s">
        <v>74</v>
      </c>
      <c r="I59" t="s">
        <v>1369</v>
      </c>
      <c r="J59" t="s">
        <v>1370</v>
      </c>
      <c r="K59" t="s">
        <v>74</v>
      </c>
      <c r="L59" t="s">
        <v>74</v>
      </c>
      <c r="M59" t="s">
        <v>79</v>
      </c>
      <c r="N59" t="s">
        <v>108</v>
      </c>
      <c r="O59" t="s">
        <v>74</v>
      </c>
      <c r="P59" t="s">
        <v>74</v>
      </c>
      <c r="Q59" t="s">
        <v>74</v>
      </c>
      <c r="R59" t="s">
        <v>74</v>
      </c>
      <c r="S59" t="s">
        <v>74</v>
      </c>
      <c r="T59" t="s">
        <v>1371</v>
      </c>
      <c r="U59" t="s">
        <v>1372</v>
      </c>
      <c r="V59" t="s">
        <v>1373</v>
      </c>
      <c r="W59" t="s">
        <v>1374</v>
      </c>
      <c r="X59" t="s">
        <v>1375</v>
      </c>
      <c r="Y59" t="s">
        <v>1376</v>
      </c>
      <c r="Z59" t="s">
        <v>1377</v>
      </c>
      <c r="AA59" t="s">
        <v>74</v>
      </c>
      <c r="AB59" t="s">
        <v>1378</v>
      </c>
      <c r="AC59" t="s">
        <v>74</v>
      </c>
      <c r="AD59" t="s">
        <v>74</v>
      </c>
      <c r="AE59" t="s">
        <v>74</v>
      </c>
      <c r="AF59" t="s">
        <v>74</v>
      </c>
      <c r="AG59">
        <v>86</v>
      </c>
      <c r="AH59">
        <v>0</v>
      </c>
      <c r="AI59">
        <v>0</v>
      </c>
      <c r="AJ59">
        <v>20</v>
      </c>
      <c r="AK59">
        <v>20</v>
      </c>
      <c r="AL59" t="s">
        <v>1379</v>
      </c>
      <c r="AM59" t="s">
        <v>1380</v>
      </c>
      <c r="AN59" t="s">
        <v>1381</v>
      </c>
      <c r="AO59" t="s">
        <v>1382</v>
      </c>
      <c r="AP59" t="s">
        <v>74</v>
      </c>
      <c r="AQ59" t="s">
        <v>74</v>
      </c>
      <c r="AR59" t="s">
        <v>1370</v>
      </c>
      <c r="AS59" t="s">
        <v>1383</v>
      </c>
      <c r="AT59" t="s">
        <v>74</v>
      </c>
      <c r="AU59">
        <v>2023</v>
      </c>
      <c r="AV59">
        <v>11</v>
      </c>
      <c r="AW59" t="s">
        <v>74</v>
      </c>
      <c r="AX59" t="s">
        <v>74</v>
      </c>
      <c r="AY59" t="s">
        <v>74</v>
      </c>
      <c r="AZ59" t="s">
        <v>74</v>
      </c>
      <c r="BA59" t="s">
        <v>74</v>
      </c>
      <c r="BB59">
        <v>127202</v>
      </c>
      <c r="BC59">
        <v>127215</v>
      </c>
      <c r="BD59" t="s">
        <v>74</v>
      </c>
      <c r="BE59" t="s">
        <v>1384</v>
      </c>
      <c r="BF59" t="str">
        <f>HYPERLINK("http://dx.doi.org/10.1109/ACCESS.2023.3332468","http://dx.doi.org/10.1109/ACCESS.2023.3332468")</f>
        <v>http://dx.doi.org/10.1109/ACCESS.2023.3332468</v>
      </c>
      <c r="BG59" t="s">
        <v>74</v>
      </c>
      <c r="BH59" t="s">
        <v>74</v>
      </c>
      <c r="BI59">
        <v>14</v>
      </c>
      <c r="BJ59" t="s">
        <v>1385</v>
      </c>
      <c r="BK59" t="s">
        <v>130</v>
      </c>
      <c r="BL59" t="s">
        <v>1386</v>
      </c>
      <c r="BM59" t="s">
        <v>1387</v>
      </c>
      <c r="BN59" t="s">
        <v>74</v>
      </c>
      <c r="BO59" t="s">
        <v>425</v>
      </c>
      <c r="BP59" t="s">
        <v>74</v>
      </c>
      <c r="BQ59" t="s">
        <v>74</v>
      </c>
      <c r="BR59" t="s">
        <v>101</v>
      </c>
      <c r="BS59" t="s">
        <v>1388</v>
      </c>
      <c r="BT59" t="str">
        <f>HYPERLINK("https%3A%2F%2Fwww.webofscience.com%2Fwos%2Fwoscc%2Ffull-record%2FWOS:001111139800001","View Full Record in Web of Science")</f>
        <v>View Full Record in Web of Science</v>
      </c>
    </row>
    <row r="60" spans="1:72" x14ac:dyDescent="0.2">
      <c r="A60" t="s">
        <v>103</v>
      </c>
      <c r="B60" t="s">
        <v>1389</v>
      </c>
      <c r="C60" t="s">
        <v>74</v>
      </c>
      <c r="D60" t="s">
        <v>74</v>
      </c>
      <c r="E60" t="s">
        <v>74</v>
      </c>
      <c r="F60" t="s">
        <v>1390</v>
      </c>
      <c r="G60" t="s">
        <v>74</v>
      </c>
      <c r="H60" t="s">
        <v>74</v>
      </c>
      <c r="I60" t="s">
        <v>1391</v>
      </c>
      <c r="J60" t="s">
        <v>1392</v>
      </c>
      <c r="K60" t="s">
        <v>74</v>
      </c>
      <c r="L60" t="s">
        <v>74</v>
      </c>
      <c r="M60" t="s">
        <v>79</v>
      </c>
      <c r="N60" t="s">
        <v>138</v>
      </c>
      <c r="O60" t="s">
        <v>74</v>
      </c>
      <c r="P60" t="s">
        <v>74</v>
      </c>
      <c r="Q60" t="s">
        <v>74</v>
      </c>
      <c r="R60" t="s">
        <v>74</v>
      </c>
      <c r="S60" t="s">
        <v>74</v>
      </c>
      <c r="T60" t="s">
        <v>1393</v>
      </c>
      <c r="U60" t="s">
        <v>1394</v>
      </c>
      <c r="V60" t="s">
        <v>1395</v>
      </c>
      <c r="W60" t="s">
        <v>1396</v>
      </c>
      <c r="X60" t="s">
        <v>1397</v>
      </c>
      <c r="Y60" t="s">
        <v>1398</v>
      </c>
      <c r="Z60" t="s">
        <v>1399</v>
      </c>
      <c r="AA60" t="s">
        <v>1400</v>
      </c>
      <c r="AB60" t="s">
        <v>1401</v>
      </c>
      <c r="AC60" t="s">
        <v>74</v>
      </c>
      <c r="AD60" t="s">
        <v>74</v>
      </c>
      <c r="AE60" t="s">
        <v>74</v>
      </c>
      <c r="AF60" t="s">
        <v>74</v>
      </c>
      <c r="AG60">
        <v>52</v>
      </c>
      <c r="AH60">
        <v>0</v>
      </c>
      <c r="AI60">
        <v>0</v>
      </c>
      <c r="AJ60">
        <v>71</v>
      </c>
      <c r="AK60">
        <v>71</v>
      </c>
      <c r="AL60" t="s">
        <v>220</v>
      </c>
      <c r="AM60" t="s">
        <v>221</v>
      </c>
      <c r="AN60" t="s">
        <v>222</v>
      </c>
      <c r="AO60" t="s">
        <v>1402</v>
      </c>
      <c r="AP60" t="s">
        <v>1403</v>
      </c>
      <c r="AQ60" t="s">
        <v>74</v>
      </c>
      <c r="AR60" t="s">
        <v>1404</v>
      </c>
      <c r="AS60" t="s">
        <v>1405</v>
      </c>
      <c r="AT60" t="s">
        <v>1406</v>
      </c>
      <c r="AU60">
        <v>2023</v>
      </c>
      <c r="AV60" t="s">
        <v>74</v>
      </c>
      <c r="AW60" t="s">
        <v>74</v>
      </c>
      <c r="AX60" t="s">
        <v>74</v>
      </c>
      <c r="AY60" t="s">
        <v>74</v>
      </c>
      <c r="AZ60" t="s">
        <v>74</v>
      </c>
      <c r="BA60" t="s">
        <v>74</v>
      </c>
      <c r="BB60" t="s">
        <v>74</v>
      </c>
      <c r="BC60" t="s">
        <v>74</v>
      </c>
      <c r="BD60" t="s">
        <v>74</v>
      </c>
      <c r="BE60" t="s">
        <v>1407</v>
      </c>
      <c r="BF60" t="str">
        <f>HYPERLINK("http://dx.doi.org/10.1080/01969722.2023.2296253","http://dx.doi.org/10.1080/01969722.2023.2296253")</f>
        <v>http://dx.doi.org/10.1080/01969722.2023.2296253</v>
      </c>
      <c r="BG60" t="s">
        <v>74</v>
      </c>
      <c r="BH60" t="s">
        <v>128</v>
      </c>
      <c r="BI60">
        <v>15</v>
      </c>
      <c r="BJ60" t="s">
        <v>1408</v>
      </c>
      <c r="BK60" t="s">
        <v>130</v>
      </c>
      <c r="BL60" t="s">
        <v>99</v>
      </c>
      <c r="BM60" t="s">
        <v>1409</v>
      </c>
      <c r="BN60" t="s">
        <v>74</v>
      </c>
      <c r="BO60" t="s">
        <v>74</v>
      </c>
      <c r="BP60" t="s">
        <v>74</v>
      </c>
      <c r="BQ60" t="s">
        <v>74</v>
      </c>
      <c r="BR60" t="s">
        <v>101</v>
      </c>
      <c r="BS60" t="s">
        <v>1410</v>
      </c>
      <c r="BT60" t="str">
        <f>HYPERLINK("https%3A%2F%2Fwww.webofscience.com%2Fwos%2Fwoscc%2Ffull-record%2FWOS:001128668500001","View Full Record in Web of Science")</f>
        <v>View Full Record in Web of Science</v>
      </c>
    </row>
    <row r="61" spans="1:72" x14ac:dyDescent="0.2">
      <c r="A61" t="s">
        <v>103</v>
      </c>
      <c r="B61" t="s">
        <v>1411</v>
      </c>
      <c r="C61" t="s">
        <v>74</v>
      </c>
      <c r="D61" t="s">
        <v>74</v>
      </c>
      <c r="E61" t="s">
        <v>74</v>
      </c>
      <c r="F61" t="s">
        <v>1412</v>
      </c>
      <c r="G61" t="s">
        <v>74</v>
      </c>
      <c r="H61" t="s">
        <v>74</v>
      </c>
      <c r="I61" t="s">
        <v>1413</v>
      </c>
      <c r="J61" t="s">
        <v>1414</v>
      </c>
      <c r="K61" t="s">
        <v>74</v>
      </c>
      <c r="L61" t="s">
        <v>74</v>
      </c>
      <c r="M61" t="s">
        <v>79</v>
      </c>
      <c r="N61" t="s">
        <v>108</v>
      </c>
      <c r="O61" t="s">
        <v>74</v>
      </c>
      <c r="P61" t="s">
        <v>74</v>
      </c>
      <c r="Q61" t="s">
        <v>74</v>
      </c>
      <c r="R61" t="s">
        <v>74</v>
      </c>
      <c r="S61" t="s">
        <v>74</v>
      </c>
      <c r="T61" t="s">
        <v>1415</v>
      </c>
      <c r="U61" t="s">
        <v>1416</v>
      </c>
      <c r="V61" t="s">
        <v>1417</v>
      </c>
      <c r="W61" t="s">
        <v>1418</v>
      </c>
      <c r="X61" t="s">
        <v>1419</v>
      </c>
      <c r="Y61" t="s">
        <v>1420</v>
      </c>
      <c r="Z61" t="s">
        <v>1421</v>
      </c>
      <c r="AA61" t="s">
        <v>1422</v>
      </c>
      <c r="AB61" t="s">
        <v>1423</v>
      </c>
      <c r="AC61" t="s">
        <v>74</v>
      </c>
      <c r="AD61" t="s">
        <v>74</v>
      </c>
      <c r="AE61" t="s">
        <v>74</v>
      </c>
      <c r="AF61" t="s">
        <v>74</v>
      </c>
      <c r="AG61">
        <v>363</v>
      </c>
      <c r="AH61">
        <v>381</v>
      </c>
      <c r="AI61">
        <v>386</v>
      </c>
      <c r="AJ61">
        <v>1534</v>
      </c>
      <c r="AK61">
        <v>2478</v>
      </c>
      <c r="AL61" t="s">
        <v>270</v>
      </c>
      <c r="AM61" t="s">
        <v>1424</v>
      </c>
      <c r="AN61" t="s">
        <v>1425</v>
      </c>
      <c r="AO61" t="s">
        <v>1426</v>
      </c>
      <c r="AP61" t="s">
        <v>1427</v>
      </c>
      <c r="AQ61" t="s">
        <v>74</v>
      </c>
      <c r="AR61" t="s">
        <v>1428</v>
      </c>
      <c r="AS61" t="s">
        <v>1429</v>
      </c>
      <c r="AT61" t="s">
        <v>791</v>
      </c>
      <c r="AU61">
        <v>2023</v>
      </c>
      <c r="AV61">
        <v>71</v>
      </c>
      <c r="AW61" t="s">
        <v>74</v>
      </c>
      <c r="AX61" t="s">
        <v>74</v>
      </c>
      <c r="AY61" t="s">
        <v>74</v>
      </c>
      <c r="AZ61" t="s">
        <v>74</v>
      </c>
      <c r="BA61" t="s">
        <v>74</v>
      </c>
      <c r="BB61" t="s">
        <v>74</v>
      </c>
      <c r="BC61" t="s">
        <v>74</v>
      </c>
      <c r="BD61">
        <v>102642</v>
      </c>
      <c r="BE61" t="s">
        <v>1430</v>
      </c>
      <c r="BF61" t="str">
        <f>HYPERLINK("http://dx.doi.org/10.1016/j.ijinfomgt.2023.102642","http://dx.doi.org/10.1016/j.ijinfomgt.2023.102642")</f>
        <v>http://dx.doi.org/10.1016/j.ijinfomgt.2023.102642</v>
      </c>
      <c r="BG61" t="s">
        <v>74</v>
      </c>
      <c r="BH61" t="s">
        <v>1431</v>
      </c>
      <c r="BI61">
        <v>63</v>
      </c>
      <c r="BJ61" t="s">
        <v>1016</v>
      </c>
      <c r="BK61" t="s">
        <v>159</v>
      </c>
      <c r="BL61" t="s">
        <v>1016</v>
      </c>
      <c r="BM61" t="s">
        <v>1432</v>
      </c>
      <c r="BN61" t="s">
        <v>74</v>
      </c>
      <c r="BO61" t="s">
        <v>1433</v>
      </c>
      <c r="BP61" t="s">
        <v>1434</v>
      </c>
      <c r="BQ61" t="s">
        <v>1434</v>
      </c>
      <c r="BR61" t="s">
        <v>101</v>
      </c>
      <c r="BS61" t="s">
        <v>1435</v>
      </c>
      <c r="BT61" t="str">
        <f>HYPERLINK("https%3A%2F%2Fwww.webofscience.com%2Fwos%2Fwoscc%2Ffull-record%2FWOS:000954374300001","View Full Record in Web of Science")</f>
        <v>View Full Record in Web of Science</v>
      </c>
    </row>
    <row r="62" spans="1:72" x14ac:dyDescent="0.2">
      <c r="A62" t="s">
        <v>103</v>
      </c>
      <c r="B62" t="s">
        <v>1436</v>
      </c>
      <c r="C62" t="s">
        <v>74</v>
      </c>
      <c r="D62" t="s">
        <v>74</v>
      </c>
      <c r="E62" t="s">
        <v>74</v>
      </c>
      <c r="F62" t="s">
        <v>1437</v>
      </c>
      <c r="G62" t="s">
        <v>74</v>
      </c>
      <c r="H62" t="s">
        <v>74</v>
      </c>
      <c r="I62" t="s">
        <v>1438</v>
      </c>
      <c r="J62" t="s">
        <v>1439</v>
      </c>
      <c r="K62" t="s">
        <v>74</v>
      </c>
      <c r="L62" t="s">
        <v>74</v>
      </c>
      <c r="M62" t="s">
        <v>79</v>
      </c>
      <c r="N62" t="s">
        <v>108</v>
      </c>
      <c r="O62" t="s">
        <v>74</v>
      </c>
      <c r="P62" t="s">
        <v>74</v>
      </c>
      <c r="Q62" t="s">
        <v>74</v>
      </c>
      <c r="R62" t="s">
        <v>74</v>
      </c>
      <c r="S62" t="s">
        <v>74</v>
      </c>
      <c r="T62" t="s">
        <v>1440</v>
      </c>
      <c r="U62" t="s">
        <v>74</v>
      </c>
      <c r="V62" t="s">
        <v>1441</v>
      </c>
      <c r="W62" t="s">
        <v>1442</v>
      </c>
      <c r="X62" t="s">
        <v>1443</v>
      </c>
      <c r="Y62" t="s">
        <v>1444</v>
      </c>
      <c r="Z62" t="s">
        <v>1445</v>
      </c>
      <c r="AA62" t="s">
        <v>74</v>
      </c>
      <c r="AB62" t="s">
        <v>1446</v>
      </c>
      <c r="AC62" t="s">
        <v>1447</v>
      </c>
      <c r="AD62" t="s">
        <v>1448</v>
      </c>
      <c r="AE62" t="s">
        <v>1449</v>
      </c>
      <c r="AF62" t="s">
        <v>74</v>
      </c>
      <c r="AG62">
        <v>35</v>
      </c>
      <c r="AH62">
        <v>0</v>
      </c>
      <c r="AI62">
        <v>0</v>
      </c>
      <c r="AJ62">
        <v>47</v>
      </c>
      <c r="AK62">
        <v>47</v>
      </c>
      <c r="AL62" t="s">
        <v>1450</v>
      </c>
      <c r="AM62" t="s">
        <v>1451</v>
      </c>
      <c r="AN62" t="s">
        <v>1452</v>
      </c>
      <c r="AO62" t="s">
        <v>1453</v>
      </c>
      <c r="AP62" t="s">
        <v>1454</v>
      </c>
      <c r="AQ62" t="s">
        <v>74</v>
      </c>
      <c r="AR62" t="s">
        <v>1455</v>
      </c>
      <c r="AS62" t="s">
        <v>1456</v>
      </c>
      <c r="AT62" t="s">
        <v>1457</v>
      </c>
      <c r="AU62">
        <v>2023</v>
      </c>
      <c r="AV62">
        <v>19</v>
      </c>
      <c r="AW62">
        <v>3</v>
      </c>
      <c r="AX62" t="s">
        <v>74</v>
      </c>
      <c r="AY62" t="s">
        <v>74</v>
      </c>
      <c r="AZ62" t="s">
        <v>74</v>
      </c>
      <c r="BA62" t="s">
        <v>74</v>
      </c>
      <c r="BB62">
        <v>405</v>
      </c>
      <c r="BC62">
        <v>423</v>
      </c>
      <c r="BD62" t="s">
        <v>74</v>
      </c>
      <c r="BE62" t="s">
        <v>1458</v>
      </c>
      <c r="BF62" t="str">
        <f>HYPERLINK("http://dx.doi.org/10.1386/eta_00143_1","http://dx.doi.org/10.1386/eta_00143_1")</f>
        <v>http://dx.doi.org/10.1386/eta_00143_1</v>
      </c>
      <c r="BG62" t="s">
        <v>74</v>
      </c>
      <c r="BH62" t="s">
        <v>74</v>
      </c>
      <c r="BI62">
        <v>19</v>
      </c>
      <c r="BJ62" t="s">
        <v>423</v>
      </c>
      <c r="BK62" t="s">
        <v>352</v>
      </c>
      <c r="BL62" t="s">
        <v>423</v>
      </c>
      <c r="BM62" t="s">
        <v>1459</v>
      </c>
      <c r="BN62" t="s">
        <v>74</v>
      </c>
      <c r="BO62" t="s">
        <v>161</v>
      </c>
      <c r="BP62" t="s">
        <v>74</v>
      </c>
      <c r="BQ62" t="s">
        <v>74</v>
      </c>
      <c r="BR62" t="s">
        <v>101</v>
      </c>
      <c r="BS62" t="s">
        <v>1460</v>
      </c>
      <c r="BT62" t="str">
        <f>HYPERLINK("https%3A%2F%2Fwww.webofscience.com%2Fwos%2Fwoscc%2Ffull-record%2FWOS:001091338500008","View Full Record in Web of Science")</f>
        <v>View Full Record in Web of Science</v>
      </c>
    </row>
    <row r="63" spans="1:72" x14ac:dyDescent="0.2">
      <c r="A63" t="s">
        <v>103</v>
      </c>
      <c r="B63" t="s">
        <v>1461</v>
      </c>
      <c r="C63" t="s">
        <v>74</v>
      </c>
      <c r="D63" t="s">
        <v>74</v>
      </c>
      <c r="E63" t="s">
        <v>74</v>
      </c>
      <c r="F63" t="s">
        <v>1462</v>
      </c>
      <c r="G63" t="s">
        <v>74</v>
      </c>
      <c r="H63" t="s">
        <v>74</v>
      </c>
      <c r="I63" t="s">
        <v>1463</v>
      </c>
      <c r="J63" t="s">
        <v>1464</v>
      </c>
      <c r="K63" t="s">
        <v>74</v>
      </c>
      <c r="L63" t="s">
        <v>74</v>
      </c>
      <c r="M63" t="s">
        <v>79</v>
      </c>
      <c r="N63" t="s">
        <v>108</v>
      </c>
      <c r="O63" t="s">
        <v>74</v>
      </c>
      <c r="P63" t="s">
        <v>74</v>
      </c>
      <c r="Q63" t="s">
        <v>74</v>
      </c>
      <c r="R63" t="s">
        <v>74</v>
      </c>
      <c r="S63" t="s">
        <v>74</v>
      </c>
      <c r="T63" t="s">
        <v>1465</v>
      </c>
      <c r="U63" t="s">
        <v>74</v>
      </c>
      <c r="V63" t="s">
        <v>1466</v>
      </c>
      <c r="W63" t="s">
        <v>1467</v>
      </c>
      <c r="X63" t="s">
        <v>1468</v>
      </c>
      <c r="Y63" t="s">
        <v>1469</v>
      </c>
      <c r="Z63" t="s">
        <v>1470</v>
      </c>
      <c r="AA63" t="s">
        <v>74</v>
      </c>
      <c r="AB63" t="s">
        <v>74</v>
      </c>
      <c r="AC63" t="s">
        <v>1471</v>
      </c>
      <c r="AD63" t="s">
        <v>1472</v>
      </c>
      <c r="AE63" t="s">
        <v>1473</v>
      </c>
      <c r="AF63" t="s">
        <v>74</v>
      </c>
      <c r="AG63">
        <v>29</v>
      </c>
      <c r="AH63">
        <v>0</v>
      </c>
      <c r="AI63">
        <v>0</v>
      </c>
      <c r="AJ63">
        <v>0</v>
      </c>
      <c r="AK63">
        <v>0</v>
      </c>
      <c r="AL63" t="s">
        <v>1474</v>
      </c>
      <c r="AM63" t="s">
        <v>1475</v>
      </c>
      <c r="AN63" t="s">
        <v>1476</v>
      </c>
      <c r="AO63" t="s">
        <v>1477</v>
      </c>
      <c r="AP63" t="s">
        <v>1478</v>
      </c>
      <c r="AQ63" t="s">
        <v>74</v>
      </c>
      <c r="AR63" t="s">
        <v>1479</v>
      </c>
      <c r="AS63" t="s">
        <v>1480</v>
      </c>
      <c r="AT63" t="s">
        <v>74</v>
      </c>
      <c r="AU63">
        <v>2023</v>
      </c>
      <c r="AV63">
        <v>22</v>
      </c>
      <c r="AW63">
        <v>8</v>
      </c>
      <c r="AX63" t="s">
        <v>74</v>
      </c>
      <c r="AY63" t="s">
        <v>74</v>
      </c>
      <c r="AZ63" t="s">
        <v>74</v>
      </c>
      <c r="BA63" t="s">
        <v>74</v>
      </c>
      <c r="BB63">
        <v>1187</v>
      </c>
      <c r="BC63">
        <v>1206</v>
      </c>
      <c r="BD63" t="s">
        <v>74</v>
      </c>
      <c r="BE63" t="s">
        <v>1481</v>
      </c>
      <c r="BF63" t="str">
        <f>HYPERLINK("http://dx.doi.org/10.13052/jwe1540-9589.2285","http://dx.doi.org/10.13052/jwe1540-9589.2285")</f>
        <v>http://dx.doi.org/10.13052/jwe1540-9589.2285</v>
      </c>
      <c r="BG63" t="s">
        <v>74</v>
      </c>
      <c r="BH63" t="s">
        <v>74</v>
      </c>
      <c r="BI63">
        <v>20</v>
      </c>
      <c r="BJ63" t="s">
        <v>1093</v>
      </c>
      <c r="BK63" t="s">
        <v>130</v>
      </c>
      <c r="BL63" t="s">
        <v>99</v>
      </c>
      <c r="BM63" t="s">
        <v>1482</v>
      </c>
      <c r="BN63" t="s">
        <v>74</v>
      </c>
      <c r="BO63" t="s">
        <v>74</v>
      </c>
      <c r="BP63" t="s">
        <v>74</v>
      </c>
      <c r="BQ63" t="s">
        <v>74</v>
      </c>
      <c r="BR63" t="s">
        <v>101</v>
      </c>
      <c r="BS63" t="s">
        <v>1483</v>
      </c>
      <c r="BT63" t="str">
        <f>HYPERLINK("https%3A%2F%2Fwww.webofscience.com%2Fwos%2Fwoscc%2Ffull-record%2FWOS:001183552300005","View Full Record in Web of Science")</f>
        <v>View Full Record in Web of Science</v>
      </c>
    </row>
    <row r="64" spans="1:72" x14ac:dyDescent="0.2">
      <c r="A64" t="s">
        <v>72</v>
      </c>
      <c r="B64" t="s">
        <v>1484</v>
      </c>
      <c r="C64" t="s">
        <v>74</v>
      </c>
      <c r="D64" t="s">
        <v>1485</v>
      </c>
      <c r="E64" t="s">
        <v>74</v>
      </c>
      <c r="F64" t="s">
        <v>1486</v>
      </c>
      <c r="G64" t="s">
        <v>74</v>
      </c>
      <c r="H64" t="s">
        <v>74</v>
      </c>
      <c r="I64" t="s">
        <v>1487</v>
      </c>
      <c r="J64" t="s">
        <v>1488</v>
      </c>
      <c r="K64" t="s">
        <v>74</v>
      </c>
      <c r="L64" t="s">
        <v>74</v>
      </c>
      <c r="M64" t="s">
        <v>79</v>
      </c>
      <c r="N64" t="s">
        <v>80</v>
      </c>
      <c r="O64" t="s">
        <v>1489</v>
      </c>
      <c r="P64" t="s">
        <v>1490</v>
      </c>
      <c r="Q64" t="s">
        <v>1491</v>
      </c>
      <c r="R64" t="s">
        <v>1492</v>
      </c>
      <c r="S64" t="s">
        <v>74</v>
      </c>
      <c r="T64" t="s">
        <v>1493</v>
      </c>
      <c r="U64" t="s">
        <v>74</v>
      </c>
      <c r="V64" t="s">
        <v>1494</v>
      </c>
      <c r="W64" t="s">
        <v>1495</v>
      </c>
      <c r="X64" t="s">
        <v>1496</v>
      </c>
      <c r="Y64" t="s">
        <v>1497</v>
      </c>
      <c r="Z64" t="s">
        <v>1498</v>
      </c>
      <c r="AA64" t="s">
        <v>74</v>
      </c>
      <c r="AB64" t="s">
        <v>74</v>
      </c>
      <c r="AC64" t="s">
        <v>74</v>
      </c>
      <c r="AD64" t="s">
        <v>74</v>
      </c>
      <c r="AE64" t="s">
        <v>74</v>
      </c>
      <c r="AF64" t="s">
        <v>74</v>
      </c>
      <c r="AG64">
        <v>8</v>
      </c>
      <c r="AH64">
        <v>0</v>
      </c>
      <c r="AI64">
        <v>0</v>
      </c>
      <c r="AJ64">
        <v>11</v>
      </c>
      <c r="AK64">
        <v>11</v>
      </c>
      <c r="AL64" t="s">
        <v>92</v>
      </c>
      <c r="AM64" t="s">
        <v>93</v>
      </c>
      <c r="AN64" t="s">
        <v>94</v>
      </c>
      <c r="AO64" t="s">
        <v>74</v>
      </c>
      <c r="AP64" t="s">
        <v>74</v>
      </c>
      <c r="AQ64" t="s">
        <v>1499</v>
      </c>
      <c r="AR64" t="s">
        <v>74</v>
      </c>
      <c r="AS64" t="s">
        <v>74</v>
      </c>
      <c r="AT64" t="s">
        <v>74</v>
      </c>
      <c r="AU64">
        <v>2023</v>
      </c>
      <c r="AV64" t="s">
        <v>74</v>
      </c>
      <c r="AW64" t="s">
        <v>74</v>
      </c>
      <c r="AX64" t="s">
        <v>74</v>
      </c>
      <c r="AY64" t="s">
        <v>74</v>
      </c>
      <c r="AZ64" t="s">
        <v>74</v>
      </c>
      <c r="BA64" t="s">
        <v>74</v>
      </c>
      <c r="BB64" t="s">
        <v>74</v>
      </c>
      <c r="BC64" t="s">
        <v>74</v>
      </c>
      <c r="BD64">
        <v>28</v>
      </c>
      <c r="BE64" t="s">
        <v>1500</v>
      </c>
      <c r="BF64" t="str">
        <f>HYPERLINK("http://dx.doi.org/10.1145/3605468.3609775","http://dx.doi.org/10.1145/3605468.3609775")</f>
        <v>http://dx.doi.org/10.1145/3605468.3609775</v>
      </c>
      <c r="BG64" t="s">
        <v>74</v>
      </c>
      <c r="BH64" t="s">
        <v>74</v>
      </c>
      <c r="BI64">
        <v>2</v>
      </c>
      <c r="BJ64" t="s">
        <v>1501</v>
      </c>
      <c r="BK64" t="s">
        <v>180</v>
      </c>
      <c r="BL64" t="s">
        <v>1187</v>
      </c>
      <c r="BM64" t="s">
        <v>1502</v>
      </c>
      <c r="BN64" t="s">
        <v>74</v>
      </c>
      <c r="BO64" t="s">
        <v>74</v>
      </c>
      <c r="BP64" t="s">
        <v>74</v>
      </c>
      <c r="BQ64" t="s">
        <v>74</v>
      </c>
      <c r="BR64" t="s">
        <v>101</v>
      </c>
      <c r="BS64" t="s">
        <v>1503</v>
      </c>
      <c r="BT64" t="str">
        <f>HYPERLINK("https%3A%2F%2Fwww.webofscience.com%2Fwos%2Fwoscc%2Ffull-record%2FWOS:001125967700026","View Full Record in Web of Science")</f>
        <v>View Full Record in Web of Science</v>
      </c>
    </row>
    <row r="65" spans="1:72" x14ac:dyDescent="0.2">
      <c r="A65" t="s">
        <v>103</v>
      </c>
      <c r="B65" t="s">
        <v>1504</v>
      </c>
      <c r="C65" t="s">
        <v>74</v>
      </c>
      <c r="D65" t="s">
        <v>74</v>
      </c>
      <c r="E65" t="s">
        <v>74</v>
      </c>
      <c r="F65" t="s">
        <v>1505</v>
      </c>
      <c r="G65" t="s">
        <v>74</v>
      </c>
      <c r="H65" t="s">
        <v>74</v>
      </c>
      <c r="I65" t="s">
        <v>1506</v>
      </c>
      <c r="J65" t="s">
        <v>1507</v>
      </c>
      <c r="K65" t="s">
        <v>74</v>
      </c>
      <c r="L65" t="s">
        <v>74</v>
      </c>
      <c r="M65" t="s">
        <v>79</v>
      </c>
      <c r="N65" t="s">
        <v>108</v>
      </c>
      <c r="O65" t="s">
        <v>74</v>
      </c>
      <c r="P65" t="s">
        <v>74</v>
      </c>
      <c r="Q65" t="s">
        <v>74</v>
      </c>
      <c r="R65" t="s">
        <v>74</v>
      </c>
      <c r="S65" t="s">
        <v>74</v>
      </c>
      <c r="T65" t="s">
        <v>1508</v>
      </c>
      <c r="U65" t="s">
        <v>1509</v>
      </c>
      <c r="V65" t="s">
        <v>1510</v>
      </c>
      <c r="W65" t="s">
        <v>1511</v>
      </c>
      <c r="X65" t="s">
        <v>1512</v>
      </c>
      <c r="Y65" t="s">
        <v>1513</v>
      </c>
      <c r="Z65" t="s">
        <v>1514</v>
      </c>
      <c r="AA65" t="s">
        <v>1515</v>
      </c>
      <c r="AB65" t="s">
        <v>1516</v>
      </c>
      <c r="AC65" t="s">
        <v>74</v>
      </c>
      <c r="AD65" t="s">
        <v>74</v>
      </c>
      <c r="AE65" t="s">
        <v>74</v>
      </c>
      <c r="AF65" t="s">
        <v>74</v>
      </c>
      <c r="AG65">
        <v>60</v>
      </c>
      <c r="AH65">
        <v>7</v>
      </c>
      <c r="AI65">
        <v>7</v>
      </c>
      <c r="AJ65">
        <v>98</v>
      </c>
      <c r="AK65">
        <v>116</v>
      </c>
      <c r="AL65" t="s">
        <v>438</v>
      </c>
      <c r="AM65" t="s">
        <v>439</v>
      </c>
      <c r="AN65" t="s">
        <v>440</v>
      </c>
      <c r="AO65" t="s">
        <v>1517</v>
      </c>
      <c r="AP65" t="s">
        <v>1518</v>
      </c>
      <c r="AQ65" t="s">
        <v>74</v>
      </c>
      <c r="AR65" t="s">
        <v>1519</v>
      </c>
      <c r="AS65" t="s">
        <v>1520</v>
      </c>
      <c r="AT65" t="s">
        <v>771</v>
      </c>
      <c r="AU65">
        <v>2023</v>
      </c>
      <c r="AV65">
        <v>86</v>
      </c>
      <c r="AW65">
        <v>3</v>
      </c>
      <c r="AX65" t="s">
        <v>74</v>
      </c>
      <c r="AY65" t="s">
        <v>74</v>
      </c>
      <c r="AZ65" t="s">
        <v>74</v>
      </c>
      <c r="BA65" t="s">
        <v>74</v>
      </c>
      <c r="BB65">
        <v>257</v>
      </c>
      <c r="BC65">
        <v>295</v>
      </c>
      <c r="BD65" t="s">
        <v>74</v>
      </c>
      <c r="BE65" t="s">
        <v>1521</v>
      </c>
      <c r="BF65" t="str">
        <f>HYPERLINK("http://dx.doi.org/10.1177/23294906231176517","http://dx.doi.org/10.1177/23294906231176517")</f>
        <v>http://dx.doi.org/10.1177/23294906231176517</v>
      </c>
      <c r="BG65" t="s">
        <v>74</v>
      </c>
      <c r="BH65" t="s">
        <v>74</v>
      </c>
      <c r="BI65">
        <v>39</v>
      </c>
      <c r="BJ65" t="s">
        <v>158</v>
      </c>
      <c r="BK65" t="s">
        <v>352</v>
      </c>
      <c r="BL65" t="s">
        <v>158</v>
      </c>
      <c r="BM65" t="s">
        <v>1522</v>
      </c>
      <c r="BN65" t="s">
        <v>74</v>
      </c>
      <c r="BO65" t="s">
        <v>74</v>
      </c>
      <c r="BP65" t="s">
        <v>74</v>
      </c>
      <c r="BQ65" t="s">
        <v>74</v>
      </c>
      <c r="BR65" t="s">
        <v>101</v>
      </c>
      <c r="BS65" t="s">
        <v>1523</v>
      </c>
      <c r="BT65" t="str">
        <f>HYPERLINK("https%3A%2F%2Fwww.webofscience.com%2Fwos%2Fwoscc%2Ffull-record%2FWOS:001032281200002","View Full Record in Web of Science")</f>
        <v>View Full Record in Web of Science</v>
      </c>
    </row>
    <row r="66" spans="1:72" x14ac:dyDescent="0.2">
      <c r="A66" t="s">
        <v>72</v>
      </c>
      <c r="B66" t="s">
        <v>1524</v>
      </c>
      <c r="C66" t="s">
        <v>74</v>
      </c>
      <c r="D66" t="s">
        <v>1525</v>
      </c>
      <c r="E66" t="s">
        <v>74</v>
      </c>
      <c r="F66" t="s">
        <v>1526</v>
      </c>
      <c r="G66" t="s">
        <v>74</v>
      </c>
      <c r="H66" t="s">
        <v>74</v>
      </c>
      <c r="I66" t="s">
        <v>1527</v>
      </c>
      <c r="J66" t="s">
        <v>1528</v>
      </c>
      <c r="K66" t="s">
        <v>1529</v>
      </c>
      <c r="L66" t="s">
        <v>74</v>
      </c>
      <c r="M66" t="s">
        <v>79</v>
      </c>
      <c r="N66" t="s">
        <v>80</v>
      </c>
      <c r="O66" t="s">
        <v>1530</v>
      </c>
      <c r="P66" t="s">
        <v>1531</v>
      </c>
      <c r="Q66" t="s">
        <v>1532</v>
      </c>
      <c r="R66" t="s">
        <v>959</v>
      </c>
      <c r="S66" t="s">
        <v>74</v>
      </c>
      <c r="T66" t="s">
        <v>1533</v>
      </c>
      <c r="U66" t="s">
        <v>74</v>
      </c>
      <c r="V66" t="s">
        <v>1534</v>
      </c>
      <c r="W66" t="s">
        <v>1535</v>
      </c>
      <c r="X66" t="s">
        <v>1536</v>
      </c>
      <c r="Y66" t="s">
        <v>1537</v>
      </c>
      <c r="Z66" t="s">
        <v>1538</v>
      </c>
      <c r="AA66" t="s">
        <v>74</v>
      </c>
      <c r="AB66" t="s">
        <v>74</v>
      </c>
      <c r="AC66" t="s">
        <v>74</v>
      </c>
      <c r="AD66" t="s">
        <v>74</v>
      </c>
      <c r="AE66" t="s">
        <v>74</v>
      </c>
      <c r="AF66" t="s">
        <v>74</v>
      </c>
      <c r="AG66">
        <v>16</v>
      </c>
      <c r="AH66">
        <v>0</v>
      </c>
      <c r="AI66">
        <v>0</v>
      </c>
      <c r="AJ66">
        <v>2</v>
      </c>
      <c r="AK66">
        <v>2</v>
      </c>
      <c r="AL66" t="s">
        <v>638</v>
      </c>
      <c r="AM66" t="s">
        <v>639</v>
      </c>
      <c r="AN66" t="s">
        <v>640</v>
      </c>
      <c r="AO66" t="s">
        <v>1539</v>
      </c>
      <c r="AP66" t="s">
        <v>74</v>
      </c>
      <c r="AQ66" t="s">
        <v>1540</v>
      </c>
      <c r="AR66" t="s">
        <v>1541</v>
      </c>
      <c r="AS66" t="s">
        <v>74</v>
      </c>
      <c r="AT66" t="s">
        <v>74</v>
      </c>
      <c r="AU66">
        <v>2023</v>
      </c>
      <c r="AV66" t="s">
        <v>74</v>
      </c>
      <c r="AW66" t="s">
        <v>74</v>
      </c>
      <c r="AX66" t="s">
        <v>74</v>
      </c>
      <c r="AY66" t="s">
        <v>74</v>
      </c>
      <c r="AZ66" t="s">
        <v>74</v>
      </c>
      <c r="BA66" t="s">
        <v>74</v>
      </c>
      <c r="BB66">
        <v>247</v>
      </c>
      <c r="BC66">
        <v>251</v>
      </c>
      <c r="BD66" t="s">
        <v>74</v>
      </c>
      <c r="BE66" t="s">
        <v>1542</v>
      </c>
      <c r="BF66" t="str">
        <f>HYPERLINK("http://dx.doi.org/10.1109/REW57809.2023.00050","http://dx.doi.org/10.1109/REW57809.2023.00050")</f>
        <v>http://dx.doi.org/10.1109/REW57809.2023.00050</v>
      </c>
      <c r="BG66" t="s">
        <v>74</v>
      </c>
      <c r="BH66" t="s">
        <v>74</v>
      </c>
      <c r="BI66">
        <v>5</v>
      </c>
      <c r="BJ66" t="s">
        <v>1093</v>
      </c>
      <c r="BK66" t="s">
        <v>98</v>
      </c>
      <c r="BL66" t="s">
        <v>99</v>
      </c>
      <c r="BM66" t="s">
        <v>1543</v>
      </c>
      <c r="BN66" t="s">
        <v>74</v>
      </c>
      <c r="BO66" t="s">
        <v>74</v>
      </c>
      <c r="BP66" t="s">
        <v>74</v>
      </c>
      <c r="BQ66" t="s">
        <v>74</v>
      </c>
      <c r="BR66" t="s">
        <v>101</v>
      </c>
      <c r="BS66" t="s">
        <v>1544</v>
      </c>
      <c r="BT66" t="str">
        <f>HYPERLINK("https%3A%2F%2Fwww.webofscience.com%2Fwos%2Fwoscc%2Ffull-record%2FWOS:001085223300045","View Full Record in Web of Science")</f>
        <v>View Full Record in Web of Science</v>
      </c>
    </row>
    <row r="67" spans="1:72" x14ac:dyDescent="0.2">
      <c r="A67" t="s">
        <v>103</v>
      </c>
      <c r="B67" t="s">
        <v>1545</v>
      </c>
      <c r="C67" t="s">
        <v>74</v>
      </c>
      <c r="D67" t="s">
        <v>74</v>
      </c>
      <c r="E67" t="s">
        <v>74</v>
      </c>
      <c r="F67" t="s">
        <v>1546</v>
      </c>
      <c r="G67" t="s">
        <v>74</v>
      </c>
      <c r="H67" t="s">
        <v>74</v>
      </c>
      <c r="I67" t="s">
        <v>1547</v>
      </c>
      <c r="J67" t="s">
        <v>1548</v>
      </c>
      <c r="K67" t="s">
        <v>74</v>
      </c>
      <c r="L67" t="s">
        <v>74</v>
      </c>
      <c r="M67" t="s">
        <v>79</v>
      </c>
      <c r="N67" t="s">
        <v>108</v>
      </c>
      <c r="O67" t="s">
        <v>74</v>
      </c>
      <c r="P67" t="s">
        <v>74</v>
      </c>
      <c r="Q67" t="s">
        <v>74</v>
      </c>
      <c r="R67" t="s">
        <v>74</v>
      </c>
      <c r="S67" t="s">
        <v>74</v>
      </c>
      <c r="T67" t="s">
        <v>1549</v>
      </c>
      <c r="U67" t="s">
        <v>74</v>
      </c>
      <c r="V67" t="s">
        <v>1550</v>
      </c>
      <c r="W67" t="s">
        <v>1551</v>
      </c>
      <c r="X67" t="s">
        <v>1552</v>
      </c>
      <c r="Y67" t="s">
        <v>1553</v>
      </c>
      <c r="Z67" t="s">
        <v>1554</v>
      </c>
      <c r="AA67" t="s">
        <v>1555</v>
      </c>
      <c r="AB67" t="s">
        <v>1556</v>
      </c>
      <c r="AC67" t="s">
        <v>74</v>
      </c>
      <c r="AD67" t="s">
        <v>74</v>
      </c>
      <c r="AE67" t="s">
        <v>74</v>
      </c>
      <c r="AF67" t="s">
        <v>74</v>
      </c>
      <c r="AG67">
        <v>9</v>
      </c>
      <c r="AH67">
        <v>5</v>
      </c>
      <c r="AI67">
        <v>5</v>
      </c>
      <c r="AJ67">
        <v>51</v>
      </c>
      <c r="AK67">
        <v>73</v>
      </c>
      <c r="AL67" t="s">
        <v>638</v>
      </c>
      <c r="AM67" t="s">
        <v>639</v>
      </c>
      <c r="AN67" t="s">
        <v>1557</v>
      </c>
      <c r="AO67" t="s">
        <v>1558</v>
      </c>
      <c r="AP67" t="s">
        <v>1559</v>
      </c>
      <c r="AQ67" t="s">
        <v>74</v>
      </c>
      <c r="AR67" t="s">
        <v>1548</v>
      </c>
      <c r="AS67" t="s">
        <v>1560</v>
      </c>
      <c r="AT67" t="s">
        <v>1561</v>
      </c>
      <c r="AU67">
        <v>2023</v>
      </c>
      <c r="AV67">
        <v>40</v>
      </c>
      <c r="AW67">
        <v>4</v>
      </c>
      <c r="AX67" t="s">
        <v>74</v>
      </c>
      <c r="AY67" t="s">
        <v>74</v>
      </c>
      <c r="AZ67" t="s">
        <v>74</v>
      </c>
      <c r="BA67" t="s">
        <v>74</v>
      </c>
      <c r="BB67">
        <v>30</v>
      </c>
      <c r="BC67">
        <v>38</v>
      </c>
      <c r="BD67" t="s">
        <v>74</v>
      </c>
      <c r="BE67" t="s">
        <v>1562</v>
      </c>
      <c r="BF67" t="str">
        <f>HYPERLINK("http://dx.doi.org/10.1109/MS.2023.3265877","http://dx.doi.org/10.1109/MS.2023.3265877")</f>
        <v>http://dx.doi.org/10.1109/MS.2023.3265877</v>
      </c>
      <c r="BG67" t="s">
        <v>74</v>
      </c>
      <c r="BH67" t="s">
        <v>74</v>
      </c>
      <c r="BI67">
        <v>9</v>
      </c>
      <c r="BJ67" t="s">
        <v>1563</v>
      </c>
      <c r="BK67" t="s">
        <v>130</v>
      </c>
      <c r="BL67" t="s">
        <v>99</v>
      </c>
      <c r="BM67" t="s">
        <v>1564</v>
      </c>
      <c r="BN67" t="s">
        <v>74</v>
      </c>
      <c r="BO67" t="s">
        <v>74</v>
      </c>
      <c r="BP67" t="s">
        <v>74</v>
      </c>
      <c r="BQ67" t="s">
        <v>74</v>
      </c>
      <c r="BR67" t="s">
        <v>101</v>
      </c>
      <c r="BS67" t="s">
        <v>1565</v>
      </c>
      <c r="BT67" t="str">
        <f>HYPERLINK("https%3A%2F%2Fwww.webofscience.com%2Fwos%2Fwoscc%2Ffull-record%2FWOS:001032645500006","View Full Record in Web of Science")</f>
        <v>View Full Record in Web of Science</v>
      </c>
    </row>
    <row r="68" spans="1:72" x14ac:dyDescent="0.2">
      <c r="A68" t="s">
        <v>103</v>
      </c>
      <c r="B68" t="s">
        <v>1566</v>
      </c>
      <c r="C68" t="s">
        <v>74</v>
      </c>
      <c r="D68" t="s">
        <v>74</v>
      </c>
      <c r="E68" t="s">
        <v>74</v>
      </c>
      <c r="F68" t="s">
        <v>1567</v>
      </c>
      <c r="G68" t="s">
        <v>74</v>
      </c>
      <c r="H68" t="s">
        <v>74</v>
      </c>
      <c r="I68" t="s">
        <v>1568</v>
      </c>
      <c r="J68" t="s">
        <v>1569</v>
      </c>
      <c r="K68" t="s">
        <v>74</v>
      </c>
      <c r="L68" t="s">
        <v>74</v>
      </c>
      <c r="M68" t="s">
        <v>79</v>
      </c>
      <c r="N68" t="s">
        <v>108</v>
      </c>
      <c r="O68" t="s">
        <v>74</v>
      </c>
      <c r="P68" t="s">
        <v>74</v>
      </c>
      <c r="Q68" t="s">
        <v>74</v>
      </c>
      <c r="R68" t="s">
        <v>74</v>
      </c>
      <c r="S68" t="s">
        <v>74</v>
      </c>
      <c r="T68" t="s">
        <v>1570</v>
      </c>
      <c r="U68" t="s">
        <v>74</v>
      </c>
      <c r="V68" t="s">
        <v>1571</v>
      </c>
      <c r="W68" t="s">
        <v>1572</v>
      </c>
      <c r="X68" t="s">
        <v>1573</v>
      </c>
      <c r="Y68" t="s">
        <v>1574</v>
      </c>
      <c r="Z68" t="s">
        <v>1575</v>
      </c>
      <c r="AA68" t="s">
        <v>1576</v>
      </c>
      <c r="AB68" t="s">
        <v>1577</v>
      </c>
      <c r="AC68" t="s">
        <v>1578</v>
      </c>
      <c r="AD68" t="s">
        <v>1579</v>
      </c>
      <c r="AE68" t="s">
        <v>1580</v>
      </c>
      <c r="AF68" t="s">
        <v>74</v>
      </c>
      <c r="AG68">
        <v>25</v>
      </c>
      <c r="AH68">
        <v>1</v>
      </c>
      <c r="AI68">
        <v>1</v>
      </c>
      <c r="AJ68">
        <v>3</v>
      </c>
      <c r="AK68">
        <v>3</v>
      </c>
      <c r="AL68" t="s">
        <v>1581</v>
      </c>
      <c r="AM68" t="s">
        <v>1582</v>
      </c>
      <c r="AN68" t="s">
        <v>1583</v>
      </c>
      <c r="AO68" t="s">
        <v>1584</v>
      </c>
      <c r="AP68" t="s">
        <v>74</v>
      </c>
      <c r="AQ68" t="s">
        <v>74</v>
      </c>
      <c r="AR68" t="s">
        <v>1585</v>
      </c>
      <c r="AS68" t="s">
        <v>1586</v>
      </c>
      <c r="AT68" t="s">
        <v>74</v>
      </c>
      <c r="AU68">
        <v>2023</v>
      </c>
      <c r="AV68">
        <v>15</v>
      </c>
      <c r="AW68">
        <v>3</v>
      </c>
      <c r="AX68" t="s">
        <v>74</v>
      </c>
      <c r="AY68" t="s">
        <v>74</v>
      </c>
      <c r="AZ68" t="s">
        <v>74</v>
      </c>
      <c r="BA68" t="s">
        <v>74</v>
      </c>
      <c r="BB68">
        <v>178</v>
      </c>
      <c r="BC68">
        <v>184</v>
      </c>
      <c r="BD68" t="s">
        <v>74</v>
      </c>
      <c r="BE68" t="s">
        <v>1587</v>
      </c>
      <c r="BF68" t="str">
        <f>HYPERLINK("http://dx.doi.org/10.55982/openpraxis.15.3.579","http://dx.doi.org/10.55982/openpraxis.15.3.579")</f>
        <v>http://dx.doi.org/10.55982/openpraxis.15.3.579</v>
      </c>
      <c r="BG68" t="s">
        <v>74</v>
      </c>
      <c r="BH68" t="s">
        <v>74</v>
      </c>
      <c r="BI68">
        <v>7</v>
      </c>
      <c r="BJ68" t="s">
        <v>423</v>
      </c>
      <c r="BK68" t="s">
        <v>352</v>
      </c>
      <c r="BL68" t="s">
        <v>423</v>
      </c>
      <c r="BM68" t="s">
        <v>1588</v>
      </c>
      <c r="BN68" t="s">
        <v>74</v>
      </c>
      <c r="BO68" t="s">
        <v>425</v>
      </c>
      <c r="BP68" t="s">
        <v>74</v>
      </c>
      <c r="BQ68" t="s">
        <v>74</v>
      </c>
      <c r="BR68" t="s">
        <v>101</v>
      </c>
      <c r="BS68" t="s">
        <v>1589</v>
      </c>
      <c r="BT68" t="str">
        <f>HYPERLINK("https%3A%2F%2Fwww.webofscience.com%2Fwos%2Fwoscc%2Ffull-record%2FWOS:001163687500009","View Full Record in Web of Science")</f>
        <v>View Full Record in Web of Science</v>
      </c>
    </row>
    <row r="69" spans="1:72" x14ac:dyDescent="0.2">
      <c r="A69" t="s">
        <v>103</v>
      </c>
      <c r="B69" t="s">
        <v>1590</v>
      </c>
      <c r="C69" t="s">
        <v>74</v>
      </c>
      <c r="D69" t="s">
        <v>74</v>
      </c>
      <c r="E69" t="s">
        <v>74</v>
      </c>
      <c r="F69" t="s">
        <v>1591</v>
      </c>
      <c r="G69" t="s">
        <v>74</v>
      </c>
      <c r="H69" t="s">
        <v>74</v>
      </c>
      <c r="I69" t="s">
        <v>1592</v>
      </c>
      <c r="J69" t="s">
        <v>1593</v>
      </c>
      <c r="K69" t="s">
        <v>74</v>
      </c>
      <c r="L69" t="s">
        <v>74</v>
      </c>
      <c r="M69" t="s">
        <v>79</v>
      </c>
      <c r="N69" t="s">
        <v>138</v>
      </c>
      <c r="O69" t="s">
        <v>74</v>
      </c>
      <c r="P69" t="s">
        <v>74</v>
      </c>
      <c r="Q69" t="s">
        <v>74</v>
      </c>
      <c r="R69" t="s">
        <v>74</v>
      </c>
      <c r="S69" t="s">
        <v>74</v>
      </c>
      <c r="T69" t="s">
        <v>74</v>
      </c>
      <c r="U69" t="s">
        <v>74</v>
      </c>
      <c r="V69" t="s">
        <v>1594</v>
      </c>
      <c r="W69" t="s">
        <v>1595</v>
      </c>
      <c r="X69" t="s">
        <v>1596</v>
      </c>
      <c r="Y69" t="s">
        <v>1597</v>
      </c>
      <c r="Z69" t="s">
        <v>74</v>
      </c>
      <c r="AA69" t="s">
        <v>74</v>
      </c>
      <c r="AB69" t="s">
        <v>1598</v>
      </c>
      <c r="AC69" t="s">
        <v>74</v>
      </c>
      <c r="AD69" t="s">
        <v>74</v>
      </c>
      <c r="AE69" t="s">
        <v>74</v>
      </c>
      <c r="AF69" t="s">
        <v>74</v>
      </c>
      <c r="AG69">
        <v>17</v>
      </c>
      <c r="AH69">
        <v>0</v>
      </c>
      <c r="AI69">
        <v>0</v>
      </c>
      <c r="AJ69">
        <v>12</v>
      </c>
      <c r="AK69">
        <v>12</v>
      </c>
      <c r="AL69" t="s">
        <v>737</v>
      </c>
      <c r="AM69" t="s">
        <v>738</v>
      </c>
      <c r="AN69" t="s">
        <v>739</v>
      </c>
      <c r="AO69" t="s">
        <v>1599</v>
      </c>
      <c r="AP69" t="s">
        <v>1600</v>
      </c>
      <c r="AQ69" t="s">
        <v>74</v>
      </c>
      <c r="AR69" t="s">
        <v>1601</v>
      </c>
      <c r="AS69" t="s">
        <v>1602</v>
      </c>
      <c r="AT69" t="s">
        <v>1603</v>
      </c>
      <c r="AU69">
        <v>2023</v>
      </c>
      <c r="AV69" t="s">
        <v>74</v>
      </c>
      <c r="AW69" t="s">
        <v>74</v>
      </c>
      <c r="AX69" t="s">
        <v>74</v>
      </c>
      <c r="AY69" t="s">
        <v>74</v>
      </c>
      <c r="AZ69" t="s">
        <v>74</v>
      </c>
      <c r="BA69" t="s">
        <v>74</v>
      </c>
      <c r="BB69" t="s">
        <v>74</v>
      </c>
      <c r="BC69" t="s">
        <v>74</v>
      </c>
      <c r="BD69" t="s">
        <v>74</v>
      </c>
      <c r="BE69" t="s">
        <v>1604</v>
      </c>
      <c r="BF69" t="str">
        <f>HYPERLINK("http://dx.doi.org/10.1080/03071847.2023.2286775","http://dx.doi.org/10.1080/03071847.2023.2286775")</f>
        <v>http://dx.doi.org/10.1080/03071847.2023.2286775</v>
      </c>
      <c r="BG69" t="s">
        <v>74</v>
      </c>
      <c r="BH69" t="s">
        <v>157</v>
      </c>
      <c r="BI69">
        <v>10</v>
      </c>
      <c r="BJ69" t="s">
        <v>1605</v>
      </c>
      <c r="BK69" t="s">
        <v>352</v>
      </c>
      <c r="BL69" t="s">
        <v>1136</v>
      </c>
      <c r="BM69" t="s">
        <v>1606</v>
      </c>
      <c r="BN69" t="s">
        <v>74</v>
      </c>
      <c r="BO69" t="s">
        <v>161</v>
      </c>
      <c r="BP69" t="s">
        <v>74</v>
      </c>
      <c r="BQ69" t="s">
        <v>74</v>
      </c>
      <c r="BR69" t="s">
        <v>101</v>
      </c>
      <c r="BS69" t="s">
        <v>1607</v>
      </c>
      <c r="BT69" t="str">
        <f>HYPERLINK("https%3A%2F%2Fwww.webofscience.com%2Fwos%2Fwoscc%2Ffull-record%2FWOS:001111248000001","View Full Record in Web of Science")</f>
        <v>View Full Record in Web of Science</v>
      </c>
    </row>
    <row r="70" spans="1:72" x14ac:dyDescent="0.2">
      <c r="A70" t="s">
        <v>103</v>
      </c>
      <c r="B70" t="s">
        <v>1608</v>
      </c>
      <c r="C70" t="s">
        <v>74</v>
      </c>
      <c r="D70" t="s">
        <v>74</v>
      </c>
      <c r="E70" t="s">
        <v>74</v>
      </c>
      <c r="F70" t="s">
        <v>1609</v>
      </c>
      <c r="G70" t="s">
        <v>74</v>
      </c>
      <c r="H70" t="s">
        <v>74</v>
      </c>
      <c r="I70" t="s">
        <v>1610</v>
      </c>
      <c r="J70" t="s">
        <v>1611</v>
      </c>
      <c r="K70" t="s">
        <v>74</v>
      </c>
      <c r="L70" t="s">
        <v>74</v>
      </c>
      <c r="M70" t="s">
        <v>79</v>
      </c>
      <c r="N70" t="s">
        <v>138</v>
      </c>
      <c r="O70" t="s">
        <v>74</v>
      </c>
      <c r="P70" t="s">
        <v>74</v>
      </c>
      <c r="Q70" t="s">
        <v>74</v>
      </c>
      <c r="R70" t="s">
        <v>74</v>
      </c>
      <c r="S70" t="s">
        <v>74</v>
      </c>
      <c r="T70" t="s">
        <v>1612</v>
      </c>
      <c r="U70" t="s">
        <v>1613</v>
      </c>
      <c r="V70" t="s">
        <v>1614</v>
      </c>
      <c r="W70" t="s">
        <v>1615</v>
      </c>
      <c r="X70" t="s">
        <v>1616</v>
      </c>
      <c r="Y70" t="s">
        <v>1617</v>
      </c>
      <c r="Z70" t="s">
        <v>1618</v>
      </c>
      <c r="AA70" t="s">
        <v>74</v>
      </c>
      <c r="AB70" t="s">
        <v>1619</v>
      </c>
      <c r="AC70" t="s">
        <v>74</v>
      </c>
      <c r="AD70" t="s">
        <v>74</v>
      </c>
      <c r="AE70" t="s">
        <v>74</v>
      </c>
      <c r="AF70" t="s">
        <v>74</v>
      </c>
      <c r="AG70">
        <v>42</v>
      </c>
      <c r="AH70">
        <v>0</v>
      </c>
      <c r="AI70">
        <v>0</v>
      </c>
      <c r="AJ70">
        <v>114</v>
      </c>
      <c r="AK70">
        <v>114</v>
      </c>
      <c r="AL70" t="s">
        <v>1620</v>
      </c>
      <c r="AM70" t="s">
        <v>1621</v>
      </c>
      <c r="AN70" t="s">
        <v>1622</v>
      </c>
      <c r="AO70" t="s">
        <v>1623</v>
      </c>
      <c r="AP70" t="s">
        <v>1624</v>
      </c>
      <c r="AQ70" t="s">
        <v>74</v>
      </c>
      <c r="AR70" t="s">
        <v>1625</v>
      </c>
      <c r="AS70" t="s">
        <v>1626</v>
      </c>
      <c r="AT70" t="s">
        <v>1627</v>
      </c>
      <c r="AU70">
        <v>2023</v>
      </c>
      <c r="AV70" t="s">
        <v>74</v>
      </c>
      <c r="AW70" t="s">
        <v>74</v>
      </c>
      <c r="AX70" t="s">
        <v>74</v>
      </c>
      <c r="AY70" t="s">
        <v>74</v>
      </c>
      <c r="AZ70" t="s">
        <v>74</v>
      </c>
      <c r="BA70" t="s">
        <v>74</v>
      </c>
      <c r="BB70" t="s">
        <v>74</v>
      </c>
      <c r="BC70" t="s">
        <v>74</v>
      </c>
      <c r="BD70" t="s">
        <v>74</v>
      </c>
      <c r="BE70" t="s">
        <v>1628</v>
      </c>
      <c r="BF70" t="str">
        <f>HYPERLINK("http://dx.doi.org/10.1002/jcpy.1393","http://dx.doi.org/10.1002/jcpy.1393")</f>
        <v>http://dx.doi.org/10.1002/jcpy.1393</v>
      </c>
      <c r="BG70" t="s">
        <v>74</v>
      </c>
      <c r="BH70" t="s">
        <v>128</v>
      </c>
      <c r="BI70">
        <v>11</v>
      </c>
      <c r="BJ70" t="s">
        <v>1629</v>
      </c>
      <c r="BK70" t="s">
        <v>159</v>
      </c>
      <c r="BL70" t="s">
        <v>1630</v>
      </c>
      <c r="BM70" t="s">
        <v>1631</v>
      </c>
      <c r="BN70" t="s">
        <v>74</v>
      </c>
      <c r="BO70" t="s">
        <v>74</v>
      </c>
      <c r="BP70" t="s">
        <v>74</v>
      </c>
      <c r="BQ70" t="s">
        <v>74</v>
      </c>
      <c r="BR70" t="s">
        <v>101</v>
      </c>
      <c r="BS70" t="s">
        <v>1632</v>
      </c>
      <c r="BT70" t="str">
        <f>HYPERLINK("https%3A%2F%2Fwww.webofscience.com%2Fwos%2Fwoscc%2Ffull-record%2FWOS:001127585600001","View Full Record in Web of Science")</f>
        <v>View Full Record in Web of Science</v>
      </c>
    </row>
    <row r="71" spans="1:72" x14ac:dyDescent="0.2">
      <c r="A71" t="s">
        <v>72</v>
      </c>
      <c r="B71" t="s">
        <v>1633</v>
      </c>
      <c r="C71" t="s">
        <v>74</v>
      </c>
      <c r="D71" t="s">
        <v>74</v>
      </c>
      <c r="E71" t="s">
        <v>75</v>
      </c>
      <c r="F71" t="s">
        <v>1634</v>
      </c>
      <c r="G71" t="s">
        <v>74</v>
      </c>
      <c r="H71" t="s">
        <v>74</v>
      </c>
      <c r="I71" t="s">
        <v>1635</v>
      </c>
      <c r="J71" t="s">
        <v>1636</v>
      </c>
      <c r="K71" t="s">
        <v>74</v>
      </c>
      <c r="L71" t="s">
        <v>74</v>
      </c>
      <c r="M71" t="s">
        <v>79</v>
      </c>
      <c r="N71" t="s">
        <v>80</v>
      </c>
      <c r="O71" t="s">
        <v>1637</v>
      </c>
      <c r="P71" t="s">
        <v>1638</v>
      </c>
      <c r="Q71" t="s">
        <v>1639</v>
      </c>
      <c r="R71" t="s">
        <v>1640</v>
      </c>
      <c r="S71" t="s">
        <v>74</v>
      </c>
      <c r="T71" t="s">
        <v>1641</v>
      </c>
      <c r="U71" t="s">
        <v>74</v>
      </c>
      <c r="V71" t="s">
        <v>1642</v>
      </c>
      <c r="W71" t="s">
        <v>1643</v>
      </c>
      <c r="X71" t="s">
        <v>1644</v>
      </c>
      <c r="Y71" t="s">
        <v>1645</v>
      </c>
      <c r="Z71" t="s">
        <v>1646</v>
      </c>
      <c r="AA71" t="s">
        <v>74</v>
      </c>
      <c r="AB71" t="s">
        <v>1647</v>
      </c>
      <c r="AC71" t="s">
        <v>1648</v>
      </c>
      <c r="AD71" t="s">
        <v>1649</v>
      </c>
      <c r="AE71" t="s">
        <v>1650</v>
      </c>
      <c r="AF71" t="s">
        <v>74</v>
      </c>
      <c r="AG71">
        <v>91</v>
      </c>
      <c r="AH71">
        <v>2</v>
      </c>
      <c r="AI71">
        <v>2</v>
      </c>
      <c r="AJ71">
        <v>22</v>
      </c>
      <c r="AK71">
        <v>22</v>
      </c>
      <c r="AL71" t="s">
        <v>92</v>
      </c>
      <c r="AM71" t="s">
        <v>93</v>
      </c>
      <c r="AN71" t="s">
        <v>94</v>
      </c>
      <c r="AO71" t="s">
        <v>74</v>
      </c>
      <c r="AP71" t="s">
        <v>74</v>
      </c>
      <c r="AQ71" t="s">
        <v>1651</v>
      </c>
      <c r="AR71" t="s">
        <v>74</v>
      </c>
      <c r="AS71" t="s">
        <v>74</v>
      </c>
      <c r="AT71" t="s">
        <v>74</v>
      </c>
      <c r="AU71">
        <v>2023</v>
      </c>
      <c r="AV71" t="s">
        <v>74</v>
      </c>
      <c r="AW71" t="s">
        <v>74</v>
      </c>
      <c r="AX71" t="s">
        <v>74</v>
      </c>
      <c r="AY71" t="s">
        <v>74</v>
      </c>
      <c r="AZ71" t="s">
        <v>74</v>
      </c>
      <c r="BA71" t="s">
        <v>74</v>
      </c>
      <c r="BB71" t="s">
        <v>74</v>
      </c>
      <c r="BC71" t="s">
        <v>74</v>
      </c>
      <c r="BD71" t="s">
        <v>74</v>
      </c>
      <c r="BE71" t="s">
        <v>1652</v>
      </c>
      <c r="BF71" t="str">
        <f>HYPERLINK("http://dx.doi.org/10.1145/3544548.3581402","http://dx.doi.org/10.1145/3544548.3581402")</f>
        <v>http://dx.doi.org/10.1145/3544548.3581402</v>
      </c>
      <c r="BG71" t="s">
        <v>74</v>
      </c>
      <c r="BH71" t="s">
        <v>74</v>
      </c>
      <c r="BI71">
        <v>29</v>
      </c>
      <c r="BJ71" t="s">
        <v>1653</v>
      </c>
      <c r="BK71" t="s">
        <v>98</v>
      </c>
      <c r="BL71" t="s">
        <v>1654</v>
      </c>
      <c r="BM71" t="s">
        <v>1655</v>
      </c>
      <c r="BN71" t="s">
        <v>74</v>
      </c>
      <c r="BO71" t="s">
        <v>646</v>
      </c>
      <c r="BP71" t="s">
        <v>74</v>
      </c>
      <c r="BQ71" t="s">
        <v>74</v>
      </c>
      <c r="BR71" t="s">
        <v>101</v>
      </c>
      <c r="BS71" t="s">
        <v>1656</v>
      </c>
      <c r="BT71" t="str">
        <f>HYPERLINK("https%3A%2F%2Fwww.webofscience.com%2Fwos%2Fwoscc%2Ffull-record%2FWOS:001048393804049","View Full Record in Web of Science")</f>
        <v>View Full Record in Web of Science</v>
      </c>
    </row>
    <row r="72" spans="1:72" x14ac:dyDescent="0.2">
      <c r="A72" t="s">
        <v>103</v>
      </c>
      <c r="B72" t="s">
        <v>1657</v>
      </c>
      <c r="C72" t="s">
        <v>74</v>
      </c>
      <c r="D72" t="s">
        <v>74</v>
      </c>
      <c r="E72" t="s">
        <v>74</v>
      </c>
      <c r="F72" t="s">
        <v>1658</v>
      </c>
      <c r="G72" t="s">
        <v>74</v>
      </c>
      <c r="H72" t="s">
        <v>74</v>
      </c>
      <c r="I72" t="s">
        <v>1659</v>
      </c>
      <c r="J72" t="s">
        <v>452</v>
      </c>
      <c r="K72" t="s">
        <v>74</v>
      </c>
      <c r="L72" t="s">
        <v>74</v>
      </c>
      <c r="M72" t="s">
        <v>79</v>
      </c>
      <c r="N72" t="s">
        <v>108</v>
      </c>
      <c r="O72" t="s">
        <v>74</v>
      </c>
      <c r="P72" t="s">
        <v>74</v>
      </c>
      <c r="Q72" t="s">
        <v>74</v>
      </c>
      <c r="R72" t="s">
        <v>74</v>
      </c>
      <c r="S72" t="s">
        <v>74</v>
      </c>
      <c r="T72" t="s">
        <v>1660</v>
      </c>
      <c r="U72" t="s">
        <v>74</v>
      </c>
      <c r="V72" t="s">
        <v>1661</v>
      </c>
      <c r="W72" t="s">
        <v>1662</v>
      </c>
      <c r="X72" t="s">
        <v>1663</v>
      </c>
      <c r="Y72" t="s">
        <v>1664</v>
      </c>
      <c r="Z72" t="s">
        <v>1665</v>
      </c>
      <c r="AA72" t="s">
        <v>1666</v>
      </c>
      <c r="AB72" t="s">
        <v>1667</v>
      </c>
      <c r="AC72" t="s">
        <v>1668</v>
      </c>
      <c r="AD72" t="s">
        <v>1669</v>
      </c>
      <c r="AE72" t="s">
        <v>1670</v>
      </c>
      <c r="AF72" t="s">
        <v>74</v>
      </c>
      <c r="AG72">
        <v>20</v>
      </c>
      <c r="AH72">
        <v>0</v>
      </c>
      <c r="AI72">
        <v>0</v>
      </c>
      <c r="AJ72">
        <v>75</v>
      </c>
      <c r="AK72">
        <v>75</v>
      </c>
      <c r="AL72" t="s">
        <v>460</v>
      </c>
      <c r="AM72" t="s">
        <v>461</v>
      </c>
      <c r="AN72" t="s">
        <v>462</v>
      </c>
      <c r="AO72" t="s">
        <v>463</v>
      </c>
      <c r="AP72" t="s">
        <v>464</v>
      </c>
      <c r="AQ72" t="s">
        <v>74</v>
      </c>
      <c r="AR72" t="s">
        <v>465</v>
      </c>
      <c r="AS72" t="s">
        <v>466</v>
      </c>
      <c r="AT72" t="s">
        <v>276</v>
      </c>
      <c r="AU72">
        <v>2023</v>
      </c>
      <c r="AV72">
        <v>232</v>
      </c>
      <c r="AW72" t="s">
        <v>74</v>
      </c>
      <c r="AX72" t="s">
        <v>74</v>
      </c>
      <c r="AY72" t="s">
        <v>74</v>
      </c>
      <c r="AZ72" t="s">
        <v>74</v>
      </c>
      <c r="BA72" t="s">
        <v>74</v>
      </c>
      <c r="BB72" t="s">
        <v>74</v>
      </c>
      <c r="BC72" t="s">
        <v>74</v>
      </c>
      <c r="BD72">
        <v>111317</v>
      </c>
      <c r="BE72" t="s">
        <v>1671</v>
      </c>
      <c r="BF72" t="str">
        <f>HYPERLINK("http://dx.doi.org/10.1016/j.econlet.2023.111317","http://dx.doi.org/10.1016/j.econlet.2023.111317")</f>
        <v>http://dx.doi.org/10.1016/j.econlet.2023.111317</v>
      </c>
      <c r="BG72" t="s">
        <v>74</v>
      </c>
      <c r="BH72" t="s">
        <v>278</v>
      </c>
      <c r="BI72">
        <v>4</v>
      </c>
      <c r="BJ72" t="s">
        <v>469</v>
      </c>
      <c r="BK72" t="s">
        <v>159</v>
      </c>
      <c r="BL72" t="s">
        <v>470</v>
      </c>
      <c r="BM72" t="s">
        <v>1672</v>
      </c>
      <c r="BN72" t="s">
        <v>74</v>
      </c>
      <c r="BO72" t="s">
        <v>161</v>
      </c>
      <c r="BP72" t="s">
        <v>74</v>
      </c>
      <c r="BQ72" t="s">
        <v>74</v>
      </c>
      <c r="BR72" t="s">
        <v>101</v>
      </c>
      <c r="BS72" t="s">
        <v>1673</v>
      </c>
      <c r="BT72" t="str">
        <f>HYPERLINK("https%3A%2F%2Fwww.webofscience.com%2Fwos%2Fwoscc%2Ffull-record%2FWOS:001071515900001","View Full Record in Web of Science")</f>
        <v>View Full Record in Web of Science</v>
      </c>
    </row>
    <row r="73" spans="1:72" x14ac:dyDescent="0.2">
      <c r="A73" t="s">
        <v>103</v>
      </c>
      <c r="B73" t="s">
        <v>1674</v>
      </c>
      <c r="C73" t="s">
        <v>74</v>
      </c>
      <c r="D73" t="s">
        <v>74</v>
      </c>
      <c r="E73" t="s">
        <v>74</v>
      </c>
      <c r="F73" t="s">
        <v>1675</v>
      </c>
      <c r="G73" t="s">
        <v>74</v>
      </c>
      <c r="H73" t="s">
        <v>74</v>
      </c>
      <c r="I73" t="s">
        <v>1676</v>
      </c>
      <c r="J73" t="s">
        <v>1677</v>
      </c>
      <c r="K73" t="s">
        <v>74</v>
      </c>
      <c r="L73" t="s">
        <v>74</v>
      </c>
      <c r="M73" t="s">
        <v>79</v>
      </c>
      <c r="N73" t="s">
        <v>108</v>
      </c>
      <c r="O73" t="s">
        <v>74</v>
      </c>
      <c r="P73" t="s">
        <v>74</v>
      </c>
      <c r="Q73" t="s">
        <v>74</v>
      </c>
      <c r="R73" t="s">
        <v>74</v>
      </c>
      <c r="S73" t="s">
        <v>74</v>
      </c>
      <c r="T73" t="s">
        <v>1678</v>
      </c>
      <c r="U73" t="s">
        <v>74</v>
      </c>
      <c r="V73" t="s">
        <v>1679</v>
      </c>
      <c r="W73" t="s">
        <v>1680</v>
      </c>
      <c r="X73" t="s">
        <v>1681</v>
      </c>
      <c r="Y73" t="s">
        <v>1682</v>
      </c>
      <c r="Z73" t="s">
        <v>1683</v>
      </c>
      <c r="AA73" t="s">
        <v>1684</v>
      </c>
      <c r="AB73" t="s">
        <v>1685</v>
      </c>
      <c r="AC73" t="s">
        <v>74</v>
      </c>
      <c r="AD73" t="s">
        <v>74</v>
      </c>
      <c r="AE73" t="s">
        <v>74</v>
      </c>
      <c r="AF73" t="s">
        <v>74</v>
      </c>
      <c r="AG73">
        <v>49</v>
      </c>
      <c r="AH73">
        <v>79</v>
      </c>
      <c r="AI73">
        <v>79</v>
      </c>
      <c r="AJ73">
        <v>664</v>
      </c>
      <c r="AK73">
        <v>1065</v>
      </c>
      <c r="AL73" t="s">
        <v>270</v>
      </c>
      <c r="AM73" t="s">
        <v>120</v>
      </c>
      <c r="AN73" t="s">
        <v>271</v>
      </c>
      <c r="AO73" t="s">
        <v>1686</v>
      </c>
      <c r="AP73" t="s">
        <v>1687</v>
      </c>
      <c r="AQ73" t="s">
        <v>74</v>
      </c>
      <c r="AR73" t="s">
        <v>1688</v>
      </c>
      <c r="AS73" t="s">
        <v>1689</v>
      </c>
      <c r="AT73" t="s">
        <v>615</v>
      </c>
      <c r="AU73">
        <v>2023</v>
      </c>
      <c r="AV73">
        <v>21</v>
      </c>
      <c r="AW73">
        <v>2</v>
      </c>
      <c r="AX73" t="s">
        <v>74</v>
      </c>
      <c r="AY73" t="s">
        <v>74</v>
      </c>
      <c r="AZ73" t="s">
        <v>74</v>
      </c>
      <c r="BA73" t="s">
        <v>74</v>
      </c>
      <c r="BB73" t="s">
        <v>74</v>
      </c>
      <c r="BC73" t="s">
        <v>74</v>
      </c>
      <c r="BD73">
        <v>100790</v>
      </c>
      <c r="BE73" t="s">
        <v>1690</v>
      </c>
      <c r="BF73" t="str">
        <f>HYPERLINK("http://dx.doi.org/10.1016/j.ijme.2023.100790","http://dx.doi.org/10.1016/j.ijme.2023.100790")</f>
        <v>http://dx.doi.org/10.1016/j.ijme.2023.100790</v>
      </c>
      <c r="BG73" t="s">
        <v>74</v>
      </c>
      <c r="BH73" t="s">
        <v>1431</v>
      </c>
      <c r="BI73">
        <v>13</v>
      </c>
      <c r="BJ73" t="s">
        <v>1691</v>
      </c>
      <c r="BK73" t="s">
        <v>159</v>
      </c>
      <c r="BL73" t="s">
        <v>1692</v>
      </c>
      <c r="BM73" t="s">
        <v>1693</v>
      </c>
      <c r="BN73" t="s">
        <v>74</v>
      </c>
      <c r="BO73" t="s">
        <v>161</v>
      </c>
      <c r="BP73" t="s">
        <v>1434</v>
      </c>
      <c r="BQ73" t="s">
        <v>1434</v>
      </c>
      <c r="BR73" t="s">
        <v>101</v>
      </c>
      <c r="BS73" t="s">
        <v>1694</v>
      </c>
      <c r="BT73" t="str">
        <f>HYPERLINK("https%3A%2F%2Fwww.webofscience.com%2Fwos%2Fwoscc%2Ffull-record%2FWOS:000952598000001","View Full Record in Web of Science")</f>
        <v>View Full Record in Web of Science</v>
      </c>
    </row>
    <row r="74" spans="1:72" x14ac:dyDescent="0.2">
      <c r="A74" t="s">
        <v>103</v>
      </c>
      <c r="B74" t="s">
        <v>1695</v>
      </c>
      <c r="C74" t="s">
        <v>74</v>
      </c>
      <c r="D74" t="s">
        <v>74</v>
      </c>
      <c r="E74" t="s">
        <v>74</v>
      </c>
      <c r="F74" t="s">
        <v>1696</v>
      </c>
      <c r="G74" t="s">
        <v>74</v>
      </c>
      <c r="H74" t="s">
        <v>74</v>
      </c>
      <c r="I74" t="s">
        <v>1697</v>
      </c>
      <c r="J74" t="s">
        <v>1698</v>
      </c>
      <c r="K74" t="s">
        <v>74</v>
      </c>
      <c r="L74" t="s">
        <v>74</v>
      </c>
      <c r="M74" t="s">
        <v>79</v>
      </c>
      <c r="N74" t="s">
        <v>108</v>
      </c>
      <c r="O74" t="s">
        <v>74</v>
      </c>
      <c r="P74" t="s">
        <v>74</v>
      </c>
      <c r="Q74" t="s">
        <v>74</v>
      </c>
      <c r="R74" t="s">
        <v>74</v>
      </c>
      <c r="S74" t="s">
        <v>74</v>
      </c>
      <c r="T74" t="s">
        <v>1699</v>
      </c>
      <c r="U74" t="s">
        <v>74</v>
      </c>
      <c r="V74" t="s">
        <v>1700</v>
      </c>
      <c r="W74" t="s">
        <v>1701</v>
      </c>
      <c r="X74" t="s">
        <v>1702</v>
      </c>
      <c r="Y74" t="s">
        <v>1703</v>
      </c>
      <c r="Z74" t="s">
        <v>1704</v>
      </c>
      <c r="AA74" t="s">
        <v>74</v>
      </c>
      <c r="AB74" t="s">
        <v>74</v>
      </c>
      <c r="AC74" t="s">
        <v>74</v>
      </c>
      <c r="AD74" t="s">
        <v>74</v>
      </c>
      <c r="AE74" t="s">
        <v>74</v>
      </c>
      <c r="AF74" t="s">
        <v>74</v>
      </c>
      <c r="AG74">
        <v>53</v>
      </c>
      <c r="AH74">
        <v>17</v>
      </c>
      <c r="AI74">
        <v>17</v>
      </c>
      <c r="AJ74">
        <v>337</v>
      </c>
      <c r="AK74">
        <v>426</v>
      </c>
      <c r="AL74" t="s">
        <v>343</v>
      </c>
      <c r="AM74" t="s">
        <v>93</v>
      </c>
      <c r="AN74" t="s">
        <v>344</v>
      </c>
      <c r="AO74" t="s">
        <v>1705</v>
      </c>
      <c r="AP74" t="s">
        <v>74</v>
      </c>
      <c r="AQ74" t="s">
        <v>74</v>
      </c>
      <c r="AR74" t="s">
        <v>1706</v>
      </c>
      <c r="AS74" t="s">
        <v>1707</v>
      </c>
      <c r="AT74" t="s">
        <v>1708</v>
      </c>
      <c r="AU74">
        <v>2023</v>
      </c>
      <c r="AV74">
        <v>20</v>
      </c>
      <c r="AW74">
        <v>1</v>
      </c>
      <c r="AX74" t="s">
        <v>74</v>
      </c>
      <c r="AY74" t="s">
        <v>74</v>
      </c>
      <c r="AZ74" t="s">
        <v>74</v>
      </c>
      <c r="BA74" t="s">
        <v>74</v>
      </c>
      <c r="BB74" t="s">
        <v>74</v>
      </c>
      <c r="BC74" t="s">
        <v>74</v>
      </c>
      <c r="BD74">
        <v>43</v>
      </c>
      <c r="BE74" t="s">
        <v>1709</v>
      </c>
      <c r="BF74" t="str">
        <f>HYPERLINK("http://dx.doi.org/10.1186/s41239-023-00411-8","http://dx.doi.org/10.1186/s41239-023-00411-8")</f>
        <v>http://dx.doi.org/10.1186/s41239-023-00411-8</v>
      </c>
      <c r="BG74" t="s">
        <v>74</v>
      </c>
      <c r="BH74" t="s">
        <v>74</v>
      </c>
      <c r="BI74">
        <v>18</v>
      </c>
      <c r="BJ74" t="s">
        <v>423</v>
      </c>
      <c r="BK74" t="s">
        <v>159</v>
      </c>
      <c r="BL74" t="s">
        <v>423</v>
      </c>
      <c r="BM74" t="s">
        <v>1710</v>
      </c>
      <c r="BN74" t="s">
        <v>74</v>
      </c>
      <c r="BO74" t="s">
        <v>1711</v>
      </c>
      <c r="BP74" t="s">
        <v>74</v>
      </c>
      <c r="BQ74" t="s">
        <v>74</v>
      </c>
      <c r="BR74" t="s">
        <v>101</v>
      </c>
      <c r="BS74" t="s">
        <v>1712</v>
      </c>
      <c r="BT74" t="str">
        <f>HYPERLINK("https%3A%2F%2Fwww.webofscience.com%2Fwos%2Fwoscc%2Ffull-record%2FWOS:001028985800001","View Full Record in Web of Science")</f>
        <v>View Full Record in Web of Science</v>
      </c>
    </row>
    <row r="75" spans="1:72" x14ac:dyDescent="0.2">
      <c r="A75" t="s">
        <v>103</v>
      </c>
      <c r="B75" t="s">
        <v>1713</v>
      </c>
      <c r="C75" t="s">
        <v>74</v>
      </c>
      <c r="D75" t="s">
        <v>74</v>
      </c>
      <c r="E75" t="s">
        <v>74</v>
      </c>
      <c r="F75" t="s">
        <v>1714</v>
      </c>
      <c r="G75" t="s">
        <v>74</v>
      </c>
      <c r="H75" t="s">
        <v>74</v>
      </c>
      <c r="I75" t="s">
        <v>1715</v>
      </c>
      <c r="J75" t="s">
        <v>1716</v>
      </c>
      <c r="K75" t="s">
        <v>74</v>
      </c>
      <c r="L75" t="s">
        <v>74</v>
      </c>
      <c r="M75" t="s">
        <v>79</v>
      </c>
      <c r="N75" t="s">
        <v>108</v>
      </c>
      <c r="O75" t="s">
        <v>74</v>
      </c>
      <c r="P75" t="s">
        <v>74</v>
      </c>
      <c r="Q75" t="s">
        <v>74</v>
      </c>
      <c r="R75" t="s">
        <v>74</v>
      </c>
      <c r="S75" t="s">
        <v>74</v>
      </c>
      <c r="T75" t="s">
        <v>1717</v>
      </c>
      <c r="U75" t="s">
        <v>74</v>
      </c>
      <c r="V75" t="s">
        <v>1718</v>
      </c>
      <c r="W75" t="s">
        <v>1719</v>
      </c>
      <c r="X75" t="s">
        <v>74</v>
      </c>
      <c r="Y75" t="s">
        <v>1720</v>
      </c>
      <c r="Z75" t="s">
        <v>1721</v>
      </c>
      <c r="AA75" t="s">
        <v>74</v>
      </c>
      <c r="AB75" t="s">
        <v>74</v>
      </c>
      <c r="AC75" t="s">
        <v>74</v>
      </c>
      <c r="AD75" t="s">
        <v>74</v>
      </c>
      <c r="AE75" t="s">
        <v>74</v>
      </c>
      <c r="AF75" t="s">
        <v>74</v>
      </c>
      <c r="AG75">
        <v>16</v>
      </c>
      <c r="AH75">
        <v>0</v>
      </c>
      <c r="AI75">
        <v>0</v>
      </c>
      <c r="AJ75">
        <v>2</v>
      </c>
      <c r="AK75">
        <v>2</v>
      </c>
      <c r="AL75" t="s">
        <v>764</v>
      </c>
      <c r="AM75" t="s">
        <v>765</v>
      </c>
      <c r="AN75" t="s">
        <v>766</v>
      </c>
      <c r="AO75" t="s">
        <v>74</v>
      </c>
      <c r="AP75" t="s">
        <v>1722</v>
      </c>
      <c r="AQ75" t="s">
        <v>74</v>
      </c>
      <c r="AR75" t="s">
        <v>1723</v>
      </c>
      <c r="AS75" t="s">
        <v>1724</v>
      </c>
      <c r="AT75" t="s">
        <v>527</v>
      </c>
      <c r="AU75">
        <v>2023</v>
      </c>
      <c r="AV75">
        <v>12</v>
      </c>
      <c r="AW75" t="s">
        <v>74</v>
      </c>
      <c r="AX75" t="s">
        <v>74</v>
      </c>
      <c r="AY75" t="s">
        <v>74</v>
      </c>
      <c r="AZ75" t="s">
        <v>74</v>
      </c>
      <c r="BA75" t="s">
        <v>74</v>
      </c>
      <c r="BB75" t="s">
        <v>74</v>
      </c>
      <c r="BC75" t="s">
        <v>74</v>
      </c>
      <c r="BD75">
        <v>100387</v>
      </c>
      <c r="BE75" t="s">
        <v>1725</v>
      </c>
      <c r="BF75" t="str">
        <f>HYPERLINK("http://dx.doi.org/10.1016/j.rcsop.2023.100387","http://dx.doi.org/10.1016/j.rcsop.2023.100387")</f>
        <v>http://dx.doi.org/10.1016/j.rcsop.2023.100387</v>
      </c>
      <c r="BG75" t="s">
        <v>74</v>
      </c>
      <c r="BH75" t="s">
        <v>128</v>
      </c>
      <c r="BI75">
        <v>4</v>
      </c>
      <c r="BJ75" t="s">
        <v>1726</v>
      </c>
      <c r="BK75" t="s">
        <v>352</v>
      </c>
      <c r="BL75" t="s">
        <v>1726</v>
      </c>
      <c r="BM75" t="s">
        <v>1727</v>
      </c>
      <c r="BN75">
        <v>38155916</v>
      </c>
      <c r="BO75" t="s">
        <v>1728</v>
      </c>
      <c r="BP75" t="s">
        <v>74</v>
      </c>
      <c r="BQ75" t="s">
        <v>74</v>
      </c>
      <c r="BR75" t="s">
        <v>101</v>
      </c>
      <c r="BS75" t="s">
        <v>1729</v>
      </c>
      <c r="BT75" t="str">
        <f>HYPERLINK("https%3A%2F%2Fwww.webofscience.com%2Fwos%2Fwoscc%2Ffull-record%2FWOS:001133371900001","View Full Record in Web of Science")</f>
        <v>View Full Record in Web of Science</v>
      </c>
    </row>
    <row r="76" spans="1:72" x14ac:dyDescent="0.2">
      <c r="A76" t="s">
        <v>103</v>
      </c>
      <c r="B76" t="s">
        <v>1730</v>
      </c>
      <c r="C76" t="s">
        <v>74</v>
      </c>
      <c r="D76" t="s">
        <v>74</v>
      </c>
      <c r="E76" t="s">
        <v>74</v>
      </c>
      <c r="F76" t="s">
        <v>1731</v>
      </c>
      <c r="G76" t="s">
        <v>74</v>
      </c>
      <c r="H76" t="s">
        <v>74</v>
      </c>
      <c r="I76" t="s">
        <v>1732</v>
      </c>
      <c r="J76" t="s">
        <v>1733</v>
      </c>
      <c r="K76" t="s">
        <v>74</v>
      </c>
      <c r="L76" t="s">
        <v>74</v>
      </c>
      <c r="M76" t="s">
        <v>1734</v>
      </c>
      <c r="N76" t="s">
        <v>108</v>
      </c>
      <c r="O76" t="s">
        <v>74</v>
      </c>
      <c r="P76" t="s">
        <v>74</v>
      </c>
      <c r="Q76" t="s">
        <v>74</v>
      </c>
      <c r="R76" t="s">
        <v>74</v>
      </c>
      <c r="S76" t="s">
        <v>74</v>
      </c>
      <c r="T76" t="s">
        <v>1735</v>
      </c>
      <c r="U76" t="s">
        <v>74</v>
      </c>
      <c r="V76" t="s">
        <v>1736</v>
      </c>
      <c r="W76" t="s">
        <v>1737</v>
      </c>
      <c r="X76" t="s">
        <v>1738</v>
      </c>
      <c r="Y76" t="s">
        <v>1739</v>
      </c>
      <c r="Z76" t="s">
        <v>1740</v>
      </c>
      <c r="AA76" t="s">
        <v>74</v>
      </c>
      <c r="AB76" t="s">
        <v>74</v>
      </c>
      <c r="AC76" t="s">
        <v>74</v>
      </c>
      <c r="AD76" t="s">
        <v>74</v>
      </c>
      <c r="AE76" t="s">
        <v>74</v>
      </c>
      <c r="AF76" t="s">
        <v>74</v>
      </c>
      <c r="AG76">
        <v>16</v>
      </c>
      <c r="AH76">
        <v>0</v>
      </c>
      <c r="AI76">
        <v>0</v>
      </c>
      <c r="AJ76">
        <v>12</v>
      </c>
      <c r="AK76">
        <v>12</v>
      </c>
      <c r="AL76" t="s">
        <v>1741</v>
      </c>
      <c r="AM76" t="s">
        <v>1742</v>
      </c>
      <c r="AN76" t="s">
        <v>1743</v>
      </c>
      <c r="AO76" t="s">
        <v>1744</v>
      </c>
      <c r="AP76" t="s">
        <v>74</v>
      </c>
      <c r="AQ76" t="s">
        <v>74</v>
      </c>
      <c r="AR76" t="s">
        <v>1733</v>
      </c>
      <c r="AS76" t="s">
        <v>1745</v>
      </c>
      <c r="AT76" t="s">
        <v>527</v>
      </c>
      <c r="AU76">
        <v>2023</v>
      </c>
      <c r="AV76">
        <v>3</v>
      </c>
      <c r="AW76">
        <v>76</v>
      </c>
      <c r="AX76" t="s">
        <v>74</v>
      </c>
      <c r="AY76" t="s">
        <v>74</v>
      </c>
      <c r="AZ76" t="s">
        <v>74</v>
      </c>
      <c r="BA76" t="s">
        <v>74</v>
      </c>
      <c r="BB76" t="s">
        <v>74</v>
      </c>
      <c r="BC76" t="s">
        <v>74</v>
      </c>
      <c r="BD76" t="s">
        <v>1746</v>
      </c>
      <c r="BE76" t="s">
        <v>1747</v>
      </c>
      <c r="BF76" t="str">
        <f>HYPERLINK("http://dx.doi.org/10.24215/16696581e858","http://dx.doi.org/10.24215/16696581e858")</f>
        <v>http://dx.doi.org/10.24215/16696581e858</v>
      </c>
      <c r="BG76" t="s">
        <v>74</v>
      </c>
      <c r="BH76" t="s">
        <v>74</v>
      </c>
      <c r="BI76">
        <v>13</v>
      </c>
      <c r="BJ76" t="s">
        <v>158</v>
      </c>
      <c r="BK76" t="s">
        <v>352</v>
      </c>
      <c r="BL76" t="s">
        <v>158</v>
      </c>
      <c r="BM76" t="s">
        <v>1748</v>
      </c>
      <c r="BN76" t="s">
        <v>74</v>
      </c>
      <c r="BO76" t="s">
        <v>425</v>
      </c>
      <c r="BP76" t="s">
        <v>74</v>
      </c>
      <c r="BQ76" t="s">
        <v>74</v>
      </c>
      <c r="BR76" t="s">
        <v>101</v>
      </c>
      <c r="BS76" t="s">
        <v>1749</v>
      </c>
      <c r="BT76" t="str">
        <f>HYPERLINK("https%3A%2F%2Fwww.webofscience.com%2Fwos%2Fwoscc%2Ffull-record%2FWOS:001161626700002","View Full Record in Web of Science")</f>
        <v>View Full Record in Web of Science</v>
      </c>
    </row>
    <row r="77" spans="1:72" x14ac:dyDescent="0.2">
      <c r="A77" t="s">
        <v>72</v>
      </c>
      <c r="B77" t="s">
        <v>1750</v>
      </c>
      <c r="C77" t="s">
        <v>74</v>
      </c>
      <c r="D77" t="s">
        <v>1751</v>
      </c>
      <c r="E77" t="s">
        <v>74</v>
      </c>
      <c r="F77" t="s">
        <v>1752</v>
      </c>
      <c r="G77" t="s">
        <v>74</v>
      </c>
      <c r="H77" t="s">
        <v>74</v>
      </c>
      <c r="I77" t="s">
        <v>1753</v>
      </c>
      <c r="J77" t="s">
        <v>1754</v>
      </c>
      <c r="K77" t="s">
        <v>1755</v>
      </c>
      <c r="L77" t="s">
        <v>74</v>
      </c>
      <c r="M77" t="s">
        <v>79</v>
      </c>
      <c r="N77" t="s">
        <v>80</v>
      </c>
      <c r="O77" t="s">
        <v>1756</v>
      </c>
      <c r="P77" t="s">
        <v>1757</v>
      </c>
      <c r="Q77" t="s">
        <v>1758</v>
      </c>
      <c r="R77" t="s">
        <v>1759</v>
      </c>
      <c r="S77" t="s">
        <v>74</v>
      </c>
      <c r="T77" t="s">
        <v>1760</v>
      </c>
      <c r="U77" t="s">
        <v>74</v>
      </c>
      <c r="V77" t="s">
        <v>1761</v>
      </c>
      <c r="W77" t="s">
        <v>1762</v>
      </c>
      <c r="X77" t="s">
        <v>1763</v>
      </c>
      <c r="Y77" t="s">
        <v>1764</v>
      </c>
      <c r="Z77" t="s">
        <v>1765</v>
      </c>
      <c r="AA77" t="s">
        <v>74</v>
      </c>
      <c r="AB77" t="s">
        <v>74</v>
      </c>
      <c r="AC77" t="s">
        <v>74</v>
      </c>
      <c r="AD77" t="s">
        <v>74</v>
      </c>
      <c r="AE77" t="s">
        <v>74</v>
      </c>
      <c r="AF77" t="s">
        <v>74</v>
      </c>
      <c r="AG77">
        <v>41</v>
      </c>
      <c r="AH77">
        <v>0</v>
      </c>
      <c r="AI77">
        <v>1</v>
      </c>
      <c r="AJ77">
        <v>3</v>
      </c>
      <c r="AK77">
        <v>3</v>
      </c>
      <c r="AL77" t="s">
        <v>1766</v>
      </c>
      <c r="AM77" t="s">
        <v>765</v>
      </c>
      <c r="AN77" t="s">
        <v>1767</v>
      </c>
      <c r="AO77" t="s">
        <v>1768</v>
      </c>
      <c r="AP77" t="s">
        <v>1769</v>
      </c>
      <c r="AQ77" t="s">
        <v>1770</v>
      </c>
      <c r="AR77" t="s">
        <v>1771</v>
      </c>
      <c r="AS77" t="s">
        <v>74</v>
      </c>
      <c r="AT77" t="s">
        <v>74</v>
      </c>
      <c r="AU77">
        <v>2023</v>
      </c>
      <c r="AV77">
        <v>368</v>
      </c>
      <c r="AW77" t="s">
        <v>74</v>
      </c>
      <c r="AX77" t="s">
        <v>74</v>
      </c>
      <c r="AY77" t="s">
        <v>74</v>
      </c>
      <c r="AZ77" t="s">
        <v>74</v>
      </c>
      <c r="BA77" t="s">
        <v>74</v>
      </c>
      <c r="BB77">
        <v>108</v>
      </c>
      <c r="BC77">
        <v>123</v>
      </c>
      <c r="BD77" t="s">
        <v>74</v>
      </c>
      <c r="BE77" t="s">
        <v>1772</v>
      </c>
      <c r="BF77" t="str">
        <f>HYPERLINK("http://dx.doi.org/10.3233/FAIA230078","http://dx.doi.org/10.3233/FAIA230078")</f>
        <v>http://dx.doi.org/10.3233/FAIA230078</v>
      </c>
      <c r="BG77" t="s">
        <v>74</v>
      </c>
      <c r="BH77" t="s">
        <v>74</v>
      </c>
      <c r="BI77">
        <v>16</v>
      </c>
      <c r="BJ77" t="s">
        <v>304</v>
      </c>
      <c r="BK77" t="s">
        <v>98</v>
      </c>
      <c r="BL77" t="s">
        <v>99</v>
      </c>
      <c r="BM77" t="s">
        <v>1773</v>
      </c>
      <c r="BN77" t="s">
        <v>74</v>
      </c>
      <c r="BO77" t="s">
        <v>161</v>
      </c>
      <c r="BP77" t="s">
        <v>74</v>
      </c>
      <c r="BQ77" t="s">
        <v>74</v>
      </c>
      <c r="BR77" t="s">
        <v>101</v>
      </c>
      <c r="BS77" t="s">
        <v>1774</v>
      </c>
      <c r="BT77" t="str">
        <f>HYPERLINK("https%3A%2F%2Fwww.webofscience.com%2Fwos%2Fwoscc%2Ffull-record%2FWOS:001150361600008","View Full Record in Web of Science")</f>
        <v>View Full Record in Web of Science</v>
      </c>
    </row>
    <row r="78" spans="1:72" x14ac:dyDescent="0.2">
      <c r="A78" t="s">
        <v>103</v>
      </c>
      <c r="B78" t="s">
        <v>1775</v>
      </c>
      <c r="C78" t="s">
        <v>74</v>
      </c>
      <c r="D78" t="s">
        <v>74</v>
      </c>
      <c r="E78" t="s">
        <v>74</v>
      </c>
      <c r="F78" t="s">
        <v>1776</v>
      </c>
      <c r="G78" t="s">
        <v>74</v>
      </c>
      <c r="H78" t="s">
        <v>74</v>
      </c>
      <c r="I78" t="s">
        <v>1777</v>
      </c>
      <c r="J78" t="s">
        <v>1778</v>
      </c>
      <c r="K78" t="s">
        <v>74</v>
      </c>
      <c r="L78" t="s">
        <v>74</v>
      </c>
      <c r="M78" t="s">
        <v>79</v>
      </c>
      <c r="N78" t="s">
        <v>108</v>
      </c>
      <c r="O78" t="s">
        <v>74</v>
      </c>
      <c r="P78" t="s">
        <v>74</v>
      </c>
      <c r="Q78" t="s">
        <v>74</v>
      </c>
      <c r="R78" t="s">
        <v>74</v>
      </c>
      <c r="S78" t="s">
        <v>74</v>
      </c>
      <c r="T78" t="s">
        <v>1779</v>
      </c>
      <c r="U78" t="s">
        <v>1780</v>
      </c>
      <c r="V78" t="s">
        <v>1781</v>
      </c>
      <c r="W78" t="s">
        <v>1782</v>
      </c>
      <c r="X78" t="s">
        <v>1783</v>
      </c>
      <c r="Y78" t="s">
        <v>1784</v>
      </c>
      <c r="Z78" t="s">
        <v>1785</v>
      </c>
      <c r="AA78" t="s">
        <v>1786</v>
      </c>
      <c r="AB78" t="s">
        <v>1787</v>
      </c>
      <c r="AC78" t="s">
        <v>1788</v>
      </c>
      <c r="AD78" t="s">
        <v>1789</v>
      </c>
      <c r="AE78" t="s">
        <v>1790</v>
      </c>
      <c r="AF78" t="s">
        <v>74</v>
      </c>
      <c r="AG78">
        <v>38</v>
      </c>
      <c r="AH78">
        <v>5</v>
      </c>
      <c r="AI78">
        <v>5</v>
      </c>
      <c r="AJ78">
        <v>27</v>
      </c>
      <c r="AK78">
        <v>27</v>
      </c>
      <c r="AL78" t="s">
        <v>270</v>
      </c>
      <c r="AM78" t="s">
        <v>120</v>
      </c>
      <c r="AN78" t="s">
        <v>271</v>
      </c>
      <c r="AO78" t="s">
        <v>1791</v>
      </c>
      <c r="AP78" t="s">
        <v>1792</v>
      </c>
      <c r="AQ78" t="s">
        <v>74</v>
      </c>
      <c r="AR78" t="s">
        <v>1793</v>
      </c>
      <c r="AS78" t="s">
        <v>1794</v>
      </c>
      <c r="AT78" t="s">
        <v>276</v>
      </c>
      <c r="AU78">
        <v>2023</v>
      </c>
      <c r="AV78">
        <v>266</v>
      </c>
      <c r="AW78" t="s">
        <v>74</v>
      </c>
      <c r="AX78" t="s">
        <v>74</v>
      </c>
      <c r="AY78" t="s">
        <v>74</v>
      </c>
      <c r="AZ78" t="s">
        <v>74</v>
      </c>
      <c r="BA78" t="s">
        <v>74</v>
      </c>
      <c r="BB78" t="s">
        <v>74</v>
      </c>
      <c r="BC78" t="s">
        <v>74</v>
      </c>
      <c r="BD78">
        <v>110993</v>
      </c>
      <c r="BE78" t="s">
        <v>1795</v>
      </c>
      <c r="BF78" t="str">
        <f>HYPERLINK("http://dx.doi.org/10.1016/j.compositesb.2023.110993","http://dx.doi.org/10.1016/j.compositesb.2023.110993")</f>
        <v>http://dx.doi.org/10.1016/j.compositesb.2023.110993</v>
      </c>
      <c r="BG78" t="s">
        <v>74</v>
      </c>
      <c r="BH78" t="s">
        <v>278</v>
      </c>
      <c r="BI78">
        <v>12</v>
      </c>
      <c r="BJ78" t="s">
        <v>1796</v>
      </c>
      <c r="BK78" t="s">
        <v>130</v>
      </c>
      <c r="BL78" t="s">
        <v>1797</v>
      </c>
      <c r="BM78" t="s">
        <v>1798</v>
      </c>
      <c r="BN78" t="s">
        <v>74</v>
      </c>
      <c r="BO78" t="s">
        <v>74</v>
      </c>
      <c r="BP78" t="s">
        <v>74</v>
      </c>
      <c r="BQ78" t="s">
        <v>74</v>
      </c>
      <c r="BR78" t="s">
        <v>101</v>
      </c>
      <c r="BS78" t="s">
        <v>1799</v>
      </c>
      <c r="BT78" t="str">
        <f>HYPERLINK("https%3A%2F%2Fwww.webofscience.com%2Fwos%2Fwoscc%2Ffull-record%2FWOS:001088847300001","View Full Record in Web of Science")</f>
        <v>View Full Record in Web of Science</v>
      </c>
    </row>
    <row r="79" spans="1:72" x14ac:dyDescent="0.2">
      <c r="A79" t="s">
        <v>72</v>
      </c>
      <c r="B79" t="s">
        <v>1800</v>
      </c>
      <c r="C79" t="s">
        <v>74</v>
      </c>
      <c r="D79" t="s">
        <v>74</v>
      </c>
      <c r="E79" t="s">
        <v>284</v>
      </c>
      <c r="F79" t="s">
        <v>1801</v>
      </c>
      <c r="G79" t="s">
        <v>74</v>
      </c>
      <c r="H79" t="s">
        <v>74</v>
      </c>
      <c r="I79" t="s">
        <v>1802</v>
      </c>
      <c r="J79" t="s">
        <v>1803</v>
      </c>
      <c r="K79" t="s">
        <v>74</v>
      </c>
      <c r="L79" t="s">
        <v>74</v>
      </c>
      <c r="M79" t="s">
        <v>79</v>
      </c>
      <c r="N79" t="s">
        <v>80</v>
      </c>
      <c r="O79" t="s">
        <v>1804</v>
      </c>
      <c r="P79" t="s">
        <v>1805</v>
      </c>
      <c r="Q79" t="s">
        <v>1806</v>
      </c>
      <c r="R79" t="s">
        <v>1807</v>
      </c>
      <c r="S79" t="s">
        <v>74</v>
      </c>
      <c r="T79" t="s">
        <v>1808</v>
      </c>
      <c r="U79" t="s">
        <v>74</v>
      </c>
      <c r="V79" t="s">
        <v>1809</v>
      </c>
      <c r="W79" t="s">
        <v>1810</v>
      </c>
      <c r="X79" t="s">
        <v>1811</v>
      </c>
      <c r="Y79" t="s">
        <v>1812</v>
      </c>
      <c r="Z79" t="s">
        <v>1813</v>
      </c>
      <c r="AA79" t="s">
        <v>1814</v>
      </c>
      <c r="AB79" t="s">
        <v>1815</v>
      </c>
      <c r="AC79" t="s">
        <v>74</v>
      </c>
      <c r="AD79" t="s">
        <v>74</v>
      </c>
      <c r="AE79" t="s">
        <v>74</v>
      </c>
      <c r="AF79" t="s">
        <v>74</v>
      </c>
      <c r="AG79">
        <v>21</v>
      </c>
      <c r="AH79">
        <v>0</v>
      </c>
      <c r="AI79">
        <v>0</v>
      </c>
      <c r="AJ79">
        <v>6</v>
      </c>
      <c r="AK79">
        <v>7</v>
      </c>
      <c r="AL79" t="s">
        <v>638</v>
      </c>
      <c r="AM79" t="s">
        <v>639</v>
      </c>
      <c r="AN79" t="s">
        <v>640</v>
      </c>
      <c r="AO79" t="s">
        <v>74</v>
      </c>
      <c r="AP79" t="s">
        <v>74</v>
      </c>
      <c r="AQ79" t="s">
        <v>1816</v>
      </c>
      <c r="AR79" t="s">
        <v>74</v>
      </c>
      <c r="AS79" t="s">
        <v>74</v>
      </c>
      <c r="AT79" t="s">
        <v>74</v>
      </c>
      <c r="AU79">
        <v>2023</v>
      </c>
      <c r="AV79" t="s">
        <v>74</v>
      </c>
      <c r="AW79" t="s">
        <v>74</v>
      </c>
      <c r="AX79" t="s">
        <v>74</v>
      </c>
      <c r="AY79" t="s">
        <v>74</v>
      </c>
      <c r="AZ79" t="s">
        <v>74</v>
      </c>
      <c r="BA79" t="s">
        <v>74</v>
      </c>
      <c r="BB79">
        <v>226</v>
      </c>
      <c r="BC79">
        <v>229</v>
      </c>
      <c r="BD79" t="s">
        <v>74</v>
      </c>
      <c r="BE79" t="s">
        <v>1817</v>
      </c>
      <c r="BF79" t="str">
        <f>HYPERLINK("http://dx.doi.org/10.1109/CAI54212.2023.00105","http://dx.doi.org/10.1109/CAI54212.2023.00105")</f>
        <v>http://dx.doi.org/10.1109/CAI54212.2023.00105</v>
      </c>
      <c r="BG79" t="s">
        <v>74</v>
      </c>
      <c r="BH79" t="s">
        <v>74</v>
      </c>
      <c r="BI79">
        <v>4</v>
      </c>
      <c r="BJ79" t="s">
        <v>883</v>
      </c>
      <c r="BK79" t="s">
        <v>98</v>
      </c>
      <c r="BL79" t="s">
        <v>99</v>
      </c>
      <c r="BM79" t="s">
        <v>1818</v>
      </c>
      <c r="BN79" t="s">
        <v>74</v>
      </c>
      <c r="BO79" t="s">
        <v>646</v>
      </c>
      <c r="BP79" t="s">
        <v>74</v>
      </c>
      <c r="BQ79" t="s">
        <v>74</v>
      </c>
      <c r="BR79" t="s">
        <v>101</v>
      </c>
      <c r="BS79" t="s">
        <v>1819</v>
      </c>
      <c r="BT79" t="str">
        <f>HYPERLINK("https%3A%2F%2Fwww.webofscience.com%2Fwos%2Fwoscc%2Ffull-record%2FWOS:001046447800095","View Full Record in Web of Science")</f>
        <v>View Full Record in Web of Science</v>
      </c>
    </row>
    <row r="80" spans="1:72" x14ac:dyDescent="0.2">
      <c r="A80" t="s">
        <v>72</v>
      </c>
      <c r="B80" t="s">
        <v>1820</v>
      </c>
      <c r="C80" t="s">
        <v>74</v>
      </c>
      <c r="D80" t="s">
        <v>308</v>
      </c>
      <c r="E80" t="s">
        <v>74</v>
      </c>
      <c r="F80" t="s">
        <v>1821</v>
      </c>
      <c r="G80" t="s">
        <v>74</v>
      </c>
      <c r="H80" t="s">
        <v>74</v>
      </c>
      <c r="I80" t="s">
        <v>1822</v>
      </c>
      <c r="J80" t="s">
        <v>311</v>
      </c>
      <c r="K80" t="s">
        <v>312</v>
      </c>
      <c r="L80" t="s">
        <v>74</v>
      </c>
      <c r="M80" t="s">
        <v>79</v>
      </c>
      <c r="N80" t="s">
        <v>80</v>
      </c>
      <c r="O80" t="s">
        <v>313</v>
      </c>
      <c r="P80" t="s">
        <v>314</v>
      </c>
      <c r="Q80" t="s">
        <v>315</v>
      </c>
      <c r="R80" t="s">
        <v>74</v>
      </c>
      <c r="S80" t="s">
        <v>74</v>
      </c>
      <c r="T80" t="s">
        <v>1823</v>
      </c>
      <c r="U80" t="s">
        <v>1824</v>
      </c>
      <c r="V80" t="s">
        <v>1825</v>
      </c>
      <c r="W80" t="s">
        <v>1826</v>
      </c>
      <c r="X80" t="s">
        <v>1827</v>
      </c>
      <c r="Y80" t="s">
        <v>1828</v>
      </c>
      <c r="Z80" t="s">
        <v>1829</v>
      </c>
      <c r="AA80" t="s">
        <v>74</v>
      </c>
      <c r="AB80" t="s">
        <v>1830</v>
      </c>
      <c r="AC80" t="s">
        <v>1831</v>
      </c>
      <c r="AD80" t="s">
        <v>1831</v>
      </c>
      <c r="AE80" t="s">
        <v>1832</v>
      </c>
      <c r="AF80" t="s">
        <v>74</v>
      </c>
      <c r="AG80">
        <v>55</v>
      </c>
      <c r="AH80">
        <v>0</v>
      </c>
      <c r="AI80">
        <v>0</v>
      </c>
      <c r="AJ80">
        <v>6</v>
      </c>
      <c r="AK80">
        <v>6</v>
      </c>
      <c r="AL80" t="s">
        <v>325</v>
      </c>
      <c r="AM80" t="s">
        <v>245</v>
      </c>
      <c r="AN80" t="s">
        <v>246</v>
      </c>
      <c r="AO80" t="s">
        <v>326</v>
      </c>
      <c r="AP80" t="s">
        <v>327</v>
      </c>
      <c r="AQ80" t="s">
        <v>328</v>
      </c>
      <c r="AR80" t="s">
        <v>329</v>
      </c>
      <c r="AS80" t="s">
        <v>74</v>
      </c>
      <c r="AT80" t="s">
        <v>74</v>
      </c>
      <c r="AU80">
        <v>2023</v>
      </c>
      <c r="AV80">
        <v>14059</v>
      </c>
      <c r="AW80" t="s">
        <v>74</v>
      </c>
      <c r="AX80" t="s">
        <v>74</v>
      </c>
      <c r="AY80" t="s">
        <v>74</v>
      </c>
      <c r="AZ80" t="s">
        <v>74</v>
      </c>
      <c r="BA80" t="s">
        <v>74</v>
      </c>
      <c r="BB80">
        <v>3</v>
      </c>
      <c r="BC80">
        <v>23</v>
      </c>
      <c r="BD80" t="s">
        <v>74</v>
      </c>
      <c r="BE80" t="s">
        <v>1833</v>
      </c>
      <c r="BF80" t="str">
        <f>HYPERLINK("http://dx.doi.org/10.1007/978-3-031-48057-7_1","http://dx.doi.org/10.1007/978-3-031-48057-7_1")</f>
        <v>http://dx.doi.org/10.1007/978-3-031-48057-7_1</v>
      </c>
      <c r="BG80" t="s">
        <v>74</v>
      </c>
      <c r="BH80" t="s">
        <v>74</v>
      </c>
      <c r="BI80">
        <v>21</v>
      </c>
      <c r="BJ80" t="s">
        <v>331</v>
      </c>
      <c r="BK80" t="s">
        <v>98</v>
      </c>
      <c r="BL80" t="s">
        <v>99</v>
      </c>
      <c r="BM80" t="s">
        <v>332</v>
      </c>
      <c r="BN80" t="s">
        <v>74</v>
      </c>
      <c r="BO80" t="s">
        <v>74</v>
      </c>
      <c r="BP80" t="s">
        <v>74</v>
      </c>
      <c r="BQ80" t="s">
        <v>74</v>
      </c>
      <c r="BR80" t="s">
        <v>101</v>
      </c>
      <c r="BS80" t="s">
        <v>1834</v>
      </c>
      <c r="BT80" t="str">
        <f>HYPERLINK("https%3A%2F%2Fwww.webofscience.com%2Fwos%2Fwoscc%2Ffull-record%2FWOS:001159622900001","View Full Record in Web of Science")</f>
        <v>View Full Record in Web of Science</v>
      </c>
    </row>
    <row r="81" spans="1:72" x14ac:dyDescent="0.2">
      <c r="A81" t="s">
        <v>72</v>
      </c>
      <c r="B81" t="s">
        <v>1835</v>
      </c>
      <c r="C81" t="s">
        <v>74</v>
      </c>
      <c r="D81" t="s">
        <v>74</v>
      </c>
      <c r="E81" t="s">
        <v>75</v>
      </c>
      <c r="F81" t="s">
        <v>1836</v>
      </c>
      <c r="G81" t="s">
        <v>74</v>
      </c>
      <c r="H81" t="s">
        <v>74</v>
      </c>
      <c r="I81" t="s">
        <v>1837</v>
      </c>
      <c r="J81" t="s">
        <v>1838</v>
      </c>
      <c r="K81" t="s">
        <v>74</v>
      </c>
      <c r="L81" t="s">
        <v>74</v>
      </c>
      <c r="M81" t="s">
        <v>79</v>
      </c>
      <c r="N81" t="s">
        <v>80</v>
      </c>
      <c r="O81" t="s">
        <v>1839</v>
      </c>
      <c r="P81" t="s">
        <v>1840</v>
      </c>
      <c r="Q81" t="s">
        <v>1841</v>
      </c>
      <c r="R81" t="s">
        <v>1842</v>
      </c>
      <c r="S81" t="s">
        <v>74</v>
      </c>
      <c r="T81" t="s">
        <v>1843</v>
      </c>
      <c r="U81" t="s">
        <v>74</v>
      </c>
      <c r="V81" t="s">
        <v>74</v>
      </c>
      <c r="W81" t="s">
        <v>1844</v>
      </c>
      <c r="X81" t="s">
        <v>1845</v>
      </c>
      <c r="Y81" t="s">
        <v>1846</v>
      </c>
      <c r="Z81" t="s">
        <v>1847</v>
      </c>
      <c r="AA81" t="s">
        <v>1848</v>
      </c>
      <c r="AB81" t="s">
        <v>74</v>
      </c>
      <c r="AC81" t="s">
        <v>74</v>
      </c>
      <c r="AD81" t="s">
        <v>74</v>
      </c>
      <c r="AE81" t="s">
        <v>74</v>
      </c>
      <c r="AF81" t="s">
        <v>74</v>
      </c>
      <c r="AG81">
        <v>5</v>
      </c>
      <c r="AH81">
        <v>0</v>
      </c>
      <c r="AI81">
        <v>0</v>
      </c>
      <c r="AJ81">
        <v>1</v>
      </c>
      <c r="AK81">
        <v>1</v>
      </c>
      <c r="AL81" t="s">
        <v>92</v>
      </c>
      <c r="AM81" t="s">
        <v>93</v>
      </c>
      <c r="AN81" t="s">
        <v>94</v>
      </c>
      <c r="AO81" t="s">
        <v>74</v>
      </c>
      <c r="AP81" t="s">
        <v>74</v>
      </c>
      <c r="AQ81" t="s">
        <v>1849</v>
      </c>
      <c r="AR81" t="s">
        <v>74</v>
      </c>
      <c r="AS81" t="s">
        <v>74</v>
      </c>
      <c r="AT81" t="s">
        <v>74</v>
      </c>
      <c r="AU81">
        <v>2023</v>
      </c>
      <c r="AV81" t="s">
        <v>74</v>
      </c>
      <c r="AW81" t="s">
        <v>74</v>
      </c>
      <c r="AX81" t="s">
        <v>74</v>
      </c>
      <c r="AY81" t="s">
        <v>74</v>
      </c>
      <c r="AZ81" t="s">
        <v>74</v>
      </c>
      <c r="BA81" t="s">
        <v>74</v>
      </c>
      <c r="BB81">
        <v>5</v>
      </c>
      <c r="BC81">
        <v>5</v>
      </c>
      <c r="BD81" t="s">
        <v>74</v>
      </c>
      <c r="BE81" t="s">
        <v>1850</v>
      </c>
      <c r="BF81" t="str">
        <f>HYPERLINK("http://dx.doi.org/10.1145/3607827.3616845","http://dx.doi.org/10.1145/3607827.3616845")</f>
        <v>http://dx.doi.org/10.1145/3607827.3616845</v>
      </c>
      <c r="BG81" t="s">
        <v>74</v>
      </c>
      <c r="BH81" t="s">
        <v>74</v>
      </c>
      <c r="BI81">
        <v>1</v>
      </c>
      <c r="BJ81" t="s">
        <v>1851</v>
      </c>
      <c r="BK81" t="s">
        <v>98</v>
      </c>
      <c r="BL81" t="s">
        <v>99</v>
      </c>
      <c r="BM81" t="s">
        <v>1852</v>
      </c>
      <c r="BN81" t="s">
        <v>74</v>
      </c>
      <c r="BO81" t="s">
        <v>74</v>
      </c>
      <c r="BP81" t="s">
        <v>74</v>
      </c>
      <c r="BQ81" t="s">
        <v>74</v>
      </c>
      <c r="BR81" t="s">
        <v>101</v>
      </c>
      <c r="BS81" t="s">
        <v>1853</v>
      </c>
      <c r="BT81" t="str">
        <f>HYPERLINK("https%3A%2F%2Fwww.webofscience.com%2Fwos%2Fwoscc%2Ffull-record%2FWOS:001150367900003","View Full Record in Web of Science")</f>
        <v>View Full Record in Web of Science</v>
      </c>
    </row>
    <row r="82" spans="1:72" x14ac:dyDescent="0.2">
      <c r="A82" t="s">
        <v>72</v>
      </c>
      <c r="B82" t="s">
        <v>1854</v>
      </c>
      <c r="C82" t="s">
        <v>74</v>
      </c>
      <c r="D82" t="s">
        <v>74</v>
      </c>
      <c r="E82" t="s">
        <v>75</v>
      </c>
      <c r="F82" t="s">
        <v>1855</v>
      </c>
      <c r="G82" t="s">
        <v>74</v>
      </c>
      <c r="H82" t="s">
        <v>74</v>
      </c>
      <c r="I82" t="s">
        <v>1856</v>
      </c>
      <c r="J82" t="s">
        <v>78</v>
      </c>
      <c r="K82" t="s">
        <v>74</v>
      </c>
      <c r="L82" t="s">
        <v>74</v>
      </c>
      <c r="M82" t="s">
        <v>79</v>
      </c>
      <c r="N82" t="s">
        <v>80</v>
      </c>
      <c r="O82" t="s">
        <v>81</v>
      </c>
      <c r="P82" t="s">
        <v>82</v>
      </c>
      <c r="Q82" t="s">
        <v>83</v>
      </c>
      <c r="R82" t="s">
        <v>84</v>
      </c>
      <c r="S82" t="s">
        <v>74</v>
      </c>
      <c r="T82" t="s">
        <v>1857</v>
      </c>
      <c r="U82" t="s">
        <v>74</v>
      </c>
      <c r="V82" t="s">
        <v>1858</v>
      </c>
      <c r="W82" t="s">
        <v>1859</v>
      </c>
      <c r="X82" t="s">
        <v>1860</v>
      </c>
      <c r="Y82" t="s">
        <v>1861</v>
      </c>
      <c r="Z82" t="s">
        <v>1862</v>
      </c>
      <c r="AA82" t="s">
        <v>74</v>
      </c>
      <c r="AB82" t="s">
        <v>1863</v>
      </c>
      <c r="AC82" t="s">
        <v>74</v>
      </c>
      <c r="AD82" t="s">
        <v>74</v>
      </c>
      <c r="AE82" t="s">
        <v>74</v>
      </c>
      <c r="AF82" t="s">
        <v>74</v>
      </c>
      <c r="AG82">
        <v>15</v>
      </c>
      <c r="AH82">
        <v>1</v>
      </c>
      <c r="AI82">
        <v>1</v>
      </c>
      <c r="AJ82">
        <v>2</v>
      </c>
      <c r="AK82">
        <v>2</v>
      </c>
      <c r="AL82" t="s">
        <v>92</v>
      </c>
      <c r="AM82" t="s">
        <v>93</v>
      </c>
      <c r="AN82" t="s">
        <v>94</v>
      </c>
      <c r="AO82" t="s">
        <v>74</v>
      </c>
      <c r="AP82" t="s">
        <v>74</v>
      </c>
      <c r="AQ82" t="s">
        <v>95</v>
      </c>
      <c r="AR82" t="s">
        <v>74</v>
      </c>
      <c r="AS82" t="s">
        <v>74</v>
      </c>
      <c r="AT82" t="s">
        <v>74</v>
      </c>
      <c r="AU82">
        <v>2023</v>
      </c>
      <c r="AV82" t="s">
        <v>74</v>
      </c>
      <c r="AW82" t="s">
        <v>74</v>
      </c>
      <c r="AX82" t="s">
        <v>74</v>
      </c>
      <c r="AY82" t="s">
        <v>74</v>
      </c>
      <c r="AZ82" t="s">
        <v>74</v>
      </c>
      <c r="BA82" t="s">
        <v>74</v>
      </c>
      <c r="BB82" t="s">
        <v>74</v>
      </c>
      <c r="BC82" t="s">
        <v>74</v>
      </c>
      <c r="BD82">
        <v>98</v>
      </c>
      <c r="BE82" t="s">
        <v>1864</v>
      </c>
      <c r="BF82" t="str">
        <f>HYPERLINK("http://dx.doi.org/10.1145/3586182.3615769","http://dx.doi.org/10.1145/3586182.3615769")</f>
        <v>http://dx.doi.org/10.1145/3586182.3615769</v>
      </c>
      <c r="BG82" t="s">
        <v>74</v>
      </c>
      <c r="BH82" t="s">
        <v>74</v>
      </c>
      <c r="BI82">
        <v>5</v>
      </c>
      <c r="BJ82" t="s">
        <v>97</v>
      </c>
      <c r="BK82" t="s">
        <v>98</v>
      </c>
      <c r="BL82" t="s">
        <v>99</v>
      </c>
      <c r="BM82" t="s">
        <v>100</v>
      </c>
      <c r="BN82" t="s">
        <v>74</v>
      </c>
      <c r="BO82" t="s">
        <v>74</v>
      </c>
      <c r="BP82" t="s">
        <v>74</v>
      </c>
      <c r="BQ82" t="s">
        <v>74</v>
      </c>
      <c r="BR82" t="s">
        <v>101</v>
      </c>
      <c r="BS82" t="s">
        <v>1865</v>
      </c>
      <c r="BT82" t="str">
        <f>HYPERLINK("https%3A%2F%2Fwww.webofscience.com%2Fwos%2Fwoscc%2Ffull-record%2FWOS:001125107000097","View Full Record in Web of Science")</f>
        <v>View Full Record in Web of Science</v>
      </c>
    </row>
    <row r="83" spans="1:72" x14ac:dyDescent="0.2">
      <c r="A83" t="s">
        <v>103</v>
      </c>
      <c r="B83" t="s">
        <v>1866</v>
      </c>
      <c r="C83" t="s">
        <v>74</v>
      </c>
      <c r="D83" t="s">
        <v>74</v>
      </c>
      <c r="E83" t="s">
        <v>74</v>
      </c>
      <c r="F83" t="s">
        <v>1867</v>
      </c>
      <c r="G83" t="s">
        <v>74</v>
      </c>
      <c r="H83" t="s">
        <v>74</v>
      </c>
      <c r="I83" t="s">
        <v>1868</v>
      </c>
      <c r="J83" t="s">
        <v>1869</v>
      </c>
      <c r="K83" t="s">
        <v>74</v>
      </c>
      <c r="L83" t="s">
        <v>74</v>
      </c>
      <c r="M83" t="s">
        <v>79</v>
      </c>
      <c r="N83" t="s">
        <v>108</v>
      </c>
      <c r="O83" t="s">
        <v>74</v>
      </c>
      <c r="P83" t="s">
        <v>74</v>
      </c>
      <c r="Q83" t="s">
        <v>74</v>
      </c>
      <c r="R83" t="s">
        <v>74</v>
      </c>
      <c r="S83" t="s">
        <v>74</v>
      </c>
      <c r="T83" t="s">
        <v>74</v>
      </c>
      <c r="U83" t="s">
        <v>74</v>
      </c>
      <c r="V83" t="s">
        <v>1870</v>
      </c>
      <c r="W83" t="s">
        <v>1871</v>
      </c>
      <c r="X83" t="s">
        <v>1872</v>
      </c>
      <c r="Y83" t="s">
        <v>1873</v>
      </c>
      <c r="Z83" t="s">
        <v>1874</v>
      </c>
      <c r="AA83" t="s">
        <v>1875</v>
      </c>
      <c r="AB83" t="s">
        <v>1876</v>
      </c>
      <c r="AC83" t="s">
        <v>1877</v>
      </c>
      <c r="AD83" t="s">
        <v>1878</v>
      </c>
      <c r="AE83" t="s">
        <v>1879</v>
      </c>
      <c r="AF83" t="s">
        <v>74</v>
      </c>
      <c r="AG83">
        <v>10</v>
      </c>
      <c r="AH83">
        <v>0</v>
      </c>
      <c r="AI83">
        <v>0</v>
      </c>
      <c r="AJ83">
        <v>5</v>
      </c>
      <c r="AK83">
        <v>5</v>
      </c>
      <c r="AL83" t="s">
        <v>1880</v>
      </c>
      <c r="AM83" t="s">
        <v>369</v>
      </c>
      <c r="AN83" t="s">
        <v>1881</v>
      </c>
      <c r="AO83" t="s">
        <v>1882</v>
      </c>
      <c r="AP83" t="s">
        <v>74</v>
      </c>
      <c r="AQ83" t="s">
        <v>74</v>
      </c>
      <c r="AR83" t="s">
        <v>1883</v>
      </c>
      <c r="AS83" t="s">
        <v>1884</v>
      </c>
      <c r="AT83" t="s">
        <v>276</v>
      </c>
      <c r="AU83">
        <v>2023</v>
      </c>
      <c r="AV83">
        <v>7</v>
      </c>
      <c r="AW83">
        <v>11</v>
      </c>
      <c r="AX83" t="s">
        <v>74</v>
      </c>
      <c r="AY83" t="s">
        <v>74</v>
      </c>
      <c r="AZ83" t="s">
        <v>74</v>
      </c>
      <c r="BA83" t="s">
        <v>74</v>
      </c>
      <c r="BB83">
        <v>1839</v>
      </c>
      <c r="BC83">
        <v>1841</v>
      </c>
      <c r="BD83" t="s">
        <v>74</v>
      </c>
      <c r="BE83" t="s">
        <v>1885</v>
      </c>
      <c r="BF83" t="str">
        <f>HYPERLINK("http://dx.doi.org/10.1038/s41562-023-01735-1","http://dx.doi.org/10.1038/s41562-023-01735-1")</f>
        <v>http://dx.doi.org/10.1038/s41562-023-01735-1</v>
      </c>
      <c r="BG83" t="s">
        <v>74</v>
      </c>
      <c r="BH83" t="s">
        <v>1886</v>
      </c>
      <c r="BI83">
        <v>3</v>
      </c>
      <c r="BJ83" t="s">
        <v>1887</v>
      </c>
      <c r="BK83" t="s">
        <v>947</v>
      </c>
      <c r="BL83" t="s">
        <v>1888</v>
      </c>
      <c r="BM83" t="s">
        <v>1889</v>
      </c>
      <c r="BN83">
        <v>37803130</v>
      </c>
      <c r="BO83" t="s">
        <v>74</v>
      </c>
      <c r="BP83" t="s">
        <v>74</v>
      </c>
      <c r="BQ83" t="s">
        <v>74</v>
      </c>
      <c r="BR83" t="s">
        <v>101</v>
      </c>
      <c r="BS83" t="s">
        <v>1890</v>
      </c>
      <c r="BT83" t="str">
        <f>HYPERLINK("https%3A%2F%2Fwww.webofscience.com%2Fwos%2Fwoscc%2Ffull-record%2FWOS:001080158700001","View Full Record in Web of Science")</f>
        <v>View Full Record in Web of Science</v>
      </c>
    </row>
    <row r="84" spans="1:72" x14ac:dyDescent="0.2">
      <c r="A84" t="s">
        <v>103</v>
      </c>
      <c r="B84" t="s">
        <v>1891</v>
      </c>
      <c r="C84" t="s">
        <v>74</v>
      </c>
      <c r="D84" t="s">
        <v>74</v>
      </c>
      <c r="E84" t="s">
        <v>74</v>
      </c>
      <c r="F84" t="s">
        <v>1892</v>
      </c>
      <c r="G84" t="s">
        <v>74</v>
      </c>
      <c r="H84" t="s">
        <v>74</v>
      </c>
      <c r="I84" t="s">
        <v>1893</v>
      </c>
      <c r="J84" t="s">
        <v>1894</v>
      </c>
      <c r="K84" t="s">
        <v>74</v>
      </c>
      <c r="L84" t="s">
        <v>74</v>
      </c>
      <c r="M84" t="s">
        <v>79</v>
      </c>
      <c r="N84" t="s">
        <v>108</v>
      </c>
      <c r="O84" t="s">
        <v>74</v>
      </c>
      <c r="P84" t="s">
        <v>74</v>
      </c>
      <c r="Q84" t="s">
        <v>74</v>
      </c>
      <c r="R84" t="s">
        <v>74</v>
      </c>
      <c r="S84" t="s">
        <v>74</v>
      </c>
      <c r="T84" t="s">
        <v>1895</v>
      </c>
      <c r="U84" t="s">
        <v>1896</v>
      </c>
      <c r="V84" t="s">
        <v>1897</v>
      </c>
      <c r="W84" t="s">
        <v>1898</v>
      </c>
      <c r="X84" t="s">
        <v>1899</v>
      </c>
      <c r="Y84" t="s">
        <v>1900</v>
      </c>
      <c r="Z84" t="s">
        <v>1901</v>
      </c>
      <c r="AA84" t="s">
        <v>1902</v>
      </c>
      <c r="AB84" t="s">
        <v>1903</v>
      </c>
      <c r="AC84" t="s">
        <v>74</v>
      </c>
      <c r="AD84" t="s">
        <v>74</v>
      </c>
      <c r="AE84" t="s">
        <v>74</v>
      </c>
      <c r="AF84" t="s">
        <v>74</v>
      </c>
      <c r="AG84">
        <v>38</v>
      </c>
      <c r="AH84">
        <v>25</v>
      </c>
      <c r="AI84">
        <v>25</v>
      </c>
      <c r="AJ84">
        <v>248</v>
      </c>
      <c r="AK84">
        <v>356</v>
      </c>
      <c r="AL84" t="s">
        <v>483</v>
      </c>
      <c r="AM84" t="s">
        <v>484</v>
      </c>
      <c r="AN84" t="s">
        <v>485</v>
      </c>
      <c r="AO84" t="s">
        <v>1904</v>
      </c>
      <c r="AP84" t="s">
        <v>1905</v>
      </c>
      <c r="AQ84" t="s">
        <v>74</v>
      </c>
      <c r="AR84" t="s">
        <v>1906</v>
      </c>
      <c r="AS84" t="s">
        <v>1907</v>
      </c>
      <c r="AT84" t="s">
        <v>1908</v>
      </c>
      <c r="AU84">
        <v>2024</v>
      </c>
      <c r="AV84">
        <v>36</v>
      </c>
      <c r="AW84">
        <v>1</v>
      </c>
      <c r="AX84" t="s">
        <v>74</v>
      </c>
      <c r="AY84" t="s">
        <v>74</v>
      </c>
      <c r="AZ84" t="s">
        <v>74</v>
      </c>
      <c r="BA84" t="s">
        <v>74</v>
      </c>
      <c r="BB84">
        <v>1</v>
      </c>
      <c r="BC84">
        <v>12</v>
      </c>
      <c r="BD84" t="s">
        <v>74</v>
      </c>
      <c r="BE84" t="s">
        <v>1909</v>
      </c>
      <c r="BF84" t="str">
        <f>HYPERLINK("http://dx.doi.org/10.1108/IJCHM-05-2023-0686","http://dx.doi.org/10.1108/IJCHM-05-2023-0686")</f>
        <v>http://dx.doi.org/10.1108/IJCHM-05-2023-0686</v>
      </c>
      <c r="BG84" t="s">
        <v>74</v>
      </c>
      <c r="BH84" t="s">
        <v>1910</v>
      </c>
      <c r="BI84">
        <v>12</v>
      </c>
      <c r="BJ84" t="s">
        <v>773</v>
      </c>
      <c r="BK84" t="s">
        <v>159</v>
      </c>
      <c r="BL84" t="s">
        <v>774</v>
      </c>
      <c r="BM84" t="s">
        <v>1911</v>
      </c>
      <c r="BN84" t="s">
        <v>74</v>
      </c>
      <c r="BO84" t="s">
        <v>74</v>
      </c>
      <c r="BP84" t="s">
        <v>1434</v>
      </c>
      <c r="BQ84" t="s">
        <v>1912</v>
      </c>
      <c r="BR84" t="s">
        <v>101</v>
      </c>
      <c r="BS84" t="s">
        <v>1913</v>
      </c>
      <c r="BT84" t="str">
        <f>HYPERLINK("https%3A%2F%2Fwww.webofscience.com%2Fwos%2Fwoscc%2Ffull-record%2FWOS:001000819400001","View Full Record in Web of Science")</f>
        <v>View Full Record in Web of Science</v>
      </c>
    </row>
    <row r="85" spans="1:72" x14ac:dyDescent="0.2">
      <c r="A85" t="s">
        <v>72</v>
      </c>
      <c r="B85" t="s">
        <v>1914</v>
      </c>
      <c r="C85" t="s">
        <v>74</v>
      </c>
      <c r="D85" t="s">
        <v>308</v>
      </c>
      <c r="E85" t="s">
        <v>74</v>
      </c>
      <c r="F85" t="s">
        <v>1915</v>
      </c>
      <c r="G85" t="s">
        <v>74</v>
      </c>
      <c r="H85" t="s">
        <v>74</v>
      </c>
      <c r="I85" t="s">
        <v>1916</v>
      </c>
      <c r="J85" t="s">
        <v>311</v>
      </c>
      <c r="K85" t="s">
        <v>312</v>
      </c>
      <c r="L85" t="s">
        <v>74</v>
      </c>
      <c r="M85" t="s">
        <v>79</v>
      </c>
      <c r="N85" t="s">
        <v>80</v>
      </c>
      <c r="O85" t="s">
        <v>313</v>
      </c>
      <c r="P85" t="s">
        <v>314</v>
      </c>
      <c r="Q85" t="s">
        <v>315</v>
      </c>
      <c r="R85" t="s">
        <v>74</v>
      </c>
      <c r="S85" t="s">
        <v>74</v>
      </c>
      <c r="T85" t="s">
        <v>1917</v>
      </c>
      <c r="U85" t="s">
        <v>1918</v>
      </c>
      <c r="V85" t="s">
        <v>1919</v>
      </c>
      <c r="W85" t="s">
        <v>1920</v>
      </c>
      <c r="X85" t="s">
        <v>1921</v>
      </c>
      <c r="Y85" t="s">
        <v>1922</v>
      </c>
      <c r="Z85" t="s">
        <v>1923</v>
      </c>
      <c r="AA85" t="s">
        <v>74</v>
      </c>
      <c r="AB85" t="s">
        <v>74</v>
      </c>
      <c r="AC85" t="s">
        <v>74</v>
      </c>
      <c r="AD85" t="s">
        <v>74</v>
      </c>
      <c r="AE85" t="s">
        <v>74</v>
      </c>
      <c r="AF85" t="s">
        <v>74</v>
      </c>
      <c r="AG85">
        <v>77</v>
      </c>
      <c r="AH85">
        <v>0</v>
      </c>
      <c r="AI85">
        <v>0</v>
      </c>
      <c r="AJ85">
        <v>1</v>
      </c>
      <c r="AK85">
        <v>1</v>
      </c>
      <c r="AL85" t="s">
        <v>325</v>
      </c>
      <c r="AM85" t="s">
        <v>245</v>
      </c>
      <c r="AN85" t="s">
        <v>246</v>
      </c>
      <c r="AO85" t="s">
        <v>326</v>
      </c>
      <c r="AP85" t="s">
        <v>327</v>
      </c>
      <c r="AQ85" t="s">
        <v>328</v>
      </c>
      <c r="AR85" t="s">
        <v>329</v>
      </c>
      <c r="AS85" t="s">
        <v>74</v>
      </c>
      <c r="AT85" t="s">
        <v>74</v>
      </c>
      <c r="AU85">
        <v>2023</v>
      </c>
      <c r="AV85">
        <v>14059</v>
      </c>
      <c r="AW85" t="s">
        <v>74</v>
      </c>
      <c r="AX85" t="s">
        <v>74</v>
      </c>
      <c r="AY85" t="s">
        <v>74</v>
      </c>
      <c r="AZ85" t="s">
        <v>74</v>
      </c>
      <c r="BA85" t="s">
        <v>74</v>
      </c>
      <c r="BB85">
        <v>211</v>
      </c>
      <c r="BC85">
        <v>231</v>
      </c>
      <c r="BD85" t="s">
        <v>74</v>
      </c>
      <c r="BE85" t="s">
        <v>1924</v>
      </c>
      <c r="BF85" t="str">
        <f>HYPERLINK("http://dx.doi.org/10.1007/978-3-031-48057-7_14","http://dx.doi.org/10.1007/978-3-031-48057-7_14")</f>
        <v>http://dx.doi.org/10.1007/978-3-031-48057-7_14</v>
      </c>
      <c r="BG85" t="s">
        <v>74</v>
      </c>
      <c r="BH85" t="s">
        <v>74</v>
      </c>
      <c r="BI85">
        <v>21</v>
      </c>
      <c r="BJ85" t="s">
        <v>331</v>
      </c>
      <c r="BK85" t="s">
        <v>98</v>
      </c>
      <c r="BL85" t="s">
        <v>99</v>
      </c>
      <c r="BM85" t="s">
        <v>332</v>
      </c>
      <c r="BN85" t="s">
        <v>74</v>
      </c>
      <c r="BO85" t="s">
        <v>74</v>
      </c>
      <c r="BP85" t="s">
        <v>74</v>
      </c>
      <c r="BQ85" t="s">
        <v>74</v>
      </c>
      <c r="BR85" t="s">
        <v>101</v>
      </c>
      <c r="BS85" t="s">
        <v>1925</v>
      </c>
      <c r="BT85" t="str">
        <f>HYPERLINK("https%3A%2F%2Fwww.webofscience.com%2Fwos%2Fwoscc%2Ffull-record%2FWOS:001159622900014","View Full Record in Web of Science")</f>
        <v>View Full Record in Web of Science</v>
      </c>
    </row>
    <row r="86" spans="1:72" x14ac:dyDescent="0.2">
      <c r="A86" t="s">
        <v>103</v>
      </c>
      <c r="B86" t="s">
        <v>1926</v>
      </c>
      <c r="C86" t="s">
        <v>74</v>
      </c>
      <c r="D86" t="s">
        <v>74</v>
      </c>
      <c r="E86" t="s">
        <v>74</v>
      </c>
      <c r="F86" t="s">
        <v>1927</v>
      </c>
      <c r="G86" t="s">
        <v>74</v>
      </c>
      <c r="H86" t="s">
        <v>74</v>
      </c>
      <c r="I86" t="s">
        <v>1928</v>
      </c>
      <c r="J86" t="s">
        <v>1929</v>
      </c>
      <c r="K86" t="s">
        <v>74</v>
      </c>
      <c r="L86" t="s">
        <v>74</v>
      </c>
      <c r="M86" t="s">
        <v>79</v>
      </c>
      <c r="N86" t="s">
        <v>138</v>
      </c>
      <c r="O86" t="s">
        <v>74</v>
      </c>
      <c r="P86" t="s">
        <v>74</v>
      </c>
      <c r="Q86" t="s">
        <v>74</v>
      </c>
      <c r="R86" t="s">
        <v>74</v>
      </c>
      <c r="S86" t="s">
        <v>74</v>
      </c>
      <c r="T86" t="s">
        <v>1930</v>
      </c>
      <c r="U86" t="s">
        <v>1931</v>
      </c>
      <c r="V86" t="s">
        <v>1932</v>
      </c>
      <c r="W86" t="s">
        <v>1933</v>
      </c>
      <c r="X86" t="s">
        <v>1934</v>
      </c>
      <c r="Y86" t="s">
        <v>1935</v>
      </c>
      <c r="Z86" t="s">
        <v>1936</v>
      </c>
      <c r="AA86" t="s">
        <v>74</v>
      </c>
      <c r="AB86" t="s">
        <v>1937</v>
      </c>
      <c r="AC86" t="s">
        <v>1938</v>
      </c>
      <c r="AD86" t="s">
        <v>1939</v>
      </c>
      <c r="AE86" t="s">
        <v>1940</v>
      </c>
      <c r="AF86" t="s">
        <v>74</v>
      </c>
      <c r="AG86">
        <v>34</v>
      </c>
      <c r="AH86">
        <v>0</v>
      </c>
      <c r="AI86">
        <v>0</v>
      </c>
      <c r="AJ86">
        <v>47</v>
      </c>
      <c r="AK86">
        <v>47</v>
      </c>
      <c r="AL86" t="s">
        <v>343</v>
      </c>
      <c r="AM86" t="s">
        <v>521</v>
      </c>
      <c r="AN86" t="s">
        <v>522</v>
      </c>
      <c r="AO86" t="s">
        <v>1941</v>
      </c>
      <c r="AP86" t="s">
        <v>1942</v>
      </c>
      <c r="AQ86" t="s">
        <v>74</v>
      </c>
      <c r="AR86" t="s">
        <v>1943</v>
      </c>
      <c r="AS86" t="s">
        <v>1944</v>
      </c>
      <c r="AT86" t="s">
        <v>1945</v>
      </c>
      <c r="AU86">
        <v>2023</v>
      </c>
      <c r="AV86" t="s">
        <v>74</v>
      </c>
      <c r="AW86" t="s">
        <v>74</v>
      </c>
      <c r="AX86" t="s">
        <v>74</v>
      </c>
      <c r="AY86" t="s">
        <v>74</v>
      </c>
      <c r="AZ86" t="s">
        <v>74</v>
      </c>
      <c r="BA86" t="s">
        <v>74</v>
      </c>
      <c r="BB86" t="s">
        <v>74</v>
      </c>
      <c r="BC86" t="s">
        <v>74</v>
      </c>
      <c r="BD86" t="s">
        <v>74</v>
      </c>
      <c r="BE86" t="s">
        <v>1946</v>
      </c>
      <c r="BF86" t="str">
        <f>HYPERLINK("http://dx.doi.org/10.1007/s11187-023-00829-4","http://dx.doi.org/10.1007/s11187-023-00829-4")</f>
        <v>http://dx.doi.org/10.1007/s11187-023-00829-4</v>
      </c>
      <c r="BG86" t="s">
        <v>74</v>
      </c>
      <c r="BH86" t="s">
        <v>157</v>
      </c>
      <c r="BI86">
        <v>29</v>
      </c>
      <c r="BJ86" t="s">
        <v>1947</v>
      </c>
      <c r="BK86" t="s">
        <v>159</v>
      </c>
      <c r="BL86" t="s">
        <v>470</v>
      </c>
      <c r="BM86" t="s">
        <v>1948</v>
      </c>
      <c r="BN86" t="s">
        <v>74</v>
      </c>
      <c r="BO86" t="s">
        <v>161</v>
      </c>
      <c r="BP86" t="s">
        <v>74</v>
      </c>
      <c r="BQ86" t="s">
        <v>74</v>
      </c>
      <c r="BR86" t="s">
        <v>101</v>
      </c>
      <c r="BS86" t="s">
        <v>1949</v>
      </c>
      <c r="BT86" t="str">
        <f>HYPERLINK("https%3A%2F%2Fwww.webofscience.com%2Fwos%2Fwoscc%2Ffull-record%2FWOS:001101157000001","View Full Record in Web of Science")</f>
        <v>View Full Record in Web of Science</v>
      </c>
    </row>
    <row r="87" spans="1:72" x14ac:dyDescent="0.2">
      <c r="A87" t="s">
        <v>103</v>
      </c>
      <c r="B87" t="s">
        <v>1950</v>
      </c>
      <c r="C87" t="s">
        <v>74</v>
      </c>
      <c r="D87" t="s">
        <v>74</v>
      </c>
      <c r="E87" t="s">
        <v>74</v>
      </c>
      <c r="F87" t="s">
        <v>1951</v>
      </c>
      <c r="G87" t="s">
        <v>74</v>
      </c>
      <c r="H87" t="s">
        <v>74</v>
      </c>
      <c r="I87" t="s">
        <v>1952</v>
      </c>
      <c r="J87" t="s">
        <v>1953</v>
      </c>
      <c r="K87" t="s">
        <v>74</v>
      </c>
      <c r="L87" t="s">
        <v>74</v>
      </c>
      <c r="M87" t="s">
        <v>79</v>
      </c>
      <c r="N87" t="s">
        <v>108</v>
      </c>
      <c r="O87" t="s">
        <v>74</v>
      </c>
      <c r="P87" t="s">
        <v>74</v>
      </c>
      <c r="Q87" t="s">
        <v>74</v>
      </c>
      <c r="R87" t="s">
        <v>74</v>
      </c>
      <c r="S87" t="s">
        <v>74</v>
      </c>
      <c r="T87" t="s">
        <v>1954</v>
      </c>
      <c r="U87" t="s">
        <v>1955</v>
      </c>
      <c r="V87" t="s">
        <v>1956</v>
      </c>
      <c r="W87" t="s">
        <v>1957</v>
      </c>
      <c r="X87" t="s">
        <v>1958</v>
      </c>
      <c r="Y87" t="s">
        <v>1959</v>
      </c>
      <c r="Z87" t="s">
        <v>1960</v>
      </c>
      <c r="AA87" t="s">
        <v>74</v>
      </c>
      <c r="AB87" t="s">
        <v>74</v>
      </c>
      <c r="AC87" t="s">
        <v>74</v>
      </c>
      <c r="AD87" t="s">
        <v>74</v>
      </c>
      <c r="AE87" t="s">
        <v>74</v>
      </c>
      <c r="AF87" t="s">
        <v>74</v>
      </c>
      <c r="AG87">
        <v>74</v>
      </c>
      <c r="AH87">
        <v>2</v>
      </c>
      <c r="AI87">
        <v>2</v>
      </c>
      <c r="AJ87">
        <v>14</v>
      </c>
      <c r="AK87">
        <v>14</v>
      </c>
      <c r="AL87" t="s">
        <v>1961</v>
      </c>
      <c r="AM87" t="s">
        <v>1962</v>
      </c>
      <c r="AN87" t="s">
        <v>1963</v>
      </c>
      <c r="AO87" t="s">
        <v>1964</v>
      </c>
      <c r="AP87" t="s">
        <v>1965</v>
      </c>
      <c r="AQ87" t="s">
        <v>74</v>
      </c>
      <c r="AR87" t="s">
        <v>1966</v>
      </c>
      <c r="AS87" t="s">
        <v>1967</v>
      </c>
      <c r="AT87" t="s">
        <v>276</v>
      </c>
      <c r="AU87">
        <v>2023</v>
      </c>
      <c r="AV87">
        <v>54</v>
      </c>
      <c r="AW87">
        <v>10</v>
      </c>
      <c r="AX87" t="s">
        <v>74</v>
      </c>
      <c r="AY87" t="s">
        <v>74</v>
      </c>
      <c r="AZ87" t="s">
        <v>74</v>
      </c>
      <c r="BA87" t="s">
        <v>74</v>
      </c>
      <c r="BB87">
        <v>1535</v>
      </c>
      <c r="BC87">
        <v>1560</v>
      </c>
      <c r="BD87" t="s">
        <v>74</v>
      </c>
      <c r="BE87" t="s">
        <v>1968</v>
      </c>
      <c r="BF87" t="str">
        <f>HYPERLINK("http://dx.doi.org/10.1007/s40319-023-01399-4","http://dx.doi.org/10.1007/s40319-023-01399-4")</f>
        <v>http://dx.doi.org/10.1007/s40319-023-01399-4</v>
      </c>
      <c r="BG87" t="s">
        <v>74</v>
      </c>
      <c r="BH87" t="s">
        <v>157</v>
      </c>
      <c r="BI87">
        <v>26</v>
      </c>
      <c r="BJ87" t="s">
        <v>1135</v>
      </c>
      <c r="BK87" t="s">
        <v>352</v>
      </c>
      <c r="BL87" t="s">
        <v>1136</v>
      </c>
      <c r="BM87" t="s">
        <v>1969</v>
      </c>
      <c r="BN87" t="s">
        <v>74</v>
      </c>
      <c r="BO87" t="s">
        <v>161</v>
      </c>
      <c r="BP87" t="s">
        <v>74</v>
      </c>
      <c r="BQ87" t="s">
        <v>74</v>
      </c>
      <c r="BR87" t="s">
        <v>101</v>
      </c>
      <c r="BS87" t="s">
        <v>1970</v>
      </c>
      <c r="BT87" t="str">
        <f>HYPERLINK("https%3A%2F%2Fwww.webofscience.com%2Fwos%2Fwoscc%2Ffull-record%2FWOS:001101000100001","View Full Record in Web of Science")</f>
        <v>View Full Record in Web of Science</v>
      </c>
    </row>
    <row r="88" spans="1:72" x14ac:dyDescent="0.2">
      <c r="A88" t="s">
        <v>103</v>
      </c>
      <c r="B88" t="s">
        <v>1971</v>
      </c>
      <c r="C88" t="s">
        <v>74</v>
      </c>
      <c r="D88" t="s">
        <v>74</v>
      </c>
      <c r="E88" t="s">
        <v>74</v>
      </c>
      <c r="F88" t="s">
        <v>1972</v>
      </c>
      <c r="G88" t="s">
        <v>74</v>
      </c>
      <c r="H88" t="s">
        <v>74</v>
      </c>
      <c r="I88" t="s">
        <v>1973</v>
      </c>
      <c r="J88" t="s">
        <v>1974</v>
      </c>
      <c r="K88" t="s">
        <v>74</v>
      </c>
      <c r="L88" t="s">
        <v>74</v>
      </c>
      <c r="M88" t="s">
        <v>79</v>
      </c>
      <c r="N88" t="s">
        <v>108</v>
      </c>
      <c r="O88" t="s">
        <v>74</v>
      </c>
      <c r="P88" t="s">
        <v>74</v>
      </c>
      <c r="Q88" t="s">
        <v>74</v>
      </c>
      <c r="R88" t="s">
        <v>74</v>
      </c>
      <c r="S88" t="s">
        <v>74</v>
      </c>
      <c r="T88" t="s">
        <v>1975</v>
      </c>
      <c r="U88" t="s">
        <v>1976</v>
      </c>
      <c r="V88" t="s">
        <v>1977</v>
      </c>
      <c r="W88" t="s">
        <v>1978</v>
      </c>
      <c r="X88" t="s">
        <v>1979</v>
      </c>
      <c r="Y88" t="s">
        <v>1980</v>
      </c>
      <c r="Z88" t="s">
        <v>1981</v>
      </c>
      <c r="AA88" t="s">
        <v>1982</v>
      </c>
      <c r="AB88" t="s">
        <v>1983</v>
      </c>
      <c r="AC88" t="s">
        <v>1984</v>
      </c>
      <c r="AD88" t="s">
        <v>1985</v>
      </c>
      <c r="AE88" t="s">
        <v>1986</v>
      </c>
      <c r="AF88" t="s">
        <v>74</v>
      </c>
      <c r="AG88">
        <v>86</v>
      </c>
      <c r="AH88">
        <v>1</v>
      </c>
      <c r="AI88">
        <v>1</v>
      </c>
      <c r="AJ88">
        <v>11</v>
      </c>
      <c r="AK88">
        <v>28</v>
      </c>
      <c r="AL88" t="s">
        <v>1987</v>
      </c>
      <c r="AM88" t="s">
        <v>149</v>
      </c>
      <c r="AN88" t="s">
        <v>1988</v>
      </c>
      <c r="AO88" t="s">
        <v>1989</v>
      </c>
      <c r="AP88" t="s">
        <v>74</v>
      </c>
      <c r="AQ88" t="s">
        <v>74</v>
      </c>
      <c r="AR88" t="s">
        <v>1990</v>
      </c>
      <c r="AS88" t="s">
        <v>1991</v>
      </c>
      <c r="AT88" t="s">
        <v>1992</v>
      </c>
      <c r="AU88">
        <v>2023</v>
      </c>
      <c r="AV88">
        <v>15</v>
      </c>
      <c r="AW88">
        <v>1</v>
      </c>
      <c r="AX88" t="s">
        <v>74</v>
      </c>
      <c r="AY88" t="s">
        <v>74</v>
      </c>
      <c r="AZ88" t="s">
        <v>74</v>
      </c>
      <c r="BA88" t="s">
        <v>74</v>
      </c>
      <c r="BB88" t="s">
        <v>74</v>
      </c>
      <c r="BC88" t="s">
        <v>74</v>
      </c>
      <c r="BD88">
        <v>42</v>
      </c>
      <c r="BE88" t="s">
        <v>1993</v>
      </c>
      <c r="BF88" t="str">
        <f>HYPERLINK("http://dx.doi.org/10.1186/s13321-023-00711-1","http://dx.doi.org/10.1186/s13321-023-00711-1")</f>
        <v>http://dx.doi.org/10.1186/s13321-023-00711-1</v>
      </c>
      <c r="BG88" t="s">
        <v>74</v>
      </c>
      <c r="BH88" t="s">
        <v>74</v>
      </c>
      <c r="BI88">
        <v>14</v>
      </c>
      <c r="BJ88" t="s">
        <v>1994</v>
      </c>
      <c r="BK88" t="s">
        <v>130</v>
      </c>
      <c r="BL88" t="s">
        <v>1995</v>
      </c>
      <c r="BM88" t="s">
        <v>1996</v>
      </c>
      <c r="BN88">
        <v>37031191</v>
      </c>
      <c r="BO88" t="s">
        <v>1728</v>
      </c>
      <c r="BP88" t="s">
        <v>74</v>
      </c>
      <c r="BQ88" t="s">
        <v>74</v>
      </c>
      <c r="BR88" t="s">
        <v>101</v>
      </c>
      <c r="BS88" t="s">
        <v>1997</v>
      </c>
      <c r="BT88" t="str">
        <f>HYPERLINK("https%3A%2F%2Fwww.webofscience.com%2Fwos%2Fwoscc%2Ffull-record%2FWOS:000966066000001","View Full Record in Web of Science")</f>
        <v>View Full Record in Web of Science</v>
      </c>
    </row>
    <row r="89" spans="1:72" x14ac:dyDescent="0.2">
      <c r="A89" t="s">
        <v>103</v>
      </c>
      <c r="B89" t="s">
        <v>1998</v>
      </c>
      <c r="C89" t="s">
        <v>74</v>
      </c>
      <c r="D89" t="s">
        <v>74</v>
      </c>
      <c r="E89" t="s">
        <v>74</v>
      </c>
      <c r="F89" t="s">
        <v>1999</v>
      </c>
      <c r="G89" t="s">
        <v>74</v>
      </c>
      <c r="H89" t="s">
        <v>74</v>
      </c>
      <c r="I89" t="s">
        <v>2000</v>
      </c>
      <c r="J89" t="s">
        <v>2001</v>
      </c>
      <c r="K89" t="s">
        <v>74</v>
      </c>
      <c r="L89" t="s">
        <v>74</v>
      </c>
      <c r="M89" t="s">
        <v>79</v>
      </c>
      <c r="N89" t="s">
        <v>108</v>
      </c>
      <c r="O89" t="s">
        <v>74</v>
      </c>
      <c r="P89" t="s">
        <v>74</v>
      </c>
      <c r="Q89" t="s">
        <v>74</v>
      </c>
      <c r="R89" t="s">
        <v>74</v>
      </c>
      <c r="S89" t="s">
        <v>74</v>
      </c>
      <c r="T89" t="s">
        <v>2002</v>
      </c>
      <c r="U89" t="s">
        <v>2003</v>
      </c>
      <c r="V89" t="s">
        <v>2004</v>
      </c>
      <c r="W89" t="s">
        <v>2005</v>
      </c>
      <c r="X89" t="s">
        <v>2006</v>
      </c>
      <c r="Y89" t="s">
        <v>2007</v>
      </c>
      <c r="Z89" t="s">
        <v>2008</v>
      </c>
      <c r="AA89" t="s">
        <v>2009</v>
      </c>
      <c r="AB89" t="s">
        <v>74</v>
      </c>
      <c r="AC89" t="s">
        <v>74</v>
      </c>
      <c r="AD89" t="s">
        <v>74</v>
      </c>
      <c r="AE89" t="s">
        <v>74</v>
      </c>
      <c r="AF89" t="s">
        <v>74</v>
      </c>
      <c r="AG89">
        <v>120</v>
      </c>
      <c r="AH89">
        <v>0</v>
      </c>
      <c r="AI89">
        <v>0</v>
      </c>
      <c r="AJ89">
        <v>71</v>
      </c>
      <c r="AK89">
        <v>71</v>
      </c>
      <c r="AL89" t="s">
        <v>2010</v>
      </c>
      <c r="AM89" t="s">
        <v>93</v>
      </c>
      <c r="AN89" t="s">
        <v>2011</v>
      </c>
      <c r="AO89" t="s">
        <v>2012</v>
      </c>
      <c r="AP89" t="s">
        <v>2013</v>
      </c>
      <c r="AQ89" t="s">
        <v>74</v>
      </c>
      <c r="AR89" t="s">
        <v>2014</v>
      </c>
      <c r="AS89" t="s">
        <v>2015</v>
      </c>
      <c r="AT89" t="s">
        <v>2016</v>
      </c>
      <c r="AU89">
        <v>2024</v>
      </c>
      <c r="AV89">
        <v>198</v>
      </c>
      <c r="AW89" t="s">
        <v>74</v>
      </c>
      <c r="AX89" t="s">
        <v>74</v>
      </c>
      <c r="AY89" t="s">
        <v>74</v>
      </c>
      <c r="AZ89" t="s">
        <v>74</v>
      </c>
      <c r="BA89" t="s">
        <v>74</v>
      </c>
      <c r="BB89" t="s">
        <v>74</v>
      </c>
      <c r="BC89" t="s">
        <v>74</v>
      </c>
      <c r="BD89">
        <v>122951</v>
      </c>
      <c r="BE89" t="s">
        <v>2017</v>
      </c>
      <c r="BF89" t="str">
        <f>HYPERLINK("http://dx.doi.org/10.1016/j.techfore.2023.122951","http://dx.doi.org/10.1016/j.techfore.2023.122951")</f>
        <v>http://dx.doi.org/10.1016/j.techfore.2023.122951</v>
      </c>
      <c r="BG89" t="s">
        <v>74</v>
      </c>
      <c r="BH89" t="s">
        <v>1886</v>
      </c>
      <c r="BI89">
        <v>16</v>
      </c>
      <c r="BJ89" t="s">
        <v>2018</v>
      </c>
      <c r="BK89" t="s">
        <v>159</v>
      </c>
      <c r="BL89" t="s">
        <v>2019</v>
      </c>
      <c r="BM89" t="s">
        <v>2020</v>
      </c>
      <c r="BN89" t="s">
        <v>74</v>
      </c>
      <c r="BO89" t="s">
        <v>74</v>
      </c>
      <c r="BP89" t="s">
        <v>74</v>
      </c>
      <c r="BQ89" t="s">
        <v>74</v>
      </c>
      <c r="BR89" t="s">
        <v>101</v>
      </c>
      <c r="BS89" t="s">
        <v>2021</v>
      </c>
      <c r="BT89" t="str">
        <f>HYPERLINK("https%3A%2F%2Fwww.webofscience.com%2Fwos%2Fwoscc%2Ffull-record%2FWOS:001108689100001","View Full Record in Web of Science")</f>
        <v>View Full Record in Web of Science</v>
      </c>
    </row>
    <row r="90" spans="1:72" x14ac:dyDescent="0.2">
      <c r="A90" t="s">
        <v>103</v>
      </c>
      <c r="B90" t="s">
        <v>2022</v>
      </c>
      <c r="C90" t="s">
        <v>74</v>
      </c>
      <c r="D90" t="s">
        <v>74</v>
      </c>
      <c r="E90" t="s">
        <v>74</v>
      </c>
      <c r="F90" t="s">
        <v>2023</v>
      </c>
      <c r="G90" t="s">
        <v>74</v>
      </c>
      <c r="H90" t="s">
        <v>74</v>
      </c>
      <c r="I90" t="s">
        <v>2024</v>
      </c>
      <c r="J90" t="s">
        <v>2025</v>
      </c>
      <c r="K90" t="s">
        <v>74</v>
      </c>
      <c r="L90" t="s">
        <v>74</v>
      </c>
      <c r="M90" t="s">
        <v>79</v>
      </c>
      <c r="N90" t="s">
        <v>138</v>
      </c>
      <c r="O90" t="s">
        <v>74</v>
      </c>
      <c r="P90" t="s">
        <v>74</v>
      </c>
      <c r="Q90" t="s">
        <v>74</v>
      </c>
      <c r="R90" t="s">
        <v>74</v>
      </c>
      <c r="S90" t="s">
        <v>74</v>
      </c>
      <c r="T90" t="s">
        <v>2026</v>
      </c>
      <c r="U90" t="s">
        <v>74</v>
      </c>
      <c r="V90" t="s">
        <v>2027</v>
      </c>
      <c r="W90" t="s">
        <v>2028</v>
      </c>
      <c r="X90" t="s">
        <v>2029</v>
      </c>
      <c r="Y90" t="s">
        <v>2030</v>
      </c>
      <c r="Z90" t="s">
        <v>2031</v>
      </c>
      <c r="AA90" t="s">
        <v>74</v>
      </c>
      <c r="AB90" t="s">
        <v>74</v>
      </c>
      <c r="AC90" t="s">
        <v>74</v>
      </c>
      <c r="AD90" t="s">
        <v>74</v>
      </c>
      <c r="AE90" t="s">
        <v>74</v>
      </c>
      <c r="AF90" t="s">
        <v>74</v>
      </c>
      <c r="AG90">
        <v>10</v>
      </c>
      <c r="AH90">
        <v>0</v>
      </c>
      <c r="AI90">
        <v>0</v>
      </c>
      <c r="AJ90">
        <v>8</v>
      </c>
      <c r="AK90">
        <v>8</v>
      </c>
      <c r="AL90" t="s">
        <v>2032</v>
      </c>
      <c r="AM90" t="s">
        <v>149</v>
      </c>
      <c r="AN90" t="s">
        <v>2033</v>
      </c>
      <c r="AO90" t="s">
        <v>2034</v>
      </c>
      <c r="AP90" t="s">
        <v>2035</v>
      </c>
      <c r="AQ90" t="s">
        <v>74</v>
      </c>
      <c r="AR90" t="s">
        <v>2036</v>
      </c>
      <c r="AS90" t="s">
        <v>2037</v>
      </c>
      <c r="AT90" t="s">
        <v>2038</v>
      </c>
      <c r="AU90">
        <v>2023</v>
      </c>
      <c r="AV90" t="s">
        <v>74</v>
      </c>
      <c r="AW90" t="s">
        <v>74</v>
      </c>
      <c r="AX90" t="s">
        <v>74</v>
      </c>
      <c r="AY90" t="s">
        <v>74</v>
      </c>
      <c r="AZ90" t="s">
        <v>74</v>
      </c>
      <c r="BA90" t="s">
        <v>74</v>
      </c>
      <c r="BB90" t="s">
        <v>74</v>
      </c>
      <c r="BC90" t="s">
        <v>74</v>
      </c>
      <c r="BD90" t="s">
        <v>74</v>
      </c>
      <c r="BE90" t="s">
        <v>2039</v>
      </c>
      <c r="BF90" t="str">
        <f>HYPERLINK("http://dx.doi.org/10.1007/s40889-023-00179-5","http://dx.doi.org/10.1007/s40889-023-00179-5")</f>
        <v>http://dx.doi.org/10.1007/s40889-023-00179-5</v>
      </c>
      <c r="BG90" t="s">
        <v>74</v>
      </c>
      <c r="BH90" t="s">
        <v>1886</v>
      </c>
      <c r="BI90">
        <v>7</v>
      </c>
      <c r="BJ90" t="s">
        <v>2040</v>
      </c>
      <c r="BK90" t="s">
        <v>352</v>
      </c>
      <c r="BL90" t="s">
        <v>2041</v>
      </c>
      <c r="BM90" t="s">
        <v>2042</v>
      </c>
      <c r="BN90" t="s">
        <v>74</v>
      </c>
      <c r="BO90" t="s">
        <v>74</v>
      </c>
      <c r="BP90" t="s">
        <v>74</v>
      </c>
      <c r="BQ90" t="s">
        <v>74</v>
      </c>
      <c r="BR90" t="s">
        <v>101</v>
      </c>
      <c r="BS90" t="s">
        <v>2043</v>
      </c>
      <c r="BT90" t="str">
        <f>HYPERLINK("https%3A%2F%2Fwww.webofscience.com%2Fwos%2Fwoscc%2Ffull-record%2FWOS:001084800900001","View Full Record in Web of Science")</f>
        <v>View Full Record in Web of Science</v>
      </c>
    </row>
    <row r="91" spans="1:72" x14ac:dyDescent="0.2">
      <c r="A91" t="s">
        <v>103</v>
      </c>
      <c r="B91" t="s">
        <v>2044</v>
      </c>
      <c r="C91" t="s">
        <v>74</v>
      </c>
      <c r="D91" t="s">
        <v>74</v>
      </c>
      <c r="E91" t="s">
        <v>74</v>
      </c>
      <c r="F91" t="s">
        <v>2045</v>
      </c>
      <c r="G91" t="s">
        <v>74</v>
      </c>
      <c r="H91" t="s">
        <v>74</v>
      </c>
      <c r="I91" t="s">
        <v>2046</v>
      </c>
      <c r="J91" t="s">
        <v>2047</v>
      </c>
      <c r="K91" t="s">
        <v>74</v>
      </c>
      <c r="L91" t="s">
        <v>74</v>
      </c>
      <c r="M91" t="s">
        <v>79</v>
      </c>
      <c r="N91" t="s">
        <v>108</v>
      </c>
      <c r="O91" t="s">
        <v>74</v>
      </c>
      <c r="P91" t="s">
        <v>74</v>
      </c>
      <c r="Q91" t="s">
        <v>74</v>
      </c>
      <c r="R91" t="s">
        <v>74</v>
      </c>
      <c r="S91" t="s">
        <v>74</v>
      </c>
      <c r="T91" t="s">
        <v>2048</v>
      </c>
      <c r="U91" t="s">
        <v>74</v>
      </c>
      <c r="V91" t="s">
        <v>2049</v>
      </c>
      <c r="W91" t="s">
        <v>2050</v>
      </c>
      <c r="X91" t="s">
        <v>2051</v>
      </c>
      <c r="Y91" t="s">
        <v>2052</v>
      </c>
      <c r="Z91" t="s">
        <v>2053</v>
      </c>
      <c r="AA91" t="s">
        <v>2054</v>
      </c>
      <c r="AB91" t="s">
        <v>2055</v>
      </c>
      <c r="AC91" t="s">
        <v>2056</v>
      </c>
      <c r="AD91" t="s">
        <v>2057</v>
      </c>
      <c r="AE91" t="s">
        <v>2058</v>
      </c>
      <c r="AF91" t="s">
        <v>74</v>
      </c>
      <c r="AG91">
        <v>76</v>
      </c>
      <c r="AH91">
        <v>1</v>
      </c>
      <c r="AI91">
        <v>1</v>
      </c>
      <c r="AJ91">
        <v>43</v>
      </c>
      <c r="AK91">
        <v>43</v>
      </c>
      <c r="AL91" t="s">
        <v>119</v>
      </c>
      <c r="AM91" t="s">
        <v>120</v>
      </c>
      <c r="AN91" t="s">
        <v>121</v>
      </c>
      <c r="AO91" t="s">
        <v>2059</v>
      </c>
      <c r="AP91" t="s">
        <v>2060</v>
      </c>
      <c r="AQ91" t="s">
        <v>74</v>
      </c>
      <c r="AR91" t="s">
        <v>2061</v>
      </c>
      <c r="AS91" t="s">
        <v>2062</v>
      </c>
      <c r="AT91" t="s">
        <v>445</v>
      </c>
      <c r="AU91">
        <v>2024</v>
      </c>
      <c r="AV91">
        <v>211</v>
      </c>
      <c r="AW91" t="s">
        <v>74</v>
      </c>
      <c r="AX91" t="s">
        <v>74</v>
      </c>
      <c r="AY91" t="s">
        <v>74</v>
      </c>
      <c r="AZ91" t="s">
        <v>74</v>
      </c>
      <c r="BA91" t="s">
        <v>74</v>
      </c>
      <c r="BB91" t="s">
        <v>74</v>
      </c>
      <c r="BC91" t="s">
        <v>74</v>
      </c>
      <c r="BD91">
        <v>104977</v>
      </c>
      <c r="BE91" t="s">
        <v>2063</v>
      </c>
      <c r="BF91" t="str">
        <f>HYPERLINK("http://dx.doi.org/10.1016/j.compedu.2023.104977","http://dx.doi.org/10.1016/j.compedu.2023.104977")</f>
        <v>http://dx.doi.org/10.1016/j.compedu.2023.104977</v>
      </c>
      <c r="BG91" t="s">
        <v>74</v>
      </c>
      <c r="BH91" t="s">
        <v>128</v>
      </c>
      <c r="BI91">
        <v>21</v>
      </c>
      <c r="BJ91" t="s">
        <v>2064</v>
      </c>
      <c r="BK91" t="s">
        <v>947</v>
      </c>
      <c r="BL91" t="s">
        <v>1187</v>
      </c>
      <c r="BM91" t="s">
        <v>2065</v>
      </c>
      <c r="BN91" t="s">
        <v>74</v>
      </c>
      <c r="BO91" t="s">
        <v>74</v>
      </c>
      <c r="BP91" t="s">
        <v>74</v>
      </c>
      <c r="BQ91" t="s">
        <v>74</v>
      </c>
      <c r="BR91" t="s">
        <v>101</v>
      </c>
      <c r="BS91" t="s">
        <v>2066</v>
      </c>
      <c r="BT91" t="str">
        <f>HYPERLINK("https%3A%2F%2Fwww.webofscience.com%2Fwos%2Fwoscc%2Ffull-record%2FWOS:001165366200001","View Full Record in Web of Science")</f>
        <v>View Full Record in Web of Science</v>
      </c>
    </row>
    <row r="92" spans="1:72" x14ac:dyDescent="0.2">
      <c r="A92" t="s">
        <v>103</v>
      </c>
      <c r="B92" t="s">
        <v>2067</v>
      </c>
      <c r="C92" t="s">
        <v>74</v>
      </c>
      <c r="D92" t="s">
        <v>74</v>
      </c>
      <c r="E92" t="s">
        <v>74</v>
      </c>
      <c r="F92" t="s">
        <v>2068</v>
      </c>
      <c r="G92" t="s">
        <v>74</v>
      </c>
      <c r="H92" t="s">
        <v>74</v>
      </c>
      <c r="I92" t="s">
        <v>2069</v>
      </c>
      <c r="J92" t="s">
        <v>2070</v>
      </c>
      <c r="K92" t="s">
        <v>74</v>
      </c>
      <c r="L92" t="s">
        <v>74</v>
      </c>
      <c r="M92" t="s">
        <v>79</v>
      </c>
      <c r="N92" t="s">
        <v>108</v>
      </c>
      <c r="O92" t="s">
        <v>74</v>
      </c>
      <c r="P92" t="s">
        <v>74</v>
      </c>
      <c r="Q92" t="s">
        <v>74</v>
      </c>
      <c r="R92" t="s">
        <v>74</v>
      </c>
      <c r="S92" t="s">
        <v>74</v>
      </c>
      <c r="T92" t="s">
        <v>2071</v>
      </c>
      <c r="U92" t="s">
        <v>74</v>
      </c>
      <c r="V92" t="s">
        <v>2072</v>
      </c>
      <c r="W92" t="s">
        <v>2073</v>
      </c>
      <c r="X92" t="s">
        <v>74</v>
      </c>
      <c r="Y92" t="s">
        <v>2074</v>
      </c>
      <c r="Z92" t="s">
        <v>74</v>
      </c>
      <c r="AA92" t="s">
        <v>74</v>
      </c>
      <c r="AB92" t="s">
        <v>74</v>
      </c>
      <c r="AC92" t="s">
        <v>2075</v>
      </c>
      <c r="AD92" t="s">
        <v>2075</v>
      </c>
      <c r="AE92" t="s">
        <v>2075</v>
      </c>
      <c r="AF92" t="s">
        <v>74</v>
      </c>
      <c r="AG92">
        <v>103</v>
      </c>
      <c r="AH92">
        <v>1</v>
      </c>
      <c r="AI92">
        <v>1</v>
      </c>
      <c r="AJ92">
        <v>34</v>
      </c>
      <c r="AK92">
        <v>34</v>
      </c>
      <c r="AL92" t="s">
        <v>737</v>
      </c>
      <c r="AM92" t="s">
        <v>738</v>
      </c>
      <c r="AN92" t="s">
        <v>739</v>
      </c>
      <c r="AO92" t="s">
        <v>2076</v>
      </c>
      <c r="AP92" t="s">
        <v>2077</v>
      </c>
      <c r="AQ92" t="s">
        <v>74</v>
      </c>
      <c r="AR92" t="s">
        <v>2070</v>
      </c>
      <c r="AS92" t="s">
        <v>2078</v>
      </c>
      <c r="AT92" t="s">
        <v>2079</v>
      </c>
      <c r="AU92">
        <v>2023</v>
      </c>
      <c r="AV92">
        <v>65</v>
      </c>
      <c r="AW92">
        <v>5</v>
      </c>
      <c r="AX92" t="s">
        <v>74</v>
      </c>
      <c r="AY92" t="s">
        <v>74</v>
      </c>
      <c r="AZ92" t="s">
        <v>74</v>
      </c>
      <c r="BA92" t="s">
        <v>74</v>
      </c>
      <c r="BB92">
        <v>117</v>
      </c>
      <c r="BC92">
        <v>142</v>
      </c>
      <c r="BD92" t="s">
        <v>74</v>
      </c>
      <c r="BE92" t="s">
        <v>2080</v>
      </c>
      <c r="BF92" t="str">
        <f>HYPERLINK("http://dx.doi.org/10.1080/00396338.2023.2261260","http://dx.doi.org/10.1080/00396338.2023.2261260")</f>
        <v>http://dx.doi.org/10.1080/00396338.2023.2261260</v>
      </c>
      <c r="BG92" t="s">
        <v>74</v>
      </c>
      <c r="BH92" t="s">
        <v>74</v>
      </c>
      <c r="BI92">
        <v>26</v>
      </c>
      <c r="BJ92" t="s">
        <v>2081</v>
      </c>
      <c r="BK92" t="s">
        <v>159</v>
      </c>
      <c r="BL92" t="s">
        <v>2082</v>
      </c>
      <c r="BM92" t="s">
        <v>2083</v>
      </c>
      <c r="BN92" t="s">
        <v>74</v>
      </c>
      <c r="BO92" t="s">
        <v>74</v>
      </c>
      <c r="BP92" t="s">
        <v>74</v>
      </c>
      <c r="BQ92" t="s">
        <v>74</v>
      </c>
      <c r="BR92" t="s">
        <v>101</v>
      </c>
      <c r="BS92" t="s">
        <v>2084</v>
      </c>
      <c r="BT92" t="str">
        <f>HYPERLINK("https%3A%2F%2Fwww.webofscience.com%2Fwos%2Fwoscc%2Ffull-record%2FWOS:001079678700008","View Full Record in Web of Science")</f>
        <v>View Full Record in Web of Science</v>
      </c>
    </row>
    <row r="93" spans="1:72" x14ac:dyDescent="0.2">
      <c r="A93" t="s">
        <v>72</v>
      </c>
      <c r="B93" t="s">
        <v>2085</v>
      </c>
      <c r="C93" t="s">
        <v>74</v>
      </c>
      <c r="D93" t="s">
        <v>74</v>
      </c>
      <c r="E93" t="s">
        <v>75</v>
      </c>
      <c r="F93" t="s">
        <v>2086</v>
      </c>
      <c r="G93" t="s">
        <v>74</v>
      </c>
      <c r="H93" t="s">
        <v>74</v>
      </c>
      <c r="I93" t="s">
        <v>2087</v>
      </c>
      <c r="J93" t="s">
        <v>2088</v>
      </c>
      <c r="K93" t="s">
        <v>74</v>
      </c>
      <c r="L93" t="s">
        <v>74</v>
      </c>
      <c r="M93" t="s">
        <v>79</v>
      </c>
      <c r="N93" t="s">
        <v>80</v>
      </c>
      <c r="O93" t="s">
        <v>2089</v>
      </c>
      <c r="P93" t="s">
        <v>2090</v>
      </c>
      <c r="Q93" t="s">
        <v>2091</v>
      </c>
      <c r="R93" t="s">
        <v>2092</v>
      </c>
      <c r="S93" t="s">
        <v>74</v>
      </c>
      <c r="T93" t="s">
        <v>2093</v>
      </c>
      <c r="U93" t="s">
        <v>74</v>
      </c>
      <c r="V93" t="s">
        <v>2094</v>
      </c>
      <c r="W93" t="s">
        <v>2095</v>
      </c>
      <c r="X93" t="s">
        <v>2096</v>
      </c>
      <c r="Y93" t="s">
        <v>2097</v>
      </c>
      <c r="Z93" t="s">
        <v>2098</v>
      </c>
      <c r="AA93" t="s">
        <v>74</v>
      </c>
      <c r="AB93" t="s">
        <v>74</v>
      </c>
      <c r="AC93" t="s">
        <v>2099</v>
      </c>
      <c r="AD93" t="s">
        <v>2100</v>
      </c>
      <c r="AE93" t="s">
        <v>2101</v>
      </c>
      <c r="AF93" t="s">
        <v>74</v>
      </c>
      <c r="AG93">
        <v>28</v>
      </c>
      <c r="AH93">
        <v>0</v>
      </c>
      <c r="AI93">
        <v>0</v>
      </c>
      <c r="AJ93">
        <v>3</v>
      </c>
      <c r="AK93">
        <v>3</v>
      </c>
      <c r="AL93" t="s">
        <v>92</v>
      </c>
      <c r="AM93" t="s">
        <v>93</v>
      </c>
      <c r="AN93" t="s">
        <v>94</v>
      </c>
      <c r="AO93" t="s">
        <v>74</v>
      </c>
      <c r="AP93" t="s">
        <v>74</v>
      </c>
      <c r="AQ93" t="s">
        <v>2102</v>
      </c>
      <c r="AR93" t="s">
        <v>74</v>
      </c>
      <c r="AS93" t="s">
        <v>74</v>
      </c>
      <c r="AT93" t="s">
        <v>74</v>
      </c>
      <c r="AU93">
        <v>2023</v>
      </c>
      <c r="AV93" t="s">
        <v>74</v>
      </c>
      <c r="AW93" t="s">
        <v>74</v>
      </c>
      <c r="AX93" t="s">
        <v>74</v>
      </c>
      <c r="AY93" t="s">
        <v>74</v>
      </c>
      <c r="AZ93" t="s">
        <v>74</v>
      </c>
      <c r="BA93" t="s">
        <v>74</v>
      </c>
      <c r="BB93">
        <v>8</v>
      </c>
      <c r="BC93">
        <v>14</v>
      </c>
      <c r="BD93" t="s">
        <v>74</v>
      </c>
      <c r="BE93" t="s">
        <v>2103</v>
      </c>
      <c r="BF93" t="str">
        <f>HYPERLINK("http://dx.doi.org/10.1145/3609395.3610594","http://dx.doi.org/10.1145/3609395.3610594")</f>
        <v>http://dx.doi.org/10.1145/3609395.3610594</v>
      </c>
      <c r="BG93" t="s">
        <v>74</v>
      </c>
      <c r="BH93" t="s">
        <v>74</v>
      </c>
      <c r="BI93">
        <v>7</v>
      </c>
      <c r="BJ93" t="s">
        <v>2104</v>
      </c>
      <c r="BK93" t="s">
        <v>98</v>
      </c>
      <c r="BL93" t="s">
        <v>99</v>
      </c>
      <c r="BM93" t="s">
        <v>2105</v>
      </c>
      <c r="BN93" t="s">
        <v>74</v>
      </c>
      <c r="BO93" t="s">
        <v>161</v>
      </c>
      <c r="BP93" t="s">
        <v>74</v>
      </c>
      <c r="BQ93" t="s">
        <v>74</v>
      </c>
      <c r="BR93" t="s">
        <v>101</v>
      </c>
      <c r="BS93" t="s">
        <v>2106</v>
      </c>
      <c r="BT93" t="str">
        <f>HYPERLINK("https%3A%2F%2Fwww.webofscience.com%2Fwos%2Fwoscc%2Ffull-record%2FWOS:001141308100002","View Full Record in Web of Science")</f>
        <v>View Full Record in Web of Science</v>
      </c>
    </row>
    <row r="94" spans="1:72" x14ac:dyDescent="0.2">
      <c r="A94" t="s">
        <v>72</v>
      </c>
      <c r="B94" t="s">
        <v>2107</v>
      </c>
      <c r="C94" t="s">
        <v>74</v>
      </c>
      <c r="D94" t="s">
        <v>308</v>
      </c>
      <c r="E94" t="s">
        <v>74</v>
      </c>
      <c r="F94" t="s">
        <v>2108</v>
      </c>
      <c r="G94" t="s">
        <v>74</v>
      </c>
      <c r="H94" t="s">
        <v>74</v>
      </c>
      <c r="I94" t="s">
        <v>2109</v>
      </c>
      <c r="J94" t="s">
        <v>311</v>
      </c>
      <c r="K94" t="s">
        <v>312</v>
      </c>
      <c r="L94" t="s">
        <v>74</v>
      </c>
      <c r="M94" t="s">
        <v>79</v>
      </c>
      <c r="N94" t="s">
        <v>80</v>
      </c>
      <c r="O94" t="s">
        <v>313</v>
      </c>
      <c r="P94" t="s">
        <v>314</v>
      </c>
      <c r="Q94" t="s">
        <v>315</v>
      </c>
      <c r="R94" t="s">
        <v>74</v>
      </c>
      <c r="S94" t="s">
        <v>74</v>
      </c>
      <c r="T94" t="s">
        <v>2110</v>
      </c>
      <c r="U94" t="s">
        <v>391</v>
      </c>
      <c r="V94" t="s">
        <v>2111</v>
      </c>
      <c r="W94" t="s">
        <v>2112</v>
      </c>
      <c r="X94" t="s">
        <v>2113</v>
      </c>
      <c r="Y94" t="s">
        <v>2114</v>
      </c>
      <c r="Z94" t="s">
        <v>2115</v>
      </c>
      <c r="AA94" t="s">
        <v>74</v>
      </c>
      <c r="AB94" t="s">
        <v>2116</v>
      </c>
      <c r="AC94" t="s">
        <v>74</v>
      </c>
      <c r="AD94" t="s">
        <v>74</v>
      </c>
      <c r="AE94" t="s">
        <v>74</v>
      </c>
      <c r="AF94" t="s">
        <v>74</v>
      </c>
      <c r="AG94">
        <v>30</v>
      </c>
      <c r="AH94">
        <v>0</v>
      </c>
      <c r="AI94">
        <v>0</v>
      </c>
      <c r="AJ94">
        <v>3</v>
      </c>
      <c r="AK94">
        <v>3</v>
      </c>
      <c r="AL94" t="s">
        <v>325</v>
      </c>
      <c r="AM94" t="s">
        <v>245</v>
      </c>
      <c r="AN94" t="s">
        <v>246</v>
      </c>
      <c r="AO94" t="s">
        <v>326</v>
      </c>
      <c r="AP94" t="s">
        <v>327</v>
      </c>
      <c r="AQ94" t="s">
        <v>328</v>
      </c>
      <c r="AR94" t="s">
        <v>329</v>
      </c>
      <c r="AS94" t="s">
        <v>74</v>
      </c>
      <c r="AT94" t="s">
        <v>74</v>
      </c>
      <c r="AU94">
        <v>2023</v>
      </c>
      <c r="AV94">
        <v>14059</v>
      </c>
      <c r="AW94" t="s">
        <v>74</v>
      </c>
      <c r="AX94" t="s">
        <v>74</v>
      </c>
      <c r="AY94" t="s">
        <v>74</v>
      </c>
      <c r="AZ94" t="s">
        <v>74</v>
      </c>
      <c r="BA94" t="s">
        <v>74</v>
      </c>
      <c r="BB94">
        <v>149</v>
      </c>
      <c r="BC94">
        <v>161</v>
      </c>
      <c r="BD94" t="s">
        <v>74</v>
      </c>
      <c r="BE94" t="s">
        <v>2117</v>
      </c>
      <c r="BF94" t="str">
        <f>HYPERLINK("http://dx.doi.org/10.1007/978-3-031-48057-7_10","http://dx.doi.org/10.1007/978-3-031-48057-7_10")</f>
        <v>http://dx.doi.org/10.1007/978-3-031-48057-7_10</v>
      </c>
      <c r="BG94" t="s">
        <v>74</v>
      </c>
      <c r="BH94" t="s">
        <v>74</v>
      </c>
      <c r="BI94">
        <v>13</v>
      </c>
      <c r="BJ94" t="s">
        <v>331</v>
      </c>
      <c r="BK94" t="s">
        <v>98</v>
      </c>
      <c r="BL94" t="s">
        <v>99</v>
      </c>
      <c r="BM94" t="s">
        <v>332</v>
      </c>
      <c r="BN94" t="s">
        <v>74</v>
      </c>
      <c r="BO94" t="s">
        <v>74</v>
      </c>
      <c r="BP94" t="s">
        <v>74</v>
      </c>
      <c r="BQ94" t="s">
        <v>74</v>
      </c>
      <c r="BR94" t="s">
        <v>101</v>
      </c>
      <c r="BS94" t="s">
        <v>2118</v>
      </c>
      <c r="BT94" t="str">
        <f>HYPERLINK("https%3A%2F%2Fwww.webofscience.com%2Fwos%2Fwoscc%2Ffull-record%2FWOS:001159622900010","View Full Record in Web of Science")</f>
        <v>View Full Record in Web of Science</v>
      </c>
    </row>
    <row r="95" spans="1:72" x14ac:dyDescent="0.2">
      <c r="A95" t="s">
        <v>103</v>
      </c>
      <c r="B95" t="s">
        <v>2119</v>
      </c>
      <c r="C95" t="s">
        <v>74</v>
      </c>
      <c r="D95" t="s">
        <v>74</v>
      </c>
      <c r="E95" t="s">
        <v>74</v>
      </c>
      <c r="F95" t="s">
        <v>2120</v>
      </c>
      <c r="G95" t="s">
        <v>74</v>
      </c>
      <c r="H95" t="s">
        <v>74</v>
      </c>
      <c r="I95" t="s">
        <v>2121</v>
      </c>
      <c r="J95" t="s">
        <v>799</v>
      </c>
      <c r="K95" t="s">
        <v>74</v>
      </c>
      <c r="L95" t="s">
        <v>74</v>
      </c>
      <c r="M95" t="s">
        <v>79</v>
      </c>
      <c r="N95" t="s">
        <v>108</v>
      </c>
      <c r="O95" t="s">
        <v>74</v>
      </c>
      <c r="P95" t="s">
        <v>74</v>
      </c>
      <c r="Q95" t="s">
        <v>74</v>
      </c>
      <c r="R95" t="s">
        <v>74</v>
      </c>
      <c r="S95" t="s">
        <v>74</v>
      </c>
      <c r="T95" t="s">
        <v>2122</v>
      </c>
      <c r="U95" t="s">
        <v>74</v>
      </c>
      <c r="V95" t="s">
        <v>2123</v>
      </c>
      <c r="W95" t="s">
        <v>2124</v>
      </c>
      <c r="X95" t="s">
        <v>2125</v>
      </c>
      <c r="Y95" t="s">
        <v>2126</v>
      </c>
      <c r="Z95" t="s">
        <v>2127</v>
      </c>
      <c r="AA95" t="s">
        <v>2128</v>
      </c>
      <c r="AB95" t="s">
        <v>2129</v>
      </c>
      <c r="AC95" t="s">
        <v>74</v>
      </c>
      <c r="AD95" t="s">
        <v>74</v>
      </c>
      <c r="AE95" t="s">
        <v>74</v>
      </c>
      <c r="AF95" t="s">
        <v>74</v>
      </c>
      <c r="AG95">
        <v>33</v>
      </c>
      <c r="AH95">
        <v>0</v>
      </c>
      <c r="AI95">
        <v>0</v>
      </c>
      <c r="AJ95">
        <v>127</v>
      </c>
      <c r="AK95">
        <v>152</v>
      </c>
      <c r="AL95" t="s">
        <v>809</v>
      </c>
      <c r="AM95" t="s">
        <v>810</v>
      </c>
      <c r="AN95" t="s">
        <v>811</v>
      </c>
      <c r="AO95" t="s">
        <v>812</v>
      </c>
      <c r="AP95" t="s">
        <v>813</v>
      </c>
      <c r="AQ95" t="s">
        <v>74</v>
      </c>
      <c r="AR95" t="s">
        <v>814</v>
      </c>
      <c r="AS95" t="s">
        <v>815</v>
      </c>
      <c r="AT95" t="s">
        <v>816</v>
      </c>
      <c r="AU95">
        <v>2023</v>
      </c>
      <c r="AV95">
        <v>9</v>
      </c>
      <c r="AW95">
        <v>2</v>
      </c>
      <c r="AX95" t="s">
        <v>74</v>
      </c>
      <c r="AY95" t="s">
        <v>74</v>
      </c>
      <c r="AZ95" t="s">
        <v>74</v>
      </c>
      <c r="BA95" t="s">
        <v>74</v>
      </c>
      <c r="BB95">
        <v>71</v>
      </c>
      <c r="BC95">
        <v>100</v>
      </c>
      <c r="BD95" t="s">
        <v>74</v>
      </c>
      <c r="BE95" t="s">
        <v>2130</v>
      </c>
      <c r="BF95" t="str">
        <f>HYPERLINK("http://dx.doi.org/10.18559/ebr.2023.2.743","http://dx.doi.org/10.18559/ebr.2023.2.743")</f>
        <v>http://dx.doi.org/10.18559/ebr.2023.2.743</v>
      </c>
      <c r="BG95" t="s">
        <v>74</v>
      </c>
      <c r="BH95" t="s">
        <v>74</v>
      </c>
      <c r="BI95">
        <v>30</v>
      </c>
      <c r="BJ95" t="s">
        <v>469</v>
      </c>
      <c r="BK95" t="s">
        <v>352</v>
      </c>
      <c r="BL95" t="s">
        <v>470</v>
      </c>
      <c r="BM95" t="s">
        <v>818</v>
      </c>
      <c r="BN95" t="s">
        <v>74</v>
      </c>
      <c r="BO95" t="s">
        <v>425</v>
      </c>
      <c r="BP95" t="s">
        <v>74</v>
      </c>
      <c r="BQ95" t="s">
        <v>74</v>
      </c>
      <c r="BR95" t="s">
        <v>101</v>
      </c>
      <c r="BS95" t="s">
        <v>2131</v>
      </c>
      <c r="BT95" t="str">
        <f>HYPERLINK("https%3A%2F%2Fwww.webofscience.com%2Fwos%2Fwoscc%2Ffull-record%2FWOS:001037180500005","View Full Record in Web of Science")</f>
        <v>View Full Record in Web of Science</v>
      </c>
    </row>
    <row r="96" spans="1:72" x14ac:dyDescent="0.2">
      <c r="A96" t="s">
        <v>103</v>
      </c>
      <c r="B96" t="s">
        <v>2132</v>
      </c>
      <c r="C96" t="s">
        <v>74</v>
      </c>
      <c r="D96" t="s">
        <v>74</v>
      </c>
      <c r="E96" t="s">
        <v>74</v>
      </c>
      <c r="F96" t="s">
        <v>2133</v>
      </c>
      <c r="G96" t="s">
        <v>74</v>
      </c>
      <c r="H96" t="s">
        <v>74</v>
      </c>
      <c r="I96" t="s">
        <v>2134</v>
      </c>
      <c r="J96" t="s">
        <v>2135</v>
      </c>
      <c r="K96" t="s">
        <v>74</v>
      </c>
      <c r="L96" t="s">
        <v>74</v>
      </c>
      <c r="M96" t="s">
        <v>79</v>
      </c>
      <c r="N96" t="s">
        <v>108</v>
      </c>
      <c r="O96" t="s">
        <v>74</v>
      </c>
      <c r="P96" t="s">
        <v>74</v>
      </c>
      <c r="Q96" t="s">
        <v>74</v>
      </c>
      <c r="R96" t="s">
        <v>74</v>
      </c>
      <c r="S96" t="s">
        <v>74</v>
      </c>
      <c r="T96" t="s">
        <v>2136</v>
      </c>
      <c r="U96" t="s">
        <v>2137</v>
      </c>
      <c r="V96" t="s">
        <v>2138</v>
      </c>
      <c r="W96" t="s">
        <v>2139</v>
      </c>
      <c r="X96" t="s">
        <v>2140</v>
      </c>
      <c r="Y96" t="s">
        <v>2141</v>
      </c>
      <c r="Z96" t="s">
        <v>2142</v>
      </c>
      <c r="AA96" t="s">
        <v>2143</v>
      </c>
      <c r="AB96" t="s">
        <v>2144</v>
      </c>
      <c r="AC96" t="s">
        <v>2145</v>
      </c>
      <c r="AD96" t="s">
        <v>2146</v>
      </c>
      <c r="AE96" t="s">
        <v>2147</v>
      </c>
      <c r="AF96" t="s">
        <v>74</v>
      </c>
      <c r="AG96">
        <v>64</v>
      </c>
      <c r="AH96">
        <v>0</v>
      </c>
      <c r="AI96">
        <v>0</v>
      </c>
      <c r="AJ96">
        <v>26</v>
      </c>
      <c r="AK96">
        <v>26</v>
      </c>
      <c r="AL96" t="s">
        <v>2148</v>
      </c>
      <c r="AM96" t="s">
        <v>2149</v>
      </c>
      <c r="AN96" t="s">
        <v>2150</v>
      </c>
      <c r="AO96" t="s">
        <v>2151</v>
      </c>
      <c r="AP96" t="s">
        <v>74</v>
      </c>
      <c r="AQ96" t="s">
        <v>74</v>
      </c>
      <c r="AR96" t="s">
        <v>2152</v>
      </c>
      <c r="AS96" t="s">
        <v>2153</v>
      </c>
      <c r="AT96" t="s">
        <v>2154</v>
      </c>
      <c r="AU96">
        <v>2023</v>
      </c>
      <c r="AV96">
        <v>29</v>
      </c>
      <c r="AW96">
        <v>1</v>
      </c>
      <c r="AX96" t="s">
        <v>74</v>
      </c>
      <c r="AY96" t="s">
        <v>74</v>
      </c>
      <c r="AZ96" t="s">
        <v>74</v>
      </c>
      <c r="BA96" t="s">
        <v>74</v>
      </c>
      <c r="BB96" t="s">
        <v>74</v>
      </c>
      <c r="BC96" t="s">
        <v>74</v>
      </c>
      <c r="BD96" t="s">
        <v>2155</v>
      </c>
      <c r="BE96" t="s">
        <v>2156</v>
      </c>
      <c r="BF96" t="str">
        <f>HYPERLINK("http://dx.doi.org/10.1093/jcmc/zmad045","http://dx.doi.org/10.1093/jcmc/zmad045")</f>
        <v>http://dx.doi.org/10.1093/jcmc/zmad045</v>
      </c>
      <c r="BG96" t="s">
        <v>74</v>
      </c>
      <c r="BH96" t="s">
        <v>74</v>
      </c>
      <c r="BI96">
        <v>15</v>
      </c>
      <c r="BJ96" t="s">
        <v>2157</v>
      </c>
      <c r="BK96" t="s">
        <v>159</v>
      </c>
      <c r="BL96" t="s">
        <v>2157</v>
      </c>
      <c r="BM96" t="s">
        <v>2158</v>
      </c>
      <c r="BN96" t="s">
        <v>74</v>
      </c>
      <c r="BO96" t="s">
        <v>1071</v>
      </c>
      <c r="BP96" t="s">
        <v>74</v>
      </c>
      <c r="BQ96" t="s">
        <v>74</v>
      </c>
      <c r="BR96" t="s">
        <v>101</v>
      </c>
      <c r="BS96" t="s">
        <v>2159</v>
      </c>
      <c r="BT96" t="str">
        <f>HYPERLINK("https%3A%2F%2Fwww.webofscience.com%2Fwos%2Fwoscc%2Ffull-record%2FWOS:001156341500003","View Full Record in Web of Science")</f>
        <v>View Full Record in Web of Science</v>
      </c>
    </row>
    <row r="97" spans="1:72" x14ac:dyDescent="0.2">
      <c r="A97" t="s">
        <v>72</v>
      </c>
      <c r="B97" t="s">
        <v>2160</v>
      </c>
      <c r="C97" t="s">
        <v>74</v>
      </c>
      <c r="D97" t="s">
        <v>2161</v>
      </c>
      <c r="E97" t="s">
        <v>74</v>
      </c>
      <c r="F97" t="s">
        <v>2162</v>
      </c>
      <c r="G97" t="s">
        <v>74</v>
      </c>
      <c r="H97" t="s">
        <v>74</v>
      </c>
      <c r="I97" t="s">
        <v>2163</v>
      </c>
      <c r="J97" t="s">
        <v>2164</v>
      </c>
      <c r="K97" t="s">
        <v>74</v>
      </c>
      <c r="L97" t="s">
        <v>74</v>
      </c>
      <c r="M97" t="s">
        <v>79</v>
      </c>
      <c r="N97" t="s">
        <v>80</v>
      </c>
      <c r="O97" t="s">
        <v>2165</v>
      </c>
      <c r="P97" t="s">
        <v>2166</v>
      </c>
      <c r="Q97" t="s">
        <v>2167</v>
      </c>
      <c r="R97" t="s">
        <v>2168</v>
      </c>
      <c r="S97" t="s">
        <v>74</v>
      </c>
      <c r="T97" t="s">
        <v>2169</v>
      </c>
      <c r="U97" t="s">
        <v>2170</v>
      </c>
      <c r="V97" t="s">
        <v>2171</v>
      </c>
      <c r="W97" t="s">
        <v>2172</v>
      </c>
      <c r="X97" t="s">
        <v>2173</v>
      </c>
      <c r="Y97" t="s">
        <v>2174</v>
      </c>
      <c r="Z97" t="s">
        <v>2175</v>
      </c>
      <c r="AA97" t="s">
        <v>74</v>
      </c>
      <c r="AB97" t="s">
        <v>74</v>
      </c>
      <c r="AC97" t="s">
        <v>74</v>
      </c>
      <c r="AD97" t="s">
        <v>74</v>
      </c>
      <c r="AE97" t="s">
        <v>74</v>
      </c>
      <c r="AF97" t="s">
        <v>74</v>
      </c>
      <c r="AG97">
        <v>30</v>
      </c>
      <c r="AH97">
        <v>0</v>
      </c>
      <c r="AI97">
        <v>0</v>
      </c>
      <c r="AJ97">
        <v>10</v>
      </c>
      <c r="AK97">
        <v>10</v>
      </c>
      <c r="AL97" t="s">
        <v>92</v>
      </c>
      <c r="AM97" t="s">
        <v>93</v>
      </c>
      <c r="AN97" t="s">
        <v>94</v>
      </c>
      <c r="AO97" t="s">
        <v>74</v>
      </c>
      <c r="AP97" t="s">
        <v>74</v>
      </c>
      <c r="AQ97" t="s">
        <v>2176</v>
      </c>
      <c r="AR97" t="s">
        <v>74</v>
      </c>
      <c r="AS97" t="s">
        <v>74</v>
      </c>
      <c r="AT97" t="s">
        <v>74</v>
      </c>
      <c r="AU97">
        <v>2023</v>
      </c>
      <c r="AV97" t="s">
        <v>74</v>
      </c>
      <c r="AW97" t="s">
        <v>74</v>
      </c>
      <c r="AX97" t="s">
        <v>74</v>
      </c>
      <c r="AY97" t="s">
        <v>74</v>
      </c>
      <c r="AZ97" t="s">
        <v>74</v>
      </c>
      <c r="BA97" t="s">
        <v>74</v>
      </c>
      <c r="BB97" t="s">
        <v>74</v>
      </c>
      <c r="BC97" t="s">
        <v>74</v>
      </c>
      <c r="BD97">
        <v>47</v>
      </c>
      <c r="BE97" t="s">
        <v>2177</v>
      </c>
      <c r="BF97" t="str">
        <f>HYPERLINK("http://dx.doi.org/10.1145/3607822.3618018","http://dx.doi.org/10.1145/3607822.3618018")</f>
        <v>http://dx.doi.org/10.1145/3607822.3618018</v>
      </c>
      <c r="BG97" t="s">
        <v>74</v>
      </c>
      <c r="BH97" t="s">
        <v>74</v>
      </c>
      <c r="BI97">
        <v>3</v>
      </c>
      <c r="BJ97" t="s">
        <v>2178</v>
      </c>
      <c r="BK97" t="s">
        <v>98</v>
      </c>
      <c r="BL97" t="s">
        <v>2179</v>
      </c>
      <c r="BM97" t="s">
        <v>2180</v>
      </c>
      <c r="BN97" t="s">
        <v>74</v>
      </c>
      <c r="BO97" t="s">
        <v>74</v>
      </c>
      <c r="BP97" t="s">
        <v>74</v>
      </c>
      <c r="BQ97" t="s">
        <v>74</v>
      </c>
      <c r="BR97" t="s">
        <v>101</v>
      </c>
      <c r="BS97" t="s">
        <v>2181</v>
      </c>
      <c r="BT97" t="str">
        <f>HYPERLINK("https%3A%2F%2Fwww.webofscience.com%2Fwos%2Fwoscc%2Ffull-record%2FWOS:001138802600047","View Full Record in Web of Science")</f>
        <v>View Full Record in Web of Science</v>
      </c>
    </row>
    <row r="98" spans="1:72" x14ac:dyDescent="0.2">
      <c r="A98" t="s">
        <v>103</v>
      </c>
      <c r="B98" t="s">
        <v>2182</v>
      </c>
      <c r="C98" t="s">
        <v>74</v>
      </c>
      <c r="D98" t="s">
        <v>74</v>
      </c>
      <c r="E98" t="s">
        <v>74</v>
      </c>
      <c r="F98" t="s">
        <v>2183</v>
      </c>
      <c r="G98" t="s">
        <v>74</v>
      </c>
      <c r="H98" t="s">
        <v>74</v>
      </c>
      <c r="I98" t="s">
        <v>2184</v>
      </c>
      <c r="J98" t="s">
        <v>2185</v>
      </c>
      <c r="K98" t="s">
        <v>74</v>
      </c>
      <c r="L98" t="s">
        <v>74</v>
      </c>
      <c r="M98" t="s">
        <v>79</v>
      </c>
      <c r="N98" t="s">
        <v>108</v>
      </c>
      <c r="O98" t="s">
        <v>74</v>
      </c>
      <c r="P98" t="s">
        <v>74</v>
      </c>
      <c r="Q98" t="s">
        <v>74</v>
      </c>
      <c r="R98" t="s">
        <v>74</v>
      </c>
      <c r="S98" t="s">
        <v>74</v>
      </c>
      <c r="T98" t="s">
        <v>2186</v>
      </c>
      <c r="U98" t="s">
        <v>74</v>
      </c>
      <c r="V98" t="s">
        <v>2187</v>
      </c>
      <c r="W98" t="s">
        <v>2188</v>
      </c>
      <c r="X98" t="s">
        <v>2189</v>
      </c>
      <c r="Y98" t="s">
        <v>2190</v>
      </c>
      <c r="Z98" t="s">
        <v>74</v>
      </c>
      <c r="AA98" t="s">
        <v>74</v>
      </c>
      <c r="AB98" t="s">
        <v>2191</v>
      </c>
      <c r="AC98" t="s">
        <v>74</v>
      </c>
      <c r="AD98" t="s">
        <v>74</v>
      </c>
      <c r="AE98" t="s">
        <v>74</v>
      </c>
      <c r="AF98" t="s">
        <v>74</v>
      </c>
      <c r="AG98">
        <v>0</v>
      </c>
      <c r="AH98">
        <v>27</v>
      </c>
      <c r="AI98">
        <v>27</v>
      </c>
      <c r="AJ98">
        <v>63</v>
      </c>
      <c r="AK98">
        <v>177</v>
      </c>
      <c r="AL98" t="s">
        <v>2192</v>
      </c>
      <c r="AM98" t="s">
        <v>369</v>
      </c>
      <c r="AN98" t="s">
        <v>2193</v>
      </c>
      <c r="AO98" t="s">
        <v>2194</v>
      </c>
      <c r="AP98" t="s">
        <v>74</v>
      </c>
      <c r="AQ98" t="s">
        <v>74</v>
      </c>
      <c r="AR98" t="s">
        <v>2195</v>
      </c>
      <c r="AS98" t="s">
        <v>2196</v>
      </c>
      <c r="AT98" t="s">
        <v>74</v>
      </c>
      <c r="AU98">
        <v>2023</v>
      </c>
      <c r="AV98">
        <v>12</v>
      </c>
      <c r="AW98">
        <v>1</v>
      </c>
      <c r="AX98" t="s">
        <v>74</v>
      </c>
      <c r="AY98" t="s">
        <v>74</v>
      </c>
      <c r="AZ98" t="s">
        <v>74</v>
      </c>
      <c r="BA98" t="s">
        <v>74</v>
      </c>
      <c r="BB98">
        <v>28</v>
      </c>
      <c r="BC98">
        <v>28</v>
      </c>
      <c r="BD98" t="s">
        <v>74</v>
      </c>
      <c r="BE98" t="s">
        <v>2197</v>
      </c>
      <c r="BF98" t="str">
        <f>HYPERLINK("http://dx.doi.org/10.14763/2023.1.1682","http://dx.doi.org/10.14763/2023.1.1682")</f>
        <v>http://dx.doi.org/10.14763/2023.1.1682</v>
      </c>
      <c r="BG98" t="s">
        <v>74</v>
      </c>
      <c r="BH98" t="s">
        <v>74</v>
      </c>
      <c r="BI98">
        <v>1</v>
      </c>
      <c r="BJ98" t="s">
        <v>2198</v>
      </c>
      <c r="BK98" t="s">
        <v>352</v>
      </c>
      <c r="BL98" t="s">
        <v>2199</v>
      </c>
      <c r="BM98" t="s">
        <v>2200</v>
      </c>
      <c r="BN98" t="s">
        <v>74</v>
      </c>
      <c r="BO98" t="s">
        <v>425</v>
      </c>
      <c r="BP98" t="s">
        <v>74</v>
      </c>
      <c r="BQ98" t="s">
        <v>74</v>
      </c>
      <c r="BR98" t="s">
        <v>101</v>
      </c>
      <c r="BS98" t="s">
        <v>2201</v>
      </c>
      <c r="BT98" t="str">
        <f>HYPERLINK("https%3A%2F%2Fwww.webofscience.com%2Fwos%2Fwoscc%2Ffull-record%2FWOS:000957709200004","View Full Record in Web of Science")</f>
        <v>View Full Record in Web of Science</v>
      </c>
    </row>
    <row r="99" spans="1:72" x14ac:dyDescent="0.2">
      <c r="A99" t="s">
        <v>103</v>
      </c>
      <c r="B99" t="s">
        <v>2202</v>
      </c>
      <c r="C99" t="s">
        <v>74</v>
      </c>
      <c r="D99" t="s">
        <v>74</v>
      </c>
      <c r="E99" t="s">
        <v>74</v>
      </c>
      <c r="F99" t="s">
        <v>2203</v>
      </c>
      <c r="G99" t="s">
        <v>74</v>
      </c>
      <c r="H99" t="s">
        <v>74</v>
      </c>
      <c r="I99" t="s">
        <v>2204</v>
      </c>
      <c r="J99" t="s">
        <v>2205</v>
      </c>
      <c r="K99" t="s">
        <v>74</v>
      </c>
      <c r="L99" t="s">
        <v>74</v>
      </c>
      <c r="M99" t="s">
        <v>79</v>
      </c>
      <c r="N99" t="s">
        <v>108</v>
      </c>
      <c r="O99" t="s">
        <v>74</v>
      </c>
      <c r="P99" t="s">
        <v>74</v>
      </c>
      <c r="Q99" t="s">
        <v>74</v>
      </c>
      <c r="R99" t="s">
        <v>74</v>
      </c>
      <c r="S99" t="s">
        <v>74</v>
      </c>
      <c r="T99" t="s">
        <v>2206</v>
      </c>
      <c r="U99" t="s">
        <v>2207</v>
      </c>
      <c r="V99" t="s">
        <v>2208</v>
      </c>
      <c r="W99" t="s">
        <v>2209</v>
      </c>
      <c r="X99" t="s">
        <v>2210</v>
      </c>
      <c r="Y99" t="s">
        <v>2211</v>
      </c>
      <c r="Z99" t="s">
        <v>2212</v>
      </c>
      <c r="AA99" t="s">
        <v>74</v>
      </c>
      <c r="AB99" t="s">
        <v>74</v>
      </c>
      <c r="AC99" t="s">
        <v>74</v>
      </c>
      <c r="AD99" t="s">
        <v>74</v>
      </c>
      <c r="AE99" t="s">
        <v>74</v>
      </c>
      <c r="AF99" t="s">
        <v>74</v>
      </c>
      <c r="AG99">
        <v>46</v>
      </c>
      <c r="AH99">
        <v>0</v>
      </c>
      <c r="AI99">
        <v>0</v>
      </c>
      <c r="AJ99">
        <v>25</v>
      </c>
      <c r="AK99">
        <v>25</v>
      </c>
      <c r="AL99" t="s">
        <v>737</v>
      </c>
      <c r="AM99" t="s">
        <v>738</v>
      </c>
      <c r="AN99" t="s">
        <v>739</v>
      </c>
      <c r="AO99" t="s">
        <v>2213</v>
      </c>
      <c r="AP99" t="s">
        <v>2214</v>
      </c>
      <c r="AQ99" t="s">
        <v>74</v>
      </c>
      <c r="AR99" t="s">
        <v>2215</v>
      </c>
      <c r="AS99" t="s">
        <v>2216</v>
      </c>
      <c r="AT99" t="s">
        <v>1908</v>
      </c>
      <c r="AU99">
        <v>2024</v>
      </c>
      <c r="AV99">
        <v>44</v>
      </c>
      <c r="AW99">
        <v>1</v>
      </c>
      <c r="AX99" t="s">
        <v>74</v>
      </c>
      <c r="AY99" t="s">
        <v>74</v>
      </c>
      <c r="AZ99" t="s">
        <v>253</v>
      </c>
      <c r="BA99" t="s">
        <v>74</v>
      </c>
      <c r="BB99">
        <v>61</v>
      </c>
      <c r="BC99">
        <v>80</v>
      </c>
      <c r="BD99" t="s">
        <v>74</v>
      </c>
      <c r="BE99" t="s">
        <v>2217</v>
      </c>
      <c r="BF99" t="str">
        <f>HYPERLINK("http://dx.doi.org/10.1080/02188791.2023.2294699","http://dx.doi.org/10.1080/02188791.2023.2294699")</f>
        <v>http://dx.doi.org/10.1080/02188791.2023.2294699</v>
      </c>
      <c r="BG99" t="s">
        <v>74</v>
      </c>
      <c r="BH99" t="s">
        <v>128</v>
      </c>
      <c r="BI99">
        <v>20</v>
      </c>
      <c r="BJ99" t="s">
        <v>423</v>
      </c>
      <c r="BK99" t="s">
        <v>159</v>
      </c>
      <c r="BL99" t="s">
        <v>423</v>
      </c>
      <c r="BM99" t="s">
        <v>2218</v>
      </c>
      <c r="BN99" t="s">
        <v>74</v>
      </c>
      <c r="BO99" t="s">
        <v>74</v>
      </c>
      <c r="BP99" t="s">
        <v>74</v>
      </c>
      <c r="BQ99" t="s">
        <v>74</v>
      </c>
      <c r="BR99" t="s">
        <v>101</v>
      </c>
      <c r="BS99" t="s">
        <v>2219</v>
      </c>
      <c r="BT99" t="str">
        <f>HYPERLINK("https%3A%2F%2Fwww.webofscience.com%2Fwos%2Fwoscc%2Ffull-record%2FWOS:001125830700001","View Full Record in Web of Science")</f>
        <v>View Full Record in Web of Science</v>
      </c>
    </row>
    <row r="100" spans="1:72" x14ac:dyDescent="0.2">
      <c r="A100" t="s">
        <v>103</v>
      </c>
      <c r="B100" t="s">
        <v>2220</v>
      </c>
      <c r="C100" t="s">
        <v>74</v>
      </c>
      <c r="D100" t="s">
        <v>74</v>
      </c>
      <c r="E100" t="s">
        <v>74</v>
      </c>
      <c r="F100" t="s">
        <v>2221</v>
      </c>
      <c r="G100" t="s">
        <v>74</v>
      </c>
      <c r="H100" t="s">
        <v>74</v>
      </c>
      <c r="I100" t="s">
        <v>2222</v>
      </c>
      <c r="J100" t="s">
        <v>2223</v>
      </c>
      <c r="K100" t="s">
        <v>74</v>
      </c>
      <c r="L100" t="s">
        <v>74</v>
      </c>
      <c r="M100" t="s">
        <v>79</v>
      </c>
      <c r="N100" t="s">
        <v>108</v>
      </c>
      <c r="O100" t="s">
        <v>74</v>
      </c>
      <c r="P100" t="s">
        <v>74</v>
      </c>
      <c r="Q100" t="s">
        <v>74</v>
      </c>
      <c r="R100" t="s">
        <v>74</v>
      </c>
      <c r="S100" t="s">
        <v>74</v>
      </c>
      <c r="T100" t="s">
        <v>2224</v>
      </c>
      <c r="U100" t="s">
        <v>74</v>
      </c>
      <c r="V100" t="s">
        <v>2225</v>
      </c>
      <c r="W100" t="s">
        <v>2226</v>
      </c>
      <c r="X100" t="s">
        <v>2227</v>
      </c>
      <c r="Y100" t="s">
        <v>2228</v>
      </c>
      <c r="Z100" t="s">
        <v>2229</v>
      </c>
      <c r="AA100" t="s">
        <v>74</v>
      </c>
      <c r="AB100" t="s">
        <v>74</v>
      </c>
      <c r="AC100" t="s">
        <v>74</v>
      </c>
      <c r="AD100" t="s">
        <v>74</v>
      </c>
      <c r="AE100" t="s">
        <v>74</v>
      </c>
      <c r="AF100" t="s">
        <v>74</v>
      </c>
      <c r="AG100">
        <v>25</v>
      </c>
      <c r="AH100">
        <v>0</v>
      </c>
      <c r="AI100">
        <v>0</v>
      </c>
      <c r="AJ100">
        <v>6</v>
      </c>
      <c r="AK100">
        <v>6</v>
      </c>
      <c r="AL100" t="s">
        <v>2230</v>
      </c>
      <c r="AM100" t="s">
        <v>2231</v>
      </c>
      <c r="AN100" t="s">
        <v>2232</v>
      </c>
      <c r="AO100" t="s">
        <v>2233</v>
      </c>
      <c r="AP100" t="s">
        <v>2234</v>
      </c>
      <c r="AQ100" t="s">
        <v>74</v>
      </c>
      <c r="AR100" t="s">
        <v>2235</v>
      </c>
      <c r="AS100" t="s">
        <v>2236</v>
      </c>
      <c r="AT100" t="s">
        <v>74</v>
      </c>
      <c r="AU100">
        <v>2023</v>
      </c>
      <c r="AV100">
        <v>14</v>
      </c>
      <c r="AW100">
        <v>2</v>
      </c>
      <c r="AX100" t="s">
        <v>74</v>
      </c>
      <c r="AY100" t="s">
        <v>74</v>
      </c>
      <c r="AZ100" t="s">
        <v>74</v>
      </c>
      <c r="BA100" t="s">
        <v>74</v>
      </c>
      <c r="BB100">
        <v>93</v>
      </c>
      <c r="BC100">
        <v>102</v>
      </c>
      <c r="BD100" t="s">
        <v>74</v>
      </c>
      <c r="BE100" t="s">
        <v>74</v>
      </c>
      <c r="BF100" t="s">
        <v>74</v>
      </c>
      <c r="BG100" t="s">
        <v>74</v>
      </c>
      <c r="BH100" t="s">
        <v>74</v>
      </c>
      <c r="BI100">
        <v>10</v>
      </c>
      <c r="BJ100" t="s">
        <v>2237</v>
      </c>
      <c r="BK100" t="s">
        <v>352</v>
      </c>
      <c r="BL100" t="s">
        <v>2237</v>
      </c>
      <c r="BM100" t="s">
        <v>2238</v>
      </c>
      <c r="BN100" t="s">
        <v>74</v>
      </c>
      <c r="BO100" t="s">
        <v>74</v>
      </c>
      <c r="BP100" t="s">
        <v>74</v>
      </c>
      <c r="BQ100" t="s">
        <v>74</v>
      </c>
      <c r="BR100" t="s">
        <v>101</v>
      </c>
      <c r="BS100" t="s">
        <v>2239</v>
      </c>
      <c r="BT100" t="str">
        <f>HYPERLINK("https%3A%2F%2Fwww.webofscience.com%2Fwos%2Fwoscc%2Ffull-record%2FWOS:001133078100009","View Full Record in Web of Science")</f>
        <v>View Full Record in Web of Science</v>
      </c>
    </row>
    <row r="101" spans="1:72" x14ac:dyDescent="0.2">
      <c r="A101" t="s">
        <v>72</v>
      </c>
      <c r="B101" t="s">
        <v>2240</v>
      </c>
      <c r="C101" t="s">
        <v>74</v>
      </c>
      <c r="D101" t="s">
        <v>74</v>
      </c>
      <c r="E101" t="s">
        <v>75</v>
      </c>
      <c r="F101" t="s">
        <v>2241</v>
      </c>
      <c r="G101" t="s">
        <v>74</v>
      </c>
      <c r="H101" t="s">
        <v>74</v>
      </c>
      <c r="I101" t="s">
        <v>2242</v>
      </c>
      <c r="J101" t="s">
        <v>869</v>
      </c>
      <c r="K101" t="s">
        <v>74</v>
      </c>
      <c r="L101" t="s">
        <v>74</v>
      </c>
      <c r="M101" t="s">
        <v>79</v>
      </c>
      <c r="N101" t="s">
        <v>80</v>
      </c>
      <c r="O101" t="s">
        <v>870</v>
      </c>
      <c r="P101" t="s">
        <v>871</v>
      </c>
      <c r="Q101" t="s">
        <v>872</v>
      </c>
      <c r="R101" t="s">
        <v>873</v>
      </c>
      <c r="S101" t="s">
        <v>74</v>
      </c>
      <c r="T101" t="s">
        <v>2243</v>
      </c>
      <c r="U101" t="s">
        <v>74</v>
      </c>
      <c r="V101" t="s">
        <v>74</v>
      </c>
      <c r="W101" t="s">
        <v>2244</v>
      </c>
      <c r="X101" t="s">
        <v>2245</v>
      </c>
      <c r="Y101" t="s">
        <v>2246</v>
      </c>
      <c r="Z101" t="s">
        <v>2247</v>
      </c>
      <c r="AA101" t="s">
        <v>74</v>
      </c>
      <c r="AB101" t="s">
        <v>74</v>
      </c>
      <c r="AC101" t="s">
        <v>74</v>
      </c>
      <c r="AD101" t="s">
        <v>74</v>
      </c>
      <c r="AE101" t="s">
        <v>74</v>
      </c>
      <c r="AF101" t="s">
        <v>74</v>
      </c>
      <c r="AG101">
        <v>0</v>
      </c>
      <c r="AH101">
        <v>0</v>
      </c>
      <c r="AI101">
        <v>0</v>
      </c>
      <c r="AJ101">
        <v>0</v>
      </c>
      <c r="AK101">
        <v>0</v>
      </c>
      <c r="AL101" t="s">
        <v>92</v>
      </c>
      <c r="AM101" t="s">
        <v>93</v>
      </c>
      <c r="AN101" t="s">
        <v>94</v>
      </c>
      <c r="AO101" t="s">
        <v>74</v>
      </c>
      <c r="AP101" t="s">
        <v>74</v>
      </c>
      <c r="AQ101" t="s">
        <v>881</v>
      </c>
      <c r="AR101" t="s">
        <v>74</v>
      </c>
      <c r="AS101" t="s">
        <v>74</v>
      </c>
      <c r="AT101" t="s">
        <v>74</v>
      </c>
      <c r="AU101">
        <v>2023</v>
      </c>
      <c r="AV101" t="s">
        <v>74</v>
      </c>
      <c r="AW101" t="s">
        <v>74</v>
      </c>
      <c r="AX101" t="s">
        <v>74</v>
      </c>
      <c r="AY101" t="s">
        <v>74</v>
      </c>
      <c r="AZ101" t="s">
        <v>74</v>
      </c>
      <c r="BA101" t="s">
        <v>74</v>
      </c>
      <c r="BB101">
        <v>3</v>
      </c>
      <c r="BC101">
        <v>3</v>
      </c>
      <c r="BD101" t="s">
        <v>74</v>
      </c>
      <c r="BE101" t="s">
        <v>2248</v>
      </c>
      <c r="BF101" t="str">
        <f>HYPERLINK("http://dx.doi.org/10.1145/3583780.3615317","http://dx.doi.org/10.1145/3583780.3615317")</f>
        <v>http://dx.doi.org/10.1145/3583780.3615317</v>
      </c>
      <c r="BG101" t="s">
        <v>74</v>
      </c>
      <c r="BH101" t="s">
        <v>74</v>
      </c>
      <c r="BI101">
        <v>1</v>
      </c>
      <c r="BJ101" t="s">
        <v>883</v>
      </c>
      <c r="BK101" t="s">
        <v>98</v>
      </c>
      <c r="BL101" t="s">
        <v>99</v>
      </c>
      <c r="BM101" t="s">
        <v>884</v>
      </c>
      <c r="BN101" t="s">
        <v>74</v>
      </c>
      <c r="BO101" t="s">
        <v>74</v>
      </c>
      <c r="BP101" t="s">
        <v>74</v>
      </c>
      <c r="BQ101" t="s">
        <v>74</v>
      </c>
      <c r="BR101" t="s">
        <v>101</v>
      </c>
      <c r="BS101" t="s">
        <v>2249</v>
      </c>
      <c r="BT101" t="str">
        <f>HYPERLINK("https%3A%2F%2Fwww.webofscience.com%2Fwos%2Fwoscc%2Ffull-record%2FWOS:001161549500002","View Full Record in Web of Science")</f>
        <v>View Full Record in Web of Science</v>
      </c>
    </row>
    <row r="102" spans="1:72" x14ac:dyDescent="0.2">
      <c r="A102" t="s">
        <v>103</v>
      </c>
      <c r="B102" t="s">
        <v>2250</v>
      </c>
      <c r="C102" t="s">
        <v>74</v>
      </c>
      <c r="D102" t="s">
        <v>74</v>
      </c>
      <c r="E102" t="s">
        <v>74</v>
      </c>
      <c r="F102" t="s">
        <v>2251</v>
      </c>
      <c r="G102" t="s">
        <v>74</v>
      </c>
      <c r="H102" t="s">
        <v>74</v>
      </c>
      <c r="I102" t="s">
        <v>2252</v>
      </c>
      <c r="J102" t="s">
        <v>2253</v>
      </c>
      <c r="K102" t="s">
        <v>74</v>
      </c>
      <c r="L102" t="s">
        <v>74</v>
      </c>
      <c r="M102" t="s">
        <v>79</v>
      </c>
      <c r="N102" t="s">
        <v>138</v>
      </c>
      <c r="O102" t="s">
        <v>74</v>
      </c>
      <c r="P102" t="s">
        <v>74</v>
      </c>
      <c r="Q102" t="s">
        <v>74</v>
      </c>
      <c r="R102" t="s">
        <v>74</v>
      </c>
      <c r="S102" t="s">
        <v>74</v>
      </c>
      <c r="T102" t="s">
        <v>2254</v>
      </c>
      <c r="U102" t="s">
        <v>74</v>
      </c>
      <c r="V102" t="s">
        <v>2255</v>
      </c>
      <c r="W102" t="s">
        <v>2256</v>
      </c>
      <c r="X102" t="s">
        <v>2257</v>
      </c>
      <c r="Y102" t="s">
        <v>2258</v>
      </c>
      <c r="Z102" t="s">
        <v>2259</v>
      </c>
      <c r="AA102" t="s">
        <v>74</v>
      </c>
      <c r="AB102" t="s">
        <v>2260</v>
      </c>
      <c r="AC102" t="s">
        <v>74</v>
      </c>
      <c r="AD102" t="s">
        <v>74</v>
      </c>
      <c r="AE102" t="s">
        <v>74</v>
      </c>
      <c r="AF102" t="s">
        <v>74</v>
      </c>
      <c r="AG102">
        <v>104</v>
      </c>
      <c r="AH102">
        <v>0</v>
      </c>
      <c r="AI102">
        <v>0</v>
      </c>
      <c r="AJ102">
        <v>33</v>
      </c>
      <c r="AK102">
        <v>33</v>
      </c>
      <c r="AL102" t="s">
        <v>737</v>
      </c>
      <c r="AM102" t="s">
        <v>738</v>
      </c>
      <c r="AN102" t="s">
        <v>739</v>
      </c>
      <c r="AO102" t="s">
        <v>2261</v>
      </c>
      <c r="AP102" t="s">
        <v>2262</v>
      </c>
      <c r="AQ102" t="s">
        <v>74</v>
      </c>
      <c r="AR102" t="s">
        <v>2263</v>
      </c>
      <c r="AS102" t="s">
        <v>2264</v>
      </c>
      <c r="AT102" t="s">
        <v>2265</v>
      </c>
      <c r="AU102">
        <v>2023</v>
      </c>
      <c r="AV102" t="s">
        <v>74</v>
      </c>
      <c r="AW102" t="s">
        <v>74</v>
      </c>
      <c r="AX102" t="s">
        <v>74</v>
      </c>
      <c r="AY102" t="s">
        <v>74</v>
      </c>
      <c r="AZ102" t="s">
        <v>74</v>
      </c>
      <c r="BA102" t="s">
        <v>74</v>
      </c>
      <c r="BB102" t="s">
        <v>74</v>
      </c>
      <c r="BC102" t="s">
        <v>74</v>
      </c>
      <c r="BD102" t="s">
        <v>74</v>
      </c>
      <c r="BE102" t="s">
        <v>2266</v>
      </c>
      <c r="BF102" t="str">
        <f>HYPERLINK("http://dx.doi.org/10.1080/24750158.2023.2289093","http://dx.doi.org/10.1080/24750158.2023.2289093")</f>
        <v>http://dx.doi.org/10.1080/24750158.2023.2289093</v>
      </c>
      <c r="BG102" t="s">
        <v>74</v>
      </c>
      <c r="BH102" t="s">
        <v>128</v>
      </c>
      <c r="BI102">
        <v>24</v>
      </c>
      <c r="BJ102" t="s">
        <v>1016</v>
      </c>
      <c r="BK102" t="s">
        <v>159</v>
      </c>
      <c r="BL102" t="s">
        <v>1016</v>
      </c>
      <c r="BM102" t="s">
        <v>2267</v>
      </c>
      <c r="BN102" t="s">
        <v>74</v>
      </c>
      <c r="BO102" t="s">
        <v>1237</v>
      </c>
      <c r="BP102" t="s">
        <v>74</v>
      </c>
      <c r="BQ102" t="s">
        <v>74</v>
      </c>
      <c r="BR102" t="s">
        <v>101</v>
      </c>
      <c r="BS102" t="s">
        <v>2268</v>
      </c>
      <c r="BT102" t="str">
        <f>HYPERLINK("https%3A%2F%2Fwww.webofscience.com%2Fwos%2Fwoscc%2Ffull-record%2FWOS:001115058400001","View Full Record in Web of Science")</f>
        <v>View Full Record in Web of Science</v>
      </c>
    </row>
    <row r="103" spans="1:72" x14ac:dyDescent="0.2">
      <c r="A103" t="s">
        <v>72</v>
      </c>
      <c r="B103" t="s">
        <v>2269</v>
      </c>
      <c r="C103" t="s">
        <v>74</v>
      </c>
      <c r="D103" t="s">
        <v>74</v>
      </c>
      <c r="E103" t="s">
        <v>75</v>
      </c>
      <c r="F103" t="s">
        <v>2270</v>
      </c>
      <c r="G103" t="s">
        <v>74</v>
      </c>
      <c r="H103" t="s">
        <v>74</v>
      </c>
      <c r="I103" t="s">
        <v>2271</v>
      </c>
      <c r="J103" t="s">
        <v>2272</v>
      </c>
      <c r="K103" t="s">
        <v>74</v>
      </c>
      <c r="L103" t="s">
        <v>74</v>
      </c>
      <c r="M103" t="s">
        <v>79</v>
      </c>
      <c r="N103" t="s">
        <v>80</v>
      </c>
      <c r="O103" t="s">
        <v>2273</v>
      </c>
      <c r="P103" t="s">
        <v>2274</v>
      </c>
      <c r="Q103" t="s">
        <v>2275</v>
      </c>
      <c r="R103" t="s">
        <v>2276</v>
      </c>
      <c r="S103" t="s">
        <v>74</v>
      </c>
      <c r="T103" t="s">
        <v>74</v>
      </c>
      <c r="U103" t="s">
        <v>74</v>
      </c>
      <c r="V103" t="s">
        <v>2277</v>
      </c>
      <c r="W103" t="s">
        <v>2278</v>
      </c>
      <c r="X103" t="s">
        <v>2279</v>
      </c>
      <c r="Y103" t="s">
        <v>2280</v>
      </c>
      <c r="Z103" t="s">
        <v>2281</v>
      </c>
      <c r="AA103" t="s">
        <v>74</v>
      </c>
      <c r="AB103" t="s">
        <v>2282</v>
      </c>
      <c r="AC103" t="s">
        <v>74</v>
      </c>
      <c r="AD103" t="s">
        <v>74</v>
      </c>
      <c r="AE103" t="s">
        <v>74</v>
      </c>
      <c r="AF103" t="s">
        <v>74</v>
      </c>
      <c r="AG103">
        <v>4</v>
      </c>
      <c r="AH103">
        <v>0</v>
      </c>
      <c r="AI103">
        <v>0</v>
      </c>
      <c r="AJ103">
        <v>4</v>
      </c>
      <c r="AK103">
        <v>4</v>
      </c>
      <c r="AL103" t="s">
        <v>92</v>
      </c>
      <c r="AM103" t="s">
        <v>93</v>
      </c>
      <c r="AN103" t="s">
        <v>94</v>
      </c>
      <c r="AO103" t="s">
        <v>74</v>
      </c>
      <c r="AP103" t="s">
        <v>74</v>
      </c>
      <c r="AQ103" t="s">
        <v>2283</v>
      </c>
      <c r="AR103" t="s">
        <v>74</v>
      </c>
      <c r="AS103" t="s">
        <v>74</v>
      </c>
      <c r="AT103" t="s">
        <v>74</v>
      </c>
      <c r="AU103">
        <v>2023</v>
      </c>
      <c r="AV103" t="s">
        <v>74</v>
      </c>
      <c r="AW103" t="s">
        <v>74</v>
      </c>
      <c r="AX103" t="s">
        <v>74</v>
      </c>
      <c r="AY103" t="s">
        <v>74</v>
      </c>
      <c r="AZ103" t="s">
        <v>74</v>
      </c>
      <c r="BA103" t="s">
        <v>74</v>
      </c>
      <c r="BB103">
        <v>284</v>
      </c>
      <c r="BC103">
        <v>285</v>
      </c>
      <c r="BD103" t="s">
        <v>74</v>
      </c>
      <c r="BE103" t="s">
        <v>2284</v>
      </c>
      <c r="BF103" t="str">
        <f>HYPERLINK("http://dx.doi.org/10.1145/3600100.3626262","http://dx.doi.org/10.1145/3600100.3626262")</f>
        <v>http://dx.doi.org/10.1145/3600100.3626262</v>
      </c>
      <c r="BG103" t="s">
        <v>74</v>
      </c>
      <c r="BH103" t="s">
        <v>74</v>
      </c>
      <c r="BI103">
        <v>2</v>
      </c>
      <c r="BJ103" t="s">
        <v>2285</v>
      </c>
      <c r="BK103" t="s">
        <v>98</v>
      </c>
      <c r="BL103" t="s">
        <v>2286</v>
      </c>
      <c r="BM103" t="s">
        <v>2287</v>
      </c>
      <c r="BN103" t="s">
        <v>74</v>
      </c>
      <c r="BO103" t="s">
        <v>74</v>
      </c>
      <c r="BP103" t="s">
        <v>74</v>
      </c>
      <c r="BQ103" t="s">
        <v>74</v>
      </c>
      <c r="BR103" t="s">
        <v>101</v>
      </c>
      <c r="BS103" t="s">
        <v>2288</v>
      </c>
      <c r="BT103" t="str">
        <f>HYPERLINK("https%3A%2F%2Fwww.webofscience.com%2Fwos%2Fwoscc%2Ffull-record%2FWOS:001147988300044","View Full Record in Web of Science")</f>
        <v>View Full Record in Web of Science</v>
      </c>
    </row>
    <row r="104" spans="1:72" x14ac:dyDescent="0.2">
      <c r="A104" t="s">
        <v>72</v>
      </c>
      <c r="B104" t="s">
        <v>2289</v>
      </c>
      <c r="C104" t="s">
        <v>74</v>
      </c>
      <c r="D104" t="s">
        <v>74</v>
      </c>
      <c r="E104" t="s">
        <v>75</v>
      </c>
      <c r="F104" t="s">
        <v>2290</v>
      </c>
      <c r="G104" t="s">
        <v>74</v>
      </c>
      <c r="H104" t="s">
        <v>74</v>
      </c>
      <c r="I104" t="s">
        <v>2291</v>
      </c>
      <c r="J104" t="s">
        <v>2292</v>
      </c>
      <c r="K104" t="s">
        <v>74</v>
      </c>
      <c r="L104" t="s">
        <v>74</v>
      </c>
      <c r="M104" t="s">
        <v>79</v>
      </c>
      <c r="N104" t="s">
        <v>80</v>
      </c>
      <c r="O104" t="s">
        <v>2293</v>
      </c>
      <c r="P104" t="s">
        <v>2294</v>
      </c>
      <c r="Q104" t="s">
        <v>2295</v>
      </c>
      <c r="R104" t="s">
        <v>2296</v>
      </c>
      <c r="S104" t="s">
        <v>2297</v>
      </c>
      <c r="T104" t="s">
        <v>2298</v>
      </c>
      <c r="U104" t="s">
        <v>74</v>
      </c>
      <c r="V104" t="s">
        <v>2299</v>
      </c>
      <c r="W104" t="s">
        <v>2300</v>
      </c>
      <c r="X104" t="s">
        <v>2301</v>
      </c>
      <c r="Y104" t="s">
        <v>2302</v>
      </c>
      <c r="Z104" t="s">
        <v>2303</v>
      </c>
      <c r="AA104" t="s">
        <v>2304</v>
      </c>
      <c r="AB104" t="s">
        <v>2305</v>
      </c>
      <c r="AC104" t="s">
        <v>74</v>
      </c>
      <c r="AD104" t="s">
        <v>74</v>
      </c>
      <c r="AE104" t="s">
        <v>74</v>
      </c>
      <c r="AF104" t="s">
        <v>74</v>
      </c>
      <c r="AG104">
        <v>199</v>
      </c>
      <c r="AH104">
        <v>0</v>
      </c>
      <c r="AI104">
        <v>0</v>
      </c>
      <c r="AJ104">
        <v>0</v>
      </c>
      <c r="AK104">
        <v>0</v>
      </c>
      <c r="AL104" t="s">
        <v>92</v>
      </c>
      <c r="AM104" t="s">
        <v>93</v>
      </c>
      <c r="AN104" t="s">
        <v>94</v>
      </c>
      <c r="AO104" t="s">
        <v>74</v>
      </c>
      <c r="AP104" t="s">
        <v>74</v>
      </c>
      <c r="AQ104" t="s">
        <v>2306</v>
      </c>
      <c r="AR104" t="s">
        <v>74</v>
      </c>
      <c r="AS104" t="s">
        <v>74</v>
      </c>
      <c r="AT104" t="s">
        <v>74</v>
      </c>
      <c r="AU104">
        <v>2023</v>
      </c>
      <c r="AV104" t="s">
        <v>74</v>
      </c>
      <c r="AW104" t="s">
        <v>74</v>
      </c>
      <c r="AX104" t="s">
        <v>74</v>
      </c>
      <c r="AY104" t="s">
        <v>74</v>
      </c>
      <c r="AZ104" t="s">
        <v>74</v>
      </c>
      <c r="BA104" t="s">
        <v>74</v>
      </c>
      <c r="BB104" t="s">
        <v>74</v>
      </c>
      <c r="BC104" t="s">
        <v>74</v>
      </c>
      <c r="BD104">
        <v>108</v>
      </c>
      <c r="BE104" t="s">
        <v>2307</v>
      </c>
      <c r="BF104" t="str">
        <f>HYPERLINK("http://dx.doi.org/10.1145/3623762.3633499","http://dx.doi.org/10.1145/3623762.3633499")</f>
        <v>http://dx.doi.org/10.1145/3623762.3633499</v>
      </c>
      <c r="BG104" t="s">
        <v>74</v>
      </c>
      <c r="BH104" t="s">
        <v>74</v>
      </c>
      <c r="BI104">
        <v>52</v>
      </c>
      <c r="BJ104" t="s">
        <v>2308</v>
      </c>
      <c r="BK104" t="s">
        <v>98</v>
      </c>
      <c r="BL104" t="s">
        <v>1187</v>
      </c>
      <c r="BM104" t="s">
        <v>2309</v>
      </c>
      <c r="BN104" t="s">
        <v>74</v>
      </c>
      <c r="BO104" t="s">
        <v>2310</v>
      </c>
      <c r="BP104" t="s">
        <v>74</v>
      </c>
      <c r="BQ104" t="s">
        <v>74</v>
      </c>
      <c r="BR104" t="s">
        <v>101</v>
      </c>
      <c r="BS104" t="s">
        <v>2311</v>
      </c>
      <c r="BT104" t="str">
        <f>HYPERLINK("https%3A%2F%2Fwww.webofscience.com%2Fwos%2Fwoscc%2Ffull-record%2FWOS:001167053500004","View Full Record in Web of Science")</f>
        <v>View Full Record in Web of Science</v>
      </c>
    </row>
    <row r="105" spans="1:72" x14ac:dyDescent="0.2">
      <c r="A105" t="s">
        <v>72</v>
      </c>
      <c r="B105" t="s">
        <v>2312</v>
      </c>
      <c r="C105" t="s">
        <v>74</v>
      </c>
      <c r="D105" t="s">
        <v>74</v>
      </c>
      <c r="E105" t="s">
        <v>284</v>
      </c>
      <c r="F105" t="s">
        <v>2313</v>
      </c>
      <c r="G105" t="s">
        <v>74</v>
      </c>
      <c r="H105" t="s">
        <v>74</v>
      </c>
      <c r="I105" t="s">
        <v>2314</v>
      </c>
      <c r="J105" t="s">
        <v>2315</v>
      </c>
      <c r="K105" t="s">
        <v>2316</v>
      </c>
      <c r="L105" t="s">
        <v>74</v>
      </c>
      <c r="M105" t="s">
        <v>79</v>
      </c>
      <c r="N105" t="s">
        <v>80</v>
      </c>
      <c r="O105" t="s">
        <v>2317</v>
      </c>
      <c r="P105" t="s">
        <v>2318</v>
      </c>
      <c r="Q105" t="s">
        <v>2319</v>
      </c>
      <c r="R105" t="s">
        <v>2320</v>
      </c>
      <c r="S105" t="s">
        <v>74</v>
      </c>
      <c r="T105" t="s">
        <v>2321</v>
      </c>
      <c r="U105" t="s">
        <v>74</v>
      </c>
      <c r="V105" t="s">
        <v>2322</v>
      </c>
      <c r="W105" t="s">
        <v>2323</v>
      </c>
      <c r="X105" t="s">
        <v>74</v>
      </c>
      <c r="Y105" t="s">
        <v>2324</v>
      </c>
      <c r="Z105" t="s">
        <v>2325</v>
      </c>
      <c r="AA105" t="s">
        <v>74</v>
      </c>
      <c r="AB105" t="s">
        <v>74</v>
      </c>
      <c r="AC105" t="s">
        <v>74</v>
      </c>
      <c r="AD105" t="s">
        <v>74</v>
      </c>
      <c r="AE105" t="s">
        <v>74</v>
      </c>
      <c r="AF105" t="s">
        <v>74</v>
      </c>
      <c r="AG105">
        <v>9</v>
      </c>
      <c r="AH105">
        <v>0</v>
      </c>
      <c r="AI105">
        <v>0</v>
      </c>
      <c r="AJ105">
        <v>0</v>
      </c>
      <c r="AK105">
        <v>0</v>
      </c>
      <c r="AL105" t="s">
        <v>284</v>
      </c>
      <c r="AM105" t="s">
        <v>93</v>
      </c>
      <c r="AN105" t="s">
        <v>299</v>
      </c>
      <c r="AO105" t="s">
        <v>2326</v>
      </c>
      <c r="AP105" t="s">
        <v>74</v>
      </c>
      <c r="AQ105" t="s">
        <v>2327</v>
      </c>
      <c r="AR105" t="s">
        <v>2328</v>
      </c>
      <c r="AS105" t="s">
        <v>74</v>
      </c>
      <c r="AT105" t="s">
        <v>74</v>
      </c>
      <c r="AU105">
        <v>2023</v>
      </c>
      <c r="AV105" t="s">
        <v>74</v>
      </c>
      <c r="AW105" t="s">
        <v>74</v>
      </c>
      <c r="AX105" t="s">
        <v>74</v>
      </c>
      <c r="AY105" t="s">
        <v>74</v>
      </c>
      <c r="AZ105" t="s">
        <v>74</v>
      </c>
      <c r="BA105" t="s">
        <v>74</v>
      </c>
      <c r="BB105">
        <v>129</v>
      </c>
      <c r="BC105">
        <v>132</v>
      </c>
      <c r="BD105" t="s">
        <v>74</v>
      </c>
      <c r="BE105" t="s">
        <v>2329</v>
      </c>
      <c r="BF105" t="str">
        <f>HYPERLINK("http://dx.doi.org/10.1109/HISTELCON56357.2023.10365937","http://dx.doi.org/10.1109/HISTELCON56357.2023.10365937")</f>
        <v>http://dx.doi.org/10.1109/HISTELCON56357.2023.10365937</v>
      </c>
      <c r="BG105" t="s">
        <v>74</v>
      </c>
      <c r="BH105" t="s">
        <v>74</v>
      </c>
      <c r="BI105">
        <v>4</v>
      </c>
      <c r="BJ105" t="s">
        <v>2330</v>
      </c>
      <c r="BK105" t="s">
        <v>180</v>
      </c>
      <c r="BL105" t="s">
        <v>2331</v>
      </c>
      <c r="BM105" t="s">
        <v>2332</v>
      </c>
      <c r="BN105" t="s">
        <v>74</v>
      </c>
      <c r="BO105" t="s">
        <v>74</v>
      </c>
      <c r="BP105" t="s">
        <v>74</v>
      </c>
      <c r="BQ105" t="s">
        <v>74</v>
      </c>
      <c r="BR105" t="s">
        <v>101</v>
      </c>
      <c r="BS105" t="s">
        <v>2333</v>
      </c>
      <c r="BT105" t="str">
        <f>HYPERLINK("https%3A%2F%2Fwww.webofscience.com%2Fwos%2Fwoscc%2Ffull-record%2FWOS:001164186900032","View Full Record in Web of Science")</f>
        <v>View Full Record in Web of Science</v>
      </c>
    </row>
    <row r="106" spans="1:72" x14ac:dyDescent="0.2">
      <c r="A106" t="s">
        <v>103</v>
      </c>
      <c r="B106" t="s">
        <v>2334</v>
      </c>
      <c r="C106" t="s">
        <v>74</v>
      </c>
      <c r="D106" t="s">
        <v>74</v>
      </c>
      <c r="E106" t="s">
        <v>74</v>
      </c>
      <c r="F106" t="s">
        <v>2335</v>
      </c>
      <c r="G106" t="s">
        <v>74</v>
      </c>
      <c r="H106" t="s">
        <v>74</v>
      </c>
      <c r="I106" t="s">
        <v>2336</v>
      </c>
      <c r="J106" t="s">
        <v>824</v>
      </c>
      <c r="K106" t="s">
        <v>74</v>
      </c>
      <c r="L106" t="s">
        <v>74</v>
      </c>
      <c r="M106" t="s">
        <v>79</v>
      </c>
      <c r="N106" t="s">
        <v>108</v>
      </c>
      <c r="O106" t="s">
        <v>74</v>
      </c>
      <c r="P106" t="s">
        <v>74</v>
      </c>
      <c r="Q106" t="s">
        <v>74</v>
      </c>
      <c r="R106" t="s">
        <v>74</v>
      </c>
      <c r="S106" t="s">
        <v>74</v>
      </c>
      <c r="T106" t="s">
        <v>2337</v>
      </c>
      <c r="U106" t="s">
        <v>74</v>
      </c>
      <c r="V106" t="s">
        <v>2338</v>
      </c>
      <c r="W106" t="s">
        <v>2339</v>
      </c>
      <c r="X106" t="s">
        <v>2340</v>
      </c>
      <c r="Y106" t="s">
        <v>2341</v>
      </c>
      <c r="Z106" t="s">
        <v>2342</v>
      </c>
      <c r="AA106" t="s">
        <v>2343</v>
      </c>
      <c r="AB106" t="s">
        <v>2344</v>
      </c>
      <c r="AC106" t="s">
        <v>74</v>
      </c>
      <c r="AD106" t="s">
        <v>74</v>
      </c>
      <c r="AE106" t="s">
        <v>74</v>
      </c>
      <c r="AF106" t="s">
        <v>74</v>
      </c>
      <c r="AG106">
        <v>27</v>
      </c>
      <c r="AH106">
        <v>1</v>
      </c>
      <c r="AI106">
        <v>1</v>
      </c>
      <c r="AJ106">
        <v>29</v>
      </c>
      <c r="AK106">
        <v>29</v>
      </c>
      <c r="AL106" t="s">
        <v>833</v>
      </c>
      <c r="AM106" t="s">
        <v>834</v>
      </c>
      <c r="AN106" t="s">
        <v>835</v>
      </c>
      <c r="AO106" t="s">
        <v>836</v>
      </c>
      <c r="AP106" t="s">
        <v>837</v>
      </c>
      <c r="AQ106" t="s">
        <v>74</v>
      </c>
      <c r="AR106" t="s">
        <v>838</v>
      </c>
      <c r="AS106" t="s">
        <v>839</v>
      </c>
      <c r="AT106" t="s">
        <v>74</v>
      </c>
      <c r="AU106">
        <v>2023</v>
      </c>
      <c r="AV106">
        <v>39</v>
      </c>
      <c r="AW106">
        <v>5</v>
      </c>
      <c r="AX106" t="s">
        <v>74</v>
      </c>
      <c r="AY106" t="s">
        <v>74</v>
      </c>
      <c r="AZ106" t="s">
        <v>74</v>
      </c>
      <c r="BA106" t="s">
        <v>74</v>
      </c>
      <c r="BB106" t="s">
        <v>74</v>
      </c>
      <c r="BC106" t="s">
        <v>74</v>
      </c>
      <c r="BD106" t="s">
        <v>74</v>
      </c>
      <c r="BE106" t="s">
        <v>2345</v>
      </c>
      <c r="BF106" t="str">
        <f>HYPERLINK("http://dx.doi.org/10.14742/ajet.9251","http://dx.doi.org/10.14742/ajet.9251")</f>
        <v>http://dx.doi.org/10.14742/ajet.9251</v>
      </c>
      <c r="BG106" t="s">
        <v>74</v>
      </c>
      <c r="BH106" t="s">
        <v>74</v>
      </c>
      <c r="BI106">
        <v>7</v>
      </c>
      <c r="BJ106" t="s">
        <v>423</v>
      </c>
      <c r="BK106" t="s">
        <v>159</v>
      </c>
      <c r="BL106" t="s">
        <v>423</v>
      </c>
      <c r="BM106" t="s">
        <v>841</v>
      </c>
      <c r="BN106" t="s">
        <v>74</v>
      </c>
      <c r="BO106" t="s">
        <v>425</v>
      </c>
      <c r="BP106" t="s">
        <v>74</v>
      </c>
      <c r="BQ106" t="s">
        <v>74</v>
      </c>
      <c r="BR106" t="s">
        <v>101</v>
      </c>
      <c r="BS106" t="s">
        <v>2346</v>
      </c>
      <c r="BT106" t="str">
        <f>HYPERLINK("https%3A%2F%2Fwww.webofscience.com%2Fwos%2Fwoscc%2Ffull-record%2FWOS:001132966400006","View Full Record in Web of Science")</f>
        <v>View Full Record in Web of Science</v>
      </c>
    </row>
    <row r="107" spans="1:72" x14ac:dyDescent="0.2">
      <c r="A107" t="s">
        <v>103</v>
      </c>
      <c r="B107" t="s">
        <v>2347</v>
      </c>
      <c r="C107" t="s">
        <v>74</v>
      </c>
      <c r="D107" t="s">
        <v>74</v>
      </c>
      <c r="E107" t="s">
        <v>74</v>
      </c>
      <c r="F107" t="s">
        <v>2348</v>
      </c>
      <c r="G107" t="s">
        <v>74</v>
      </c>
      <c r="H107" t="s">
        <v>74</v>
      </c>
      <c r="I107" t="s">
        <v>2349</v>
      </c>
      <c r="J107" t="s">
        <v>2350</v>
      </c>
      <c r="K107" t="s">
        <v>74</v>
      </c>
      <c r="L107" t="s">
        <v>74</v>
      </c>
      <c r="M107" t="s">
        <v>79</v>
      </c>
      <c r="N107" t="s">
        <v>138</v>
      </c>
      <c r="O107" t="s">
        <v>74</v>
      </c>
      <c r="P107" t="s">
        <v>74</v>
      </c>
      <c r="Q107" t="s">
        <v>74</v>
      </c>
      <c r="R107" t="s">
        <v>74</v>
      </c>
      <c r="S107" t="s">
        <v>74</v>
      </c>
      <c r="T107" t="s">
        <v>2351</v>
      </c>
      <c r="U107" t="s">
        <v>391</v>
      </c>
      <c r="V107" t="s">
        <v>2352</v>
      </c>
      <c r="W107" t="s">
        <v>2353</v>
      </c>
      <c r="X107" t="s">
        <v>2354</v>
      </c>
      <c r="Y107" t="s">
        <v>2355</v>
      </c>
      <c r="Z107" t="s">
        <v>2356</v>
      </c>
      <c r="AA107" t="s">
        <v>74</v>
      </c>
      <c r="AB107" t="s">
        <v>2357</v>
      </c>
      <c r="AC107" t="s">
        <v>74</v>
      </c>
      <c r="AD107" t="s">
        <v>74</v>
      </c>
      <c r="AE107" t="s">
        <v>74</v>
      </c>
      <c r="AF107" t="s">
        <v>74</v>
      </c>
      <c r="AG107">
        <v>23</v>
      </c>
      <c r="AH107">
        <v>0</v>
      </c>
      <c r="AI107">
        <v>0</v>
      </c>
      <c r="AJ107">
        <v>96</v>
      </c>
      <c r="AK107">
        <v>96</v>
      </c>
      <c r="AL107" t="s">
        <v>737</v>
      </c>
      <c r="AM107" t="s">
        <v>738</v>
      </c>
      <c r="AN107" t="s">
        <v>739</v>
      </c>
      <c r="AO107" t="s">
        <v>2358</v>
      </c>
      <c r="AP107" t="s">
        <v>2359</v>
      </c>
      <c r="AQ107" t="s">
        <v>74</v>
      </c>
      <c r="AR107" t="s">
        <v>2360</v>
      </c>
      <c r="AS107" t="s">
        <v>2361</v>
      </c>
      <c r="AT107" t="s">
        <v>2362</v>
      </c>
      <c r="AU107">
        <v>2023</v>
      </c>
      <c r="AV107" t="s">
        <v>74</v>
      </c>
      <c r="AW107" t="s">
        <v>74</v>
      </c>
      <c r="AX107" t="s">
        <v>74</v>
      </c>
      <c r="AY107" t="s">
        <v>74</v>
      </c>
      <c r="AZ107" t="s">
        <v>74</v>
      </c>
      <c r="BA107" t="s">
        <v>74</v>
      </c>
      <c r="BB107" t="s">
        <v>74</v>
      </c>
      <c r="BC107" t="s">
        <v>74</v>
      </c>
      <c r="BD107" t="s">
        <v>74</v>
      </c>
      <c r="BE107" t="s">
        <v>2363</v>
      </c>
      <c r="BF107" t="str">
        <f>HYPERLINK("http://dx.doi.org/10.1080/14703297.2023.2271445","http://dx.doi.org/10.1080/14703297.2023.2271445")</f>
        <v>http://dx.doi.org/10.1080/14703297.2023.2271445</v>
      </c>
      <c r="BG107" t="s">
        <v>74</v>
      </c>
      <c r="BH107" t="s">
        <v>1886</v>
      </c>
      <c r="BI107">
        <v>15</v>
      </c>
      <c r="BJ107" t="s">
        <v>423</v>
      </c>
      <c r="BK107" t="s">
        <v>159</v>
      </c>
      <c r="BL107" t="s">
        <v>423</v>
      </c>
      <c r="BM107" t="s">
        <v>2364</v>
      </c>
      <c r="BN107" t="s">
        <v>74</v>
      </c>
      <c r="BO107" t="s">
        <v>74</v>
      </c>
      <c r="BP107" t="s">
        <v>74</v>
      </c>
      <c r="BQ107" t="s">
        <v>74</v>
      </c>
      <c r="BR107" t="s">
        <v>101</v>
      </c>
      <c r="BS107" t="s">
        <v>2365</v>
      </c>
      <c r="BT107" t="str">
        <f>HYPERLINK("https%3A%2F%2Fwww.webofscience.com%2Fwos%2Fwoscc%2Ffull-record%2FWOS:001086597100001","View Full Record in Web of Science")</f>
        <v>View Full Record in Web of Science</v>
      </c>
    </row>
    <row r="108" spans="1:72" x14ac:dyDescent="0.2">
      <c r="A108" t="s">
        <v>103</v>
      </c>
      <c r="B108" t="s">
        <v>2366</v>
      </c>
      <c r="C108" t="s">
        <v>74</v>
      </c>
      <c r="D108" t="s">
        <v>74</v>
      </c>
      <c r="E108" t="s">
        <v>74</v>
      </c>
      <c r="F108" t="s">
        <v>2367</v>
      </c>
      <c r="G108" t="s">
        <v>74</v>
      </c>
      <c r="H108" t="s">
        <v>74</v>
      </c>
      <c r="I108" t="s">
        <v>2368</v>
      </c>
      <c r="J108" t="s">
        <v>2369</v>
      </c>
      <c r="K108" t="s">
        <v>74</v>
      </c>
      <c r="L108" t="s">
        <v>74</v>
      </c>
      <c r="M108" t="s">
        <v>79</v>
      </c>
      <c r="N108" t="s">
        <v>108</v>
      </c>
      <c r="O108" t="s">
        <v>74</v>
      </c>
      <c r="P108" t="s">
        <v>74</v>
      </c>
      <c r="Q108" t="s">
        <v>74</v>
      </c>
      <c r="R108" t="s">
        <v>74</v>
      </c>
      <c r="S108" t="s">
        <v>74</v>
      </c>
      <c r="T108" t="s">
        <v>74</v>
      </c>
      <c r="U108" t="s">
        <v>2370</v>
      </c>
      <c r="V108" t="s">
        <v>2371</v>
      </c>
      <c r="W108" t="s">
        <v>2372</v>
      </c>
      <c r="X108" t="s">
        <v>2373</v>
      </c>
      <c r="Y108" t="s">
        <v>2374</v>
      </c>
      <c r="Z108" t="s">
        <v>2375</v>
      </c>
      <c r="AA108" t="s">
        <v>2376</v>
      </c>
      <c r="AB108" t="s">
        <v>74</v>
      </c>
      <c r="AC108" t="s">
        <v>74</v>
      </c>
      <c r="AD108" t="s">
        <v>74</v>
      </c>
      <c r="AE108" t="s">
        <v>74</v>
      </c>
      <c r="AF108" t="s">
        <v>74</v>
      </c>
      <c r="AG108">
        <v>15</v>
      </c>
      <c r="AH108">
        <v>2</v>
      </c>
      <c r="AI108">
        <v>2</v>
      </c>
      <c r="AJ108">
        <v>154</v>
      </c>
      <c r="AK108">
        <v>170</v>
      </c>
      <c r="AL108" t="s">
        <v>2377</v>
      </c>
      <c r="AM108" t="s">
        <v>738</v>
      </c>
      <c r="AN108" t="s">
        <v>2378</v>
      </c>
      <c r="AO108" t="s">
        <v>2379</v>
      </c>
      <c r="AP108" t="s">
        <v>2380</v>
      </c>
      <c r="AQ108" t="s">
        <v>74</v>
      </c>
      <c r="AR108" t="s">
        <v>2381</v>
      </c>
      <c r="AS108" t="s">
        <v>2382</v>
      </c>
      <c r="AT108" t="s">
        <v>2383</v>
      </c>
      <c r="AU108">
        <v>2023</v>
      </c>
      <c r="AV108">
        <v>44</v>
      </c>
      <c r="AW108">
        <v>3</v>
      </c>
      <c r="AX108" t="s">
        <v>74</v>
      </c>
      <c r="AY108" t="s">
        <v>74</v>
      </c>
      <c r="AZ108" t="s">
        <v>253</v>
      </c>
      <c r="BA108" t="s">
        <v>74</v>
      </c>
      <c r="BB108">
        <v>249</v>
      </c>
      <c r="BC108">
        <v>251</v>
      </c>
      <c r="BD108" t="s">
        <v>74</v>
      </c>
      <c r="BE108" t="s">
        <v>2384</v>
      </c>
      <c r="BF108" t="str">
        <f>HYPERLINK("http://dx.doi.org/10.1080/10641734.2023.2243496","http://dx.doi.org/10.1080/10641734.2023.2243496")</f>
        <v>http://dx.doi.org/10.1080/10641734.2023.2243496</v>
      </c>
      <c r="BG108" t="s">
        <v>74</v>
      </c>
      <c r="BH108" t="s">
        <v>74</v>
      </c>
      <c r="BI108">
        <v>3</v>
      </c>
      <c r="BJ108" t="s">
        <v>2385</v>
      </c>
      <c r="BK108" t="s">
        <v>352</v>
      </c>
      <c r="BL108" t="s">
        <v>2386</v>
      </c>
      <c r="BM108" t="s">
        <v>2387</v>
      </c>
      <c r="BN108" t="s">
        <v>74</v>
      </c>
      <c r="BO108" t="s">
        <v>74</v>
      </c>
      <c r="BP108" t="s">
        <v>74</v>
      </c>
      <c r="BQ108" t="s">
        <v>74</v>
      </c>
      <c r="BR108" t="s">
        <v>101</v>
      </c>
      <c r="BS108" t="s">
        <v>2388</v>
      </c>
      <c r="BT108" t="str">
        <f>HYPERLINK("https%3A%2F%2Fwww.webofscience.com%2Fwos%2Fwoscc%2Ffull-record%2FWOS:001054694000001","View Full Record in Web of Science")</f>
        <v>View Full Record in Web of Science</v>
      </c>
    </row>
    <row r="109" spans="1:72" x14ac:dyDescent="0.2">
      <c r="A109" t="s">
        <v>103</v>
      </c>
      <c r="B109" t="s">
        <v>2389</v>
      </c>
      <c r="C109" t="s">
        <v>74</v>
      </c>
      <c r="D109" t="s">
        <v>74</v>
      </c>
      <c r="E109" t="s">
        <v>74</v>
      </c>
      <c r="F109" t="s">
        <v>2390</v>
      </c>
      <c r="G109" t="s">
        <v>74</v>
      </c>
      <c r="H109" t="s">
        <v>74</v>
      </c>
      <c r="I109" t="s">
        <v>2391</v>
      </c>
      <c r="J109" t="s">
        <v>2392</v>
      </c>
      <c r="K109" t="s">
        <v>74</v>
      </c>
      <c r="L109" t="s">
        <v>74</v>
      </c>
      <c r="M109" t="s">
        <v>79</v>
      </c>
      <c r="N109" t="s">
        <v>108</v>
      </c>
      <c r="O109" t="s">
        <v>74</v>
      </c>
      <c r="P109" t="s">
        <v>74</v>
      </c>
      <c r="Q109" t="s">
        <v>74</v>
      </c>
      <c r="R109" t="s">
        <v>74</v>
      </c>
      <c r="S109" t="s">
        <v>74</v>
      </c>
      <c r="T109" t="s">
        <v>2393</v>
      </c>
      <c r="U109" t="s">
        <v>2394</v>
      </c>
      <c r="V109" t="s">
        <v>2395</v>
      </c>
      <c r="W109" t="s">
        <v>2396</v>
      </c>
      <c r="X109" t="s">
        <v>2397</v>
      </c>
      <c r="Y109" t="s">
        <v>2398</v>
      </c>
      <c r="Z109" t="s">
        <v>2399</v>
      </c>
      <c r="AA109" t="s">
        <v>74</v>
      </c>
      <c r="AB109" t="s">
        <v>2400</v>
      </c>
      <c r="AC109" t="s">
        <v>2401</v>
      </c>
      <c r="AD109" t="s">
        <v>2402</v>
      </c>
      <c r="AE109" t="s">
        <v>2403</v>
      </c>
      <c r="AF109" t="s">
        <v>74</v>
      </c>
      <c r="AG109">
        <v>43</v>
      </c>
      <c r="AH109">
        <v>14</v>
      </c>
      <c r="AI109">
        <v>14</v>
      </c>
      <c r="AJ109">
        <v>17</v>
      </c>
      <c r="AK109">
        <v>30</v>
      </c>
      <c r="AL109" t="s">
        <v>1379</v>
      </c>
      <c r="AM109" t="s">
        <v>1380</v>
      </c>
      <c r="AN109" t="s">
        <v>1381</v>
      </c>
      <c r="AO109" t="s">
        <v>2404</v>
      </c>
      <c r="AP109" t="s">
        <v>74</v>
      </c>
      <c r="AQ109" t="s">
        <v>74</v>
      </c>
      <c r="AR109" t="s">
        <v>2405</v>
      </c>
      <c r="AS109" t="s">
        <v>2406</v>
      </c>
      <c r="AT109" t="s">
        <v>2407</v>
      </c>
      <c r="AU109">
        <v>2023</v>
      </c>
      <c r="AV109">
        <v>10</v>
      </c>
      <c r="AW109">
        <v>3</v>
      </c>
      <c r="AX109" t="s">
        <v>74</v>
      </c>
      <c r="AY109" t="s">
        <v>74</v>
      </c>
      <c r="AZ109" t="s">
        <v>74</v>
      </c>
      <c r="BA109" t="s">
        <v>74</v>
      </c>
      <c r="BB109">
        <v>2330</v>
      </c>
      <c r="BC109">
        <v>2345</v>
      </c>
      <c r="BD109" t="s">
        <v>74</v>
      </c>
      <c r="BE109" t="s">
        <v>2408</v>
      </c>
      <c r="BF109" t="str">
        <f>HYPERLINK("http://dx.doi.org/10.1109/JIOT.2022.3211346","http://dx.doi.org/10.1109/JIOT.2022.3211346")</f>
        <v>http://dx.doi.org/10.1109/JIOT.2022.3211346</v>
      </c>
      <c r="BG109" t="s">
        <v>74</v>
      </c>
      <c r="BH109" t="s">
        <v>74</v>
      </c>
      <c r="BI109">
        <v>16</v>
      </c>
      <c r="BJ109" t="s">
        <v>1385</v>
      </c>
      <c r="BK109" t="s">
        <v>130</v>
      </c>
      <c r="BL109" t="s">
        <v>1386</v>
      </c>
      <c r="BM109" t="s">
        <v>2409</v>
      </c>
      <c r="BN109" t="s">
        <v>74</v>
      </c>
      <c r="BO109" t="s">
        <v>161</v>
      </c>
      <c r="BP109" t="s">
        <v>74</v>
      </c>
      <c r="BQ109" t="s">
        <v>74</v>
      </c>
      <c r="BR109" t="s">
        <v>101</v>
      </c>
      <c r="BS109" t="s">
        <v>2410</v>
      </c>
      <c r="BT109" t="str">
        <f>HYPERLINK("https%3A%2F%2Fwww.webofscience.com%2Fwos%2Fwoscc%2Ffull-record%2FWOS:000966324600001","View Full Record in Web of Science")</f>
        <v>View Full Record in Web of Science</v>
      </c>
    </row>
    <row r="110" spans="1:72" x14ac:dyDescent="0.2">
      <c r="A110" t="s">
        <v>72</v>
      </c>
      <c r="B110" t="s">
        <v>2411</v>
      </c>
      <c r="C110" t="s">
        <v>74</v>
      </c>
      <c r="D110" t="s">
        <v>74</v>
      </c>
      <c r="E110" t="s">
        <v>2412</v>
      </c>
      <c r="F110" t="s">
        <v>2413</v>
      </c>
      <c r="G110" t="s">
        <v>74</v>
      </c>
      <c r="H110" t="s">
        <v>74</v>
      </c>
      <c r="I110" t="s">
        <v>2414</v>
      </c>
      <c r="J110" t="s">
        <v>2415</v>
      </c>
      <c r="K110" t="s">
        <v>74</v>
      </c>
      <c r="L110" t="s">
        <v>74</v>
      </c>
      <c r="M110" t="s">
        <v>79</v>
      </c>
      <c r="N110" t="s">
        <v>80</v>
      </c>
      <c r="O110" t="s">
        <v>2416</v>
      </c>
      <c r="P110" t="s">
        <v>2417</v>
      </c>
      <c r="Q110" t="s">
        <v>2418</v>
      </c>
      <c r="R110" t="s">
        <v>74</v>
      </c>
      <c r="S110" t="s">
        <v>2419</v>
      </c>
      <c r="T110" t="s">
        <v>2420</v>
      </c>
      <c r="U110" t="s">
        <v>74</v>
      </c>
      <c r="V110" t="s">
        <v>2421</v>
      </c>
      <c r="W110" t="s">
        <v>2422</v>
      </c>
      <c r="X110" t="s">
        <v>2423</v>
      </c>
      <c r="Y110" t="s">
        <v>2424</v>
      </c>
      <c r="Z110" t="s">
        <v>2425</v>
      </c>
      <c r="AA110" t="s">
        <v>74</v>
      </c>
      <c r="AB110" t="s">
        <v>74</v>
      </c>
      <c r="AC110" t="s">
        <v>74</v>
      </c>
      <c r="AD110" t="s">
        <v>74</v>
      </c>
      <c r="AE110" t="s">
        <v>74</v>
      </c>
      <c r="AF110" t="s">
        <v>74</v>
      </c>
      <c r="AG110">
        <v>18</v>
      </c>
      <c r="AH110">
        <v>0</v>
      </c>
      <c r="AI110">
        <v>0</v>
      </c>
      <c r="AJ110">
        <v>1</v>
      </c>
      <c r="AK110">
        <v>1</v>
      </c>
      <c r="AL110" t="s">
        <v>92</v>
      </c>
      <c r="AM110" t="s">
        <v>93</v>
      </c>
      <c r="AN110" t="s">
        <v>94</v>
      </c>
      <c r="AO110" t="s">
        <v>74</v>
      </c>
      <c r="AP110" t="s">
        <v>74</v>
      </c>
      <c r="AQ110" t="s">
        <v>2426</v>
      </c>
      <c r="AR110" t="s">
        <v>74</v>
      </c>
      <c r="AS110" t="s">
        <v>74</v>
      </c>
      <c r="AT110" t="s">
        <v>74</v>
      </c>
      <c r="AU110">
        <v>2023</v>
      </c>
      <c r="AV110" t="s">
        <v>74</v>
      </c>
      <c r="AW110" t="s">
        <v>74</v>
      </c>
      <c r="AX110" t="s">
        <v>74</v>
      </c>
      <c r="AY110" t="s">
        <v>74</v>
      </c>
      <c r="AZ110" t="s">
        <v>74</v>
      </c>
      <c r="BA110" t="s">
        <v>74</v>
      </c>
      <c r="BB110">
        <v>8</v>
      </c>
      <c r="BC110">
        <v>15</v>
      </c>
      <c r="BD110" t="s">
        <v>74</v>
      </c>
      <c r="BE110" t="s">
        <v>2427</v>
      </c>
      <c r="BF110" t="str">
        <f>HYPERLINK("http://dx.doi.org/10.1145/3637907.3637947","http://dx.doi.org/10.1145/3637907.3637947")</f>
        <v>http://dx.doi.org/10.1145/3637907.3637947</v>
      </c>
      <c r="BG110" t="s">
        <v>74</v>
      </c>
      <c r="BH110" t="s">
        <v>74</v>
      </c>
      <c r="BI110">
        <v>8</v>
      </c>
      <c r="BJ110" t="s">
        <v>1501</v>
      </c>
      <c r="BK110" t="s">
        <v>180</v>
      </c>
      <c r="BL110" t="s">
        <v>1187</v>
      </c>
      <c r="BM110" t="s">
        <v>2428</v>
      </c>
      <c r="BN110" t="s">
        <v>74</v>
      </c>
      <c r="BO110" t="s">
        <v>74</v>
      </c>
      <c r="BP110" t="s">
        <v>74</v>
      </c>
      <c r="BQ110" t="s">
        <v>74</v>
      </c>
      <c r="BR110" t="s">
        <v>101</v>
      </c>
      <c r="BS110" t="s">
        <v>2429</v>
      </c>
      <c r="BT110" t="str">
        <f>HYPERLINK("https%3A%2F%2Fwww.webofscience.com%2Fwos%2Fwoscc%2Ffull-record%2FWOS:001159769900002","View Full Record in Web of Science")</f>
        <v>View Full Record in Web of Science</v>
      </c>
    </row>
    <row r="111" spans="1:72" x14ac:dyDescent="0.2">
      <c r="A111" t="s">
        <v>103</v>
      </c>
      <c r="B111" t="s">
        <v>2430</v>
      </c>
      <c r="C111" t="s">
        <v>74</v>
      </c>
      <c r="D111" t="s">
        <v>74</v>
      </c>
      <c r="E111" t="s">
        <v>74</v>
      </c>
      <c r="F111" t="s">
        <v>2431</v>
      </c>
      <c r="G111" t="s">
        <v>74</v>
      </c>
      <c r="H111" t="s">
        <v>74</v>
      </c>
      <c r="I111" t="s">
        <v>2432</v>
      </c>
      <c r="J111" t="s">
        <v>2433</v>
      </c>
      <c r="K111" t="s">
        <v>74</v>
      </c>
      <c r="L111" t="s">
        <v>74</v>
      </c>
      <c r="M111" t="s">
        <v>79</v>
      </c>
      <c r="N111" t="s">
        <v>108</v>
      </c>
      <c r="O111" t="s">
        <v>74</v>
      </c>
      <c r="P111" t="s">
        <v>74</v>
      </c>
      <c r="Q111" t="s">
        <v>74</v>
      </c>
      <c r="R111" t="s">
        <v>74</v>
      </c>
      <c r="S111" t="s">
        <v>74</v>
      </c>
      <c r="T111" t="s">
        <v>2434</v>
      </c>
      <c r="U111" t="s">
        <v>74</v>
      </c>
      <c r="V111" t="s">
        <v>2435</v>
      </c>
      <c r="W111" t="s">
        <v>2436</v>
      </c>
      <c r="X111" t="s">
        <v>2437</v>
      </c>
      <c r="Y111" t="s">
        <v>2438</v>
      </c>
      <c r="Z111" t="s">
        <v>2439</v>
      </c>
      <c r="AA111" t="s">
        <v>74</v>
      </c>
      <c r="AB111" t="s">
        <v>2440</v>
      </c>
      <c r="AC111" t="s">
        <v>2441</v>
      </c>
      <c r="AD111" t="s">
        <v>2442</v>
      </c>
      <c r="AE111" t="s">
        <v>2443</v>
      </c>
      <c r="AF111" t="s">
        <v>74</v>
      </c>
      <c r="AG111">
        <v>25</v>
      </c>
      <c r="AH111">
        <v>0</v>
      </c>
      <c r="AI111">
        <v>0</v>
      </c>
      <c r="AJ111">
        <v>15</v>
      </c>
      <c r="AK111">
        <v>16</v>
      </c>
      <c r="AL111" t="s">
        <v>939</v>
      </c>
      <c r="AM111" t="s">
        <v>940</v>
      </c>
      <c r="AN111" t="s">
        <v>941</v>
      </c>
      <c r="AO111" t="s">
        <v>74</v>
      </c>
      <c r="AP111" t="s">
        <v>2444</v>
      </c>
      <c r="AQ111" t="s">
        <v>74</v>
      </c>
      <c r="AR111" t="s">
        <v>2445</v>
      </c>
      <c r="AS111" t="s">
        <v>2446</v>
      </c>
      <c r="AT111" t="s">
        <v>771</v>
      </c>
      <c r="AU111">
        <v>2023</v>
      </c>
      <c r="AV111">
        <v>13</v>
      </c>
      <c r="AW111">
        <v>17</v>
      </c>
      <c r="AX111" t="s">
        <v>74</v>
      </c>
      <c r="AY111" t="s">
        <v>74</v>
      </c>
      <c r="AZ111" t="s">
        <v>74</v>
      </c>
      <c r="BA111" t="s">
        <v>74</v>
      </c>
      <c r="BB111" t="s">
        <v>74</v>
      </c>
      <c r="BC111" t="s">
        <v>74</v>
      </c>
      <c r="BD111">
        <v>9622</v>
      </c>
      <c r="BE111" t="s">
        <v>2447</v>
      </c>
      <c r="BF111" t="str">
        <f>HYPERLINK("http://dx.doi.org/10.3390/app13179622","http://dx.doi.org/10.3390/app13179622")</f>
        <v>http://dx.doi.org/10.3390/app13179622</v>
      </c>
      <c r="BG111" t="s">
        <v>74</v>
      </c>
      <c r="BH111" t="s">
        <v>74</v>
      </c>
      <c r="BI111">
        <v>13</v>
      </c>
      <c r="BJ111" t="s">
        <v>2448</v>
      </c>
      <c r="BK111" t="s">
        <v>130</v>
      </c>
      <c r="BL111" t="s">
        <v>2449</v>
      </c>
      <c r="BM111" t="s">
        <v>2450</v>
      </c>
      <c r="BN111" t="s">
        <v>74</v>
      </c>
      <c r="BO111" t="s">
        <v>425</v>
      </c>
      <c r="BP111" t="s">
        <v>74</v>
      </c>
      <c r="BQ111" t="s">
        <v>74</v>
      </c>
      <c r="BR111" t="s">
        <v>101</v>
      </c>
      <c r="BS111" t="s">
        <v>2451</v>
      </c>
      <c r="BT111" t="str">
        <f>HYPERLINK("https%3A%2F%2Fwww.webofscience.com%2Fwos%2Fwoscc%2Ffull-record%2FWOS:001062657100001","View Full Record in Web of Science")</f>
        <v>View Full Record in Web of Science</v>
      </c>
    </row>
    <row r="112" spans="1:72" x14ac:dyDescent="0.2">
      <c r="A112" t="s">
        <v>72</v>
      </c>
      <c r="B112" t="s">
        <v>2452</v>
      </c>
      <c r="C112" t="s">
        <v>74</v>
      </c>
      <c r="D112" t="s">
        <v>74</v>
      </c>
      <c r="E112" t="s">
        <v>75</v>
      </c>
      <c r="F112" t="s">
        <v>2453</v>
      </c>
      <c r="G112" t="s">
        <v>74</v>
      </c>
      <c r="H112" t="s">
        <v>74</v>
      </c>
      <c r="I112" t="s">
        <v>2454</v>
      </c>
      <c r="J112" t="s">
        <v>78</v>
      </c>
      <c r="K112" t="s">
        <v>74</v>
      </c>
      <c r="L112" t="s">
        <v>74</v>
      </c>
      <c r="M112" t="s">
        <v>79</v>
      </c>
      <c r="N112" t="s">
        <v>80</v>
      </c>
      <c r="O112" t="s">
        <v>81</v>
      </c>
      <c r="P112" t="s">
        <v>82</v>
      </c>
      <c r="Q112" t="s">
        <v>83</v>
      </c>
      <c r="R112" t="s">
        <v>84</v>
      </c>
      <c r="S112" t="s">
        <v>74</v>
      </c>
      <c r="T112" t="s">
        <v>2455</v>
      </c>
      <c r="U112" t="s">
        <v>74</v>
      </c>
      <c r="V112" t="s">
        <v>2456</v>
      </c>
      <c r="W112" t="s">
        <v>2457</v>
      </c>
      <c r="X112" t="s">
        <v>2458</v>
      </c>
      <c r="Y112" t="s">
        <v>2459</v>
      </c>
      <c r="Z112" t="s">
        <v>2460</v>
      </c>
      <c r="AA112" t="s">
        <v>74</v>
      </c>
      <c r="AB112" t="s">
        <v>74</v>
      </c>
      <c r="AC112" t="s">
        <v>74</v>
      </c>
      <c r="AD112" t="s">
        <v>74</v>
      </c>
      <c r="AE112" t="s">
        <v>74</v>
      </c>
      <c r="AF112" t="s">
        <v>74</v>
      </c>
      <c r="AG112">
        <v>14</v>
      </c>
      <c r="AH112">
        <v>0</v>
      </c>
      <c r="AI112">
        <v>0</v>
      </c>
      <c r="AJ112">
        <v>7</v>
      </c>
      <c r="AK112">
        <v>7</v>
      </c>
      <c r="AL112" t="s">
        <v>92</v>
      </c>
      <c r="AM112" t="s">
        <v>93</v>
      </c>
      <c r="AN112" t="s">
        <v>94</v>
      </c>
      <c r="AO112" t="s">
        <v>74</v>
      </c>
      <c r="AP112" t="s">
        <v>74</v>
      </c>
      <c r="AQ112" t="s">
        <v>95</v>
      </c>
      <c r="AR112" t="s">
        <v>74</v>
      </c>
      <c r="AS112" t="s">
        <v>74</v>
      </c>
      <c r="AT112" t="s">
        <v>74</v>
      </c>
      <c r="AU112">
        <v>2023</v>
      </c>
      <c r="AV112" t="s">
        <v>74</v>
      </c>
      <c r="AW112" t="s">
        <v>74</v>
      </c>
      <c r="AX112" t="s">
        <v>74</v>
      </c>
      <c r="AY112" t="s">
        <v>74</v>
      </c>
      <c r="AZ112" t="s">
        <v>74</v>
      </c>
      <c r="BA112" t="s">
        <v>74</v>
      </c>
      <c r="BB112" t="s">
        <v>74</v>
      </c>
      <c r="BC112" t="s">
        <v>74</v>
      </c>
      <c r="BD112">
        <v>108</v>
      </c>
      <c r="BE112" t="s">
        <v>2461</v>
      </c>
      <c r="BF112" t="str">
        <f>HYPERLINK("http://dx.doi.org/10.1145/3586182.3617432","http://dx.doi.org/10.1145/3586182.3617432")</f>
        <v>http://dx.doi.org/10.1145/3586182.3617432</v>
      </c>
      <c r="BG112" t="s">
        <v>74</v>
      </c>
      <c r="BH112" t="s">
        <v>74</v>
      </c>
      <c r="BI112">
        <v>3</v>
      </c>
      <c r="BJ112" t="s">
        <v>97</v>
      </c>
      <c r="BK112" t="s">
        <v>98</v>
      </c>
      <c r="BL112" t="s">
        <v>99</v>
      </c>
      <c r="BM112" t="s">
        <v>100</v>
      </c>
      <c r="BN112" t="s">
        <v>74</v>
      </c>
      <c r="BO112" t="s">
        <v>74</v>
      </c>
      <c r="BP112" t="s">
        <v>74</v>
      </c>
      <c r="BQ112" t="s">
        <v>74</v>
      </c>
      <c r="BR112" t="s">
        <v>101</v>
      </c>
      <c r="BS112" t="s">
        <v>2462</v>
      </c>
      <c r="BT112" t="str">
        <f>HYPERLINK("https%3A%2F%2Fwww.webofscience.com%2Fwos%2Fwoscc%2Ffull-record%2FWOS:001125107000107","View Full Record in Web of Science")</f>
        <v>View Full Record in Web of Science</v>
      </c>
    </row>
    <row r="113" spans="1:72" x14ac:dyDescent="0.2">
      <c r="A113" t="s">
        <v>103</v>
      </c>
      <c r="B113" t="s">
        <v>2463</v>
      </c>
      <c r="C113" t="s">
        <v>74</v>
      </c>
      <c r="D113" t="s">
        <v>74</v>
      </c>
      <c r="E113" t="s">
        <v>74</v>
      </c>
      <c r="F113" t="s">
        <v>2464</v>
      </c>
      <c r="G113" t="s">
        <v>74</v>
      </c>
      <c r="H113" t="s">
        <v>74</v>
      </c>
      <c r="I113" t="s">
        <v>2465</v>
      </c>
      <c r="J113" t="s">
        <v>2466</v>
      </c>
      <c r="K113" t="s">
        <v>74</v>
      </c>
      <c r="L113" t="s">
        <v>74</v>
      </c>
      <c r="M113" t="s">
        <v>79</v>
      </c>
      <c r="N113" t="s">
        <v>108</v>
      </c>
      <c r="O113" t="s">
        <v>74</v>
      </c>
      <c r="P113" t="s">
        <v>74</v>
      </c>
      <c r="Q113" t="s">
        <v>74</v>
      </c>
      <c r="R113" t="s">
        <v>74</v>
      </c>
      <c r="S113" t="s">
        <v>74</v>
      </c>
      <c r="T113" t="s">
        <v>2467</v>
      </c>
      <c r="U113" t="s">
        <v>2468</v>
      </c>
      <c r="V113" t="s">
        <v>2469</v>
      </c>
      <c r="W113" t="s">
        <v>2470</v>
      </c>
      <c r="X113" t="s">
        <v>1702</v>
      </c>
      <c r="Y113" t="s">
        <v>2471</v>
      </c>
      <c r="Z113" t="s">
        <v>2472</v>
      </c>
      <c r="AA113" t="s">
        <v>74</v>
      </c>
      <c r="AB113" t="s">
        <v>74</v>
      </c>
      <c r="AC113" t="s">
        <v>2473</v>
      </c>
      <c r="AD113" t="s">
        <v>2473</v>
      </c>
      <c r="AE113" t="s">
        <v>2473</v>
      </c>
      <c r="AF113" t="s">
        <v>74</v>
      </c>
      <c r="AG113">
        <v>52</v>
      </c>
      <c r="AH113">
        <v>2</v>
      </c>
      <c r="AI113">
        <v>2</v>
      </c>
      <c r="AJ113">
        <v>81</v>
      </c>
      <c r="AK113">
        <v>81</v>
      </c>
      <c r="AL113" t="s">
        <v>1961</v>
      </c>
      <c r="AM113" t="s">
        <v>1962</v>
      </c>
      <c r="AN113" t="s">
        <v>1963</v>
      </c>
      <c r="AO113" t="s">
        <v>74</v>
      </c>
      <c r="AP113" t="s">
        <v>2474</v>
      </c>
      <c r="AQ113" t="s">
        <v>74</v>
      </c>
      <c r="AR113" t="s">
        <v>2475</v>
      </c>
      <c r="AS113" t="s">
        <v>2476</v>
      </c>
      <c r="AT113" t="s">
        <v>2477</v>
      </c>
      <c r="AU113">
        <v>2023</v>
      </c>
      <c r="AV113">
        <v>10</v>
      </c>
      <c r="AW113">
        <v>1</v>
      </c>
      <c r="AX113" t="s">
        <v>74</v>
      </c>
      <c r="AY113" t="s">
        <v>74</v>
      </c>
      <c r="AZ113" t="s">
        <v>74</v>
      </c>
      <c r="BA113" t="s">
        <v>74</v>
      </c>
      <c r="BB113" t="s">
        <v>74</v>
      </c>
      <c r="BC113" t="s">
        <v>74</v>
      </c>
      <c r="BD113">
        <v>60</v>
      </c>
      <c r="BE113" t="s">
        <v>2478</v>
      </c>
      <c r="BF113" t="str">
        <f>HYPERLINK("http://dx.doi.org/10.1186/s40561-023-00269-3","http://dx.doi.org/10.1186/s40561-023-00269-3")</f>
        <v>http://dx.doi.org/10.1186/s40561-023-00269-3</v>
      </c>
      <c r="BG113" t="s">
        <v>74</v>
      </c>
      <c r="BH113" t="s">
        <v>74</v>
      </c>
      <c r="BI113">
        <v>23</v>
      </c>
      <c r="BJ113" t="s">
        <v>423</v>
      </c>
      <c r="BK113" t="s">
        <v>352</v>
      </c>
      <c r="BL113" t="s">
        <v>423</v>
      </c>
      <c r="BM113" t="s">
        <v>2479</v>
      </c>
      <c r="BN113" t="s">
        <v>74</v>
      </c>
      <c r="BO113" t="s">
        <v>1711</v>
      </c>
      <c r="BP113" t="s">
        <v>74</v>
      </c>
      <c r="BQ113" t="s">
        <v>74</v>
      </c>
      <c r="BR113" t="s">
        <v>101</v>
      </c>
      <c r="BS113" t="s">
        <v>2480</v>
      </c>
      <c r="BT113" t="str">
        <f>HYPERLINK("https%3A%2F%2Fwww.webofscience.com%2Fwos%2Fwoscc%2Ffull-record%2FWOS:001101761900002","View Full Record in Web of Science")</f>
        <v>View Full Record in Web of Science</v>
      </c>
    </row>
    <row r="114" spans="1:72" x14ac:dyDescent="0.2">
      <c r="A114" t="s">
        <v>103</v>
      </c>
      <c r="B114" t="s">
        <v>2481</v>
      </c>
      <c r="C114" t="s">
        <v>74</v>
      </c>
      <c r="D114" t="s">
        <v>74</v>
      </c>
      <c r="E114" t="s">
        <v>74</v>
      </c>
      <c r="F114" t="s">
        <v>2482</v>
      </c>
      <c r="G114" t="s">
        <v>74</v>
      </c>
      <c r="H114" t="s">
        <v>74</v>
      </c>
      <c r="I114" t="s">
        <v>2483</v>
      </c>
      <c r="J114" t="s">
        <v>2484</v>
      </c>
      <c r="K114" t="s">
        <v>74</v>
      </c>
      <c r="L114" t="s">
        <v>74</v>
      </c>
      <c r="M114" t="s">
        <v>79</v>
      </c>
      <c r="N114" t="s">
        <v>108</v>
      </c>
      <c r="O114" t="s">
        <v>74</v>
      </c>
      <c r="P114" t="s">
        <v>74</v>
      </c>
      <c r="Q114" t="s">
        <v>74</v>
      </c>
      <c r="R114" t="s">
        <v>74</v>
      </c>
      <c r="S114" t="s">
        <v>74</v>
      </c>
      <c r="T114" t="s">
        <v>2485</v>
      </c>
      <c r="U114" t="s">
        <v>74</v>
      </c>
      <c r="V114" t="s">
        <v>2486</v>
      </c>
      <c r="W114" t="s">
        <v>2487</v>
      </c>
      <c r="X114" t="s">
        <v>2488</v>
      </c>
      <c r="Y114" t="s">
        <v>2489</v>
      </c>
      <c r="Z114" t="s">
        <v>2490</v>
      </c>
      <c r="AA114" t="s">
        <v>74</v>
      </c>
      <c r="AB114" t="s">
        <v>2491</v>
      </c>
      <c r="AC114" t="s">
        <v>74</v>
      </c>
      <c r="AD114" t="s">
        <v>74</v>
      </c>
      <c r="AE114" t="s">
        <v>74</v>
      </c>
      <c r="AF114" t="s">
        <v>74</v>
      </c>
      <c r="AG114">
        <v>20</v>
      </c>
      <c r="AH114">
        <v>0</v>
      </c>
      <c r="AI114">
        <v>0</v>
      </c>
      <c r="AJ114">
        <v>14</v>
      </c>
      <c r="AK114">
        <v>14</v>
      </c>
      <c r="AL114" t="s">
        <v>2492</v>
      </c>
      <c r="AM114" t="s">
        <v>461</v>
      </c>
      <c r="AN114" t="s">
        <v>2493</v>
      </c>
      <c r="AO114" t="s">
        <v>74</v>
      </c>
      <c r="AP114" t="s">
        <v>2494</v>
      </c>
      <c r="AQ114" t="s">
        <v>74</v>
      </c>
      <c r="AR114" t="s">
        <v>2495</v>
      </c>
      <c r="AS114" t="s">
        <v>2496</v>
      </c>
      <c r="AT114" t="s">
        <v>2497</v>
      </c>
      <c r="AU114">
        <v>2023</v>
      </c>
      <c r="AV114">
        <v>8</v>
      </c>
      <c r="AW114" t="s">
        <v>74</v>
      </c>
      <c r="AX114" t="s">
        <v>74</v>
      </c>
      <c r="AY114" t="s">
        <v>74</v>
      </c>
      <c r="AZ114" t="s">
        <v>74</v>
      </c>
      <c r="BA114" t="s">
        <v>74</v>
      </c>
      <c r="BB114" t="s">
        <v>74</v>
      </c>
      <c r="BC114" t="s">
        <v>74</v>
      </c>
      <c r="BD114">
        <v>1300391</v>
      </c>
      <c r="BE114" t="s">
        <v>2498</v>
      </c>
      <c r="BF114" t="str">
        <f>HYPERLINK("http://dx.doi.org/10.3389/feduc.2023.1300391","http://dx.doi.org/10.3389/feduc.2023.1300391")</f>
        <v>http://dx.doi.org/10.3389/feduc.2023.1300391</v>
      </c>
      <c r="BG114" t="s">
        <v>74</v>
      </c>
      <c r="BH114" t="s">
        <v>74</v>
      </c>
      <c r="BI114">
        <v>9</v>
      </c>
      <c r="BJ114" t="s">
        <v>423</v>
      </c>
      <c r="BK114" t="s">
        <v>352</v>
      </c>
      <c r="BL114" t="s">
        <v>423</v>
      </c>
      <c r="BM114" t="s">
        <v>2499</v>
      </c>
      <c r="BN114" t="s">
        <v>74</v>
      </c>
      <c r="BO114" t="s">
        <v>425</v>
      </c>
      <c r="BP114" t="s">
        <v>74</v>
      </c>
      <c r="BQ114" t="s">
        <v>74</v>
      </c>
      <c r="BR114" t="s">
        <v>101</v>
      </c>
      <c r="BS114" t="s">
        <v>2500</v>
      </c>
      <c r="BT114" t="str">
        <f>HYPERLINK("https%3A%2F%2Fwww.webofscience.com%2Fwos%2Fwoscc%2Ffull-record%2FWOS:001124517000001","View Full Record in Web of Science")</f>
        <v>View Full Record in Web of Science</v>
      </c>
    </row>
    <row r="115" spans="1:72" x14ac:dyDescent="0.2">
      <c r="A115" t="s">
        <v>72</v>
      </c>
      <c r="B115" t="s">
        <v>2501</v>
      </c>
      <c r="C115" t="s">
        <v>74</v>
      </c>
      <c r="D115" t="s">
        <v>74</v>
      </c>
      <c r="E115" t="s">
        <v>92</v>
      </c>
      <c r="F115" t="s">
        <v>2502</v>
      </c>
      <c r="G115" t="s">
        <v>74</v>
      </c>
      <c r="H115" t="s">
        <v>74</v>
      </c>
      <c r="I115" t="s">
        <v>2503</v>
      </c>
      <c r="J115" t="s">
        <v>2504</v>
      </c>
      <c r="K115" t="s">
        <v>74</v>
      </c>
      <c r="L115" t="s">
        <v>74</v>
      </c>
      <c r="M115" t="s">
        <v>79</v>
      </c>
      <c r="N115" t="s">
        <v>80</v>
      </c>
      <c r="O115" t="s">
        <v>2505</v>
      </c>
      <c r="P115" t="s">
        <v>2506</v>
      </c>
      <c r="Q115" t="s">
        <v>2507</v>
      </c>
      <c r="R115" t="s">
        <v>1223</v>
      </c>
      <c r="S115" t="s">
        <v>74</v>
      </c>
      <c r="T115" t="s">
        <v>74</v>
      </c>
      <c r="U115" t="s">
        <v>2508</v>
      </c>
      <c r="V115" t="s">
        <v>2509</v>
      </c>
      <c r="W115" t="s">
        <v>2510</v>
      </c>
      <c r="X115" t="s">
        <v>74</v>
      </c>
      <c r="Y115" t="s">
        <v>2511</v>
      </c>
      <c r="Z115" t="s">
        <v>2512</v>
      </c>
      <c r="AA115" t="s">
        <v>74</v>
      </c>
      <c r="AB115" t="s">
        <v>74</v>
      </c>
      <c r="AC115" t="s">
        <v>2513</v>
      </c>
      <c r="AD115" t="s">
        <v>2513</v>
      </c>
      <c r="AE115" t="s">
        <v>2514</v>
      </c>
      <c r="AF115" t="s">
        <v>74</v>
      </c>
      <c r="AG115">
        <v>108</v>
      </c>
      <c r="AH115">
        <v>5</v>
      </c>
      <c r="AI115">
        <v>5</v>
      </c>
      <c r="AJ115">
        <v>2</v>
      </c>
      <c r="AK115">
        <v>2</v>
      </c>
      <c r="AL115" t="s">
        <v>92</v>
      </c>
      <c r="AM115" t="s">
        <v>93</v>
      </c>
      <c r="AN115" t="s">
        <v>94</v>
      </c>
      <c r="AO115" t="s">
        <v>74</v>
      </c>
      <c r="AP115" t="s">
        <v>74</v>
      </c>
      <c r="AQ115" t="s">
        <v>2515</v>
      </c>
      <c r="AR115" t="s">
        <v>74</v>
      </c>
      <c r="AS115" t="s">
        <v>74</v>
      </c>
      <c r="AT115" t="s">
        <v>74</v>
      </c>
      <c r="AU115">
        <v>2023</v>
      </c>
      <c r="AV115" t="s">
        <v>74</v>
      </c>
      <c r="AW115" t="s">
        <v>74</v>
      </c>
      <c r="AX115" t="s">
        <v>74</v>
      </c>
      <c r="AY115" t="s">
        <v>74</v>
      </c>
      <c r="AZ115" t="s">
        <v>74</v>
      </c>
      <c r="BA115" t="s">
        <v>74</v>
      </c>
      <c r="BB115">
        <v>111</v>
      </c>
      <c r="BC115">
        <v>122</v>
      </c>
      <c r="BD115" t="s">
        <v>74</v>
      </c>
      <c r="BE115" t="s">
        <v>2516</v>
      </c>
      <c r="BF115" t="str">
        <f>HYPERLINK("http://dx.doi.org/10.1145/3593013.3593981","http://dx.doi.org/10.1145/3593013.3593981")</f>
        <v>http://dx.doi.org/10.1145/3593013.3593981</v>
      </c>
      <c r="BG115" t="s">
        <v>74</v>
      </c>
      <c r="BH115" t="s">
        <v>74</v>
      </c>
      <c r="BI115">
        <v>12</v>
      </c>
      <c r="BJ115" t="s">
        <v>2517</v>
      </c>
      <c r="BK115" t="s">
        <v>180</v>
      </c>
      <c r="BL115" t="s">
        <v>1212</v>
      </c>
      <c r="BM115" t="s">
        <v>2518</v>
      </c>
      <c r="BN115" t="s">
        <v>74</v>
      </c>
      <c r="BO115" t="s">
        <v>646</v>
      </c>
      <c r="BP115" t="s">
        <v>74</v>
      </c>
      <c r="BQ115" t="s">
        <v>74</v>
      </c>
      <c r="BR115" t="s">
        <v>101</v>
      </c>
      <c r="BS115" t="s">
        <v>2519</v>
      </c>
      <c r="BT115" t="str">
        <f>HYPERLINK("https%3A%2F%2Fwww.webofscience.com%2Fwos%2Fwoscc%2Ffull-record%2FWOS:001062819300012","View Full Record in Web of Science")</f>
        <v>View Full Record in Web of Science</v>
      </c>
    </row>
    <row r="116" spans="1:72" x14ac:dyDescent="0.2">
      <c r="A116" t="s">
        <v>72</v>
      </c>
      <c r="B116" t="s">
        <v>2520</v>
      </c>
      <c r="C116" t="s">
        <v>74</v>
      </c>
      <c r="D116" t="s">
        <v>74</v>
      </c>
      <c r="E116" t="s">
        <v>75</v>
      </c>
      <c r="F116" t="s">
        <v>2521</v>
      </c>
      <c r="G116" t="s">
        <v>74</v>
      </c>
      <c r="H116" t="s">
        <v>74</v>
      </c>
      <c r="I116" t="s">
        <v>2522</v>
      </c>
      <c r="J116" t="s">
        <v>1193</v>
      </c>
      <c r="K116" t="s">
        <v>74</v>
      </c>
      <c r="L116" t="s">
        <v>74</v>
      </c>
      <c r="M116" t="s">
        <v>79</v>
      </c>
      <c r="N116" t="s">
        <v>80</v>
      </c>
      <c r="O116" t="s">
        <v>1194</v>
      </c>
      <c r="P116" t="s">
        <v>1195</v>
      </c>
      <c r="Q116" t="s">
        <v>1196</v>
      </c>
      <c r="R116" t="s">
        <v>1197</v>
      </c>
      <c r="S116" t="s">
        <v>74</v>
      </c>
      <c r="T116" t="s">
        <v>2523</v>
      </c>
      <c r="U116" t="s">
        <v>74</v>
      </c>
      <c r="V116" t="s">
        <v>74</v>
      </c>
      <c r="W116" t="s">
        <v>2524</v>
      </c>
      <c r="X116" t="s">
        <v>2525</v>
      </c>
      <c r="Y116" t="s">
        <v>2526</v>
      </c>
      <c r="Z116" t="s">
        <v>2527</v>
      </c>
      <c r="AA116" t="s">
        <v>74</v>
      </c>
      <c r="AB116" t="s">
        <v>74</v>
      </c>
      <c r="AC116" t="s">
        <v>74</v>
      </c>
      <c r="AD116" t="s">
        <v>74</v>
      </c>
      <c r="AE116" t="s">
        <v>74</v>
      </c>
      <c r="AF116" t="s">
        <v>74</v>
      </c>
      <c r="AG116">
        <v>0</v>
      </c>
      <c r="AH116">
        <v>0</v>
      </c>
      <c r="AI116">
        <v>0</v>
      </c>
      <c r="AJ116">
        <v>4</v>
      </c>
      <c r="AK116">
        <v>4</v>
      </c>
      <c r="AL116" t="s">
        <v>92</v>
      </c>
      <c r="AM116" t="s">
        <v>93</v>
      </c>
      <c r="AN116" t="s">
        <v>94</v>
      </c>
      <c r="AO116" t="s">
        <v>74</v>
      </c>
      <c r="AP116" t="s">
        <v>74</v>
      </c>
      <c r="AQ116" t="s">
        <v>1209</v>
      </c>
      <c r="AR116" t="s">
        <v>74</v>
      </c>
      <c r="AS116" t="s">
        <v>74</v>
      </c>
      <c r="AT116" t="s">
        <v>74</v>
      </c>
      <c r="AU116">
        <v>2023</v>
      </c>
      <c r="AV116" t="s">
        <v>74</v>
      </c>
      <c r="AW116" t="s">
        <v>74</v>
      </c>
      <c r="AX116" t="s">
        <v>74</v>
      </c>
      <c r="AY116" t="s">
        <v>74</v>
      </c>
      <c r="AZ116" t="s">
        <v>74</v>
      </c>
      <c r="BA116" t="s">
        <v>74</v>
      </c>
      <c r="BB116">
        <v>1</v>
      </c>
      <c r="BC116">
        <v>1</v>
      </c>
      <c r="BD116" t="s">
        <v>74</v>
      </c>
      <c r="BE116" t="s">
        <v>2528</v>
      </c>
      <c r="BF116" t="str">
        <f>HYPERLINK("http://dx.doi.org/10.1145/3600211.3607545","http://dx.doi.org/10.1145/3600211.3607545")</f>
        <v>http://dx.doi.org/10.1145/3600211.3607545</v>
      </c>
      <c r="BG116" t="s">
        <v>74</v>
      </c>
      <c r="BH116" t="s">
        <v>74</v>
      </c>
      <c r="BI116">
        <v>1</v>
      </c>
      <c r="BJ116" t="s">
        <v>1211</v>
      </c>
      <c r="BK116" t="s">
        <v>180</v>
      </c>
      <c r="BL116" t="s">
        <v>1212</v>
      </c>
      <c r="BM116" t="s">
        <v>1213</v>
      </c>
      <c r="BN116" t="s">
        <v>74</v>
      </c>
      <c r="BO116" t="s">
        <v>74</v>
      </c>
      <c r="BP116" t="s">
        <v>74</v>
      </c>
      <c r="BQ116" t="s">
        <v>74</v>
      </c>
      <c r="BR116" t="s">
        <v>101</v>
      </c>
      <c r="BS116" t="s">
        <v>2529</v>
      </c>
      <c r="BT116" t="str">
        <f>HYPERLINK("https%3A%2F%2Fwww.webofscience.com%2Fwos%2Fwoscc%2Ffull-record%2FWOS:001117838100001","View Full Record in Web of Science")</f>
        <v>View Full Record in Web of Science</v>
      </c>
    </row>
    <row r="117" spans="1:72" x14ac:dyDescent="0.2">
      <c r="A117" t="s">
        <v>103</v>
      </c>
      <c r="B117" t="s">
        <v>2530</v>
      </c>
      <c r="C117" t="s">
        <v>74</v>
      </c>
      <c r="D117" t="s">
        <v>74</v>
      </c>
      <c r="E117" t="s">
        <v>74</v>
      </c>
      <c r="F117" t="s">
        <v>2531</v>
      </c>
      <c r="G117" t="s">
        <v>74</v>
      </c>
      <c r="H117" t="s">
        <v>74</v>
      </c>
      <c r="I117" t="s">
        <v>2532</v>
      </c>
      <c r="J117" t="s">
        <v>1326</v>
      </c>
      <c r="K117" t="s">
        <v>74</v>
      </c>
      <c r="L117" t="s">
        <v>74</v>
      </c>
      <c r="M117" t="s">
        <v>79</v>
      </c>
      <c r="N117" t="s">
        <v>108</v>
      </c>
      <c r="O117" t="s">
        <v>74</v>
      </c>
      <c r="P117" t="s">
        <v>74</v>
      </c>
      <c r="Q117" t="s">
        <v>74</v>
      </c>
      <c r="R117" t="s">
        <v>74</v>
      </c>
      <c r="S117" t="s">
        <v>74</v>
      </c>
      <c r="T117" t="s">
        <v>2533</v>
      </c>
      <c r="U117" t="s">
        <v>74</v>
      </c>
      <c r="V117" t="s">
        <v>2534</v>
      </c>
      <c r="W117" t="s">
        <v>2535</v>
      </c>
      <c r="X117" t="s">
        <v>2536</v>
      </c>
      <c r="Y117" t="s">
        <v>2537</v>
      </c>
      <c r="Z117" t="s">
        <v>2538</v>
      </c>
      <c r="AA117" t="s">
        <v>74</v>
      </c>
      <c r="AB117" t="s">
        <v>74</v>
      </c>
      <c r="AC117" t="s">
        <v>74</v>
      </c>
      <c r="AD117" t="s">
        <v>74</v>
      </c>
      <c r="AE117" t="s">
        <v>74</v>
      </c>
      <c r="AF117" t="s">
        <v>74</v>
      </c>
      <c r="AG117">
        <v>0</v>
      </c>
      <c r="AH117">
        <v>0</v>
      </c>
      <c r="AI117">
        <v>0</v>
      </c>
      <c r="AJ117">
        <v>7</v>
      </c>
      <c r="AK117">
        <v>7</v>
      </c>
      <c r="AL117" t="s">
        <v>1333</v>
      </c>
      <c r="AM117" t="s">
        <v>1334</v>
      </c>
      <c r="AN117" t="s">
        <v>1335</v>
      </c>
      <c r="AO117" t="s">
        <v>1336</v>
      </c>
      <c r="AP117" t="s">
        <v>74</v>
      </c>
      <c r="AQ117" t="s">
        <v>74</v>
      </c>
      <c r="AR117" t="s">
        <v>1337</v>
      </c>
      <c r="AS117" t="s">
        <v>1338</v>
      </c>
      <c r="AT117" t="s">
        <v>74</v>
      </c>
      <c r="AU117">
        <v>2023</v>
      </c>
      <c r="AV117">
        <v>17</v>
      </c>
      <c r="AW117">
        <v>1</v>
      </c>
      <c r="AX117" t="s">
        <v>74</v>
      </c>
      <c r="AY117" t="s">
        <v>74</v>
      </c>
      <c r="AZ117" t="s">
        <v>74</v>
      </c>
      <c r="BA117" t="s">
        <v>74</v>
      </c>
      <c r="BB117" t="s">
        <v>2539</v>
      </c>
      <c r="BC117" t="s">
        <v>2540</v>
      </c>
      <c r="BD117" t="s">
        <v>74</v>
      </c>
      <c r="BE117" t="s">
        <v>74</v>
      </c>
      <c r="BF117" t="s">
        <v>74</v>
      </c>
      <c r="BG117" t="s">
        <v>74</v>
      </c>
      <c r="BH117" t="s">
        <v>74</v>
      </c>
      <c r="BI117">
        <v>11</v>
      </c>
      <c r="BJ117" t="s">
        <v>423</v>
      </c>
      <c r="BK117" t="s">
        <v>352</v>
      </c>
      <c r="BL117" t="s">
        <v>423</v>
      </c>
      <c r="BM117" t="s">
        <v>1341</v>
      </c>
      <c r="BN117" t="s">
        <v>74</v>
      </c>
      <c r="BO117" t="s">
        <v>74</v>
      </c>
      <c r="BP117" t="s">
        <v>74</v>
      </c>
      <c r="BQ117" t="s">
        <v>74</v>
      </c>
      <c r="BR117" t="s">
        <v>101</v>
      </c>
      <c r="BS117" t="s">
        <v>2541</v>
      </c>
      <c r="BT117" t="str">
        <f>HYPERLINK("https%3A%2F%2Fwww.webofscience.com%2Fwos%2Fwoscc%2Ffull-record%2FWOS:001163419200004","View Full Record in Web of Science")</f>
        <v>View Full Record in Web of Science</v>
      </c>
    </row>
    <row r="118" spans="1:72" x14ac:dyDescent="0.2">
      <c r="A118" t="s">
        <v>103</v>
      </c>
      <c r="B118" t="s">
        <v>2542</v>
      </c>
      <c r="C118" t="s">
        <v>74</v>
      </c>
      <c r="D118" t="s">
        <v>74</v>
      </c>
      <c r="E118" t="s">
        <v>74</v>
      </c>
      <c r="F118" t="s">
        <v>2543</v>
      </c>
      <c r="G118" t="s">
        <v>74</v>
      </c>
      <c r="H118" t="s">
        <v>74</v>
      </c>
      <c r="I118" t="s">
        <v>2544</v>
      </c>
      <c r="J118" t="s">
        <v>2466</v>
      </c>
      <c r="K118" t="s">
        <v>74</v>
      </c>
      <c r="L118" t="s">
        <v>74</v>
      </c>
      <c r="M118" t="s">
        <v>79</v>
      </c>
      <c r="N118" t="s">
        <v>108</v>
      </c>
      <c r="O118" t="s">
        <v>74</v>
      </c>
      <c r="P118" t="s">
        <v>74</v>
      </c>
      <c r="Q118" t="s">
        <v>74</v>
      </c>
      <c r="R118" t="s">
        <v>74</v>
      </c>
      <c r="S118" t="s">
        <v>74</v>
      </c>
      <c r="T118" t="s">
        <v>2545</v>
      </c>
      <c r="U118" t="s">
        <v>2546</v>
      </c>
      <c r="V118" t="s">
        <v>2547</v>
      </c>
      <c r="W118" t="s">
        <v>2548</v>
      </c>
      <c r="X118" t="s">
        <v>2549</v>
      </c>
      <c r="Y118" t="s">
        <v>2550</v>
      </c>
      <c r="Z118" t="s">
        <v>1704</v>
      </c>
      <c r="AA118" t="s">
        <v>74</v>
      </c>
      <c r="AB118" t="s">
        <v>74</v>
      </c>
      <c r="AC118" t="s">
        <v>74</v>
      </c>
      <c r="AD118" t="s">
        <v>74</v>
      </c>
      <c r="AE118" t="s">
        <v>74</v>
      </c>
      <c r="AF118" t="s">
        <v>74</v>
      </c>
      <c r="AG118">
        <v>70</v>
      </c>
      <c r="AH118">
        <v>0</v>
      </c>
      <c r="AI118">
        <v>0</v>
      </c>
      <c r="AJ118">
        <v>26</v>
      </c>
      <c r="AK118">
        <v>26</v>
      </c>
      <c r="AL118" t="s">
        <v>1961</v>
      </c>
      <c r="AM118" t="s">
        <v>1962</v>
      </c>
      <c r="AN118" t="s">
        <v>1963</v>
      </c>
      <c r="AO118" t="s">
        <v>74</v>
      </c>
      <c r="AP118" t="s">
        <v>2474</v>
      </c>
      <c r="AQ118" t="s">
        <v>74</v>
      </c>
      <c r="AR118" t="s">
        <v>2475</v>
      </c>
      <c r="AS118" t="s">
        <v>2476</v>
      </c>
      <c r="AT118" t="s">
        <v>2551</v>
      </c>
      <c r="AU118">
        <v>2023</v>
      </c>
      <c r="AV118">
        <v>10</v>
      </c>
      <c r="AW118">
        <v>1</v>
      </c>
      <c r="AX118" t="s">
        <v>74</v>
      </c>
      <c r="AY118" t="s">
        <v>74</v>
      </c>
      <c r="AZ118" t="s">
        <v>74</v>
      </c>
      <c r="BA118" t="s">
        <v>74</v>
      </c>
      <c r="BB118" t="s">
        <v>74</v>
      </c>
      <c r="BC118" t="s">
        <v>74</v>
      </c>
      <c r="BD118">
        <v>64</v>
      </c>
      <c r="BE118" t="s">
        <v>2552</v>
      </c>
      <c r="BF118" t="str">
        <f>HYPERLINK("http://dx.doi.org/10.1186/s40561-023-00284-4","http://dx.doi.org/10.1186/s40561-023-00284-4")</f>
        <v>http://dx.doi.org/10.1186/s40561-023-00284-4</v>
      </c>
      <c r="BG118" t="s">
        <v>74</v>
      </c>
      <c r="BH118" t="s">
        <v>74</v>
      </c>
      <c r="BI118">
        <v>22</v>
      </c>
      <c r="BJ118" t="s">
        <v>423</v>
      </c>
      <c r="BK118" t="s">
        <v>352</v>
      </c>
      <c r="BL118" t="s">
        <v>423</v>
      </c>
      <c r="BM118" t="s">
        <v>2553</v>
      </c>
      <c r="BN118" t="s">
        <v>74</v>
      </c>
      <c r="BO118" t="s">
        <v>425</v>
      </c>
      <c r="BP118" t="s">
        <v>74</v>
      </c>
      <c r="BQ118" t="s">
        <v>74</v>
      </c>
      <c r="BR118" t="s">
        <v>101</v>
      </c>
      <c r="BS118" t="s">
        <v>2554</v>
      </c>
      <c r="BT118" t="str">
        <f>HYPERLINK("https%3A%2F%2Fwww.webofscience.com%2Fwos%2Fwoscc%2Ffull-record%2FWOS:001116420600001","View Full Record in Web of Science")</f>
        <v>View Full Record in Web of Science</v>
      </c>
    </row>
    <row r="119" spans="1:72" x14ac:dyDescent="0.2">
      <c r="A119" t="s">
        <v>72</v>
      </c>
      <c r="B119" t="s">
        <v>2555</v>
      </c>
      <c r="C119" t="s">
        <v>74</v>
      </c>
      <c r="D119" t="s">
        <v>74</v>
      </c>
      <c r="E119" t="s">
        <v>75</v>
      </c>
      <c r="F119" t="s">
        <v>2556</v>
      </c>
      <c r="G119" t="s">
        <v>74</v>
      </c>
      <c r="H119" t="s">
        <v>74</v>
      </c>
      <c r="I119" t="s">
        <v>2557</v>
      </c>
      <c r="J119" t="s">
        <v>166</v>
      </c>
      <c r="K119" t="s">
        <v>74</v>
      </c>
      <c r="L119" t="s">
        <v>74</v>
      </c>
      <c r="M119" t="s">
        <v>79</v>
      </c>
      <c r="N119" t="s">
        <v>80</v>
      </c>
      <c r="O119" t="s">
        <v>167</v>
      </c>
      <c r="P119" t="s">
        <v>168</v>
      </c>
      <c r="Q119" t="s">
        <v>169</v>
      </c>
      <c r="R119" t="s">
        <v>170</v>
      </c>
      <c r="S119" t="s">
        <v>74</v>
      </c>
      <c r="T119" t="s">
        <v>2558</v>
      </c>
      <c r="U119" t="s">
        <v>74</v>
      </c>
      <c r="V119" t="s">
        <v>2559</v>
      </c>
      <c r="W119" t="s">
        <v>2560</v>
      </c>
      <c r="X119" t="s">
        <v>2561</v>
      </c>
      <c r="Y119" t="s">
        <v>2562</v>
      </c>
      <c r="Z119" t="s">
        <v>2563</v>
      </c>
      <c r="AA119" t="s">
        <v>74</v>
      </c>
      <c r="AB119" t="s">
        <v>74</v>
      </c>
      <c r="AC119" t="s">
        <v>2564</v>
      </c>
      <c r="AD119" t="s">
        <v>2565</v>
      </c>
      <c r="AE119" t="s">
        <v>2566</v>
      </c>
      <c r="AF119" t="s">
        <v>74</v>
      </c>
      <c r="AG119">
        <v>62</v>
      </c>
      <c r="AH119">
        <v>0</v>
      </c>
      <c r="AI119">
        <v>0</v>
      </c>
      <c r="AJ119">
        <v>0</v>
      </c>
      <c r="AK119">
        <v>0</v>
      </c>
      <c r="AL119" t="s">
        <v>92</v>
      </c>
      <c r="AM119" t="s">
        <v>93</v>
      </c>
      <c r="AN119" t="s">
        <v>94</v>
      </c>
      <c r="AO119" t="s">
        <v>74</v>
      </c>
      <c r="AP119" t="s">
        <v>74</v>
      </c>
      <c r="AQ119" t="s">
        <v>177</v>
      </c>
      <c r="AR119" t="s">
        <v>74</v>
      </c>
      <c r="AS119" t="s">
        <v>74</v>
      </c>
      <c r="AT119" t="s">
        <v>74</v>
      </c>
      <c r="AU119">
        <v>2023</v>
      </c>
      <c r="AV119" t="s">
        <v>74</v>
      </c>
      <c r="AW119" t="s">
        <v>74</v>
      </c>
      <c r="AX119" t="s">
        <v>74</v>
      </c>
      <c r="AY119" t="s">
        <v>74</v>
      </c>
      <c r="AZ119" t="s">
        <v>74</v>
      </c>
      <c r="BA119" t="s">
        <v>74</v>
      </c>
      <c r="BB119">
        <v>454</v>
      </c>
      <c r="BC119">
        <v>464</v>
      </c>
      <c r="BD119" t="s">
        <v>74</v>
      </c>
      <c r="BE119" t="s">
        <v>2567</v>
      </c>
      <c r="BF119" t="str">
        <f>HYPERLINK("http://dx.doi.org/10.1145/3591196.3593336","http://dx.doi.org/10.1145/3591196.3593336")</f>
        <v>http://dx.doi.org/10.1145/3591196.3593336</v>
      </c>
      <c r="BG119" t="s">
        <v>74</v>
      </c>
      <c r="BH119" t="s">
        <v>74</v>
      </c>
      <c r="BI119">
        <v>11</v>
      </c>
      <c r="BJ119" t="s">
        <v>179</v>
      </c>
      <c r="BK119" t="s">
        <v>180</v>
      </c>
      <c r="BL119" t="s">
        <v>181</v>
      </c>
      <c r="BM119" t="s">
        <v>182</v>
      </c>
      <c r="BN119" t="s">
        <v>74</v>
      </c>
      <c r="BO119" t="s">
        <v>2568</v>
      </c>
      <c r="BP119" t="s">
        <v>74</v>
      </c>
      <c r="BQ119" t="s">
        <v>74</v>
      </c>
      <c r="BR119" t="s">
        <v>101</v>
      </c>
      <c r="BS119" t="s">
        <v>2569</v>
      </c>
      <c r="BT119" t="str">
        <f>HYPERLINK("https%3A%2F%2Fwww.webofscience.com%2Fwos%2Fwoscc%2Ffull-record%2FWOS:001119074200067","View Full Record in Web of Science")</f>
        <v>View Full Record in Web of Science</v>
      </c>
    </row>
    <row r="120" spans="1:72" x14ac:dyDescent="0.2">
      <c r="A120" t="s">
        <v>103</v>
      </c>
      <c r="B120" t="s">
        <v>2570</v>
      </c>
      <c r="C120" t="s">
        <v>74</v>
      </c>
      <c r="D120" t="s">
        <v>74</v>
      </c>
      <c r="E120" t="s">
        <v>74</v>
      </c>
      <c r="F120" t="s">
        <v>2571</v>
      </c>
      <c r="G120" t="s">
        <v>74</v>
      </c>
      <c r="H120" t="s">
        <v>74</v>
      </c>
      <c r="I120" t="s">
        <v>2572</v>
      </c>
      <c r="J120" t="s">
        <v>930</v>
      </c>
      <c r="K120" t="s">
        <v>74</v>
      </c>
      <c r="L120" t="s">
        <v>74</v>
      </c>
      <c r="M120" t="s">
        <v>79</v>
      </c>
      <c r="N120" t="s">
        <v>108</v>
      </c>
      <c r="O120" t="s">
        <v>74</v>
      </c>
      <c r="P120" t="s">
        <v>74</v>
      </c>
      <c r="Q120" t="s">
        <v>74</v>
      </c>
      <c r="R120" t="s">
        <v>74</v>
      </c>
      <c r="S120" t="s">
        <v>74</v>
      </c>
      <c r="T120" t="s">
        <v>2573</v>
      </c>
      <c r="U120" t="s">
        <v>498</v>
      </c>
      <c r="V120" t="s">
        <v>2574</v>
      </c>
      <c r="W120" t="s">
        <v>2575</v>
      </c>
      <c r="X120" t="s">
        <v>2576</v>
      </c>
      <c r="Y120" t="s">
        <v>2577</v>
      </c>
      <c r="Z120" t="s">
        <v>2578</v>
      </c>
      <c r="AA120" t="s">
        <v>74</v>
      </c>
      <c r="AB120" t="s">
        <v>2579</v>
      </c>
      <c r="AC120" t="s">
        <v>2580</v>
      </c>
      <c r="AD120" t="s">
        <v>74</v>
      </c>
      <c r="AE120" t="s">
        <v>2581</v>
      </c>
      <c r="AF120" t="s">
        <v>74</v>
      </c>
      <c r="AG120">
        <v>71</v>
      </c>
      <c r="AH120">
        <v>4</v>
      </c>
      <c r="AI120">
        <v>4</v>
      </c>
      <c r="AJ120">
        <v>27</v>
      </c>
      <c r="AK120">
        <v>42</v>
      </c>
      <c r="AL120" t="s">
        <v>939</v>
      </c>
      <c r="AM120" t="s">
        <v>940</v>
      </c>
      <c r="AN120" t="s">
        <v>941</v>
      </c>
      <c r="AO120" t="s">
        <v>74</v>
      </c>
      <c r="AP120" t="s">
        <v>942</v>
      </c>
      <c r="AQ120" t="s">
        <v>74</v>
      </c>
      <c r="AR120" t="s">
        <v>943</v>
      </c>
      <c r="AS120" t="s">
        <v>944</v>
      </c>
      <c r="AT120" t="s">
        <v>2582</v>
      </c>
      <c r="AU120">
        <v>2023</v>
      </c>
      <c r="AV120">
        <v>15</v>
      </c>
      <c r="AW120">
        <v>12</v>
      </c>
      <c r="AX120" t="s">
        <v>74</v>
      </c>
      <c r="AY120" t="s">
        <v>74</v>
      </c>
      <c r="AZ120" t="s">
        <v>74</v>
      </c>
      <c r="BA120" t="s">
        <v>74</v>
      </c>
      <c r="BB120" t="s">
        <v>74</v>
      </c>
      <c r="BC120" t="s">
        <v>74</v>
      </c>
      <c r="BD120">
        <v>9625</v>
      </c>
      <c r="BE120" t="s">
        <v>2583</v>
      </c>
      <c r="BF120" t="str">
        <f>HYPERLINK("http://dx.doi.org/10.3390/su15129625","http://dx.doi.org/10.3390/su15129625")</f>
        <v>http://dx.doi.org/10.3390/su15129625</v>
      </c>
      <c r="BG120" t="s">
        <v>74</v>
      </c>
      <c r="BH120" t="s">
        <v>74</v>
      </c>
      <c r="BI120">
        <v>19</v>
      </c>
      <c r="BJ120" t="s">
        <v>946</v>
      </c>
      <c r="BK120" t="s">
        <v>947</v>
      </c>
      <c r="BL120" t="s">
        <v>948</v>
      </c>
      <c r="BM120" t="s">
        <v>2584</v>
      </c>
      <c r="BN120" t="s">
        <v>74</v>
      </c>
      <c r="BO120" t="s">
        <v>1728</v>
      </c>
      <c r="BP120" t="s">
        <v>74</v>
      </c>
      <c r="BQ120" t="s">
        <v>74</v>
      </c>
      <c r="BR120" t="s">
        <v>101</v>
      </c>
      <c r="BS120" t="s">
        <v>2585</v>
      </c>
      <c r="BT120" t="str">
        <f>HYPERLINK("https%3A%2F%2Fwww.webofscience.com%2Fwos%2Fwoscc%2Ffull-record%2FWOS:001015849300001","View Full Record in Web of Science")</f>
        <v>View Full Record in Web of Science</v>
      </c>
    </row>
    <row r="121" spans="1:72" x14ac:dyDescent="0.2">
      <c r="A121" t="s">
        <v>103</v>
      </c>
      <c r="B121" t="s">
        <v>2586</v>
      </c>
      <c r="C121" t="s">
        <v>74</v>
      </c>
      <c r="D121" t="s">
        <v>74</v>
      </c>
      <c r="E121" t="s">
        <v>74</v>
      </c>
      <c r="F121" t="s">
        <v>2587</v>
      </c>
      <c r="G121" t="s">
        <v>74</v>
      </c>
      <c r="H121" t="s">
        <v>74</v>
      </c>
      <c r="I121" t="s">
        <v>2588</v>
      </c>
      <c r="J121" t="s">
        <v>2589</v>
      </c>
      <c r="K121" t="s">
        <v>74</v>
      </c>
      <c r="L121" t="s">
        <v>74</v>
      </c>
      <c r="M121" t="s">
        <v>79</v>
      </c>
      <c r="N121" t="s">
        <v>138</v>
      </c>
      <c r="O121" t="s">
        <v>74</v>
      </c>
      <c r="P121" t="s">
        <v>74</v>
      </c>
      <c r="Q121" t="s">
        <v>74</v>
      </c>
      <c r="R121" t="s">
        <v>74</v>
      </c>
      <c r="S121" t="s">
        <v>74</v>
      </c>
      <c r="T121" t="s">
        <v>2590</v>
      </c>
      <c r="U121" t="s">
        <v>2591</v>
      </c>
      <c r="V121" t="s">
        <v>2592</v>
      </c>
      <c r="W121" t="s">
        <v>2593</v>
      </c>
      <c r="X121" t="s">
        <v>2594</v>
      </c>
      <c r="Y121" t="s">
        <v>2595</v>
      </c>
      <c r="Z121" t="s">
        <v>2596</v>
      </c>
      <c r="AA121" t="s">
        <v>2597</v>
      </c>
      <c r="AB121" t="s">
        <v>2598</v>
      </c>
      <c r="AC121" t="s">
        <v>2599</v>
      </c>
      <c r="AD121" t="s">
        <v>2600</v>
      </c>
      <c r="AE121" t="s">
        <v>2601</v>
      </c>
      <c r="AF121" t="s">
        <v>74</v>
      </c>
      <c r="AG121">
        <v>56</v>
      </c>
      <c r="AH121">
        <v>8</v>
      </c>
      <c r="AI121">
        <v>8</v>
      </c>
      <c r="AJ121">
        <v>432</v>
      </c>
      <c r="AK121">
        <v>477</v>
      </c>
      <c r="AL121" t="s">
        <v>737</v>
      </c>
      <c r="AM121" t="s">
        <v>738</v>
      </c>
      <c r="AN121" t="s">
        <v>739</v>
      </c>
      <c r="AO121" t="s">
        <v>2602</v>
      </c>
      <c r="AP121" t="s">
        <v>2603</v>
      </c>
      <c r="AQ121" t="s">
        <v>74</v>
      </c>
      <c r="AR121" t="s">
        <v>2604</v>
      </c>
      <c r="AS121" t="s">
        <v>2605</v>
      </c>
      <c r="AT121" t="s">
        <v>2606</v>
      </c>
      <c r="AU121">
        <v>2023</v>
      </c>
      <c r="AV121" t="s">
        <v>74</v>
      </c>
      <c r="AW121" t="s">
        <v>74</v>
      </c>
      <c r="AX121" t="s">
        <v>74</v>
      </c>
      <c r="AY121" t="s">
        <v>74</v>
      </c>
      <c r="AZ121" t="s">
        <v>74</v>
      </c>
      <c r="BA121" t="s">
        <v>74</v>
      </c>
      <c r="BB121" t="s">
        <v>74</v>
      </c>
      <c r="BC121" t="s">
        <v>74</v>
      </c>
      <c r="BD121" t="s">
        <v>74</v>
      </c>
      <c r="BE121" t="s">
        <v>2607</v>
      </c>
      <c r="BF121" t="str">
        <f>HYPERLINK("http://dx.doi.org/10.1080/10494820.2023.2253861","http://dx.doi.org/10.1080/10494820.2023.2253861")</f>
        <v>http://dx.doi.org/10.1080/10494820.2023.2253861</v>
      </c>
      <c r="BG121" t="s">
        <v>74</v>
      </c>
      <c r="BH121" t="s">
        <v>278</v>
      </c>
      <c r="BI121">
        <v>17</v>
      </c>
      <c r="BJ121" t="s">
        <v>423</v>
      </c>
      <c r="BK121" t="s">
        <v>159</v>
      </c>
      <c r="BL121" t="s">
        <v>423</v>
      </c>
      <c r="BM121" t="s">
        <v>2608</v>
      </c>
      <c r="BN121" t="s">
        <v>74</v>
      </c>
      <c r="BO121" t="s">
        <v>161</v>
      </c>
      <c r="BP121" t="s">
        <v>74</v>
      </c>
      <c r="BQ121" t="s">
        <v>74</v>
      </c>
      <c r="BR121" t="s">
        <v>101</v>
      </c>
      <c r="BS121" t="s">
        <v>2609</v>
      </c>
      <c r="BT121" t="str">
        <f>HYPERLINK("https%3A%2F%2Fwww.webofscience.com%2Fwos%2Fwoscc%2Ffull-record%2FWOS:001058212500001","View Full Record in Web of Science")</f>
        <v>View Full Record in Web of Science</v>
      </c>
    </row>
    <row r="122" spans="1:72" x14ac:dyDescent="0.2">
      <c r="A122" t="s">
        <v>103</v>
      </c>
      <c r="B122" t="s">
        <v>2610</v>
      </c>
      <c r="C122" t="s">
        <v>74</v>
      </c>
      <c r="D122" t="s">
        <v>74</v>
      </c>
      <c r="E122" t="s">
        <v>74</v>
      </c>
      <c r="F122" t="s">
        <v>2611</v>
      </c>
      <c r="G122" t="s">
        <v>74</v>
      </c>
      <c r="H122" t="s">
        <v>74</v>
      </c>
      <c r="I122" t="s">
        <v>2612</v>
      </c>
      <c r="J122" t="s">
        <v>2613</v>
      </c>
      <c r="K122" t="s">
        <v>74</v>
      </c>
      <c r="L122" t="s">
        <v>74</v>
      </c>
      <c r="M122" t="s">
        <v>2614</v>
      </c>
      <c r="N122" t="s">
        <v>108</v>
      </c>
      <c r="O122" t="s">
        <v>74</v>
      </c>
      <c r="P122" t="s">
        <v>74</v>
      </c>
      <c r="Q122" t="s">
        <v>74</v>
      </c>
      <c r="R122" t="s">
        <v>74</v>
      </c>
      <c r="S122" t="s">
        <v>74</v>
      </c>
      <c r="T122" t="s">
        <v>2615</v>
      </c>
      <c r="U122" t="s">
        <v>74</v>
      </c>
      <c r="V122" t="s">
        <v>2616</v>
      </c>
      <c r="W122" t="s">
        <v>2617</v>
      </c>
      <c r="X122" t="s">
        <v>2618</v>
      </c>
      <c r="Y122" t="s">
        <v>2619</v>
      </c>
      <c r="Z122" t="s">
        <v>2620</v>
      </c>
      <c r="AA122" t="s">
        <v>74</v>
      </c>
      <c r="AB122" t="s">
        <v>74</v>
      </c>
      <c r="AC122" t="s">
        <v>74</v>
      </c>
      <c r="AD122" t="s">
        <v>74</v>
      </c>
      <c r="AE122" t="s">
        <v>74</v>
      </c>
      <c r="AF122" t="s">
        <v>74</v>
      </c>
      <c r="AG122">
        <v>22</v>
      </c>
      <c r="AH122">
        <v>0</v>
      </c>
      <c r="AI122">
        <v>0</v>
      </c>
      <c r="AJ122">
        <v>12</v>
      </c>
      <c r="AK122">
        <v>12</v>
      </c>
      <c r="AL122" t="s">
        <v>2621</v>
      </c>
      <c r="AM122" t="s">
        <v>2622</v>
      </c>
      <c r="AN122" t="s">
        <v>2623</v>
      </c>
      <c r="AO122" t="s">
        <v>2624</v>
      </c>
      <c r="AP122" t="s">
        <v>2625</v>
      </c>
      <c r="AQ122" t="s">
        <v>74</v>
      </c>
      <c r="AR122" t="s">
        <v>2626</v>
      </c>
      <c r="AS122" t="s">
        <v>2627</v>
      </c>
      <c r="AT122" t="s">
        <v>527</v>
      </c>
      <c r="AU122">
        <v>2023</v>
      </c>
      <c r="AV122">
        <v>12</v>
      </c>
      <c r="AW122">
        <v>6</v>
      </c>
      <c r="AX122" t="s">
        <v>74</v>
      </c>
      <c r="AY122" t="s">
        <v>74</v>
      </c>
      <c r="AZ122" t="s">
        <v>74</v>
      </c>
      <c r="BA122" t="s">
        <v>74</v>
      </c>
      <c r="BB122">
        <v>444</v>
      </c>
      <c r="BC122">
        <v>449</v>
      </c>
      <c r="BD122" t="s">
        <v>74</v>
      </c>
      <c r="BE122" t="s">
        <v>2628</v>
      </c>
      <c r="BF122" t="str">
        <f>HYPERLINK("http://dx.doi.org/10.1055/a-2182-9643","http://dx.doi.org/10.1055/a-2182-9643")</f>
        <v>http://dx.doi.org/10.1055/a-2182-9643</v>
      </c>
      <c r="BG122" t="s">
        <v>74</v>
      </c>
      <c r="BH122" t="s">
        <v>74</v>
      </c>
      <c r="BI122">
        <v>6</v>
      </c>
      <c r="BJ122" t="s">
        <v>2629</v>
      </c>
      <c r="BK122" t="s">
        <v>352</v>
      </c>
      <c r="BL122" t="s">
        <v>2630</v>
      </c>
      <c r="BM122" t="s">
        <v>2631</v>
      </c>
      <c r="BN122" t="s">
        <v>74</v>
      </c>
      <c r="BO122" t="s">
        <v>74</v>
      </c>
      <c r="BP122" t="s">
        <v>74</v>
      </c>
      <c r="BQ122" t="s">
        <v>74</v>
      </c>
      <c r="BR122" t="s">
        <v>101</v>
      </c>
      <c r="BS122" t="s">
        <v>2632</v>
      </c>
      <c r="BT122" t="str">
        <f>HYPERLINK("https%3A%2F%2Fwww.webofscience.com%2Fwos%2Fwoscc%2Ffull-record%2FWOS:001111918300018","View Full Record in Web of Science")</f>
        <v>View Full Record in Web of Science</v>
      </c>
    </row>
    <row r="123" spans="1:72" x14ac:dyDescent="0.2">
      <c r="A123" t="s">
        <v>103</v>
      </c>
      <c r="B123" t="s">
        <v>2633</v>
      </c>
      <c r="C123" t="s">
        <v>74</v>
      </c>
      <c r="D123" t="s">
        <v>74</v>
      </c>
      <c r="E123" t="s">
        <v>74</v>
      </c>
      <c r="F123" t="s">
        <v>2634</v>
      </c>
      <c r="G123" t="s">
        <v>74</v>
      </c>
      <c r="H123" t="s">
        <v>74</v>
      </c>
      <c r="I123" t="s">
        <v>2635</v>
      </c>
      <c r="J123" t="s">
        <v>2636</v>
      </c>
      <c r="K123" t="s">
        <v>74</v>
      </c>
      <c r="L123" t="s">
        <v>74</v>
      </c>
      <c r="M123" t="s">
        <v>79</v>
      </c>
      <c r="N123" t="s">
        <v>108</v>
      </c>
      <c r="O123" t="s">
        <v>74</v>
      </c>
      <c r="P123" t="s">
        <v>74</v>
      </c>
      <c r="Q123" t="s">
        <v>74</v>
      </c>
      <c r="R123" t="s">
        <v>74</v>
      </c>
      <c r="S123" t="s">
        <v>74</v>
      </c>
      <c r="T123" t="s">
        <v>2637</v>
      </c>
      <c r="U123" t="s">
        <v>74</v>
      </c>
      <c r="V123" t="s">
        <v>2638</v>
      </c>
      <c r="W123" t="s">
        <v>2639</v>
      </c>
      <c r="X123" t="s">
        <v>2640</v>
      </c>
      <c r="Y123" t="s">
        <v>1444</v>
      </c>
      <c r="Z123" t="s">
        <v>2641</v>
      </c>
      <c r="AA123" t="s">
        <v>74</v>
      </c>
      <c r="AB123" t="s">
        <v>74</v>
      </c>
      <c r="AC123" t="s">
        <v>74</v>
      </c>
      <c r="AD123" t="s">
        <v>74</v>
      </c>
      <c r="AE123" t="s">
        <v>74</v>
      </c>
      <c r="AF123" t="s">
        <v>74</v>
      </c>
      <c r="AG123">
        <v>66</v>
      </c>
      <c r="AH123">
        <v>16</v>
      </c>
      <c r="AI123">
        <v>18</v>
      </c>
      <c r="AJ123">
        <v>81</v>
      </c>
      <c r="AK123">
        <v>140</v>
      </c>
      <c r="AL123" t="s">
        <v>737</v>
      </c>
      <c r="AM123" t="s">
        <v>738</v>
      </c>
      <c r="AN123" t="s">
        <v>739</v>
      </c>
      <c r="AO123" t="s">
        <v>2642</v>
      </c>
      <c r="AP123" t="s">
        <v>2643</v>
      </c>
      <c r="AQ123" t="s">
        <v>74</v>
      </c>
      <c r="AR123" t="s">
        <v>2644</v>
      </c>
      <c r="AS123" t="s">
        <v>2645</v>
      </c>
      <c r="AT123" t="s">
        <v>1908</v>
      </c>
      <c r="AU123">
        <v>2023</v>
      </c>
      <c r="AV123">
        <v>34</v>
      </c>
      <c r="AW123">
        <v>1</v>
      </c>
      <c r="AX123" t="s">
        <v>74</v>
      </c>
      <c r="AY123" t="s">
        <v>74</v>
      </c>
      <c r="AZ123" t="s">
        <v>74</v>
      </c>
      <c r="BA123" t="s">
        <v>74</v>
      </c>
      <c r="BB123">
        <v>1</v>
      </c>
      <c r="BC123">
        <v>21</v>
      </c>
      <c r="BD123" t="s">
        <v>74</v>
      </c>
      <c r="BE123" t="s">
        <v>2646</v>
      </c>
      <c r="BF123" t="str">
        <f>HYPERLINK("http://dx.doi.org/10.1080/14626268.2023.2174557","http://dx.doi.org/10.1080/14626268.2023.2174557")</f>
        <v>http://dx.doi.org/10.1080/14626268.2023.2174557</v>
      </c>
      <c r="BG123" t="s">
        <v>74</v>
      </c>
      <c r="BH123" t="s">
        <v>2647</v>
      </c>
      <c r="BI123">
        <v>21</v>
      </c>
      <c r="BJ123" t="s">
        <v>2648</v>
      </c>
      <c r="BK123" t="s">
        <v>2649</v>
      </c>
      <c r="BL123" t="s">
        <v>2648</v>
      </c>
      <c r="BM123" t="s">
        <v>2650</v>
      </c>
      <c r="BN123" t="s">
        <v>74</v>
      </c>
      <c r="BO123" t="s">
        <v>161</v>
      </c>
      <c r="BP123" t="s">
        <v>74</v>
      </c>
      <c r="BQ123" t="s">
        <v>74</v>
      </c>
      <c r="BR123" t="s">
        <v>101</v>
      </c>
      <c r="BS123" t="s">
        <v>2651</v>
      </c>
      <c r="BT123" t="str">
        <f>HYPERLINK("https%3A%2F%2Fwww.webofscience.com%2Fwos%2Fwoscc%2Ffull-record%2FWOS:000937488200001","View Full Record in Web of Science")</f>
        <v>View Full Record in Web of Science</v>
      </c>
    </row>
    <row r="124" spans="1:72" x14ac:dyDescent="0.2">
      <c r="A124" t="s">
        <v>103</v>
      </c>
      <c r="B124" t="s">
        <v>2652</v>
      </c>
      <c r="C124" t="s">
        <v>74</v>
      </c>
      <c r="D124" t="s">
        <v>74</v>
      </c>
      <c r="E124" t="s">
        <v>74</v>
      </c>
      <c r="F124" t="s">
        <v>2653</v>
      </c>
      <c r="G124" t="s">
        <v>74</v>
      </c>
      <c r="H124" t="s">
        <v>74</v>
      </c>
      <c r="I124" t="s">
        <v>2654</v>
      </c>
      <c r="J124" t="s">
        <v>2655</v>
      </c>
      <c r="K124" t="s">
        <v>74</v>
      </c>
      <c r="L124" t="s">
        <v>74</v>
      </c>
      <c r="M124" t="s">
        <v>79</v>
      </c>
      <c r="N124" t="s">
        <v>108</v>
      </c>
      <c r="O124" t="s">
        <v>74</v>
      </c>
      <c r="P124" t="s">
        <v>74</v>
      </c>
      <c r="Q124" t="s">
        <v>74</v>
      </c>
      <c r="R124" t="s">
        <v>74</v>
      </c>
      <c r="S124" t="s">
        <v>74</v>
      </c>
      <c r="T124" t="s">
        <v>74</v>
      </c>
      <c r="U124" t="s">
        <v>74</v>
      </c>
      <c r="V124" t="s">
        <v>2656</v>
      </c>
      <c r="W124" t="s">
        <v>2657</v>
      </c>
      <c r="X124" t="s">
        <v>2658</v>
      </c>
      <c r="Y124" t="s">
        <v>2659</v>
      </c>
      <c r="Z124" t="s">
        <v>2660</v>
      </c>
      <c r="AA124" t="s">
        <v>74</v>
      </c>
      <c r="AB124" t="s">
        <v>74</v>
      </c>
      <c r="AC124" t="s">
        <v>74</v>
      </c>
      <c r="AD124" t="s">
        <v>74</v>
      </c>
      <c r="AE124" t="s">
        <v>74</v>
      </c>
      <c r="AF124" t="s">
        <v>74</v>
      </c>
      <c r="AG124">
        <v>49</v>
      </c>
      <c r="AH124">
        <v>0</v>
      </c>
      <c r="AI124">
        <v>0</v>
      </c>
      <c r="AJ124">
        <v>19</v>
      </c>
      <c r="AK124">
        <v>19</v>
      </c>
      <c r="AL124" t="s">
        <v>2661</v>
      </c>
      <c r="AM124" t="s">
        <v>2662</v>
      </c>
      <c r="AN124" t="s">
        <v>2663</v>
      </c>
      <c r="AO124" t="s">
        <v>2664</v>
      </c>
      <c r="AP124" t="s">
        <v>2665</v>
      </c>
      <c r="AQ124" t="s">
        <v>74</v>
      </c>
      <c r="AR124" t="s">
        <v>2666</v>
      </c>
      <c r="AS124" t="s">
        <v>2667</v>
      </c>
      <c r="AT124" t="s">
        <v>527</v>
      </c>
      <c r="AU124">
        <v>2023</v>
      </c>
      <c r="AV124">
        <v>61</v>
      </c>
      <c r="AW124">
        <v>4</v>
      </c>
      <c r="AX124" t="s">
        <v>74</v>
      </c>
      <c r="AY124" t="s">
        <v>74</v>
      </c>
      <c r="AZ124" t="s">
        <v>74</v>
      </c>
      <c r="BA124" t="s">
        <v>74</v>
      </c>
      <c r="BB124">
        <v>1281</v>
      </c>
      <c r="BC124">
        <v>1317</v>
      </c>
      <c r="BD124" t="s">
        <v>74</v>
      </c>
      <c r="BE124" t="s">
        <v>2668</v>
      </c>
      <c r="BF124" t="str">
        <f>HYPERLINK("http://dx.doi.org/10.1257/jel.20231736","http://dx.doi.org/10.1257/jel.20231736")</f>
        <v>http://dx.doi.org/10.1257/jel.20231736</v>
      </c>
      <c r="BG124" t="s">
        <v>74</v>
      </c>
      <c r="BH124" t="s">
        <v>74</v>
      </c>
      <c r="BI124">
        <v>37</v>
      </c>
      <c r="BJ124" t="s">
        <v>469</v>
      </c>
      <c r="BK124" t="s">
        <v>159</v>
      </c>
      <c r="BL124" t="s">
        <v>470</v>
      </c>
      <c r="BM124" t="s">
        <v>2669</v>
      </c>
      <c r="BN124" t="s">
        <v>74</v>
      </c>
      <c r="BO124" t="s">
        <v>74</v>
      </c>
      <c r="BP124" t="s">
        <v>74</v>
      </c>
      <c r="BQ124" t="s">
        <v>74</v>
      </c>
      <c r="BR124" t="s">
        <v>101</v>
      </c>
      <c r="BS124" t="s">
        <v>2670</v>
      </c>
      <c r="BT124" t="str">
        <f>HYPERLINK("https%3A%2F%2Fwww.webofscience.com%2Fwos%2Fwoscc%2Ffull-record%2FWOS:001144150800005","View Full Record in Web of Science")</f>
        <v>View Full Record in Web of Science</v>
      </c>
    </row>
    <row r="125" spans="1:72" x14ac:dyDescent="0.2">
      <c r="A125" t="s">
        <v>103</v>
      </c>
      <c r="B125" t="s">
        <v>2671</v>
      </c>
      <c r="C125" t="s">
        <v>74</v>
      </c>
      <c r="D125" t="s">
        <v>74</v>
      </c>
      <c r="E125" t="s">
        <v>74</v>
      </c>
      <c r="F125" t="s">
        <v>2672</v>
      </c>
      <c r="G125" t="s">
        <v>74</v>
      </c>
      <c r="H125" t="s">
        <v>74</v>
      </c>
      <c r="I125" t="s">
        <v>2673</v>
      </c>
      <c r="J125" t="s">
        <v>2674</v>
      </c>
      <c r="K125" t="s">
        <v>74</v>
      </c>
      <c r="L125" t="s">
        <v>74</v>
      </c>
      <c r="M125" t="s">
        <v>2675</v>
      </c>
      <c r="N125" t="s">
        <v>108</v>
      </c>
      <c r="O125" t="s">
        <v>74</v>
      </c>
      <c r="P125" t="s">
        <v>74</v>
      </c>
      <c r="Q125" t="s">
        <v>74</v>
      </c>
      <c r="R125" t="s">
        <v>74</v>
      </c>
      <c r="S125" t="s">
        <v>74</v>
      </c>
      <c r="T125" t="s">
        <v>2676</v>
      </c>
      <c r="U125" t="s">
        <v>74</v>
      </c>
      <c r="V125" t="s">
        <v>2677</v>
      </c>
      <c r="W125" t="s">
        <v>2678</v>
      </c>
      <c r="X125" t="s">
        <v>2679</v>
      </c>
      <c r="Y125" t="s">
        <v>2680</v>
      </c>
      <c r="Z125" t="s">
        <v>2681</v>
      </c>
      <c r="AA125" t="s">
        <v>74</v>
      </c>
      <c r="AB125" t="s">
        <v>74</v>
      </c>
      <c r="AC125" t="s">
        <v>74</v>
      </c>
      <c r="AD125" t="s">
        <v>74</v>
      </c>
      <c r="AE125" t="s">
        <v>74</v>
      </c>
      <c r="AF125" t="s">
        <v>74</v>
      </c>
      <c r="AG125">
        <v>16</v>
      </c>
      <c r="AH125">
        <v>0</v>
      </c>
      <c r="AI125">
        <v>0</v>
      </c>
      <c r="AJ125">
        <v>32</v>
      </c>
      <c r="AK125">
        <v>32</v>
      </c>
      <c r="AL125" t="s">
        <v>2682</v>
      </c>
      <c r="AM125" t="s">
        <v>2683</v>
      </c>
      <c r="AN125" t="s">
        <v>2684</v>
      </c>
      <c r="AO125" t="s">
        <v>2685</v>
      </c>
      <c r="AP125" t="s">
        <v>74</v>
      </c>
      <c r="AQ125" t="s">
        <v>74</v>
      </c>
      <c r="AR125" t="s">
        <v>2686</v>
      </c>
      <c r="AS125" t="s">
        <v>2687</v>
      </c>
      <c r="AT125" t="s">
        <v>74</v>
      </c>
      <c r="AU125">
        <v>2023</v>
      </c>
      <c r="AV125" t="s">
        <v>74</v>
      </c>
      <c r="AW125">
        <v>3</v>
      </c>
      <c r="AX125" t="s">
        <v>74</v>
      </c>
      <c r="AY125" t="s">
        <v>74</v>
      </c>
      <c r="AZ125" t="s">
        <v>74</v>
      </c>
      <c r="BA125" t="s">
        <v>74</v>
      </c>
      <c r="BB125">
        <v>245</v>
      </c>
      <c r="BC125">
        <v>267</v>
      </c>
      <c r="BD125" t="s">
        <v>74</v>
      </c>
      <c r="BE125" t="s">
        <v>2688</v>
      </c>
      <c r="BF125" t="str">
        <f>HYPERLINK("http://dx.doi.org/10.17323/2072-8166.2023.3.245.267","http://dx.doi.org/10.17323/2072-8166.2023.3.245.267")</f>
        <v>http://dx.doi.org/10.17323/2072-8166.2023.3.245.267</v>
      </c>
      <c r="BG125" t="s">
        <v>74</v>
      </c>
      <c r="BH125" t="s">
        <v>74</v>
      </c>
      <c r="BI125">
        <v>23</v>
      </c>
      <c r="BJ125" t="s">
        <v>1135</v>
      </c>
      <c r="BK125" t="s">
        <v>352</v>
      </c>
      <c r="BL125" t="s">
        <v>1136</v>
      </c>
      <c r="BM125" t="s">
        <v>2689</v>
      </c>
      <c r="BN125" t="s">
        <v>74</v>
      </c>
      <c r="BO125" t="s">
        <v>74</v>
      </c>
      <c r="BP125" t="s">
        <v>74</v>
      </c>
      <c r="BQ125" t="s">
        <v>74</v>
      </c>
      <c r="BR125" t="s">
        <v>101</v>
      </c>
      <c r="BS125" t="s">
        <v>2690</v>
      </c>
      <c r="BT125" t="str">
        <f>HYPERLINK("https%3A%2F%2Fwww.webofscience.com%2Fwos%2Fwoscc%2Ffull-record%2FWOS:001083415400011","View Full Record in Web of Science")</f>
        <v>View Full Record in Web of Science</v>
      </c>
    </row>
    <row r="126" spans="1:72" x14ac:dyDescent="0.2">
      <c r="A126" t="s">
        <v>103</v>
      </c>
      <c r="B126" t="s">
        <v>2691</v>
      </c>
      <c r="C126" t="s">
        <v>74</v>
      </c>
      <c r="D126" t="s">
        <v>74</v>
      </c>
      <c r="E126" t="s">
        <v>74</v>
      </c>
      <c r="F126" t="s">
        <v>2692</v>
      </c>
      <c r="G126" t="s">
        <v>74</v>
      </c>
      <c r="H126" t="s">
        <v>74</v>
      </c>
      <c r="I126" t="s">
        <v>2693</v>
      </c>
      <c r="J126" t="s">
        <v>2694</v>
      </c>
      <c r="K126" t="s">
        <v>74</v>
      </c>
      <c r="L126" t="s">
        <v>74</v>
      </c>
      <c r="M126" t="s">
        <v>79</v>
      </c>
      <c r="N126" t="s">
        <v>108</v>
      </c>
      <c r="O126" t="s">
        <v>74</v>
      </c>
      <c r="P126" t="s">
        <v>74</v>
      </c>
      <c r="Q126" t="s">
        <v>74</v>
      </c>
      <c r="R126" t="s">
        <v>74</v>
      </c>
      <c r="S126" t="s">
        <v>74</v>
      </c>
      <c r="T126" t="s">
        <v>2695</v>
      </c>
      <c r="U126" t="s">
        <v>2696</v>
      </c>
      <c r="V126" t="s">
        <v>2697</v>
      </c>
      <c r="W126" t="s">
        <v>2698</v>
      </c>
      <c r="X126" t="s">
        <v>2699</v>
      </c>
      <c r="Y126" t="s">
        <v>2700</v>
      </c>
      <c r="Z126" t="s">
        <v>2701</v>
      </c>
      <c r="AA126" t="s">
        <v>74</v>
      </c>
      <c r="AB126" t="s">
        <v>2702</v>
      </c>
      <c r="AC126" t="s">
        <v>2703</v>
      </c>
      <c r="AD126" t="s">
        <v>2703</v>
      </c>
      <c r="AE126" t="s">
        <v>2704</v>
      </c>
      <c r="AF126" t="s">
        <v>74</v>
      </c>
      <c r="AG126">
        <v>69</v>
      </c>
      <c r="AH126">
        <v>0</v>
      </c>
      <c r="AI126">
        <v>0</v>
      </c>
      <c r="AJ126">
        <v>60</v>
      </c>
      <c r="AK126">
        <v>60</v>
      </c>
      <c r="AL126" t="s">
        <v>270</v>
      </c>
      <c r="AM126" t="s">
        <v>1424</v>
      </c>
      <c r="AN126" t="s">
        <v>1425</v>
      </c>
      <c r="AO126" t="s">
        <v>2705</v>
      </c>
      <c r="AP126" t="s">
        <v>2706</v>
      </c>
      <c r="AQ126" t="s">
        <v>74</v>
      </c>
      <c r="AR126" t="s">
        <v>2707</v>
      </c>
      <c r="AS126" t="s">
        <v>2708</v>
      </c>
      <c r="AT126" t="s">
        <v>126</v>
      </c>
      <c r="AU126">
        <v>2024</v>
      </c>
      <c r="AV126">
        <v>77</v>
      </c>
      <c r="AW126" t="s">
        <v>74</v>
      </c>
      <c r="AX126" t="s">
        <v>74</v>
      </c>
      <c r="AY126" t="s">
        <v>74</v>
      </c>
      <c r="AZ126" t="s">
        <v>74</v>
      </c>
      <c r="BA126" t="s">
        <v>74</v>
      </c>
      <c r="BB126" t="s">
        <v>74</v>
      </c>
      <c r="BC126" t="s">
        <v>74</v>
      </c>
      <c r="BD126">
        <v>103690</v>
      </c>
      <c r="BE126" t="s">
        <v>2709</v>
      </c>
      <c r="BF126" t="str">
        <f>HYPERLINK("http://dx.doi.org/10.1016/j.jretconser.2023.103690","http://dx.doi.org/10.1016/j.jretconser.2023.103690")</f>
        <v>http://dx.doi.org/10.1016/j.jretconser.2023.103690</v>
      </c>
      <c r="BG126" t="s">
        <v>74</v>
      </c>
      <c r="BH126" t="s">
        <v>128</v>
      </c>
      <c r="BI126">
        <v>11</v>
      </c>
      <c r="BJ126" t="s">
        <v>492</v>
      </c>
      <c r="BK126" t="s">
        <v>159</v>
      </c>
      <c r="BL126" t="s">
        <v>470</v>
      </c>
      <c r="BM126" t="s">
        <v>2710</v>
      </c>
      <c r="BN126" t="s">
        <v>74</v>
      </c>
      <c r="BO126" t="s">
        <v>74</v>
      </c>
      <c r="BP126" t="s">
        <v>74</v>
      </c>
      <c r="BQ126" t="s">
        <v>74</v>
      </c>
      <c r="BR126" t="s">
        <v>101</v>
      </c>
      <c r="BS126" t="s">
        <v>2711</v>
      </c>
      <c r="BT126" t="str">
        <f>HYPERLINK("https%3A%2F%2Fwww.webofscience.com%2Fwos%2Fwoscc%2Ffull-record%2FWOS:001147862600001","View Full Record in Web of Science")</f>
        <v>View Full Record in Web of Science</v>
      </c>
    </row>
    <row r="127" spans="1:72" x14ac:dyDescent="0.2">
      <c r="A127" t="s">
        <v>72</v>
      </c>
      <c r="B127" t="s">
        <v>2712</v>
      </c>
      <c r="C127" t="s">
        <v>74</v>
      </c>
      <c r="D127" t="s">
        <v>74</v>
      </c>
      <c r="E127" t="s">
        <v>92</v>
      </c>
      <c r="F127" t="s">
        <v>2713</v>
      </c>
      <c r="G127" t="s">
        <v>74</v>
      </c>
      <c r="H127" t="s">
        <v>74</v>
      </c>
      <c r="I127" t="s">
        <v>2714</v>
      </c>
      <c r="J127" t="s">
        <v>2504</v>
      </c>
      <c r="K127" t="s">
        <v>74</v>
      </c>
      <c r="L127" t="s">
        <v>74</v>
      </c>
      <c r="M127" t="s">
        <v>79</v>
      </c>
      <c r="N127" t="s">
        <v>80</v>
      </c>
      <c r="O127" t="s">
        <v>2505</v>
      </c>
      <c r="P127" t="s">
        <v>2506</v>
      </c>
      <c r="Q127" t="s">
        <v>2507</v>
      </c>
      <c r="R127" t="s">
        <v>1223</v>
      </c>
      <c r="S127" t="s">
        <v>74</v>
      </c>
      <c r="T127" t="s">
        <v>74</v>
      </c>
      <c r="U127" t="s">
        <v>2715</v>
      </c>
      <c r="V127" t="s">
        <v>2716</v>
      </c>
      <c r="W127" t="s">
        <v>2717</v>
      </c>
      <c r="X127" t="s">
        <v>2718</v>
      </c>
      <c r="Y127" t="s">
        <v>2719</v>
      </c>
      <c r="Z127" t="s">
        <v>2720</v>
      </c>
      <c r="AA127" t="s">
        <v>74</v>
      </c>
      <c r="AB127" t="s">
        <v>74</v>
      </c>
      <c r="AC127" t="s">
        <v>74</v>
      </c>
      <c r="AD127" t="s">
        <v>74</v>
      </c>
      <c r="AE127" t="s">
        <v>74</v>
      </c>
      <c r="AF127" t="s">
        <v>74</v>
      </c>
      <c r="AG127">
        <v>120</v>
      </c>
      <c r="AH127">
        <v>17</v>
      </c>
      <c r="AI127">
        <v>17</v>
      </c>
      <c r="AJ127">
        <v>40</v>
      </c>
      <c r="AK127">
        <v>40</v>
      </c>
      <c r="AL127" t="s">
        <v>92</v>
      </c>
      <c r="AM127" t="s">
        <v>93</v>
      </c>
      <c r="AN127" t="s">
        <v>94</v>
      </c>
      <c r="AO127" t="s">
        <v>74</v>
      </c>
      <c r="AP127" t="s">
        <v>74</v>
      </c>
      <c r="AQ127" t="s">
        <v>2515</v>
      </c>
      <c r="AR127" t="s">
        <v>74</v>
      </c>
      <c r="AS127" t="s">
        <v>74</v>
      </c>
      <c r="AT127" t="s">
        <v>74</v>
      </c>
      <c r="AU127">
        <v>2023</v>
      </c>
      <c r="AV127" t="s">
        <v>74</v>
      </c>
      <c r="AW127" t="s">
        <v>74</v>
      </c>
      <c r="AX127" t="s">
        <v>74</v>
      </c>
      <c r="AY127" t="s">
        <v>74</v>
      </c>
      <c r="AZ127" t="s">
        <v>74</v>
      </c>
      <c r="BA127" t="s">
        <v>74</v>
      </c>
      <c r="BB127">
        <v>1112</v>
      </c>
      <c r="BC127">
        <v>1123</v>
      </c>
      <c r="BD127" t="s">
        <v>74</v>
      </c>
      <c r="BE127" t="s">
        <v>2721</v>
      </c>
      <c r="BF127" t="str">
        <f>HYPERLINK("http://dx.doi.org/10.1145/3593013.3594067","http://dx.doi.org/10.1145/3593013.3594067")</f>
        <v>http://dx.doi.org/10.1145/3593013.3594067</v>
      </c>
      <c r="BG127" t="s">
        <v>74</v>
      </c>
      <c r="BH127" t="s">
        <v>74</v>
      </c>
      <c r="BI127">
        <v>12</v>
      </c>
      <c r="BJ127" t="s">
        <v>2517</v>
      </c>
      <c r="BK127" t="s">
        <v>180</v>
      </c>
      <c r="BL127" t="s">
        <v>1212</v>
      </c>
      <c r="BM127" t="s">
        <v>2518</v>
      </c>
      <c r="BN127" t="s">
        <v>74</v>
      </c>
      <c r="BO127" t="s">
        <v>2722</v>
      </c>
      <c r="BP127" t="s">
        <v>74</v>
      </c>
      <c r="BQ127" t="s">
        <v>74</v>
      </c>
      <c r="BR127" t="s">
        <v>101</v>
      </c>
      <c r="BS127" t="s">
        <v>2723</v>
      </c>
      <c r="BT127" t="str">
        <f>HYPERLINK("https%3A%2F%2Fwww.webofscience.com%2Fwos%2Fwoscc%2Ffull-record%2FWOS:001062819300096","View Full Record in Web of Science")</f>
        <v>View Full Record in Web of Science</v>
      </c>
    </row>
    <row r="128" spans="1:72" x14ac:dyDescent="0.2">
      <c r="A128" t="s">
        <v>72</v>
      </c>
      <c r="B128" t="s">
        <v>2724</v>
      </c>
      <c r="C128" t="s">
        <v>74</v>
      </c>
      <c r="D128" t="s">
        <v>74</v>
      </c>
      <c r="E128" t="s">
        <v>75</v>
      </c>
      <c r="F128" t="s">
        <v>2725</v>
      </c>
      <c r="G128" t="s">
        <v>74</v>
      </c>
      <c r="H128" t="s">
        <v>74</v>
      </c>
      <c r="I128" t="s">
        <v>2726</v>
      </c>
      <c r="J128" t="s">
        <v>2727</v>
      </c>
      <c r="K128" t="s">
        <v>74</v>
      </c>
      <c r="L128" t="s">
        <v>74</v>
      </c>
      <c r="M128" t="s">
        <v>79</v>
      </c>
      <c r="N128" t="s">
        <v>80</v>
      </c>
      <c r="O128" t="s">
        <v>2728</v>
      </c>
      <c r="P128" t="s">
        <v>2729</v>
      </c>
      <c r="Q128" t="s">
        <v>2730</v>
      </c>
      <c r="R128" t="s">
        <v>2731</v>
      </c>
      <c r="S128" t="s">
        <v>74</v>
      </c>
      <c r="T128" t="s">
        <v>2732</v>
      </c>
      <c r="U128" t="s">
        <v>2733</v>
      </c>
      <c r="V128" t="s">
        <v>2734</v>
      </c>
      <c r="W128" t="s">
        <v>2735</v>
      </c>
      <c r="X128" t="s">
        <v>2736</v>
      </c>
      <c r="Y128" t="s">
        <v>2737</v>
      </c>
      <c r="Z128" t="s">
        <v>2738</v>
      </c>
      <c r="AA128" t="s">
        <v>74</v>
      </c>
      <c r="AB128" t="s">
        <v>2739</v>
      </c>
      <c r="AC128" t="s">
        <v>74</v>
      </c>
      <c r="AD128" t="s">
        <v>74</v>
      </c>
      <c r="AE128" t="s">
        <v>74</v>
      </c>
      <c r="AF128" t="s">
        <v>74</v>
      </c>
      <c r="AG128">
        <v>32</v>
      </c>
      <c r="AH128">
        <v>0</v>
      </c>
      <c r="AI128">
        <v>0</v>
      </c>
      <c r="AJ128">
        <v>3</v>
      </c>
      <c r="AK128">
        <v>3</v>
      </c>
      <c r="AL128" t="s">
        <v>92</v>
      </c>
      <c r="AM128" t="s">
        <v>93</v>
      </c>
      <c r="AN128" t="s">
        <v>94</v>
      </c>
      <c r="AO128" t="s">
        <v>74</v>
      </c>
      <c r="AP128" t="s">
        <v>74</v>
      </c>
      <c r="AQ128" t="s">
        <v>2740</v>
      </c>
      <c r="AR128" t="s">
        <v>74</v>
      </c>
      <c r="AS128" t="s">
        <v>74</v>
      </c>
      <c r="AT128" t="s">
        <v>74</v>
      </c>
      <c r="AU128">
        <v>2023</v>
      </c>
      <c r="AV128" t="s">
        <v>74</v>
      </c>
      <c r="AW128" t="s">
        <v>74</v>
      </c>
      <c r="AX128" t="s">
        <v>74</v>
      </c>
      <c r="AY128" t="s">
        <v>74</v>
      </c>
      <c r="AZ128" t="s">
        <v>74</v>
      </c>
      <c r="BA128" t="s">
        <v>74</v>
      </c>
      <c r="BB128">
        <v>344</v>
      </c>
      <c r="BC128">
        <v>349</v>
      </c>
      <c r="BD128" t="s">
        <v>74</v>
      </c>
      <c r="BE128" t="s">
        <v>2741</v>
      </c>
      <c r="BF128" t="str">
        <f>HYPERLINK("http://dx.doi.org/10.1145/3616961.3617804","http://dx.doi.org/10.1145/3616961.3617804")</f>
        <v>http://dx.doi.org/10.1145/3616961.3617804</v>
      </c>
      <c r="BG128" t="s">
        <v>74</v>
      </c>
      <c r="BH128" t="s">
        <v>74</v>
      </c>
      <c r="BI128">
        <v>6</v>
      </c>
      <c r="BJ128" t="s">
        <v>2742</v>
      </c>
      <c r="BK128" t="s">
        <v>98</v>
      </c>
      <c r="BL128" t="s">
        <v>99</v>
      </c>
      <c r="BM128" t="s">
        <v>2743</v>
      </c>
      <c r="BN128" t="s">
        <v>74</v>
      </c>
      <c r="BO128" t="s">
        <v>74</v>
      </c>
      <c r="BP128" t="s">
        <v>74</v>
      </c>
      <c r="BQ128" t="s">
        <v>74</v>
      </c>
      <c r="BR128" t="s">
        <v>101</v>
      </c>
      <c r="BS128" t="s">
        <v>2744</v>
      </c>
      <c r="BT128" t="str">
        <f>HYPERLINK("https%3A%2F%2Fwww.webofscience.com%2Fwos%2Fwoscc%2Ffull-record%2FWOS:001147480500037","View Full Record in Web of Science")</f>
        <v>View Full Record in Web of Science</v>
      </c>
    </row>
    <row r="129" spans="1:72" x14ac:dyDescent="0.2">
      <c r="A129" t="s">
        <v>103</v>
      </c>
      <c r="B129" t="s">
        <v>2745</v>
      </c>
      <c r="C129" t="s">
        <v>74</v>
      </c>
      <c r="D129" t="s">
        <v>74</v>
      </c>
      <c r="E129" t="s">
        <v>74</v>
      </c>
      <c r="F129" t="s">
        <v>2746</v>
      </c>
      <c r="G129" t="s">
        <v>74</v>
      </c>
      <c r="H129" t="s">
        <v>74</v>
      </c>
      <c r="I129" t="s">
        <v>2747</v>
      </c>
      <c r="J129" t="s">
        <v>2748</v>
      </c>
      <c r="K129" t="s">
        <v>74</v>
      </c>
      <c r="L129" t="s">
        <v>74</v>
      </c>
      <c r="M129" t="s">
        <v>79</v>
      </c>
      <c r="N129" t="s">
        <v>108</v>
      </c>
      <c r="O129" t="s">
        <v>74</v>
      </c>
      <c r="P129" t="s">
        <v>74</v>
      </c>
      <c r="Q129" t="s">
        <v>74</v>
      </c>
      <c r="R129" t="s">
        <v>74</v>
      </c>
      <c r="S129" t="s">
        <v>74</v>
      </c>
      <c r="T129" t="s">
        <v>2749</v>
      </c>
      <c r="U129" t="s">
        <v>74</v>
      </c>
      <c r="V129" t="s">
        <v>2750</v>
      </c>
      <c r="W129" t="s">
        <v>2751</v>
      </c>
      <c r="X129" t="s">
        <v>2752</v>
      </c>
      <c r="Y129" t="s">
        <v>2753</v>
      </c>
      <c r="Z129" t="s">
        <v>2754</v>
      </c>
      <c r="AA129" t="s">
        <v>2755</v>
      </c>
      <c r="AB129" t="s">
        <v>74</v>
      </c>
      <c r="AC129" t="s">
        <v>74</v>
      </c>
      <c r="AD129" t="s">
        <v>74</v>
      </c>
      <c r="AE129" t="s">
        <v>74</v>
      </c>
      <c r="AF129" t="s">
        <v>74</v>
      </c>
      <c r="AG129">
        <v>30</v>
      </c>
      <c r="AH129">
        <v>1</v>
      </c>
      <c r="AI129">
        <v>1</v>
      </c>
      <c r="AJ129">
        <v>62</v>
      </c>
      <c r="AK129">
        <v>77</v>
      </c>
      <c r="AL129" t="s">
        <v>2756</v>
      </c>
      <c r="AM129" t="s">
        <v>2757</v>
      </c>
      <c r="AN129" t="s">
        <v>2758</v>
      </c>
      <c r="AO129" t="s">
        <v>2759</v>
      </c>
      <c r="AP129" t="s">
        <v>2760</v>
      </c>
      <c r="AQ129" t="s">
        <v>74</v>
      </c>
      <c r="AR129" t="s">
        <v>2761</v>
      </c>
      <c r="AS129" t="s">
        <v>2762</v>
      </c>
      <c r="AT129" t="s">
        <v>1457</v>
      </c>
      <c r="AU129">
        <v>2023</v>
      </c>
      <c r="AV129">
        <v>14</v>
      </c>
      <c r="AW129">
        <v>3</v>
      </c>
      <c r="AX129" t="s">
        <v>74</v>
      </c>
      <c r="AY129" t="s">
        <v>74</v>
      </c>
      <c r="AZ129" t="s">
        <v>74</v>
      </c>
      <c r="BA129" t="s">
        <v>74</v>
      </c>
      <c r="BB129">
        <v>563</v>
      </c>
      <c r="BC129">
        <v>577</v>
      </c>
      <c r="BD129" t="s">
        <v>74</v>
      </c>
      <c r="BE129" t="s">
        <v>2763</v>
      </c>
      <c r="BF129" t="str">
        <f>HYPERLINK("http://dx.doi.org/10.1086/726021","http://dx.doi.org/10.1086/726021")</f>
        <v>http://dx.doi.org/10.1086/726021</v>
      </c>
      <c r="BG129" t="s">
        <v>74</v>
      </c>
      <c r="BH129" t="s">
        <v>278</v>
      </c>
      <c r="BI129">
        <v>15</v>
      </c>
      <c r="BJ129" t="s">
        <v>2764</v>
      </c>
      <c r="BK129" t="s">
        <v>159</v>
      </c>
      <c r="BL129" t="s">
        <v>2764</v>
      </c>
      <c r="BM129" t="s">
        <v>2765</v>
      </c>
      <c r="BN129" t="s">
        <v>74</v>
      </c>
      <c r="BO129" t="s">
        <v>74</v>
      </c>
      <c r="BP129" t="s">
        <v>74</v>
      </c>
      <c r="BQ129" t="s">
        <v>74</v>
      </c>
      <c r="BR129" t="s">
        <v>101</v>
      </c>
      <c r="BS129" t="s">
        <v>2766</v>
      </c>
      <c r="BT129" t="str">
        <f>HYPERLINK("https%3A%2F%2Fwww.webofscience.com%2Fwos%2Fwoscc%2Ffull-record%2FWOS:001039931900002","View Full Record in Web of Science")</f>
        <v>View Full Record in Web of Science</v>
      </c>
    </row>
    <row r="130" spans="1:72" x14ac:dyDescent="0.2">
      <c r="A130" t="s">
        <v>103</v>
      </c>
      <c r="B130" t="s">
        <v>2767</v>
      </c>
      <c r="C130" t="s">
        <v>74</v>
      </c>
      <c r="D130" t="s">
        <v>74</v>
      </c>
      <c r="E130" t="s">
        <v>74</v>
      </c>
      <c r="F130" t="s">
        <v>2768</v>
      </c>
      <c r="G130" t="s">
        <v>74</v>
      </c>
      <c r="H130" t="s">
        <v>74</v>
      </c>
      <c r="I130" t="s">
        <v>2769</v>
      </c>
      <c r="J130" t="s">
        <v>2466</v>
      </c>
      <c r="K130" t="s">
        <v>74</v>
      </c>
      <c r="L130" t="s">
        <v>74</v>
      </c>
      <c r="M130" t="s">
        <v>79</v>
      </c>
      <c r="N130" t="s">
        <v>108</v>
      </c>
      <c r="O130" t="s">
        <v>74</v>
      </c>
      <c r="P130" t="s">
        <v>74</v>
      </c>
      <c r="Q130" t="s">
        <v>74</v>
      </c>
      <c r="R130" t="s">
        <v>74</v>
      </c>
      <c r="S130" t="s">
        <v>74</v>
      </c>
      <c r="T130" t="s">
        <v>2770</v>
      </c>
      <c r="U130" t="s">
        <v>74</v>
      </c>
      <c r="V130" t="s">
        <v>2771</v>
      </c>
      <c r="W130" t="s">
        <v>2772</v>
      </c>
      <c r="X130" t="s">
        <v>2773</v>
      </c>
      <c r="Y130" t="s">
        <v>2774</v>
      </c>
      <c r="Z130" t="s">
        <v>2775</v>
      </c>
      <c r="AA130" t="s">
        <v>2776</v>
      </c>
      <c r="AB130" t="s">
        <v>2777</v>
      </c>
      <c r="AC130" t="s">
        <v>2778</v>
      </c>
      <c r="AD130" t="s">
        <v>2778</v>
      </c>
      <c r="AE130" t="s">
        <v>2778</v>
      </c>
      <c r="AF130" t="s">
        <v>74</v>
      </c>
      <c r="AG130">
        <v>44</v>
      </c>
      <c r="AH130">
        <v>1</v>
      </c>
      <c r="AI130">
        <v>1</v>
      </c>
      <c r="AJ130">
        <v>50</v>
      </c>
      <c r="AK130">
        <v>50</v>
      </c>
      <c r="AL130" t="s">
        <v>1961</v>
      </c>
      <c r="AM130" t="s">
        <v>1962</v>
      </c>
      <c r="AN130" t="s">
        <v>1963</v>
      </c>
      <c r="AO130" t="s">
        <v>74</v>
      </c>
      <c r="AP130" t="s">
        <v>2474</v>
      </c>
      <c r="AQ130" t="s">
        <v>74</v>
      </c>
      <c r="AR130" t="s">
        <v>2475</v>
      </c>
      <c r="AS130" t="s">
        <v>2476</v>
      </c>
      <c r="AT130" t="s">
        <v>2779</v>
      </c>
      <c r="AU130">
        <v>2023</v>
      </c>
      <c r="AV130">
        <v>10</v>
      </c>
      <c r="AW130">
        <v>1</v>
      </c>
      <c r="AX130" t="s">
        <v>74</v>
      </c>
      <c r="AY130" t="s">
        <v>74</v>
      </c>
      <c r="AZ130" t="s">
        <v>74</v>
      </c>
      <c r="BA130" t="s">
        <v>74</v>
      </c>
      <c r="BB130" t="s">
        <v>74</v>
      </c>
      <c r="BC130" t="s">
        <v>74</v>
      </c>
      <c r="BD130">
        <v>59</v>
      </c>
      <c r="BE130" t="s">
        <v>2780</v>
      </c>
      <c r="BF130" t="str">
        <f>HYPERLINK("http://dx.doi.org/10.1186/s40561-023-00279-1","http://dx.doi.org/10.1186/s40561-023-00279-1")</f>
        <v>http://dx.doi.org/10.1186/s40561-023-00279-1</v>
      </c>
      <c r="BG130" t="s">
        <v>74</v>
      </c>
      <c r="BH130" t="s">
        <v>74</v>
      </c>
      <c r="BI130">
        <v>18</v>
      </c>
      <c r="BJ130" t="s">
        <v>423</v>
      </c>
      <c r="BK130" t="s">
        <v>352</v>
      </c>
      <c r="BL130" t="s">
        <v>423</v>
      </c>
      <c r="BM130" t="s">
        <v>2781</v>
      </c>
      <c r="BN130" t="s">
        <v>74</v>
      </c>
      <c r="BO130" t="s">
        <v>425</v>
      </c>
      <c r="BP130" t="s">
        <v>74</v>
      </c>
      <c r="BQ130" t="s">
        <v>74</v>
      </c>
      <c r="BR130" t="s">
        <v>101</v>
      </c>
      <c r="BS130" t="s">
        <v>2782</v>
      </c>
      <c r="BT130" t="str">
        <f>HYPERLINK("https%3A%2F%2Fwww.webofscience.com%2Fwos%2Fwoscc%2Ffull-record%2FWOS:001095368000001","View Full Record in Web of Science")</f>
        <v>View Full Record in Web of Science</v>
      </c>
    </row>
    <row r="131" spans="1:72" x14ac:dyDescent="0.2">
      <c r="A131" t="s">
        <v>72</v>
      </c>
      <c r="B131" t="s">
        <v>2783</v>
      </c>
      <c r="C131" t="s">
        <v>74</v>
      </c>
      <c r="D131" t="s">
        <v>74</v>
      </c>
      <c r="E131" t="s">
        <v>284</v>
      </c>
      <c r="F131" t="s">
        <v>2784</v>
      </c>
      <c r="G131" t="s">
        <v>74</v>
      </c>
      <c r="H131" t="s">
        <v>74</v>
      </c>
      <c r="I131" t="s">
        <v>2785</v>
      </c>
      <c r="J131" t="s">
        <v>2786</v>
      </c>
      <c r="K131" t="s">
        <v>74</v>
      </c>
      <c r="L131" t="s">
        <v>74</v>
      </c>
      <c r="M131" t="s">
        <v>79</v>
      </c>
      <c r="N131" t="s">
        <v>80</v>
      </c>
      <c r="O131" t="s">
        <v>2787</v>
      </c>
      <c r="P131" t="s">
        <v>2788</v>
      </c>
      <c r="Q131" t="s">
        <v>2789</v>
      </c>
      <c r="R131" t="s">
        <v>74</v>
      </c>
      <c r="S131" t="s">
        <v>74</v>
      </c>
      <c r="T131" t="s">
        <v>2790</v>
      </c>
      <c r="U131" t="s">
        <v>74</v>
      </c>
      <c r="V131" t="s">
        <v>2791</v>
      </c>
      <c r="W131" t="s">
        <v>2792</v>
      </c>
      <c r="X131" t="s">
        <v>2793</v>
      </c>
      <c r="Y131" t="s">
        <v>2794</v>
      </c>
      <c r="Z131" t="s">
        <v>2795</v>
      </c>
      <c r="AA131" t="s">
        <v>74</v>
      </c>
      <c r="AB131" t="s">
        <v>74</v>
      </c>
      <c r="AC131" t="s">
        <v>74</v>
      </c>
      <c r="AD131" t="s">
        <v>74</v>
      </c>
      <c r="AE131" t="s">
        <v>74</v>
      </c>
      <c r="AF131" t="s">
        <v>74</v>
      </c>
      <c r="AG131">
        <v>13</v>
      </c>
      <c r="AH131">
        <v>0</v>
      </c>
      <c r="AI131">
        <v>0</v>
      </c>
      <c r="AJ131">
        <v>1</v>
      </c>
      <c r="AK131">
        <v>1</v>
      </c>
      <c r="AL131" t="s">
        <v>284</v>
      </c>
      <c r="AM131" t="s">
        <v>93</v>
      </c>
      <c r="AN131" t="s">
        <v>299</v>
      </c>
      <c r="AO131" t="s">
        <v>74</v>
      </c>
      <c r="AP131" t="s">
        <v>74</v>
      </c>
      <c r="AQ131" t="s">
        <v>2796</v>
      </c>
      <c r="AR131" t="s">
        <v>74</v>
      </c>
      <c r="AS131" t="s">
        <v>74</v>
      </c>
      <c r="AT131" t="s">
        <v>74</v>
      </c>
      <c r="AU131">
        <v>2023</v>
      </c>
      <c r="AV131" t="s">
        <v>74</v>
      </c>
      <c r="AW131" t="s">
        <v>74</v>
      </c>
      <c r="AX131" t="s">
        <v>74</v>
      </c>
      <c r="AY131" t="s">
        <v>74</v>
      </c>
      <c r="AZ131" t="s">
        <v>74</v>
      </c>
      <c r="BA131" t="s">
        <v>74</v>
      </c>
      <c r="BB131" t="s">
        <v>74</v>
      </c>
      <c r="BC131" t="s">
        <v>74</v>
      </c>
      <c r="BD131" t="s">
        <v>74</v>
      </c>
      <c r="BE131" t="s">
        <v>2797</v>
      </c>
      <c r="BF131" t="str">
        <f>HYPERLINK("http://dx.doi.org/10.1109/ACIIW59127.2023.10388174","http://dx.doi.org/10.1109/ACIIW59127.2023.10388174")</f>
        <v>http://dx.doi.org/10.1109/ACIIW59127.2023.10388174</v>
      </c>
      <c r="BG131" t="s">
        <v>74</v>
      </c>
      <c r="BH131" t="s">
        <v>74</v>
      </c>
      <c r="BI131">
        <v>3</v>
      </c>
      <c r="BJ131" t="s">
        <v>2798</v>
      </c>
      <c r="BK131" t="s">
        <v>98</v>
      </c>
      <c r="BL131" t="s">
        <v>99</v>
      </c>
      <c r="BM131" t="s">
        <v>2799</v>
      </c>
      <c r="BN131" t="s">
        <v>74</v>
      </c>
      <c r="BO131" t="s">
        <v>74</v>
      </c>
      <c r="BP131" t="s">
        <v>74</v>
      </c>
      <c r="BQ131" t="s">
        <v>74</v>
      </c>
      <c r="BR131" t="s">
        <v>101</v>
      </c>
      <c r="BS131" t="s">
        <v>2800</v>
      </c>
      <c r="BT131" t="str">
        <f>HYPERLINK("https%3A%2F%2Fwww.webofscience.com%2Fwos%2Fwoscc%2Ffull-record%2FWOS:001161364800069","View Full Record in Web of Science")</f>
        <v>View Full Record in Web of Science</v>
      </c>
    </row>
    <row r="132" spans="1:72" x14ac:dyDescent="0.2">
      <c r="A132" t="s">
        <v>103</v>
      </c>
      <c r="B132" t="s">
        <v>2801</v>
      </c>
      <c r="C132" t="s">
        <v>74</v>
      </c>
      <c r="D132" t="s">
        <v>74</v>
      </c>
      <c r="E132" t="s">
        <v>74</v>
      </c>
      <c r="F132" t="s">
        <v>2802</v>
      </c>
      <c r="G132" t="s">
        <v>74</v>
      </c>
      <c r="H132" t="s">
        <v>74</v>
      </c>
      <c r="I132" t="s">
        <v>2803</v>
      </c>
      <c r="J132" t="s">
        <v>2804</v>
      </c>
      <c r="K132" t="s">
        <v>74</v>
      </c>
      <c r="L132" t="s">
        <v>74</v>
      </c>
      <c r="M132" t="s">
        <v>79</v>
      </c>
      <c r="N132" t="s">
        <v>108</v>
      </c>
      <c r="O132" t="s">
        <v>74</v>
      </c>
      <c r="P132" t="s">
        <v>74</v>
      </c>
      <c r="Q132" t="s">
        <v>74</v>
      </c>
      <c r="R132" t="s">
        <v>74</v>
      </c>
      <c r="S132" t="s">
        <v>74</v>
      </c>
      <c r="T132" t="s">
        <v>2805</v>
      </c>
      <c r="U132" t="s">
        <v>2806</v>
      </c>
      <c r="V132" t="s">
        <v>2807</v>
      </c>
      <c r="W132" t="s">
        <v>2808</v>
      </c>
      <c r="X132" t="s">
        <v>2809</v>
      </c>
      <c r="Y132" t="s">
        <v>2810</v>
      </c>
      <c r="Z132" t="s">
        <v>2811</v>
      </c>
      <c r="AA132" t="s">
        <v>2812</v>
      </c>
      <c r="AB132" t="s">
        <v>2813</v>
      </c>
      <c r="AC132" t="s">
        <v>2814</v>
      </c>
      <c r="AD132" t="s">
        <v>2815</v>
      </c>
      <c r="AE132" t="s">
        <v>2816</v>
      </c>
      <c r="AF132" t="s">
        <v>74</v>
      </c>
      <c r="AG132">
        <v>49</v>
      </c>
      <c r="AH132">
        <v>1</v>
      </c>
      <c r="AI132">
        <v>1</v>
      </c>
      <c r="AJ132">
        <v>13</v>
      </c>
      <c r="AK132">
        <v>13</v>
      </c>
      <c r="AL132" t="s">
        <v>1379</v>
      </c>
      <c r="AM132" t="s">
        <v>1380</v>
      </c>
      <c r="AN132" t="s">
        <v>1381</v>
      </c>
      <c r="AO132" t="s">
        <v>2817</v>
      </c>
      <c r="AP132" t="s">
        <v>2818</v>
      </c>
      <c r="AQ132" t="s">
        <v>74</v>
      </c>
      <c r="AR132" t="s">
        <v>2819</v>
      </c>
      <c r="AS132" t="s">
        <v>2820</v>
      </c>
      <c r="AT132" t="s">
        <v>771</v>
      </c>
      <c r="AU132">
        <v>2023</v>
      </c>
      <c r="AV132">
        <v>17</v>
      </c>
      <c r="AW132">
        <v>5</v>
      </c>
      <c r="AX132" t="s">
        <v>74</v>
      </c>
      <c r="AY132" t="s">
        <v>74</v>
      </c>
      <c r="AZ132" t="s">
        <v>74</v>
      </c>
      <c r="BA132" t="s">
        <v>74</v>
      </c>
      <c r="BB132">
        <v>1064</v>
      </c>
      <c r="BC132">
        <v>1079</v>
      </c>
      <c r="BD132" t="s">
        <v>74</v>
      </c>
      <c r="BE132" t="s">
        <v>2821</v>
      </c>
      <c r="BF132" t="str">
        <f>HYPERLINK("http://dx.doi.org/10.1109/JSTSP.2023.3293650","http://dx.doi.org/10.1109/JSTSP.2023.3293650")</f>
        <v>http://dx.doi.org/10.1109/JSTSP.2023.3293650</v>
      </c>
      <c r="BG132" t="s">
        <v>74</v>
      </c>
      <c r="BH132" t="s">
        <v>74</v>
      </c>
      <c r="BI132">
        <v>16</v>
      </c>
      <c r="BJ132" t="s">
        <v>2822</v>
      </c>
      <c r="BK132" t="s">
        <v>130</v>
      </c>
      <c r="BL132" t="s">
        <v>2823</v>
      </c>
      <c r="BM132" t="s">
        <v>2824</v>
      </c>
      <c r="BN132" t="s">
        <v>74</v>
      </c>
      <c r="BO132" t="s">
        <v>646</v>
      </c>
      <c r="BP132" t="s">
        <v>74</v>
      </c>
      <c r="BQ132" t="s">
        <v>74</v>
      </c>
      <c r="BR132" t="s">
        <v>101</v>
      </c>
      <c r="BS132" t="s">
        <v>2825</v>
      </c>
      <c r="BT132" t="str">
        <f>HYPERLINK("https%3A%2F%2Fwww.webofscience.com%2Fwos%2Fwoscc%2Ffull-record%2FWOS:001105716800006","View Full Record in Web of Science")</f>
        <v>View Full Record in Web of Science</v>
      </c>
    </row>
    <row r="133" spans="1:72" x14ac:dyDescent="0.2">
      <c r="A133" t="s">
        <v>72</v>
      </c>
      <c r="B133" t="s">
        <v>2826</v>
      </c>
      <c r="C133" t="s">
        <v>74</v>
      </c>
      <c r="D133" t="s">
        <v>74</v>
      </c>
      <c r="E133" t="s">
        <v>75</v>
      </c>
      <c r="F133" t="s">
        <v>2827</v>
      </c>
      <c r="G133" t="s">
        <v>74</v>
      </c>
      <c r="H133" t="s">
        <v>74</v>
      </c>
      <c r="I133" t="s">
        <v>2828</v>
      </c>
      <c r="J133" t="s">
        <v>2829</v>
      </c>
      <c r="K133" t="s">
        <v>74</v>
      </c>
      <c r="L133" t="s">
        <v>74</v>
      </c>
      <c r="M133" t="s">
        <v>79</v>
      </c>
      <c r="N133" t="s">
        <v>80</v>
      </c>
      <c r="O133" t="s">
        <v>2830</v>
      </c>
      <c r="P133" t="s">
        <v>1221</v>
      </c>
      <c r="Q133" t="s">
        <v>2831</v>
      </c>
      <c r="R133" t="s">
        <v>1223</v>
      </c>
      <c r="S133" t="s">
        <v>74</v>
      </c>
      <c r="T133" t="s">
        <v>2832</v>
      </c>
      <c r="U133" t="s">
        <v>2833</v>
      </c>
      <c r="V133" t="s">
        <v>2834</v>
      </c>
      <c r="W133" t="s">
        <v>2835</v>
      </c>
      <c r="X133" t="s">
        <v>2836</v>
      </c>
      <c r="Y133" t="s">
        <v>2837</v>
      </c>
      <c r="Z133" t="s">
        <v>2838</v>
      </c>
      <c r="AA133" t="s">
        <v>74</v>
      </c>
      <c r="AB133" t="s">
        <v>74</v>
      </c>
      <c r="AC133" t="s">
        <v>74</v>
      </c>
      <c r="AD133" t="s">
        <v>74</v>
      </c>
      <c r="AE133" t="s">
        <v>74</v>
      </c>
      <c r="AF133" t="s">
        <v>74</v>
      </c>
      <c r="AG133">
        <v>36</v>
      </c>
      <c r="AH133">
        <v>0</v>
      </c>
      <c r="AI133">
        <v>0</v>
      </c>
      <c r="AJ133">
        <v>14</v>
      </c>
      <c r="AK133">
        <v>14</v>
      </c>
      <c r="AL133" t="s">
        <v>92</v>
      </c>
      <c r="AM133" t="s">
        <v>93</v>
      </c>
      <c r="AN133" t="s">
        <v>94</v>
      </c>
      <c r="AO133" t="s">
        <v>74</v>
      </c>
      <c r="AP133" t="s">
        <v>74</v>
      </c>
      <c r="AQ133" t="s">
        <v>2839</v>
      </c>
      <c r="AR133" t="s">
        <v>74</v>
      </c>
      <c r="AS133" t="s">
        <v>74</v>
      </c>
      <c r="AT133" t="s">
        <v>74</v>
      </c>
      <c r="AU133">
        <v>2023</v>
      </c>
      <c r="AV133" t="s">
        <v>74</v>
      </c>
      <c r="AW133" t="s">
        <v>74</v>
      </c>
      <c r="AX133" t="s">
        <v>74</v>
      </c>
      <c r="AY133" t="s">
        <v>74</v>
      </c>
      <c r="AZ133" t="s">
        <v>74</v>
      </c>
      <c r="BA133" t="s">
        <v>74</v>
      </c>
      <c r="BB133">
        <v>1930</v>
      </c>
      <c r="BC133">
        <v>1940</v>
      </c>
      <c r="BD133" t="s">
        <v>74</v>
      </c>
      <c r="BE133" t="s">
        <v>2840</v>
      </c>
      <c r="BF133" t="str">
        <f>HYPERLINK("http://dx.doi.org/10.1145/3563657.3596014","http://dx.doi.org/10.1145/3563657.3596014")</f>
        <v>http://dx.doi.org/10.1145/3563657.3596014</v>
      </c>
      <c r="BG133" t="s">
        <v>74</v>
      </c>
      <c r="BH133" t="s">
        <v>74</v>
      </c>
      <c r="BI133">
        <v>11</v>
      </c>
      <c r="BJ133" t="s">
        <v>1235</v>
      </c>
      <c r="BK133" t="s">
        <v>180</v>
      </c>
      <c r="BL133" t="s">
        <v>906</v>
      </c>
      <c r="BM133" t="s">
        <v>2841</v>
      </c>
      <c r="BN133" t="s">
        <v>74</v>
      </c>
      <c r="BO133" t="s">
        <v>1237</v>
      </c>
      <c r="BP133" t="s">
        <v>74</v>
      </c>
      <c r="BQ133" t="s">
        <v>74</v>
      </c>
      <c r="BR133" t="s">
        <v>101</v>
      </c>
      <c r="BS133" t="s">
        <v>2842</v>
      </c>
      <c r="BT133" t="str">
        <f>HYPERLINK("https%3A%2F%2Fwww.webofscience.com%2Fwos%2Fwoscc%2Ffull-record%2FWOS:001090855700126","View Full Record in Web of Science")</f>
        <v>View Full Record in Web of Science</v>
      </c>
    </row>
    <row r="134" spans="1:72" x14ac:dyDescent="0.2">
      <c r="A134" t="s">
        <v>103</v>
      </c>
      <c r="B134" t="s">
        <v>2843</v>
      </c>
      <c r="C134" t="s">
        <v>74</v>
      </c>
      <c r="D134" t="s">
        <v>74</v>
      </c>
      <c r="E134" t="s">
        <v>74</v>
      </c>
      <c r="F134" t="s">
        <v>2844</v>
      </c>
      <c r="G134" t="s">
        <v>74</v>
      </c>
      <c r="H134" t="s">
        <v>74</v>
      </c>
      <c r="I134" t="s">
        <v>2845</v>
      </c>
      <c r="J134" t="s">
        <v>2846</v>
      </c>
      <c r="K134" t="s">
        <v>74</v>
      </c>
      <c r="L134" t="s">
        <v>74</v>
      </c>
      <c r="M134" t="s">
        <v>79</v>
      </c>
      <c r="N134" t="s">
        <v>138</v>
      </c>
      <c r="O134" t="s">
        <v>74</v>
      </c>
      <c r="P134" t="s">
        <v>74</v>
      </c>
      <c r="Q134" t="s">
        <v>74</v>
      </c>
      <c r="R134" t="s">
        <v>74</v>
      </c>
      <c r="S134" t="s">
        <v>74</v>
      </c>
      <c r="T134" t="s">
        <v>2847</v>
      </c>
      <c r="U134" t="s">
        <v>74</v>
      </c>
      <c r="V134" t="s">
        <v>2848</v>
      </c>
      <c r="W134" t="s">
        <v>2849</v>
      </c>
      <c r="X134" t="s">
        <v>2850</v>
      </c>
      <c r="Y134" t="s">
        <v>2851</v>
      </c>
      <c r="Z134" t="s">
        <v>2852</v>
      </c>
      <c r="AA134" t="s">
        <v>74</v>
      </c>
      <c r="AB134" t="s">
        <v>74</v>
      </c>
      <c r="AC134" t="s">
        <v>2853</v>
      </c>
      <c r="AD134" t="s">
        <v>2854</v>
      </c>
      <c r="AE134" t="s">
        <v>2855</v>
      </c>
      <c r="AF134" t="s">
        <v>74</v>
      </c>
      <c r="AG134">
        <v>16</v>
      </c>
      <c r="AH134">
        <v>1</v>
      </c>
      <c r="AI134">
        <v>1</v>
      </c>
      <c r="AJ134">
        <v>17</v>
      </c>
      <c r="AK134">
        <v>17</v>
      </c>
      <c r="AL134" t="s">
        <v>483</v>
      </c>
      <c r="AM134" t="s">
        <v>484</v>
      </c>
      <c r="AN134" t="s">
        <v>485</v>
      </c>
      <c r="AO134" t="s">
        <v>2856</v>
      </c>
      <c r="AP134" t="s">
        <v>74</v>
      </c>
      <c r="AQ134" t="s">
        <v>74</v>
      </c>
      <c r="AR134" t="s">
        <v>2857</v>
      </c>
      <c r="AS134" t="s">
        <v>2858</v>
      </c>
      <c r="AT134" t="s">
        <v>2859</v>
      </c>
      <c r="AU134">
        <v>2023</v>
      </c>
      <c r="AV134" t="s">
        <v>74</v>
      </c>
      <c r="AW134" t="s">
        <v>74</v>
      </c>
      <c r="AX134" t="s">
        <v>74</v>
      </c>
      <c r="AY134" t="s">
        <v>74</v>
      </c>
      <c r="AZ134" t="s">
        <v>74</v>
      </c>
      <c r="BA134" t="s">
        <v>74</v>
      </c>
      <c r="BB134" t="s">
        <v>74</v>
      </c>
      <c r="BC134" t="s">
        <v>74</v>
      </c>
      <c r="BD134" t="s">
        <v>74</v>
      </c>
      <c r="BE134" t="s">
        <v>2860</v>
      </c>
      <c r="BF134" t="str">
        <f>HYPERLINK("http://dx.doi.org/10.1108/ETPC-08-2023-0104","http://dx.doi.org/10.1108/ETPC-08-2023-0104")</f>
        <v>http://dx.doi.org/10.1108/ETPC-08-2023-0104</v>
      </c>
      <c r="BG134" t="s">
        <v>74</v>
      </c>
      <c r="BH134" t="s">
        <v>128</v>
      </c>
      <c r="BI134">
        <v>17</v>
      </c>
      <c r="BJ134" t="s">
        <v>2861</v>
      </c>
      <c r="BK134" t="s">
        <v>530</v>
      </c>
      <c r="BL134" t="s">
        <v>2862</v>
      </c>
      <c r="BM134" t="s">
        <v>2863</v>
      </c>
      <c r="BN134" t="s">
        <v>74</v>
      </c>
      <c r="BO134" t="s">
        <v>74</v>
      </c>
      <c r="BP134" t="s">
        <v>74</v>
      </c>
      <c r="BQ134" t="s">
        <v>74</v>
      </c>
      <c r="BR134" t="s">
        <v>101</v>
      </c>
      <c r="BS134" t="s">
        <v>2864</v>
      </c>
      <c r="BT134" t="str">
        <f>HYPERLINK("https%3A%2F%2Fwww.webofscience.com%2Fwos%2Fwoscc%2Ffull-record%2FWOS:001128375800001","View Full Record in Web of Science")</f>
        <v>View Full Record in Web of Science</v>
      </c>
    </row>
    <row r="135" spans="1:72" x14ac:dyDescent="0.2">
      <c r="A135" t="s">
        <v>103</v>
      </c>
      <c r="B135" t="s">
        <v>2865</v>
      </c>
      <c r="C135" t="s">
        <v>74</v>
      </c>
      <c r="D135" t="s">
        <v>74</v>
      </c>
      <c r="E135" t="s">
        <v>74</v>
      </c>
      <c r="F135" t="s">
        <v>2866</v>
      </c>
      <c r="G135" t="s">
        <v>74</v>
      </c>
      <c r="H135" t="s">
        <v>74</v>
      </c>
      <c r="I135" t="s">
        <v>2867</v>
      </c>
      <c r="J135" t="s">
        <v>1507</v>
      </c>
      <c r="K135" t="s">
        <v>74</v>
      </c>
      <c r="L135" t="s">
        <v>74</v>
      </c>
      <c r="M135" t="s">
        <v>79</v>
      </c>
      <c r="N135" t="s">
        <v>138</v>
      </c>
      <c r="O135" t="s">
        <v>74</v>
      </c>
      <c r="P135" t="s">
        <v>74</v>
      </c>
      <c r="Q135" t="s">
        <v>74</v>
      </c>
      <c r="R135" t="s">
        <v>74</v>
      </c>
      <c r="S135" t="s">
        <v>74</v>
      </c>
      <c r="T135" t="s">
        <v>2868</v>
      </c>
      <c r="U135" t="s">
        <v>2869</v>
      </c>
      <c r="V135" t="s">
        <v>2870</v>
      </c>
      <c r="W135" t="s">
        <v>2871</v>
      </c>
      <c r="X135" t="s">
        <v>1512</v>
      </c>
      <c r="Y135" t="s">
        <v>1513</v>
      </c>
      <c r="Z135" t="s">
        <v>1514</v>
      </c>
      <c r="AA135" t="s">
        <v>74</v>
      </c>
      <c r="AB135" t="s">
        <v>1516</v>
      </c>
      <c r="AC135" t="s">
        <v>74</v>
      </c>
      <c r="AD135" t="s">
        <v>74</v>
      </c>
      <c r="AE135" t="s">
        <v>74</v>
      </c>
      <c r="AF135" t="s">
        <v>74</v>
      </c>
      <c r="AG135">
        <v>46</v>
      </c>
      <c r="AH135">
        <v>1</v>
      </c>
      <c r="AI135">
        <v>1</v>
      </c>
      <c r="AJ135">
        <v>24</v>
      </c>
      <c r="AK135">
        <v>24</v>
      </c>
      <c r="AL135" t="s">
        <v>438</v>
      </c>
      <c r="AM135" t="s">
        <v>439</v>
      </c>
      <c r="AN135" t="s">
        <v>440</v>
      </c>
      <c r="AO135" t="s">
        <v>1517</v>
      </c>
      <c r="AP135" t="s">
        <v>1518</v>
      </c>
      <c r="AQ135" t="s">
        <v>74</v>
      </c>
      <c r="AR135" t="s">
        <v>1519</v>
      </c>
      <c r="AS135" t="s">
        <v>1520</v>
      </c>
      <c r="AT135" t="s">
        <v>2872</v>
      </c>
      <c r="AU135">
        <v>2023</v>
      </c>
      <c r="AV135" t="s">
        <v>74</v>
      </c>
      <c r="AW135" t="s">
        <v>74</v>
      </c>
      <c r="AX135" t="s">
        <v>74</v>
      </c>
      <c r="AY135" t="s">
        <v>74</v>
      </c>
      <c r="AZ135" t="s">
        <v>74</v>
      </c>
      <c r="BA135" t="s">
        <v>74</v>
      </c>
      <c r="BB135" t="s">
        <v>74</v>
      </c>
      <c r="BC135" t="s">
        <v>74</v>
      </c>
      <c r="BD135" t="s">
        <v>74</v>
      </c>
      <c r="BE135" t="s">
        <v>2873</v>
      </c>
      <c r="BF135" t="str">
        <f>HYPERLINK("http://dx.doi.org/10.1177/23294906231208166","http://dx.doi.org/10.1177/23294906231208166")</f>
        <v>http://dx.doi.org/10.1177/23294906231208166</v>
      </c>
      <c r="BG135" t="s">
        <v>74</v>
      </c>
      <c r="BH135" t="s">
        <v>157</v>
      </c>
      <c r="BI135">
        <v>24</v>
      </c>
      <c r="BJ135" t="s">
        <v>158</v>
      </c>
      <c r="BK135" t="s">
        <v>352</v>
      </c>
      <c r="BL135" t="s">
        <v>158</v>
      </c>
      <c r="BM135" t="s">
        <v>2874</v>
      </c>
      <c r="BN135" t="s">
        <v>74</v>
      </c>
      <c r="BO135" t="s">
        <v>74</v>
      </c>
      <c r="BP135" t="s">
        <v>74</v>
      </c>
      <c r="BQ135" t="s">
        <v>74</v>
      </c>
      <c r="BR135" t="s">
        <v>101</v>
      </c>
      <c r="BS135" t="s">
        <v>2875</v>
      </c>
      <c r="BT135" t="str">
        <f>HYPERLINK("https%3A%2F%2Fwww.webofscience.com%2Fwos%2Fwoscc%2Ffull-record%2FWOS:001100609100001","View Full Record in Web of Science")</f>
        <v>View Full Record in Web of Science</v>
      </c>
    </row>
    <row r="136" spans="1:72" x14ac:dyDescent="0.2">
      <c r="A136" t="s">
        <v>103</v>
      </c>
      <c r="B136" t="s">
        <v>2876</v>
      </c>
      <c r="C136" t="s">
        <v>74</v>
      </c>
      <c r="D136" t="s">
        <v>74</v>
      </c>
      <c r="E136" t="s">
        <v>74</v>
      </c>
      <c r="F136" t="s">
        <v>2877</v>
      </c>
      <c r="G136" t="s">
        <v>74</v>
      </c>
      <c r="H136" t="s">
        <v>74</v>
      </c>
      <c r="I136" t="s">
        <v>2878</v>
      </c>
      <c r="J136" t="s">
        <v>358</v>
      </c>
      <c r="K136" t="s">
        <v>74</v>
      </c>
      <c r="L136" t="s">
        <v>74</v>
      </c>
      <c r="M136" t="s">
        <v>79</v>
      </c>
      <c r="N136" t="s">
        <v>108</v>
      </c>
      <c r="O136" t="s">
        <v>74</v>
      </c>
      <c r="P136" t="s">
        <v>74</v>
      </c>
      <c r="Q136" t="s">
        <v>74</v>
      </c>
      <c r="R136" t="s">
        <v>74</v>
      </c>
      <c r="S136" t="s">
        <v>74</v>
      </c>
      <c r="T136" t="s">
        <v>2879</v>
      </c>
      <c r="U136" t="s">
        <v>2880</v>
      </c>
      <c r="V136" t="s">
        <v>2881</v>
      </c>
      <c r="W136" t="s">
        <v>2882</v>
      </c>
      <c r="X136" t="s">
        <v>2883</v>
      </c>
      <c r="Y136" t="s">
        <v>2884</v>
      </c>
      <c r="Z136" t="s">
        <v>2885</v>
      </c>
      <c r="AA136" t="s">
        <v>74</v>
      </c>
      <c r="AB136" t="s">
        <v>2886</v>
      </c>
      <c r="AC136" t="s">
        <v>74</v>
      </c>
      <c r="AD136" t="s">
        <v>74</v>
      </c>
      <c r="AE136" t="s">
        <v>74</v>
      </c>
      <c r="AF136" t="s">
        <v>74</v>
      </c>
      <c r="AG136">
        <v>69</v>
      </c>
      <c r="AH136">
        <v>2</v>
      </c>
      <c r="AI136">
        <v>2</v>
      </c>
      <c r="AJ136">
        <v>26</v>
      </c>
      <c r="AK136">
        <v>63</v>
      </c>
      <c r="AL136" t="s">
        <v>368</v>
      </c>
      <c r="AM136" t="s">
        <v>369</v>
      </c>
      <c r="AN136" t="s">
        <v>370</v>
      </c>
      <c r="AO136" t="s">
        <v>371</v>
      </c>
      <c r="AP136" t="s">
        <v>372</v>
      </c>
      <c r="AQ136" t="s">
        <v>74</v>
      </c>
      <c r="AR136" t="s">
        <v>373</v>
      </c>
      <c r="AS136" t="s">
        <v>374</v>
      </c>
      <c r="AT136" t="s">
        <v>2887</v>
      </c>
      <c r="AU136">
        <v>2023</v>
      </c>
      <c r="AV136">
        <v>8</v>
      </c>
      <c r="AW136">
        <v>1</v>
      </c>
      <c r="AX136" t="s">
        <v>74</v>
      </c>
      <c r="AY136" t="s">
        <v>74</v>
      </c>
      <c r="AZ136" t="s">
        <v>74</v>
      </c>
      <c r="BA136" t="s">
        <v>74</v>
      </c>
      <c r="BB136">
        <v>31</v>
      </c>
      <c r="BC136">
        <v>52</v>
      </c>
      <c r="BD136" t="s">
        <v>74</v>
      </c>
      <c r="BE136" t="s">
        <v>2888</v>
      </c>
      <c r="BF136" t="str">
        <f>HYPERLINK("http://dx.doi.org/10.1515/ijld-2023-2001","http://dx.doi.org/10.1515/ijld-2023-2001")</f>
        <v>http://dx.doi.org/10.1515/ijld-2023-2001</v>
      </c>
      <c r="BG136" t="s">
        <v>74</v>
      </c>
      <c r="BH136" t="s">
        <v>2889</v>
      </c>
      <c r="BI136">
        <v>22</v>
      </c>
      <c r="BJ136" t="s">
        <v>377</v>
      </c>
      <c r="BK136" t="s">
        <v>352</v>
      </c>
      <c r="BL136" t="s">
        <v>377</v>
      </c>
      <c r="BM136" t="s">
        <v>2890</v>
      </c>
      <c r="BN136" t="s">
        <v>74</v>
      </c>
      <c r="BO136" t="s">
        <v>74</v>
      </c>
      <c r="BP136" t="s">
        <v>74</v>
      </c>
      <c r="BQ136" t="s">
        <v>74</v>
      </c>
      <c r="BR136" t="s">
        <v>101</v>
      </c>
      <c r="BS136" t="s">
        <v>2891</v>
      </c>
      <c r="BT136" t="str">
        <f>HYPERLINK("https%3A%2F%2Fwww.webofscience.com%2Fwos%2Fwoscc%2Ffull-record%2FWOS:000988844300001","View Full Record in Web of Science")</f>
        <v>View Full Record in Web of Science</v>
      </c>
    </row>
    <row r="137" spans="1:72" x14ac:dyDescent="0.2">
      <c r="A137" t="s">
        <v>103</v>
      </c>
      <c r="B137" t="s">
        <v>2892</v>
      </c>
      <c r="C137" t="s">
        <v>74</v>
      </c>
      <c r="D137" t="s">
        <v>74</v>
      </c>
      <c r="E137" t="s">
        <v>74</v>
      </c>
      <c r="F137" t="s">
        <v>2893</v>
      </c>
      <c r="G137" t="s">
        <v>74</v>
      </c>
      <c r="H137" t="s">
        <v>74</v>
      </c>
      <c r="I137" t="s">
        <v>2894</v>
      </c>
      <c r="J137" t="s">
        <v>2895</v>
      </c>
      <c r="K137" t="s">
        <v>74</v>
      </c>
      <c r="L137" t="s">
        <v>74</v>
      </c>
      <c r="M137" t="s">
        <v>79</v>
      </c>
      <c r="N137" t="s">
        <v>108</v>
      </c>
      <c r="O137" t="s">
        <v>74</v>
      </c>
      <c r="P137" t="s">
        <v>74</v>
      </c>
      <c r="Q137" t="s">
        <v>74</v>
      </c>
      <c r="R137" t="s">
        <v>74</v>
      </c>
      <c r="S137" t="s">
        <v>74</v>
      </c>
      <c r="T137" t="s">
        <v>2896</v>
      </c>
      <c r="U137" t="s">
        <v>2897</v>
      </c>
      <c r="V137" t="s">
        <v>2898</v>
      </c>
      <c r="W137" t="s">
        <v>2899</v>
      </c>
      <c r="X137" t="s">
        <v>2900</v>
      </c>
      <c r="Y137" t="s">
        <v>2901</v>
      </c>
      <c r="Z137" t="s">
        <v>2902</v>
      </c>
      <c r="AA137" t="s">
        <v>2903</v>
      </c>
      <c r="AB137" t="s">
        <v>2904</v>
      </c>
      <c r="AC137" t="s">
        <v>74</v>
      </c>
      <c r="AD137" t="s">
        <v>74</v>
      </c>
      <c r="AE137" t="s">
        <v>74</v>
      </c>
      <c r="AF137" t="s">
        <v>74</v>
      </c>
      <c r="AG137">
        <v>98</v>
      </c>
      <c r="AH137">
        <v>0</v>
      </c>
      <c r="AI137">
        <v>0</v>
      </c>
      <c r="AJ137">
        <v>57</v>
      </c>
      <c r="AK137">
        <v>57</v>
      </c>
      <c r="AL137" t="s">
        <v>737</v>
      </c>
      <c r="AM137" t="s">
        <v>738</v>
      </c>
      <c r="AN137" t="s">
        <v>739</v>
      </c>
      <c r="AO137" t="s">
        <v>2905</v>
      </c>
      <c r="AP137" t="s">
        <v>2906</v>
      </c>
      <c r="AQ137" t="s">
        <v>74</v>
      </c>
      <c r="AR137" t="s">
        <v>2907</v>
      </c>
      <c r="AS137" t="s">
        <v>2908</v>
      </c>
      <c r="AT137" t="s">
        <v>2909</v>
      </c>
      <c r="AU137">
        <v>2023</v>
      </c>
      <c r="AV137">
        <v>40</v>
      </c>
      <c r="AW137">
        <v>9</v>
      </c>
      <c r="AX137" t="s">
        <v>74</v>
      </c>
      <c r="AY137" t="s">
        <v>74</v>
      </c>
      <c r="AZ137" t="s">
        <v>74</v>
      </c>
      <c r="BA137" t="s">
        <v>74</v>
      </c>
      <c r="BB137">
        <v>779</v>
      </c>
      <c r="BC137">
        <v>801</v>
      </c>
      <c r="BD137" t="s">
        <v>74</v>
      </c>
      <c r="BE137" t="s">
        <v>2910</v>
      </c>
      <c r="BF137" t="str">
        <f>HYPERLINK("http://dx.doi.org/10.1080/10548408.2023.2293006","http://dx.doi.org/10.1080/10548408.2023.2293006")</f>
        <v>http://dx.doi.org/10.1080/10548408.2023.2293006</v>
      </c>
      <c r="BG137" t="s">
        <v>74</v>
      </c>
      <c r="BH137" t="s">
        <v>74</v>
      </c>
      <c r="BI137">
        <v>23</v>
      </c>
      <c r="BJ137" t="s">
        <v>2911</v>
      </c>
      <c r="BK137" t="s">
        <v>159</v>
      </c>
      <c r="BL137" t="s">
        <v>618</v>
      </c>
      <c r="BM137" t="s">
        <v>2912</v>
      </c>
      <c r="BN137" t="s">
        <v>74</v>
      </c>
      <c r="BO137" t="s">
        <v>161</v>
      </c>
      <c r="BP137" t="s">
        <v>74</v>
      </c>
      <c r="BQ137" t="s">
        <v>74</v>
      </c>
      <c r="BR137" t="s">
        <v>101</v>
      </c>
      <c r="BS137" t="s">
        <v>2913</v>
      </c>
      <c r="BT137" t="str">
        <f>HYPERLINK("https%3A%2F%2Fwww.webofscience.com%2Fwos%2Fwoscc%2Ffull-record%2FWOS:001139050100001","View Full Record in Web of Science")</f>
        <v>View Full Record in Web of Science</v>
      </c>
    </row>
    <row r="138" spans="1:72" x14ac:dyDescent="0.2">
      <c r="A138" t="s">
        <v>72</v>
      </c>
      <c r="B138" t="s">
        <v>2914</v>
      </c>
      <c r="C138" t="s">
        <v>74</v>
      </c>
      <c r="D138" t="s">
        <v>74</v>
      </c>
      <c r="E138" t="s">
        <v>75</v>
      </c>
      <c r="F138" t="s">
        <v>2915</v>
      </c>
      <c r="G138" t="s">
        <v>74</v>
      </c>
      <c r="H138" t="s">
        <v>74</v>
      </c>
      <c r="I138" t="s">
        <v>2916</v>
      </c>
      <c r="J138" t="s">
        <v>1219</v>
      </c>
      <c r="K138" t="s">
        <v>74</v>
      </c>
      <c r="L138" t="s">
        <v>74</v>
      </c>
      <c r="M138" t="s">
        <v>79</v>
      </c>
      <c r="N138" t="s">
        <v>80</v>
      </c>
      <c r="O138" t="s">
        <v>1220</v>
      </c>
      <c r="P138" t="s">
        <v>1221</v>
      </c>
      <c r="Q138" t="s">
        <v>1222</v>
      </c>
      <c r="R138" t="s">
        <v>1223</v>
      </c>
      <c r="S138" t="s">
        <v>1224</v>
      </c>
      <c r="T138" t="s">
        <v>2917</v>
      </c>
      <c r="U138" t="s">
        <v>74</v>
      </c>
      <c r="V138" t="s">
        <v>2918</v>
      </c>
      <c r="W138" t="s">
        <v>2919</v>
      </c>
      <c r="X138" t="s">
        <v>2920</v>
      </c>
      <c r="Y138" t="s">
        <v>2921</v>
      </c>
      <c r="Z138" t="s">
        <v>2922</v>
      </c>
      <c r="AA138" t="s">
        <v>2923</v>
      </c>
      <c r="AB138" t="s">
        <v>2924</v>
      </c>
      <c r="AC138" t="s">
        <v>74</v>
      </c>
      <c r="AD138" t="s">
        <v>74</v>
      </c>
      <c r="AE138" t="s">
        <v>74</v>
      </c>
      <c r="AF138" t="s">
        <v>74</v>
      </c>
      <c r="AG138">
        <v>24</v>
      </c>
      <c r="AH138">
        <v>0</v>
      </c>
      <c r="AI138">
        <v>0</v>
      </c>
      <c r="AJ138">
        <v>12</v>
      </c>
      <c r="AK138">
        <v>12</v>
      </c>
      <c r="AL138" t="s">
        <v>92</v>
      </c>
      <c r="AM138" t="s">
        <v>93</v>
      </c>
      <c r="AN138" t="s">
        <v>94</v>
      </c>
      <c r="AO138" t="s">
        <v>74</v>
      </c>
      <c r="AP138" t="s">
        <v>74</v>
      </c>
      <c r="AQ138" t="s">
        <v>74</v>
      </c>
      <c r="AR138" t="s">
        <v>74</v>
      </c>
      <c r="AS138" t="s">
        <v>74</v>
      </c>
      <c r="AT138" t="s">
        <v>74</v>
      </c>
      <c r="AU138">
        <v>2023</v>
      </c>
      <c r="AV138" t="s">
        <v>74</v>
      </c>
      <c r="AW138" t="s">
        <v>74</v>
      </c>
      <c r="AX138" t="s">
        <v>74</v>
      </c>
      <c r="AY138" t="s">
        <v>74</v>
      </c>
      <c r="AZ138" t="s">
        <v>74</v>
      </c>
      <c r="BA138" t="s">
        <v>74</v>
      </c>
      <c r="BB138">
        <v>107</v>
      </c>
      <c r="BC138">
        <v>109</v>
      </c>
      <c r="BD138" t="s">
        <v>74</v>
      </c>
      <c r="BE138" t="s">
        <v>2925</v>
      </c>
      <c r="BF138" t="str">
        <f>HYPERLINK("http://dx.doi.org/10.1145/3563703.3591453","http://dx.doi.org/10.1145/3563703.3591453")</f>
        <v>http://dx.doi.org/10.1145/3563703.3591453</v>
      </c>
      <c r="BG138" t="s">
        <v>74</v>
      </c>
      <c r="BH138" t="s">
        <v>74</v>
      </c>
      <c r="BI138">
        <v>3</v>
      </c>
      <c r="BJ138" t="s">
        <v>1235</v>
      </c>
      <c r="BK138" t="s">
        <v>180</v>
      </c>
      <c r="BL138" t="s">
        <v>906</v>
      </c>
      <c r="BM138" t="s">
        <v>1236</v>
      </c>
      <c r="BN138" t="s">
        <v>74</v>
      </c>
      <c r="BO138" t="s">
        <v>1237</v>
      </c>
      <c r="BP138" t="s">
        <v>74</v>
      </c>
      <c r="BQ138" t="s">
        <v>74</v>
      </c>
      <c r="BR138" t="s">
        <v>101</v>
      </c>
      <c r="BS138" t="s">
        <v>2926</v>
      </c>
      <c r="BT138" t="str">
        <f>HYPERLINK("https%3A%2F%2Fwww.webofscience.com%2Fwos%2Fwoscc%2Ffull-record%2FWOS:001031537800025","View Full Record in Web of Science")</f>
        <v>View Full Record in Web of Science</v>
      </c>
    </row>
    <row r="139" spans="1:72" x14ac:dyDescent="0.2">
      <c r="A139" t="s">
        <v>72</v>
      </c>
      <c r="B139" t="s">
        <v>2927</v>
      </c>
      <c r="C139" t="s">
        <v>74</v>
      </c>
      <c r="D139" t="s">
        <v>1751</v>
      </c>
      <c r="E139" t="s">
        <v>74</v>
      </c>
      <c r="F139" t="s">
        <v>2928</v>
      </c>
      <c r="G139" t="s">
        <v>74</v>
      </c>
      <c r="H139" t="s">
        <v>74</v>
      </c>
      <c r="I139" t="s">
        <v>2929</v>
      </c>
      <c r="J139" t="s">
        <v>1754</v>
      </c>
      <c r="K139" t="s">
        <v>1755</v>
      </c>
      <c r="L139" t="s">
        <v>74</v>
      </c>
      <c r="M139" t="s">
        <v>79</v>
      </c>
      <c r="N139" t="s">
        <v>80</v>
      </c>
      <c r="O139" t="s">
        <v>1756</v>
      </c>
      <c r="P139" t="s">
        <v>1757</v>
      </c>
      <c r="Q139" t="s">
        <v>1758</v>
      </c>
      <c r="R139" t="s">
        <v>1759</v>
      </c>
      <c r="S139" t="s">
        <v>74</v>
      </c>
      <c r="T139" t="s">
        <v>2930</v>
      </c>
      <c r="U139" t="s">
        <v>74</v>
      </c>
      <c r="V139" t="s">
        <v>2931</v>
      </c>
      <c r="W139" t="s">
        <v>2932</v>
      </c>
      <c r="X139" t="s">
        <v>74</v>
      </c>
      <c r="Y139" t="s">
        <v>2933</v>
      </c>
      <c r="Z139" t="s">
        <v>2934</v>
      </c>
      <c r="AA139" t="s">
        <v>74</v>
      </c>
      <c r="AB139" t="s">
        <v>74</v>
      </c>
      <c r="AC139" t="s">
        <v>74</v>
      </c>
      <c r="AD139" t="s">
        <v>74</v>
      </c>
      <c r="AE139" t="s">
        <v>74</v>
      </c>
      <c r="AF139" t="s">
        <v>74</v>
      </c>
      <c r="AG139">
        <v>10</v>
      </c>
      <c r="AH139">
        <v>0</v>
      </c>
      <c r="AI139">
        <v>0</v>
      </c>
      <c r="AJ139">
        <v>13</v>
      </c>
      <c r="AK139">
        <v>13</v>
      </c>
      <c r="AL139" t="s">
        <v>1766</v>
      </c>
      <c r="AM139" t="s">
        <v>765</v>
      </c>
      <c r="AN139" t="s">
        <v>1767</v>
      </c>
      <c r="AO139" t="s">
        <v>1768</v>
      </c>
      <c r="AP139" t="s">
        <v>1769</v>
      </c>
      <c r="AQ139" t="s">
        <v>1770</v>
      </c>
      <c r="AR139" t="s">
        <v>1771</v>
      </c>
      <c r="AS139" t="s">
        <v>74</v>
      </c>
      <c r="AT139" t="s">
        <v>74</v>
      </c>
      <c r="AU139">
        <v>2023</v>
      </c>
      <c r="AV139">
        <v>368</v>
      </c>
      <c r="AW139" t="s">
        <v>74</v>
      </c>
      <c r="AX139" t="s">
        <v>74</v>
      </c>
      <c r="AY139" t="s">
        <v>74</v>
      </c>
      <c r="AZ139" t="s">
        <v>74</v>
      </c>
      <c r="BA139" t="s">
        <v>74</v>
      </c>
      <c r="BB139">
        <v>410</v>
      </c>
      <c r="BC139">
        <v>412</v>
      </c>
      <c r="BD139" t="s">
        <v>74</v>
      </c>
      <c r="BE139" t="s">
        <v>2935</v>
      </c>
      <c r="BF139" t="str">
        <f>HYPERLINK("http://dx.doi.org/10.3233/FAIA230113","http://dx.doi.org/10.3233/FAIA230113")</f>
        <v>http://dx.doi.org/10.3233/FAIA230113</v>
      </c>
      <c r="BG139" t="s">
        <v>74</v>
      </c>
      <c r="BH139" t="s">
        <v>74</v>
      </c>
      <c r="BI139">
        <v>3</v>
      </c>
      <c r="BJ139" t="s">
        <v>304</v>
      </c>
      <c r="BK139" t="s">
        <v>98</v>
      </c>
      <c r="BL139" t="s">
        <v>99</v>
      </c>
      <c r="BM139" t="s">
        <v>1773</v>
      </c>
      <c r="BN139" t="s">
        <v>74</v>
      </c>
      <c r="BO139" t="s">
        <v>161</v>
      </c>
      <c r="BP139" t="s">
        <v>74</v>
      </c>
      <c r="BQ139" t="s">
        <v>74</v>
      </c>
      <c r="BR139" t="s">
        <v>101</v>
      </c>
      <c r="BS139" t="s">
        <v>2936</v>
      </c>
      <c r="BT139" t="str">
        <f>HYPERLINK("https%3A%2F%2Fwww.webofscience.com%2Fwos%2Fwoscc%2Ffull-record%2FWOS:001150361600042","View Full Record in Web of Science")</f>
        <v>View Full Record in Web of Science</v>
      </c>
    </row>
    <row r="140" spans="1:72" x14ac:dyDescent="0.2">
      <c r="A140" t="s">
        <v>103</v>
      </c>
      <c r="B140" t="s">
        <v>2937</v>
      </c>
      <c r="C140" t="s">
        <v>74</v>
      </c>
      <c r="D140" t="s">
        <v>74</v>
      </c>
      <c r="E140" t="s">
        <v>74</v>
      </c>
      <c r="F140" t="s">
        <v>2938</v>
      </c>
      <c r="G140" t="s">
        <v>74</v>
      </c>
      <c r="H140" t="s">
        <v>74</v>
      </c>
      <c r="I140" t="s">
        <v>2939</v>
      </c>
      <c r="J140" t="s">
        <v>2940</v>
      </c>
      <c r="K140" t="s">
        <v>74</v>
      </c>
      <c r="L140" t="s">
        <v>74</v>
      </c>
      <c r="M140" t="s">
        <v>79</v>
      </c>
      <c r="N140" t="s">
        <v>108</v>
      </c>
      <c r="O140" t="s">
        <v>74</v>
      </c>
      <c r="P140" t="s">
        <v>74</v>
      </c>
      <c r="Q140" t="s">
        <v>74</v>
      </c>
      <c r="R140" t="s">
        <v>74</v>
      </c>
      <c r="S140" t="s">
        <v>74</v>
      </c>
      <c r="T140" t="s">
        <v>2941</v>
      </c>
      <c r="U140" t="s">
        <v>74</v>
      </c>
      <c r="V140" t="s">
        <v>2942</v>
      </c>
      <c r="W140" t="s">
        <v>2943</v>
      </c>
      <c r="X140" t="s">
        <v>2944</v>
      </c>
      <c r="Y140" t="s">
        <v>2945</v>
      </c>
      <c r="Z140" t="s">
        <v>2946</v>
      </c>
      <c r="AA140" t="s">
        <v>2947</v>
      </c>
      <c r="AB140" t="s">
        <v>2948</v>
      </c>
      <c r="AC140" t="s">
        <v>2949</v>
      </c>
      <c r="AD140" t="s">
        <v>2949</v>
      </c>
      <c r="AE140" t="s">
        <v>2950</v>
      </c>
      <c r="AF140" t="s">
        <v>74</v>
      </c>
      <c r="AG140">
        <v>50</v>
      </c>
      <c r="AH140">
        <v>13</v>
      </c>
      <c r="AI140">
        <v>14</v>
      </c>
      <c r="AJ140">
        <v>188</v>
      </c>
      <c r="AK140">
        <v>188</v>
      </c>
      <c r="AL140" t="s">
        <v>939</v>
      </c>
      <c r="AM140" t="s">
        <v>940</v>
      </c>
      <c r="AN140" t="s">
        <v>941</v>
      </c>
      <c r="AO140" t="s">
        <v>74</v>
      </c>
      <c r="AP140" t="s">
        <v>2951</v>
      </c>
      <c r="AQ140" t="s">
        <v>74</v>
      </c>
      <c r="AR140" t="s">
        <v>2952</v>
      </c>
      <c r="AS140" t="s">
        <v>2953</v>
      </c>
      <c r="AT140" t="s">
        <v>771</v>
      </c>
      <c r="AU140">
        <v>2023</v>
      </c>
      <c r="AV140">
        <v>13</v>
      </c>
      <c r="AW140">
        <v>9</v>
      </c>
      <c r="AX140" t="s">
        <v>74</v>
      </c>
      <c r="AY140" t="s">
        <v>74</v>
      </c>
      <c r="AZ140" t="s">
        <v>74</v>
      </c>
      <c r="BA140" t="s">
        <v>74</v>
      </c>
      <c r="BB140" t="s">
        <v>74</v>
      </c>
      <c r="BC140" t="s">
        <v>74</v>
      </c>
      <c r="BD140">
        <v>856</v>
      </c>
      <c r="BE140" t="s">
        <v>2954</v>
      </c>
      <c r="BF140" t="str">
        <f>HYPERLINK("http://dx.doi.org/10.3390/educsci13090856","http://dx.doi.org/10.3390/educsci13090856")</f>
        <v>http://dx.doi.org/10.3390/educsci13090856</v>
      </c>
      <c r="BG140" t="s">
        <v>74</v>
      </c>
      <c r="BH140" t="s">
        <v>74</v>
      </c>
      <c r="BI140">
        <v>18</v>
      </c>
      <c r="BJ140" t="s">
        <v>423</v>
      </c>
      <c r="BK140" t="s">
        <v>352</v>
      </c>
      <c r="BL140" t="s">
        <v>423</v>
      </c>
      <c r="BM140" t="s">
        <v>2955</v>
      </c>
      <c r="BN140" t="s">
        <v>74</v>
      </c>
      <c r="BO140" t="s">
        <v>2956</v>
      </c>
      <c r="BP140" t="s">
        <v>74</v>
      </c>
      <c r="BQ140" t="s">
        <v>74</v>
      </c>
      <c r="BR140" t="s">
        <v>101</v>
      </c>
      <c r="BS140" t="s">
        <v>2957</v>
      </c>
      <c r="BT140" t="str">
        <f>HYPERLINK("https%3A%2F%2Fwww.webofscience.com%2Fwos%2Fwoscc%2Ffull-record%2FWOS:001073221500001","View Full Record in Web of Science")</f>
        <v>View Full Record in Web of Science</v>
      </c>
    </row>
    <row r="141" spans="1:72" x14ac:dyDescent="0.2">
      <c r="A141" t="s">
        <v>72</v>
      </c>
      <c r="B141" t="s">
        <v>2958</v>
      </c>
      <c r="C141" t="s">
        <v>74</v>
      </c>
      <c r="D141" t="s">
        <v>74</v>
      </c>
      <c r="E141" t="s">
        <v>75</v>
      </c>
      <c r="F141" t="s">
        <v>2959</v>
      </c>
      <c r="G141" t="s">
        <v>74</v>
      </c>
      <c r="H141" t="s">
        <v>74</v>
      </c>
      <c r="I141" t="s">
        <v>2960</v>
      </c>
      <c r="J141" t="s">
        <v>2961</v>
      </c>
      <c r="K141" t="s">
        <v>74</v>
      </c>
      <c r="L141" t="s">
        <v>74</v>
      </c>
      <c r="M141" t="s">
        <v>79</v>
      </c>
      <c r="N141" t="s">
        <v>80</v>
      </c>
      <c r="O141" t="s">
        <v>2962</v>
      </c>
      <c r="P141" t="s">
        <v>2963</v>
      </c>
      <c r="Q141" t="s">
        <v>2964</v>
      </c>
      <c r="R141" t="s">
        <v>2965</v>
      </c>
      <c r="S141" t="s">
        <v>74</v>
      </c>
      <c r="T141" t="s">
        <v>74</v>
      </c>
      <c r="U141" t="s">
        <v>74</v>
      </c>
      <c r="V141" t="s">
        <v>2966</v>
      </c>
      <c r="W141" t="s">
        <v>2967</v>
      </c>
      <c r="X141" t="s">
        <v>2968</v>
      </c>
      <c r="Y141" t="s">
        <v>2969</v>
      </c>
      <c r="Z141" t="s">
        <v>74</v>
      </c>
      <c r="AA141" t="s">
        <v>2970</v>
      </c>
      <c r="AB141" t="s">
        <v>2971</v>
      </c>
      <c r="AC141" t="s">
        <v>74</v>
      </c>
      <c r="AD141" t="s">
        <v>74</v>
      </c>
      <c r="AE141" t="s">
        <v>74</v>
      </c>
      <c r="AF141" t="s">
        <v>74</v>
      </c>
      <c r="AG141">
        <v>21</v>
      </c>
      <c r="AH141">
        <v>2</v>
      </c>
      <c r="AI141">
        <v>2</v>
      </c>
      <c r="AJ141">
        <v>3</v>
      </c>
      <c r="AK141">
        <v>4</v>
      </c>
      <c r="AL141" t="s">
        <v>92</v>
      </c>
      <c r="AM141" t="s">
        <v>93</v>
      </c>
      <c r="AN141" t="s">
        <v>94</v>
      </c>
      <c r="AO141" t="s">
        <v>74</v>
      </c>
      <c r="AP141" t="s">
        <v>74</v>
      </c>
      <c r="AQ141" t="s">
        <v>2972</v>
      </c>
      <c r="AR141" t="s">
        <v>74</v>
      </c>
      <c r="AS141" t="s">
        <v>74</v>
      </c>
      <c r="AT141" t="s">
        <v>74</v>
      </c>
      <c r="AU141">
        <v>2023</v>
      </c>
      <c r="AV141" t="s">
        <v>74</v>
      </c>
      <c r="AW141" t="s">
        <v>74</v>
      </c>
      <c r="AX141" t="s">
        <v>74</v>
      </c>
      <c r="AY141" t="s">
        <v>74</v>
      </c>
      <c r="AZ141" t="s">
        <v>74</v>
      </c>
      <c r="BA141" t="s">
        <v>74</v>
      </c>
      <c r="BB141">
        <v>94</v>
      </c>
      <c r="BC141">
        <v>98</v>
      </c>
      <c r="BD141" t="s">
        <v>74</v>
      </c>
      <c r="BE141" t="s">
        <v>2973</v>
      </c>
      <c r="BF141" t="str">
        <f>HYPERLINK("http://dx.doi.org/10.1145/3543873.3587321","http://dx.doi.org/10.1145/3543873.3587321")</f>
        <v>http://dx.doi.org/10.1145/3543873.3587321</v>
      </c>
      <c r="BG141" t="s">
        <v>74</v>
      </c>
      <c r="BH141" t="s">
        <v>74</v>
      </c>
      <c r="BI141">
        <v>5</v>
      </c>
      <c r="BJ141" t="s">
        <v>1069</v>
      </c>
      <c r="BK141" t="s">
        <v>98</v>
      </c>
      <c r="BL141" t="s">
        <v>99</v>
      </c>
      <c r="BM141" t="s">
        <v>2974</v>
      </c>
      <c r="BN141" t="s">
        <v>74</v>
      </c>
      <c r="BO141" t="s">
        <v>646</v>
      </c>
      <c r="BP141" t="s">
        <v>74</v>
      </c>
      <c r="BQ141" t="s">
        <v>74</v>
      </c>
      <c r="BR141" t="s">
        <v>101</v>
      </c>
      <c r="BS141" t="s">
        <v>2975</v>
      </c>
      <c r="BT141" t="str">
        <f>HYPERLINK("https%3A%2F%2Fwww.webofscience.com%2Fwos%2Fwoscc%2Ffull-record%2FWOS:001124276300023","View Full Record in Web of Science")</f>
        <v>View Full Record in Web of Science</v>
      </c>
    </row>
    <row r="142" spans="1:72" x14ac:dyDescent="0.2">
      <c r="A142" t="s">
        <v>103</v>
      </c>
      <c r="B142" t="s">
        <v>2976</v>
      </c>
      <c r="C142" t="s">
        <v>74</v>
      </c>
      <c r="D142" t="s">
        <v>74</v>
      </c>
      <c r="E142" t="s">
        <v>74</v>
      </c>
      <c r="F142" t="s">
        <v>2977</v>
      </c>
      <c r="G142" t="s">
        <v>74</v>
      </c>
      <c r="H142" t="s">
        <v>74</v>
      </c>
      <c r="I142" t="s">
        <v>2978</v>
      </c>
      <c r="J142" t="s">
        <v>2979</v>
      </c>
      <c r="K142" t="s">
        <v>74</v>
      </c>
      <c r="L142" t="s">
        <v>74</v>
      </c>
      <c r="M142" t="s">
        <v>79</v>
      </c>
      <c r="N142" t="s">
        <v>108</v>
      </c>
      <c r="O142" t="s">
        <v>74</v>
      </c>
      <c r="P142" t="s">
        <v>74</v>
      </c>
      <c r="Q142" t="s">
        <v>74</v>
      </c>
      <c r="R142" t="s">
        <v>74</v>
      </c>
      <c r="S142" t="s">
        <v>74</v>
      </c>
      <c r="T142" t="s">
        <v>2980</v>
      </c>
      <c r="U142" t="s">
        <v>2981</v>
      </c>
      <c r="V142" t="s">
        <v>2982</v>
      </c>
      <c r="W142" t="s">
        <v>2983</v>
      </c>
      <c r="X142" t="s">
        <v>2984</v>
      </c>
      <c r="Y142" t="s">
        <v>2985</v>
      </c>
      <c r="Z142" t="s">
        <v>2986</v>
      </c>
      <c r="AA142" t="s">
        <v>74</v>
      </c>
      <c r="AB142" t="s">
        <v>2987</v>
      </c>
      <c r="AC142" t="s">
        <v>74</v>
      </c>
      <c r="AD142" t="s">
        <v>74</v>
      </c>
      <c r="AE142" t="s">
        <v>74</v>
      </c>
      <c r="AF142" t="s">
        <v>74</v>
      </c>
      <c r="AG142">
        <v>52</v>
      </c>
      <c r="AH142">
        <v>0</v>
      </c>
      <c r="AI142">
        <v>0</v>
      </c>
      <c r="AJ142">
        <v>10</v>
      </c>
      <c r="AK142">
        <v>10</v>
      </c>
      <c r="AL142" t="s">
        <v>939</v>
      </c>
      <c r="AM142" t="s">
        <v>940</v>
      </c>
      <c r="AN142" t="s">
        <v>941</v>
      </c>
      <c r="AO142" t="s">
        <v>74</v>
      </c>
      <c r="AP142" t="s">
        <v>2988</v>
      </c>
      <c r="AQ142" t="s">
        <v>74</v>
      </c>
      <c r="AR142" t="s">
        <v>2979</v>
      </c>
      <c r="AS142" t="s">
        <v>2989</v>
      </c>
      <c r="AT142" t="s">
        <v>771</v>
      </c>
      <c r="AU142">
        <v>2023</v>
      </c>
      <c r="AV142">
        <v>11</v>
      </c>
      <c r="AW142">
        <v>3</v>
      </c>
      <c r="AX142" t="s">
        <v>74</v>
      </c>
      <c r="AY142" t="s">
        <v>74</v>
      </c>
      <c r="AZ142" t="s">
        <v>74</v>
      </c>
      <c r="BA142" t="s">
        <v>74</v>
      </c>
      <c r="BB142" t="s">
        <v>74</v>
      </c>
      <c r="BC142" t="s">
        <v>74</v>
      </c>
      <c r="BD142">
        <v>45</v>
      </c>
      <c r="BE142" t="s">
        <v>2990</v>
      </c>
      <c r="BF142" t="str">
        <f>HYPERLINK("http://dx.doi.org/10.3390/publications11030045","http://dx.doi.org/10.3390/publications11030045")</f>
        <v>http://dx.doi.org/10.3390/publications11030045</v>
      </c>
      <c r="BG142" t="s">
        <v>74</v>
      </c>
      <c r="BH142" t="s">
        <v>74</v>
      </c>
      <c r="BI142">
        <v>6</v>
      </c>
      <c r="BJ142" t="s">
        <v>1016</v>
      </c>
      <c r="BK142" t="s">
        <v>352</v>
      </c>
      <c r="BL142" t="s">
        <v>1016</v>
      </c>
      <c r="BM142" t="s">
        <v>2991</v>
      </c>
      <c r="BN142" t="s">
        <v>74</v>
      </c>
      <c r="BO142" t="s">
        <v>1071</v>
      </c>
      <c r="BP142" t="s">
        <v>74</v>
      </c>
      <c r="BQ142" t="s">
        <v>74</v>
      </c>
      <c r="BR142" t="s">
        <v>101</v>
      </c>
      <c r="BS142" t="s">
        <v>2992</v>
      </c>
      <c r="BT142" t="str">
        <f>HYPERLINK("https%3A%2F%2Fwww.webofscience.com%2Fwos%2Fwoscc%2Ffull-record%2FWOS:001074493700001","View Full Record in Web of Science")</f>
        <v>View Full Record in Web of Science</v>
      </c>
    </row>
    <row r="143" spans="1:72" x14ac:dyDescent="0.2">
      <c r="A143" t="s">
        <v>72</v>
      </c>
      <c r="B143" t="s">
        <v>2993</v>
      </c>
      <c r="C143" t="s">
        <v>74</v>
      </c>
      <c r="D143" t="s">
        <v>74</v>
      </c>
      <c r="E143" t="s">
        <v>284</v>
      </c>
      <c r="F143" t="s">
        <v>2994</v>
      </c>
      <c r="G143" t="s">
        <v>74</v>
      </c>
      <c r="H143" t="s">
        <v>74</v>
      </c>
      <c r="I143" t="s">
        <v>2995</v>
      </c>
      <c r="J143" t="s">
        <v>2996</v>
      </c>
      <c r="K143" t="s">
        <v>2997</v>
      </c>
      <c r="L143" t="s">
        <v>74</v>
      </c>
      <c r="M143" t="s">
        <v>79</v>
      </c>
      <c r="N143" t="s">
        <v>80</v>
      </c>
      <c r="O143" t="s">
        <v>2787</v>
      </c>
      <c r="P143" t="s">
        <v>2788</v>
      </c>
      <c r="Q143" t="s">
        <v>2789</v>
      </c>
      <c r="R143" t="s">
        <v>74</v>
      </c>
      <c r="S143" t="s">
        <v>74</v>
      </c>
      <c r="T143" t="s">
        <v>2998</v>
      </c>
      <c r="U143" t="s">
        <v>2999</v>
      </c>
      <c r="V143" t="s">
        <v>3000</v>
      </c>
      <c r="W143" t="s">
        <v>3001</v>
      </c>
      <c r="X143" t="s">
        <v>3002</v>
      </c>
      <c r="Y143" t="s">
        <v>3003</v>
      </c>
      <c r="Z143" t="s">
        <v>3004</v>
      </c>
      <c r="AA143" t="s">
        <v>74</v>
      </c>
      <c r="AB143" t="s">
        <v>74</v>
      </c>
      <c r="AC143" t="s">
        <v>3005</v>
      </c>
      <c r="AD143" t="s">
        <v>3006</v>
      </c>
      <c r="AE143" t="s">
        <v>3007</v>
      </c>
      <c r="AF143" t="s">
        <v>74</v>
      </c>
      <c r="AG143">
        <v>44</v>
      </c>
      <c r="AH143">
        <v>0</v>
      </c>
      <c r="AI143">
        <v>0</v>
      </c>
      <c r="AJ143">
        <v>6</v>
      </c>
      <c r="AK143">
        <v>6</v>
      </c>
      <c r="AL143" t="s">
        <v>284</v>
      </c>
      <c r="AM143" t="s">
        <v>93</v>
      </c>
      <c r="AN143" t="s">
        <v>299</v>
      </c>
      <c r="AO143" t="s">
        <v>3008</v>
      </c>
      <c r="AP143" t="s">
        <v>74</v>
      </c>
      <c r="AQ143" t="s">
        <v>3009</v>
      </c>
      <c r="AR143" t="s">
        <v>3010</v>
      </c>
      <c r="AS143" t="s">
        <v>74</v>
      </c>
      <c r="AT143" t="s">
        <v>74</v>
      </c>
      <c r="AU143">
        <v>2023</v>
      </c>
      <c r="AV143" t="s">
        <v>74</v>
      </c>
      <c r="AW143" t="s">
        <v>74</v>
      </c>
      <c r="AX143" t="s">
        <v>74</v>
      </c>
      <c r="AY143" t="s">
        <v>74</v>
      </c>
      <c r="AZ143" t="s">
        <v>74</v>
      </c>
      <c r="BA143" t="s">
        <v>74</v>
      </c>
      <c r="BB143" t="s">
        <v>74</v>
      </c>
      <c r="BC143" t="s">
        <v>74</v>
      </c>
      <c r="BD143" t="s">
        <v>74</v>
      </c>
      <c r="BE143" t="s">
        <v>3011</v>
      </c>
      <c r="BF143" t="str">
        <f>HYPERLINK("http://dx.doi.org/10.1109/ACIIW59127.2023.10388166","http://dx.doi.org/10.1109/ACIIW59127.2023.10388166")</f>
        <v>http://dx.doi.org/10.1109/ACIIW59127.2023.10388166</v>
      </c>
      <c r="BG143" t="s">
        <v>74</v>
      </c>
      <c r="BH143" t="s">
        <v>74</v>
      </c>
      <c r="BI143">
        <v>8</v>
      </c>
      <c r="BJ143" t="s">
        <v>3012</v>
      </c>
      <c r="BK143" t="s">
        <v>98</v>
      </c>
      <c r="BL143" t="s">
        <v>99</v>
      </c>
      <c r="BM143" t="s">
        <v>3013</v>
      </c>
      <c r="BN143" t="s">
        <v>74</v>
      </c>
      <c r="BO143" t="s">
        <v>74</v>
      </c>
      <c r="BP143" t="s">
        <v>74</v>
      </c>
      <c r="BQ143" t="s">
        <v>74</v>
      </c>
      <c r="BR143" t="s">
        <v>101</v>
      </c>
      <c r="BS143" t="s">
        <v>3014</v>
      </c>
      <c r="BT143" t="str">
        <f>HYPERLINK("https%3A%2F%2Fwww.webofscience.com%2Fwos%2Fwoscc%2Ffull-record%2FWOS:001161369900031","View Full Record in Web of Science")</f>
        <v>View Full Record in Web of Science</v>
      </c>
    </row>
    <row r="144" spans="1:72" x14ac:dyDescent="0.2">
      <c r="A144" t="s">
        <v>103</v>
      </c>
      <c r="B144" t="s">
        <v>3015</v>
      </c>
      <c r="C144" t="s">
        <v>74</v>
      </c>
      <c r="D144" t="s">
        <v>74</v>
      </c>
      <c r="E144" t="s">
        <v>74</v>
      </c>
      <c r="F144" t="s">
        <v>3016</v>
      </c>
      <c r="G144" t="s">
        <v>74</v>
      </c>
      <c r="H144" t="s">
        <v>74</v>
      </c>
      <c r="I144" t="s">
        <v>3017</v>
      </c>
      <c r="J144" t="s">
        <v>1677</v>
      </c>
      <c r="K144" t="s">
        <v>74</v>
      </c>
      <c r="L144" t="s">
        <v>74</v>
      </c>
      <c r="M144" t="s">
        <v>79</v>
      </c>
      <c r="N144" t="s">
        <v>108</v>
      </c>
      <c r="O144" t="s">
        <v>74</v>
      </c>
      <c r="P144" t="s">
        <v>74</v>
      </c>
      <c r="Q144" t="s">
        <v>74</v>
      </c>
      <c r="R144" t="s">
        <v>74</v>
      </c>
      <c r="S144" t="s">
        <v>74</v>
      </c>
      <c r="T144" t="s">
        <v>3018</v>
      </c>
      <c r="U144" t="s">
        <v>74</v>
      </c>
      <c r="V144" t="s">
        <v>3019</v>
      </c>
      <c r="W144" t="s">
        <v>3020</v>
      </c>
      <c r="X144" t="s">
        <v>3021</v>
      </c>
      <c r="Y144" t="s">
        <v>3022</v>
      </c>
      <c r="Z144" t="s">
        <v>3023</v>
      </c>
      <c r="AA144" t="s">
        <v>3024</v>
      </c>
      <c r="AB144" t="s">
        <v>74</v>
      </c>
      <c r="AC144" t="s">
        <v>74</v>
      </c>
      <c r="AD144" t="s">
        <v>74</v>
      </c>
      <c r="AE144" t="s">
        <v>74</v>
      </c>
      <c r="AF144" t="s">
        <v>74</v>
      </c>
      <c r="AG144">
        <v>37</v>
      </c>
      <c r="AH144">
        <v>12</v>
      </c>
      <c r="AI144">
        <v>12</v>
      </c>
      <c r="AJ144">
        <v>108</v>
      </c>
      <c r="AK144">
        <v>191</v>
      </c>
      <c r="AL144" t="s">
        <v>270</v>
      </c>
      <c r="AM144" t="s">
        <v>120</v>
      </c>
      <c r="AN144" t="s">
        <v>271</v>
      </c>
      <c r="AO144" t="s">
        <v>1686</v>
      </c>
      <c r="AP144" t="s">
        <v>1687</v>
      </c>
      <c r="AQ144" t="s">
        <v>74</v>
      </c>
      <c r="AR144" t="s">
        <v>1688</v>
      </c>
      <c r="AS144" t="s">
        <v>1689</v>
      </c>
      <c r="AT144" t="s">
        <v>615</v>
      </c>
      <c r="AU144">
        <v>2023</v>
      </c>
      <c r="AV144">
        <v>21</v>
      </c>
      <c r="AW144">
        <v>2</v>
      </c>
      <c r="AX144" t="s">
        <v>74</v>
      </c>
      <c r="AY144" t="s">
        <v>74</v>
      </c>
      <c r="AZ144" t="s">
        <v>74</v>
      </c>
      <c r="BA144" t="s">
        <v>74</v>
      </c>
      <c r="BB144" t="s">
        <v>74</v>
      </c>
      <c r="BC144" t="s">
        <v>74</v>
      </c>
      <c r="BD144">
        <v>100822</v>
      </c>
      <c r="BE144" t="s">
        <v>3025</v>
      </c>
      <c r="BF144" t="str">
        <f>HYPERLINK("http://dx.doi.org/10.1016/j.ijme.2023.100822","http://dx.doi.org/10.1016/j.ijme.2023.100822")</f>
        <v>http://dx.doi.org/10.1016/j.ijme.2023.100822</v>
      </c>
      <c r="BG144" t="s">
        <v>74</v>
      </c>
      <c r="BH144" t="s">
        <v>2889</v>
      </c>
      <c r="BI144">
        <v>13</v>
      </c>
      <c r="BJ144" t="s">
        <v>1691</v>
      </c>
      <c r="BK144" t="s">
        <v>159</v>
      </c>
      <c r="BL144" t="s">
        <v>1692</v>
      </c>
      <c r="BM144" t="s">
        <v>3026</v>
      </c>
      <c r="BN144" t="s">
        <v>74</v>
      </c>
      <c r="BO144" t="s">
        <v>74</v>
      </c>
      <c r="BP144" t="s">
        <v>74</v>
      </c>
      <c r="BQ144" t="s">
        <v>74</v>
      </c>
      <c r="BR144" t="s">
        <v>101</v>
      </c>
      <c r="BS144" t="s">
        <v>3027</v>
      </c>
      <c r="BT144" t="str">
        <f>HYPERLINK("https%3A%2F%2Fwww.webofscience.com%2Fwos%2Fwoscc%2Ffull-record%2FWOS:001013397700001","View Full Record in Web of Science")</f>
        <v>View Full Record in Web of Science</v>
      </c>
    </row>
    <row r="145" spans="1:72" x14ac:dyDescent="0.2">
      <c r="A145" t="s">
        <v>103</v>
      </c>
      <c r="B145" t="s">
        <v>3028</v>
      </c>
      <c r="C145" t="s">
        <v>74</v>
      </c>
      <c r="D145" t="s">
        <v>74</v>
      </c>
      <c r="E145" t="s">
        <v>74</v>
      </c>
      <c r="F145" t="s">
        <v>3029</v>
      </c>
      <c r="G145" t="s">
        <v>74</v>
      </c>
      <c r="H145" t="s">
        <v>74</v>
      </c>
      <c r="I145" t="s">
        <v>3030</v>
      </c>
      <c r="J145" t="s">
        <v>3031</v>
      </c>
      <c r="K145" t="s">
        <v>74</v>
      </c>
      <c r="L145" t="s">
        <v>74</v>
      </c>
      <c r="M145" t="s">
        <v>79</v>
      </c>
      <c r="N145" t="s">
        <v>138</v>
      </c>
      <c r="O145" t="s">
        <v>74</v>
      </c>
      <c r="P145" t="s">
        <v>74</v>
      </c>
      <c r="Q145" t="s">
        <v>74</v>
      </c>
      <c r="R145" t="s">
        <v>74</v>
      </c>
      <c r="S145" t="s">
        <v>74</v>
      </c>
      <c r="T145" t="s">
        <v>3032</v>
      </c>
      <c r="U145" t="s">
        <v>3033</v>
      </c>
      <c r="V145" t="s">
        <v>3034</v>
      </c>
      <c r="W145" t="s">
        <v>3035</v>
      </c>
      <c r="X145" t="s">
        <v>3036</v>
      </c>
      <c r="Y145" t="s">
        <v>2901</v>
      </c>
      <c r="Z145" t="s">
        <v>2902</v>
      </c>
      <c r="AA145" t="s">
        <v>3037</v>
      </c>
      <c r="AB145" t="s">
        <v>3038</v>
      </c>
      <c r="AC145" t="s">
        <v>74</v>
      </c>
      <c r="AD145" t="s">
        <v>74</v>
      </c>
      <c r="AE145" t="s">
        <v>74</v>
      </c>
      <c r="AF145" t="s">
        <v>74</v>
      </c>
      <c r="AG145">
        <v>95</v>
      </c>
      <c r="AH145">
        <v>1</v>
      </c>
      <c r="AI145">
        <v>1</v>
      </c>
      <c r="AJ145">
        <v>80</v>
      </c>
      <c r="AK145">
        <v>80</v>
      </c>
      <c r="AL145" t="s">
        <v>438</v>
      </c>
      <c r="AM145" t="s">
        <v>439</v>
      </c>
      <c r="AN145" t="s">
        <v>440</v>
      </c>
      <c r="AO145" t="s">
        <v>3039</v>
      </c>
      <c r="AP145" t="s">
        <v>3040</v>
      </c>
      <c r="AQ145" t="s">
        <v>74</v>
      </c>
      <c r="AR145" t="s">
        <v>3041</v>
      </c>
      <c r="AS145" t="s">
        <v>3042</v>
      </c>
      <c r="AT145" t="s">
        <v>155</v>
      </c>
      <c r="AU145">
        <v>2023</v>
      </c>
      <c r="AV145" t="s">
        <v>74</v>
      </c>
      <c r="AW145" t="s">
        <v>74</v>
      </c>
      <c r="AX145" t="s">
        <v>74</v>
      </c>
      <c r="AY145" t="s">
        <v>74</v>
      </c>
      <c r="AZ145" t="s">
        <v>74</v>
      </c>
      <c r="BA145" t="s">
        <v>74</v>
      </c>
      <c r="BB145" t="s">
        <v>74</v>
      </c>
      <c r="BC145" t="s">
        <v>74</v>
      </c>
      <c r="BD145" t="s">
        <v>74</v>
      </c>
      <c r="BE145" t="s">
        <v>3043</v>
      </c>
      <c r="BF145" t="str">
        <f>HYPERLINK("http://dx.doi.org/10.1177/00472875231212996","http://dx.doi.org/10.1177/00472875231212996")</f>
        <v>http://dx.doi.org/10.1177/00472875231212996</v>
      </c>
      <c r="BG145" t="s">
        <v>74</v>
      </c>
      <c r="BH145" t="s">
        <v>157</v>
      </c>
      <c r="BI145">
        <v>23</v>
      </c>
      <c r="BJ145" t="s">
        <v>2911</v>
      </c>
      <c r="BK145" t="s">
        <v>159</v>
      </c>
      <c r="BL145" t="s">
        <v>618</v>
      </c>
      <c r="BM145" t="s">
        <v>3044</v>
      </c>
      <c r="BN145" t="s">
        <v>74</v>
      </c>
      <c r="BO145" t="s">
        <v>74</v>
      </c>
      <c r="BP145" t="s">
        <v>74</v>
      </c>
      <c r="BQ145" t="s">
        <v>74</v>
      </c>
      <c r="BR145" t="s">
        <v>101</v>
      </c>
      <c r="BS145" t="s">
        <v>3045</v>
      </c>
      <c r="BT145" t="str">
        <f>HYPERLINK("https%3A%2F%2Fwww.webofscience.com%2Fwos%2Fwoscc%2Ffull-record%2FWOS:001111329500001","View Full Record in Web of Science")</f>
        <v>View Full Record in Web of Science</v>
      </c>
    </row>
    <row r="146" spans="1:72" x14ac:dyDescent="0.2">
      <c r="A146" t="s">
        <v>103</v>
      </c>
      <c r="B146" t="s">
        <v>3046</v>
      </c>
      <c r="C146" t="s">
        <v>74</v>
      </c>
      <c r="D146" t="s">
        <v>74</v>
      </c>
      <c r="E146" t="s">
        <v>74</v>
      </c>
      <c r="F146" t="s">
        <v>3047</v>
      </c>
      <c r="G146" t="s">
        <v>74</v>
      </c>
      <c r="H146" t="s">
        <v>74</v>
      </c>
      <c r="I146" t="s">
        <v>3048</v>
      </c>
      <c r="J146" t="s">
        <v>3049</v>
      </c>
      <c r="K146" t="s">
        <v>74</v>
      </c>
      <c r="L146" t="s">
        <v>74</v>
      </c>
      <c r="M146" t="s">
        <v>79</v>
      </c>
      <c r="N146" t="s">
        <v>108</v>
      </c>
      <c r="O146" t="s">
        <v>74</v>
      </c>
      <c r="P146" t="s">
        <v>74</v>
      </c>
      <c r="Q146" t="s">
        <v>74</v>
      </c>
      <c r="R146" t="s">
        <v>74</v>
      </c>
      <c r="S146" t="s">
        <v>74</v>
      </c>
      <c r="T146" t="s">
        <v>3050</v>
      </c>
      <c r="U146" t="s">
        <v>74</v>
      </c>
      <c r="V146" t="s">
        <v>3051</v>
      </c>
      <c r="W146" t="s">
        <v>3052</v>
      </c>
      <c r="X146" t="s">
        <v>3053</v>
      </c>
      <c r="Y146" t="s">
        <v>3054</v>
      </c>
      <c r="Z146" t="s">
        <v>3055</v>
      </c>
      <c r="AA146" t="s">
        <v>74</v>
      </c>
      <c r="AB146" t="s">
        <v>3056</v>
      </c>
      <c r="AC146" t="s">
        <v>3057</v>
      </c>
      <c r="AD146" t="s">
        <v>3057</v>
      </c>
      <c r="AE146" t="s">
        <v>3057</v>
      </c>
      <c r="AF146" t="s">
        <v>74</v>
      </c>
      <c r="AG146">
        <v>70</v>
      </c>
      <c r="AH146">
        <v>0</v>
      </c>
      <c r="AI146">
        <v>0</v>
      </c>
      <c r="AJ146">
        <v>45</v>
      </c>
      <c r="AK146">
        <v>45</v>
      </c>
      <c r="AL146" t="s">
        <v>343</v>
      </c>
      <c r="AM146" t="s">
        <v>521</v>
      </c>
      <c r="AN146" t="s">
        <v>522</v>
      </c>
      <c r="AO146" t="s">
        <v>3058</v>
      </c>
      <c r="AP146" t="s">
        <v>3059</v>
      </c>
      <c r="AQ146" t="s">
        <v>74</v>
      </c>
      <c r="AR146" t="s">
        <v>3060</v>
      </c>
      <c r="AS146" t="s">
        <v>3061</v>
      </c>
      <c r="AT146" t="s">
        <v>126</v>
      </c>
      <c r="AU146">
        <v>2024</v>
      </c>
      <c r="AV146">
        <v>22</v>
      </c>
      <c r="AW146">
        <v>1</v>
      </c>
      <c r="AX146" t="s">
        <v>74</v>
      </c>
      <c r="AY146" t="s">
        <v>74</v>
      </c>
      <c r="AZ146" t="s">
        <v>253</v>
      </c>
      <c r="BA146" t="s">
        <v>74</v>
      </c>
      <c r="BB146">
        <v>89</v>
      </c>
      <c r="BC146">
        <v>113</v>
      </c>
      <c r="BD146" t="s">
        <v>74</v>
      </c>
      <c r="BE146" t="s">
        <v>3062</v>
      </c>
      <c r="BF146" t="str">
        <f>HYPERLINK("http://dx.doi.org/10.1007/s10805-023-09492-6","http://dx.doi.org/10.1007/s10805-023-09492-6")</f>
        <v>http://dx.doi.org/10.1007/s10805-023-09492-6</v>
      </c>
      <c r="BG146" t="s">
        <v>74</v>
      </c>
      <c r="BH146" t="s">
        <v>1886</v>
      </c>
      <c r="BI146">
        <v>25</v>
      </c>
      <c r="BJ146" t="s">
        <v>3063</v>
      </c>
      <c r="BK146" t="s">
        <v>352</v>
      </c>
      <c r="BL146" t="s">
        <v>618</v>
      </c>
      <c r="BM146" t="s">
        <v>3064</v>
      </c>
      <c r="BN146" t="s">
        <v>74</v>
      </c>
      <c r="BO146" t="s">
        <v>646</v>
      </c>
      <c r="BP146" t="s">
        <v>74</v>
      </c>
      <c r="BQ146" t="s">
        <v>74</v>
      </c>
      <c r="BR146" t="s">
        <v>101</v>
      </c>
      <c r="BS146" t="s">
        <v>3065</v>
      </c>
      <c r="BT146" t="str">
        <f>HYPERLINK("https%3A%2F%2Fwww.webofscience.com%2Fwos%2Fwoscc%2Ffull-record%2FWOS:001095765900002","View Full Record in Web of Science")</f>
        <v>View Full Record in Web of Science</v>
      </c>
    </row>
    <row r="147" spans="1:72" x14ac:dyDescent="0.2">
      <c r="A147" t="s">
        <v>72</v>
      </c>
      <c r="B147" t="s">
        <v>3066</v>
      </c>
      <c r="C147" t="s">
        <v>74</v>
      </c>
      <c r="D147" t="s">
        <v>74</v>
      </c>
      <c r="E147" t="s">
        <v>75</v>
      </c>
      <c r="F147" t="s">
        <v>3067</v>
      </c>
      <c r="G147" t="s">
        <v>74</v>
      </c>
      <c r="H147" t="s">
        <v>74</v>
      </c>
      <c r="I147" t="s">
        <v>3068</v>
      </c>
      <c r="J147" t="s">
        <v>3069</v>
      </c>
      <c r="K147" t="s">
        <v>74</v>
      </c>
      <c r="L147" t="s">
        <v>74</v>
      </c>
      <c r="M147" t="s">
        <v>79</v>
      </c>
      <c r="N147" t="s">
        <v>80</v>
      </c>
      <c r="O147" t="s">
        <v>3070</v>
      </c>
      <c r="P147" t="s">
        <v>3071</v>
      </c>
      <c r="Q147" t="s">
        <v>3072</v>
      </c>
      <c r="R147" t="s">
        <v>3073</v>
      </c>
      <c r="S147" t="s">
        <v>3074</v>
      </c>
      <c r="T147" t="s">
        <v>3075</v>
      </c>
      <c r="U147" t="s">
        <v>74</v>
      </c>
      <c r="V147" t="s">
        <v>3076</v>
      </c>
      <c r="W147" t="s">
        <v>3077</v>
      </c>
      <c r="X147" t="s">
        <v>3078</v>
      </c>
      <c r="Y147" t="s">
        <v>3079</v>
      </c>
      <c r="Z147" t="s">
        <v>3080</v>
      </c>
      <c r="AA147" t="s">
        <v>74</v>
      </c>
      <c r="AB147" t="s">
        <v>74</v>
      </c>
      <c r="AC147" t="s">
        <v>74</v>
      </c>
      <c r="AD147" t="s">
        <v>74</v>
      </c>
      <c r="AE147" t="s">
        <v>74</v>
      </c>
      <c r="AF147" t="s">
        <v>74</v>
      </c>
      <c r="AG147">
        <v>26</v>
      </c>
      <c r="AH147">
        <v>0</v>
      </c>
      <c r="AI147">
        <v>0</v>
      </c>
      <c r="AJ147">
        <v>11</v>
      </c>
      <c r="AK147">
        <v>11</v>
      </c>
      <c r="AL147" t="s">
        <v>92</v>
      </c>
      <c r="AM147" t="s">
        <v>93</v>
      </c>
      <c r="AN147" t="s">
        <v>94</v>
      </c>
      <c r="AO147" t="s">
        <v>74</v>
      </c>
      <c r="AP147" t="s">
        <v>74</v>
      </c>
      <c r="AQ147" t="s">
        <v>3081</v>
      </c>
      <c r="AR147" t="s">
        <v>74</v>
      </c>
      <c r="AS147" t="s">
        <v>74</v>
      </c>
      <c r="AT147" t="s">
        <v>74</v>
      </c>
      <c r="AU147">
        <v>2023</v>
      </c>
      <c r="AV147" t="s">
        <v>74</v>
      </c>
      <c r="AW147" t="s">
        <v>74</v>
      </c>
      <c r="AX147" t="s">
        <v>74</v>
      </c>
      <c r="AY147" t="s">
        <v>74</v>
      </c>
      <c r="AZ147" t="s">
        <v>74</v>
      </c>
      <c r="BA147" t="s">
        <v>74</v>
      </c>
      <c r="BB147">
        <v>197</v>
      </c>
      <c r="BC147">
        <v>201</v>
      </c>
      <c r="BD147" t="s">
        <v>74</v>
      </c>
      <c r="BE147" t="s">
        <v>3082</v>
      </c>
      <c r="BF147" t="str">
        <f>HYPERLINK("http://dx.doi.org/10.1145/3615335.3623035","http://dx.doi.org/10.1145/3615335.3623035")</f>
        <v>http://dx.doi.org/10.1145/3615335.3623035</v>
      </c>
      <c r="BG147" t="s">
        <v>74</v>
      </c>
      <c r="BH147" t="s">
        <v>74</v>
      </c>
      <c r="BI147">
        <v>5</v>
      </c>
      <c r="BJ147" t="s">
        <v>3083</v>
      </c>
      <c r="BK147" t="s">
        <v>180</v>
      </c>
      <c r="BL147" t="s">
        <v>3084</v>
      </c>
      <c r="BM147" t="s">
        <v>3085</v>
      </c>
      <c r="BN147" t="s">
        <v>74</v>
      </c>
      <c r="BO147" t="s">
        <v>74</v>
      </c>
      <c r="BP147" t="s">
        <v>74</v>
      </c>
      <c r="BQ147" t="s">
        <v>74</v>
      </c>
      <c r="BR147" t="s">
        <v>101</v>
      </c>
      <c r="BS147" t="s">
        <v>3086</v>
      </c>
      <c r="BT147" t="str">
        <f>HYPERLINK("https%3A%2F%2Fwww.webofscience.com%2Fwos%2Fwoscc%2Ffull-record%2FWOS:001124885600031","View Full Record in Web of Science")</f>
        <v>View Full Record in Web of Science</v>
      </c>
    </row>
    <row r="148" spans="1:72" x14ac:dyDescent="0.2">
      <c r="A148" t="s">
        <v>72</v>
      </c>
      <c r="B148" t="s">
        <v>3087</v>
      </c>
      <c r="C148" t="s">
        <v>74</v>
      </c>
      <c r="D148" t="s">
        <v>74</v>
      </c>
      <c r="E148" t="s">
        <v>92</v>
      </c>
      <c r="F148" t="s">
        <v>3088</v>
      </c>
      <c r="G148" t="s">
        <v>74</v>
      </c>
      <c r="H148" t="s">
        <v>74</v>
      </c>
      <c r="I148" t="s">
        <v>3089</v>
      </c>
      <c r="J148" t="s">
        <v>2504</v>
      </c>
      <c r="K148" t="s">
        <v>74</v>
      </c>
      <c r="L148" t="s">
        <v>74</v>
      </c>
      <c r="M148" t="s">
        <v>79</v>
      </c>
      <c r="N148" t="s">
        <v>80</v>
      </c>
      <c r="O148" t="s">
        <v>2505</v>
      </c>
      <c r="P148" t="s">
        <v>2506</v>
      </c>
      <c r="Q148" t="s">
        <v>2507</v>
      </c>
      <c r="R148" t="s">
        <v>1223</v>
      </c>
      <c r="S148" t="s">
        <v>74</v>
      </c>
      <c r="T148" t="s">
        <v>3090</v>
      </c>
      <c r="U148" t="s">
        <v>74</v>
      </c>
      <c r="V148" t="s">
        <v>3091</v>
      </c>
      <c r="W148" t="s">
        <v>3092</v>
      </c>
      <c r="X148" t="s">
        <v>3093</v>
      </c>
      <c r="Y148" t="s">
        <v>3094</v>
      </c>
      <c r="Z148" t="s">
        <v>3095</v>
      </c>
      <c r="AA148" t="s">
        <v>74</v>
      </c>
      <c r="AB148" t="s">
        <v>3096</v>
      </c>
      <c r="AC148" t="s">
        <v>3097</v>
      </c>
      <c r="AD148" t="s">
        <v>3098</v>
      </c>
      <c r="AE148" t="s">
        <v>3099</v>
      </c>
      <c r="AF148" t="s">
        <v>74</v>
      </c>
      <c r="AG148">
        <v>72</v>
      </c>
      <c r="AH148">
        <v>1</v>
      </c>
      <c r="AI148">
        <v>1</v>
      </c>
      <c r="AJ148">
        <v>36</v>
      </c>
      <c r="AK148">
        <v>36</v>
      </c>
      <c r="AL148" t="s">
        <v>92</v>
      </c>
      <c r="AM148" t="s">
        <v>93</v>
      </c>
      <c r="AN148" t="s">
        <v>94</v>
      </c>
      <c r="AO148" t="s">
        <v>74</v>
      </c>
      <c r="AP148" t="s">
        <v>74</v>
      </c>
      <c r="AQ148" t="s">
        <v>2515</v>
      </c>
      <c r="AR148" t="s">
        <v>74</v>
      </c>
      <c r="AS148" t="s">
        <v>74</v>
      </c>
      <c r="AT148" t="s">
        <v>74</v>
      </c>
      <c r="AU148">
        <v>2023</v>
      </c>
      <c r="AV148" t="s">
        <v>74</v>
      </c>
      <c r="AW148" t="s">
        <v>74</v>
      </c>
      <c r="AX148" t="s">
        <v>74</v>
      </c>
      <c r="AY148" t="s">
        <v>74</v>
      </c>
      <c r="AZ148" t="s">
        <v>74</v>
      </c>
      <c r="BA148" t="s">
        <v>74</v>
      </c>
      <c r="BB148">
        <v>931</v>
      </c>
      <c r="BC148">
        <v>942</v>
      </c>
      <c r="BD148" t="s">
        <v>74</v>
      </c>
      <c r="BE148" t="s">
        <v>3100</v>
      </c>
      <c r="BF148" t="str">
        <f>HYPERLINK("http://dx.doi.org/10.1145/3593013.3594052","http://dx.doi.org/10.1145/3593013.3594052")</f>
        <v>http://dx.doi.org/10.1145/3593013.3594052</v>
      </c>
      <c r="BG148" t="s">
        <v>74</v>
      </c>
      <c r="BH148" t="s">
        <v>74</v>
      </c>
      <c r="BI148">
        <v>12</v>
      </c>
      <c r="BJ148" t="s">
        <v>2517</v>
      </c>
      <c r="BK148" t="s">
        <v>180</v>
      </c>
      <c r="BL148" t="s">
        <v>1212</v>
      </c>
      <c r="BM148" t="s">
        <v>2518</v>
      </c>
      <c r="BN148" t="s">
        <v>74</v>
      </c>
      <c r="BO148" t="s">
        <v>208</v>
      </c>
      <c r="BP148" t="s">
        <v>74</v>
      </c>
      <c r="BQ148" t="s">
        <v>74</v>
      </c>
      <c r="BR148" t="s">
        <v>101</v>
      </c>
      <c r="BS148" t="s">
        <v>3101</v>
      </c>
      <c r="BT148" t="str">
        <f>HYPERLINK("https%3A%2F%2Fwww.webofscience.com%2Fwos%2Fwoscc%2Ffull-record%2FWOS:001062819300081","View Full Record in Web of Science")</f>
        <v>View Full Record in Web of Science</v>
      </c>
    </row>
    <row r="149" spans="1:72" x14ac:dyDescent="0.2">
      <c r="A149" t="s">
        <v>103</v>
      </c>
      <c r="B149" t="s">
        <v>3102</v>
      </c>
      <c r="C149" t="s">
        <v>74</v>
      </c>
      <c r="D149" t="s">
        <v>74</v>
      </c>
      <c r="E149" t="s">
        <v>74</v>
      </c>
      <c r="F149" t="s">
        <v>3103</v>
      </c>
      <c r="G149" t="s">
        <v>74</v>
      </c>
      <c r="H149" t="s">
        <v>74</v>
      </c>
      <c r="I149" t="s">
        <v>3104</v>
      </c>
      <c r="J149" t="s">
        <v>1733</v>
      </c>
      <c r="K149" t="s">
        <v>74</v>
      </c>
      <c r="L149" t="s">
        <v>74</v>
      </c>
      <c r="M149" t="s">
        <v>1734</v>
      </c>
      <c r="N149" t="s">
        <v>108</v>
      </c>
      <c r="O149" t="s">
        <v>74</v>
      </c>
      <c r="P149" t="s">
        <v>74</v>
      </c>
      <c r="Q149" t="s">
        <v>74</v>
      </c>
      <c r="R149" t="s">
        <v>74</v>
      </c>
      <c r="S149" t="s">
        <v>74</v>
      </c>
      <c r="T149" t="s">
        <v>3105</v>
      </c>
      <c r="U149" t="s">
        <v>74</v>
      </c>
      <c r="V149" t="s">
        <v>3106</v>
      </c>
      <c r="W149" t="s">
        <v>3107</v>
      </c>
      <c r="X149" t="s">
        <v>3108</v>
      </c>
      <c r="Y149" t="s">
        <v>3109</v>
      </c>
      <c r="Z149" t="s">
        <v>3110</v>
      </c>
      <c r="AA149" t="s">
        <v>3111</v>
      </c>
      <c r="AB149" t="s">
        <v>74</v>
      </c>
      <c r="AC149" t="s">
        <v>74</v>
      </c>
      <c r="AD149" t="s">
        <v>74</v>
      </c>
      <c r="AE149" t="s">
        <v>74</v>
      </c>
      <c r="AF149" t="s">
        <v>74</v>
      </c>
      <c r="AG149">
        <v>24</v>
      </c>
      <c r="AH149">
        <v>0</v>
      </c>
      <c r="AI149">
        <v>0</v>
      </c>
      <c r="AJ149">
        <v>6</v>
      </c>
      <c r="AK149">
        <v>6</v>
      </c>
      <c r="AL149" t="s">
        <v>1741</v>
      </c>
      <c r="AM149" t="s">
        <v>1742</v>
      </c>
      <c r="AN149" t="s">
        <v>1743</v>
      </c>
      <c r="AO149" t="s">
        <v>1744</v>
      </c>
      <c r="AP149" t="s">
        <v>74</v>
      </c>
      <c r="AQ149" t="s">
        <v>74</v>
      </c>
      <c r="AR149" t="s">
        <v>1733</v>
      </c>
      <c r="AS149" t="s">
        <v>1745</v>
      </c>
      <c r="AT149" t="s">
        <v>527</v>
      </c>
      <c r="AU149">
        <v>2023</v>
      </c>
      <c r="AV149">
        <v>3</v>
      </c>
      <c r="AW149">
        <v>76</v>
      </c>
      <c r="AX149" t="s">
        <v>74</v>
      </c>
      <c r="AY149" t="s">
        <v>74</v>
      </c>
      <c r="AZ149" t="s">
        <v>74</v>
      </c>
      <c r="BA149" t="s">
        <v>74</v>
      </c>
      <c r="BB149" t="s">
        <v>74</v>
      </c>
      <c r="BC149" t="s">
        <v>74</v>
      </c>
      <c r="BD149" t="s">
        <v>3112</v>
      </c>
      <c r="BE149" t="s">
        <v>3113</v>
      </c>
      <c r="BF149" t="str">
        <f>HYPERLINK("http://dx.doi.org/10.24215/16696581e844","http://dx.doi.org/10.24215/16696581e844")</f>
        <v>http://dx.doi.org/10.24215/16696581e844</v>
      </c>
      <c r="BG149" t="s">
        <v>74</v>
      </c>
      <c r="BH149" t="s">
        <v>74</v>
      </c>
      <c r="BI149">
        <v>24</v>
      </c>
      <c r="BJ149" t="s">
        <v>158</v>
      </c>
      <c r="BK149" t="s">
        <v>352</v>
      </c>
      <c r="BL149" t="s">
        <v>158</v>
      </c>
      <c r="BM149" t="s">
        <v>1748</v>
      </c>
      <c r="BN149" t="s">
        <v>74</v>
      </c>
      <c r="BO149" t="s">
        <v>425</v>
      </c>
      <c r="BP149" t="s">
        <v>74</v>
      </c>
      <c r="BQ149" t="s">
        <v>74</v>
      </c>
      <c r="BR149" t="s">
        <v>101</v>
      </c>
      <c r="BS149" t="s">
        <v>3114</v>
      </c>
      <c r="BT149" t="str">
        <f>HYPERLINK("https%3A%2F%2Fwww.webofscience.com%2Fwos%2Fwoscc%2Ffull-record%2FWOS:001161626700026","View Full Record in Web of Science")</f>
        <v>View Full Record in Web of Science</v>
      </c>
    </row>
    <row r="150" spans="1:72" x14ac:dyDescent="0.2">
      <c r="A150" t="s">
        <v>72</v>
      </c>
      <c r="B150" t="s">
        <v>3115</v>
      </c>
      <c r="C150" t="s">
        <v>74</v>
      </c>
      <c r="D150" t="s">
        <v>3116</v>
      </c>
      <c r="E150" t="s">
        <v>74</v>
      </c>
      <c r="F150" t="s">
        <v>3117</v>
      </c>
      <c r="G150" t="s">
        <v>74</v>
      </c>
      <c r="H150" t="s">
        <v>74</v>
      </c>
      <c r="I150" t="s">
        <v>3118</v>
      </c>
      <c r="J150" t="s">
        <v>3119</v>
      </c>
      <c r="K150" t="s">
        <v>74</v>
      </c>
      <c r="L150" t="s">
        <v>74</v>
      </c>
      <c r="M150" t="s">
        <v>79</v>
      </c>
      <c r="N150" t="s">
        <v>80</v>
      </c>
      <c r="O150" t="s">
        <v>3120</v>
      </c>
      <c r="P150" t="s">
        <v>3121</v>
      </c>
      <c r="Q150" t="s">
        <v>3122</v>
      </c>
      <c r="R150" t="s">
        <v>3123</v>
      </c>
      <c r="S150" t="s">
        <v>3124</v>
      </c>
      <c r="T150" t="s">
        <v>3125</v>
      </c>
      <c r="U150" t="s">
        <v>74</v>
      </c>
      <c r="V150" t="s">
        <v>74</v>
      </c>
      <c r="W150" t="s">
        <v>3126</v>
      </c>
      <c r="X150" t="s">
        <v>3127</v>
      </c>
      <c r="Y150" t="s">
        <v>3128</v>
      </c>
      <c r="Z150" t="s">
        <v>3129</v>
      </c>
      <c r="AA150" t="s">
        <v>74</v>
      </c>
      <c r="AB150" t="s">
        <v>74</v>
      </c>
      <c r="AC150" t="s">
        <v>74</v>
      </c>
      <c r="AD150" t="s">
        <v>74</v>
      </c>
      <c r="AE150" t="s">
        <v>74</v>
      </c>
      <c r="AF150" t="s">
        <v>74</v>
      </c>
      <c r="AG150">
        <v>0</v>
      </c>
      <c r="AH150">
        <v>0</v>
      </c>
      <c r="AI150">
        <v>0</v>
      </c>
      <c r="AJ150">
        <v>0</v>
      </c>
      <c r="AK150">
        <v>0</v>
      </c>
      <c r="AL150" t="s">
        <v>92</v>
      </c>
      <c r="AM150" t="s">
        <v>93</v>
      </c>
      <c r="AN150" t="s">
        <v>94</v>
      </c>
      <c r="AO150" t="s">
        <v>74</v>
      </c>
      <c r="AP150" t="s">
        <v>74</v>
      </c>
      <c r="AQ150" t="s">
        <v>3130</v>
      </c>
      <c r="AR150" t="s">
        <v>74</v>
      </c>
      <c r="AS150" t="s">
        <v>74</v>
      </c>
      <c r="AT150" t="s">
        <v>74</v>
      </c>
      <c r="AU150">
        <v>2023</v>
      </c>
      <c r="AV150" t="s">
        <v>74</v>
      </c>
      <c r="AW150" t="s">
        <v>74</v>
      </c>
      <c r="AX150" t="s">
        <v>74</v>
      </c>
      <c r="AY150" t="s">
        <v>74</v>
      </c>
      <c r="AZ150" t="s">
        <v>74</v>
      </c>
      <c r="BA150" t="s">
        <v>74</v>
      </c>
      <c r="BB150">
        <v>4</v>
      </c>
      <c r="BC150">
        <v>4</v>
      </c>
      <c r="BD150" t="s">
        <v>74</v>
      </c>
      <c r="BE150" t="s">
        <v>3131</v>
      </c>
      <c r="BF150" t="str">
        <f>HYPERLINK("http://dx.doi.org/10.1145/3627217.3631585","http://dx.doi.org/10.1145/3627217.3631585")</f>
        <v>http://dx.doi.org/10.1145/3627217.3631585</v>
      </c>
      <c r="BG150" t="s">
        <v>74</v>
      </c>
      <c r="BH150" t="s">
        <v>74</v>
      </c>
      <c r="BI150">
        <v>1</v>
      </c>
      <c r="BJ150" t="s">
        <v>3132</v>
      </c>
      <c r="BK150" t="s">
        <v>98</v>
      </c>
      <c r="BL150" t="s">
        <v>1187</v>
      </c>
      <c r="BM150" t="s">
        <v>3133</v>
      </c>
      <c r="BN150" t="s">
        <v>74</v>
      </c>
      <c r="BO150" t="s">
        <v>74</v>
      </c>
      <c r="BP150" t="s">
        <v>74</v>
      </c>
      <c r="BQ150" t="s">
        <v>74</v>
      </c>
      <c r="BR150" t="s">
        <v>101</v>
      </c>
      <c r="BS150" t="s">
        <v>3134</v>
      </c>
      <c r="BT150" t="str">
        <f>HYPERLINK("https%3A%2F%2Fwww.webofscience.com%2Fwos%2Fwoscc%2Ffull-record%2FWOS:001176678700003","View Full Record in Web of Science")</f>
        <v>View Full Record in Web of Science</v>
      </c>
    </row>
    <row r="151" spans="1:72" x14ac:dyDescent="0.2">
      <c r="A151" t="s">
        <v>103</v>
      </c>
      <c r="B151" t="s">
        <v>3135</v>
      </c>
      <c r="C151" t="s">
        <v>74</v>
      </c>
      <c r="D151" t="s">
        <v>74</v>
      </c>
      <c r="E151" t="s">
        <v>74</v>
      </c>
      <c r="F151" t="s">
        <v>3136</v>
      </c>
      <c r="G151" t="s">
        <v>74</v>
      </c>
      <c r="H151" t="s">
        <v>74</v>
      </c>
      <c r="I151" t="s">
        <v>3137</v>
      </c>
      <c r="J151" t="s">
        <v>3138</v>
      </c>
      <c r="K151" t="s">
        <v>74</v>
      </c>
      <c r="L151" t="s">
        <v>74</v>
      </c>
      <c r="M151" t="s">
        <v>79</v>
      </c>
      <c r="N151" t="s">
        <v>108</v>
      </c>
      <c r="O151" t="s">
        <v>74</v>
      </c>
      <c r="P151" t="s">
        <v>74</v>
      </c>
      <c r="Q151" t="s">
        <v>74</v>
      </c>
      <c r="R151" t="s">
        <v>74</v>
      </c>
      <c r="S151" t="s">
        <v>74</v>
      </c>
      <c r="T151" t="s">
        <v>3139</v>
      </c>
      <c r="U151" t="s">
        <v>3140</v>
      </c>
      <c r="V151" t="s">
        <v>3141</v>
      </c>
      <c r="W151" t="s">
        <v>3142</v>
      </c>
      <c r="X151" t="s">
        <v>3143</v>
      </c>
      <c r="Y151" t="s">
        <v>3144</v>
      </c>
      <c r="Z151" t="s">
        <v>3145</v>
      </c>
      <c r="AA151" t="s">
        <v>74</v>
      </c>
      <c r="AB151" t="s">
        <v>3146</v>
      </c>
      <c r="AC151" t="s">
        <v>74</v>
      </c>
      <c r="AD151" t="s">
        <v>74</v>
      </c>
      <c r="AE151" t="s">
        <v>74</v>
      </c>
      <c r="AF151" t="s">
        <v>74</v>
      </c>
      <c r="AG151">
        <v>80</v>
      </c>
      <c r="AH151">
        <v>7</v>
      </c>
      <c r="AI151">
        <v>7</v>
      </c>
      <c r="AJ151">
        <v>48</v>
      </c>
      <c r="AK151">
        <v>55</v>
      </c>
      <c r="AL151" t="s">
        <v>939</v>
      </c>
      <c r="AM151" t="s">
        <v>940</v>
      </c>
      <c r="AN151" t="s">
        <v>941</v>
      </c>
      <c r="AO151" t="s">
        <v>74</v>
      </c>
      <c r="AP151" t="s">
        <v>3147</v>
      </c>
      <c r="AQ151" t="s">
        <v>74</v>
      </c>
      <c r="AR151" t="s">
        <v>3148</v>
      </c>
      <c r="AS151" t="s">
        <v>3149</v>
      </c>
      <c r="AT151" t="s">
        <v>791</v>
      </c>
      <c r="AU151">
        <v>2023</v>
      </c>
      <c r="AV151">
        <v>12</v>
      </c>
      <c r="AW151">
        <v>8</v>
      </c>
      <c r="AX151" t="s">
        <v>74</v>
      </c>
      <c r="AY151" t="s">
        <v>74</v>
      </c>
      <c r="AZ151" t="s">
        <v>74</v>
      </c>
      <c r="BA151" t="s">
        <v>74</v>
      </c>
      <c r="BB151" t="s">
        <v>74</v>
      </c>
      <c r="BC151" t="s">
        <v>74</v>
      </c>
      <c r="BD151">
        <v>435</v>
      </c>
      <c r="BE151" t="s">
        <v>3150</v>
      </c>
      <c r="BF151" t="str">
        <f>HYPERLINK("http://dx.doi.org/10.3390/socsci12080435","http://dx.doi.org/10.3390/socsci12080435")</f>
        <v>http://dx.doi.org/10.3390/socsci12080435</v>
      </c>
      <c r="BG151" t="s">
        <v>74</v>
      </c>
      <c r="BH151" t="s">
        <v>74</v>
      </c>
      <c r="BI151">
        <v>15</v>
      </c>
      <c r="BJ151" t="s">
        <v>617</v>
      </c>
      <c r="BK151" t="s">
        <v>352</v>
      </c>
      <c r="BL151" t="s">
        <v>618</v>
      </c>
      <c r="BM151" t="s">
        <v>3151</v>
      </c>
      <c r="BN151" t="s">
        <v>74</v>
      </c>
      <c r="BO151" t="s">
        <v>819</v>
      </c>
      <c r="BP151" t="s">
        <v>74</v>
      </c>
      <c r="BQ151" t="s">
        <v>74</v>
      </c>
      <c r="BR151" t="s">
        <v>101</v>
      </c>
      <c r="BS151" t="s">
        <v>3152</v>
      </c>
      <c r="BT151" t="str">
        <f>HYPERLINK("https%3A%2F%2Fwww.webofscience.com%2Fwos%2Fwoscc%2Ffull-record%2FWOS:001056341800001","View Full Record in Web of Science")</f>
        <v>View Full Record in Web of Science</v>
      </c>
    </row>
    <row r="152" spans="1:72" x14ac:dyDescent="0.2">
      <c r="A152" t="s">
        <v>103</v>
      </c>
      <c r="B152" t="s">
        <v>3153</v>
      </c>
      <c r="C152" t="s">
        <v>74</v>
      </c>
      <c r="D152" t="s">
        <v>74</v>
      </c>
      <c r="E152" t="s">
        <v>74</v>
      </c>
      <c r="F152" t="s">
        <v>3154</v>
      </c>
      <c r="G152" t="s">
        <v>74</v>
      </c>
      <c r="H152" t="s">
        <v>74</v>
      </c>
      <c r="I152" t="s">
        <v>3155</v>
      </c>
      <c r="J152" t="s">
        <v>3156</v>
      </c>
      <c r="K152" t="s">
        <v>74</v>
      </c>
      <c r="L152" t="s">
        <v>74</v>
      </c>
      <c r="M152" t="s">
        <v>79</v>
      </c>
      <c r="N152" t="s">
        <v>108</v>
      </c>
      <c r="O152" t="s">
        <v>74</v>
      </c>
      <c r="P152" t="s">
        <v>74</v>
      </c>
      <c r="Q152" t="s">
        <v>74</v>
      </c>
      <c r="R152" t="s">
        <v>74</v>
      </c>
      <c r="S152" t="s">
        <v>74</v>
      </c>
      <c r="T152" t="s">
        <v>74</v>
      </c>
      <c r="U152" t="s">
        <v>3157</v>
      </c>
      <c r="V152" t="s">
        <v>3158</v>
      </c>
      <c r="W152" t="s">
        <v>3159</v>
      </c>
      <c r="X152" t="s">
        <v>3160</v>
      </c>
      <c r="Y152" t="s">
        <v>3161</v>
      </c>
      <c r="Z152" t="s">
        <v>3162</v>
      </c>
      <c r="AA152" t="s">
        <v>3163</v>
      </c>
      <c r="AB152" t="s">
        <v>3164</v>
      </c>
      <c r="AC152" t="s">
        <v>74</v>
      </c>
      <c r="AD152" t="s">
        <v>74</v>
      </c>
      <c r="AE152" t="s">
        <v>74</v>
      </c>
      <c r="AF152" t="s">
        <v>74</v>
      </c>
      <c r="AG152">
        <v>15</v>
      </c>
      <c r="AH152">
        <v>1</v>
      </c>
      <c r="AI152">
        <v>1</v>
      </c>
      <c r="AJ152">
        <v>56</v>
      </c>
      <c r="AK152">
        <v>56</v>
      </c>
      <c r="AL152" t="s">
        <v>3165</v>
      </c>
      <c r="AM152" t="s">
        <v>3166</v>
      </c>
      <c r="AN152" t="s">
        <v>3167</v>
      </c>
      <c r="AO152" t="s">
        <v>3168</v>
      </c>
      <c r="AP152" t="s">
        <v>3169</v>
      </c>
      <c r="AQ152" t="s">
        <v>74</v>
      </c>
      <c r="AR152" t="s">
        <v>3170</v>
      </c>
      <c r="AS152" t="s">
        <v>3171</v>
      </c>
      <c r="AT152" t="s">
        <v>126</v>
      </c>
      <c r="AU152">
        <v>2024</v>
      </c>
      <c r="AV152">
        <v>56</v>
      </c>
      <c r="AW152">
        <v>2</v>
      </c>
      <c r="AX152" t="s">
        <v>74</v>
      </c>
      <c r="AY152" t="s">
        <v>74</v>
      </c>
      <c r="AZ152" t="s">
        <v>74</v>
      </c>
      <c r="BA152" t="s">
        <v>74</v>
      </c>
      <c r="BB152">
        <v>314</v>
      </c>
      <c r="BC152">
        <v>318</v>
      </c>
      <c r="BD152" t="s">
        <v>74</v>
      </c>
      <c r="BE152" t="s">
        <v>3172</v>
      </c>
      <c r="BF152" t="str">
        <f>HYPERLINK("http://dx.doi.org/10.1111/jnu.12938","http://dx.doi.org/10.1111/jnu.12938")</f>
        <v>http://dx.doi.org/10.1111/jnu.12938</v>
      </c>
      <c r="BG152" t="s">
        <v>74</v>
      </c>
      <c r="BH152" t="s">
        <v>1886</v>
      </c>
      <c r="BI152">
        <v>5</v>
      </c>
      <c r="BJ152" t="s">
        <v>3173</v>
      </c>
      <c r="BK152" t="s">
        <v>947</v>
      </c>
      <c r="BL152" t="s">
        <v>3173</v>
      </c>
      <c r="BM152" t="s">
        <v>3174</v>
      </c>
      <c r="BN152">
        <v>37904646</v>
      </c>
      <c r="BO152" t="s">
        <v>74</v>
      </c>
      <c r="BP152" t="s">
        <v>74</v>
      </c>
      <c r="BQ152" t="s">
        <v>74</v>
      </c>
      <c r="BR152" t="s">
        <v>101</v>
      </c>
      <c r="BS152" t="s">
        <v>3175</v>
      </c>
      <c r="BT152" t="str">
        <f>HYPERLINK("https%3A%2F%2Fwww.webofscience.com%2Fwos%2Fwoscc%2Ffull-record%2FWOS:001099765700001","View Full Record in Web of Science")</f>
        <v>View Full Record in Web of Science</v>
      </c>
    </row>
    <row r="153" spans="1:72" x14ac:dyDescent="0.2">
      <c r="A153" t="s">
        <v>103</v>
      </c>
      <c r="B153" t="s">
        <v>3176</v>
      </c>
      <c r="C153" t="s">
        <v>74</v>
      </c>
      <c r="D153" t="s">
        <v>74</v>
      </c>
      <c r="E153" t="s">
        <v>74</v>
      </c>
      <c r="F153" t="s">
        <v>3177</v>
      </c>
      <c r="G153" t="s">
        <v>74</v>
      </c>
      <c r="H153" t="s">
        <v>74</v>
      </c>
      <c r="I153" t="s">
        <v>3178</v>
      </c>
      <c r="J153" t="s">
        <v>3179</v>
      </c>
      <c r="K153" t="s">
        <v>74</v>
      </c>
      <c r="L153" t="s">
        <v>74</v>
      </c>
      <c r="M153" t="s">
        <v>79</v>
      </c>
      <c r="N153" t="s">
        <v>108</v>
      </c>
      <c r="O153" t="s">
        <v>74</v>
      </c>
      <c r="P153" t="s">
        <v>74</v>
      </c>
      <c r="Q153" t="s">
        <v>74</v>
      </c>
      <c r="R153" t="s">
        <v>74</v>
      </c>
      <c r="S153" t="s">
        <v>74</v>
      </c>
      <c r="T153" t="s">
        <v>3180</v>
      </c>
      <c r="U153" t="s">
        <v>74</v>
      </c>
      <c r="V153" t="s">
        <v>3181</v>
      </c>
      <c r="W153" t="s">
        <v>3182</v>
      </c>
      <c r="X153" t="s">
        <v>3183</v>
      </c>
      <c r="Y153" t="s">
        <v>3184</v>
      </c>
      <c r="Z153" t="s">
        <v>3185</v>
      </c>
      <c r="AA153" t="s">
        <v>74</v>
      </c>
      <c r="AB153" t="s">
        <v>74</v>
      </c>
      <c r="AC153" t="s">
        <v>74</v>
      </c>
      <c r="AD153" t="s">
        <v>74</v>
      </c>
      <c r="AE153" t="s">
        <v>74</v>
      </c>
      <c r="AF153" t="s">
        <v>74</v>
      </c>
      <c r="AG153">
        <v>28</v>
      </c>
      <c r="AH153">
        <v>0</v>
      </c>
      <c r="AI153">
        <v>0</v>
      </c>
      <c r="AJ153">
        <v>1</v>
      </c>
      <c r="AK153">
        <v>1</v>
      </c>
      <c r="AL153" t="s">
        <v>92</v>
      </c>
      <c r="AM153" t="s">
        <v>93</v>
      </c>
      <c r="AN153" t="s">
        <v>3186</v>
      </c>
      <c r="AO153" t="s">
        <v>74</v>
      </c>
      <c r="AP153" t="s">
        <v>3187</v>
      </c>
      <c r="AQ153" t="s">
        <v>74</v>
      </c>
      <c r="AR153" t="s">
        <v>3188</v>
      </c>
      <c r="AS153" t="s">
        <v>3189</v>
      </c>
      <c r="AT153" t="s">
        <v>791</v>
      </c>
      <c r="AU153">
        <v>2023</v>
      </c>
      <c r="AV153">
        <v>6</v>
      </c>
      <c r="AW153">
        <v>2</v>
      </c>
      <c r="AX153" t="s">
        <v>74</v>
      </c>
      <c r="AY153" t="s">
        <v>74</v>
      </c>
      <c r="AZ153" t="s">
        <v>74</v>
      </c>
      <c r="BA153" t="s">
        <v>74</v>
      </c>
      <c r="BB153" t="s">
        <v>74</v>
      </c>
      <c r="BC153" t="s">
        <v>74</v>
      </c>
      <c r="BD153">
        <v>28</v>
      </c>
      <c r="BE153" t="s">
        <v>3190</v>
      </c>
      <c r="BF153" t="str">
        <f>HYPERLINK("http://dx.doi.org/10.1145/3597633","http://dx.doi.org/10.1145/3597633")</f>
        <v>http://dx.doi.org/10.1145/3597633</v>
      </c>
      <c r="BG153" t="s">
        <v>74</v>
      </c>
      <c r="BH153" t="s">
        <v>74</v>
      </c>
      <c r="BI153">
        <v>7</v>
      </c>
      <c r="BJ153" t="s">
        <v>1563</v>
      </c>
      <c r="BK153" t="s">
        <v>352</v>
      </c>
      <c r="BL153" t="s">
        <v>99</v>
      </c>
      <c r="BM153" t="s">
        <v>3191</v>
      </c>
      <c r="BN153" t="s">
        <v>74</v>
      </c>
      <c r="BO153" t="s">
        <v>74</v>
      </c>
      <c r="BP153" t="s">
        <v>74</v>
      </c>
      <c r="BQ153" t="s">
        <v>74</v>
      </c>
      <c r="BR153" t="s">
        <v>101</v>
      </c>
      <c r="BS153" t="s">
        <v>3192</v>
      </c>
      <c r="BT153" t="str">
        <f>HYPERLINK("https%3A%2F%2Fwww.webofscience.com%2Fwos%2Fwoscc%2Ffull-record%2FWOS:001056350400013","View Full Record in Web of Science")</f>
        <v>View Full Record in Web of Science</v>
      </c>
    </row>
    <row r="154" spans="1:72" x14ac:dyDescent="0.2">
      <c r="A154" t="s">
        <v>103</v>
      </c>
      <c r="B154" t="s">
        <v>3193</v>
      </c>
      <c r="C154" t="s">
        <v>74</v>
      </c>
      <c r="D154" t="s">
        <v>74</v>
      </c>
      <c r="E154" t="s">
        <v>74</v>
      </c>
      <c r="F154" t="s">
        <v>3194</v>
      </c>
      <c r="G154" t="s">
        <v>74</v>
      </c>
      <c r="H154" t="s">
        <v>74</v>
      </c>
      <c r="I154" t="s">
        <v>3195</v>
      </c>
      <c r="J154" t="s">
        <v>3196</v>
      </c>
      <c r="K154" t="s">
        <v>74</v>
      </c>
      <c r="L154" t="s">
        <v>74</v>
      </c>
      <c r="M154" t="s">
        <v>79</v>
      </c>
      <c r="N154" t="s">
        <v>108</v>
      </c>
      <c r="O154" t="s">
        <v>74</v>
      </c>
      <c r="P154" t="s">
        <v>74</v>
      </c>
      <c r="Q154" t="s">
        <v>74</v>
      </c>
      <c r="R154" t="s">
        <v>74</v>
      </c>
      <c r="S154" t="s">
        <v>74</v>
      </c>
      <c r="T154" t="s">
        <v>74</v>
      </c>
      <c r="U154" t="s">
        <v>3197</v>
      </c>
      <c r="V154" t="s">
        <v>3198</v>
      </c>
      <c r="W154" t="s">
        <v>3199</v>
      </c>
      <c r="X154" t="s">
        <v>919</v>
      </c>
      <c r="Y154" t="s">
        <v>3200</v>
      </c>
      <c r="Z154" t="s">
        <v>3201</v>
      </c>
      <c r="AA154" t="s">
        <v>74</v>
      </c>
      <c r="AB154" t="s">
        <v>74</v>
      </c>
      <c r="AC154" t="s">
        <v>74</v>
      </c>
      <c r="AD154" t="s">
        <v>74</v>
      </c>
      <c r="AE154" t="s">
        <v>74</v>
      </c>
      <c r="AF154" t="s">
        <v>74</v>
      </c>
      <c r="AG154">
        <v>75</v>
      </c>
      <c r="AH154">
        <v>1</v>
      </c>
      <c r="AI154">
        <v>1</v>
      </c>
      <c r="AJ154">
        <v>27</v>
      </c>
      <c r="AK154">
        <v>27</v>
      </c>
      <c r="AL154" t="s">
        <v>3202</v>
      </c>
      <c r="AM154" t="s">
        <v>120</v>
      </c>
      <c r="AN154" t="s">
        <v>3203</v>
      </c>
      <c r="AO154" t="s">
        <v>3204</v>
      </c>
      <c r="AP154" t="s">
        <v>3205</v>
      </c>
      <c r="AQ154" t="s">
        <v>74</v>
      </c>
      <c r="AR154" t="s">
        <v>3206</v>
      </c>
      <c r="AS154" t="s">
        <v>3207</v>
      </c>
      <c r="AT154" t="s">
        <v>2909</v>
      </c>
      <c r="AU154">
        <v>2023</v>
      </c>
      <c r="AV154">
        <v>18</v>
      </c>
      <c r="AW154">
        <v>11</v>
      </c>
      <c r="AX154" t="s">
        <v>74</v>
      </c>
      <c r="AY154" t="s">
        <v>74</v>
      </c>
      <c r="AZ154" t="s">
        <v>74</v>
      </c>
      <c r="BA154" t="s">
        <v>74</v>
      </c>
      <c r="BB154">
        <v>796</v>
      </c>
      <c r="BC154">
        <v>807</v>
      </c>
      <c r="BD154" t="s">
        <v>74</v>
      </c>
      <c r="BE154" t="s">
        <v>3208</v>
      </c>
      <c r="BF154" t="str">
        <f>HYPERLINK("http://dx.doi.org/10.1093/jiplp/jpad076","http://dx.doi.org/10.1093/jiplp/jpad076")</f>
        <v>http://dx.doi.org/10.1093/jiplp/jpad076</v>
      </c>
      <c r="BG154" t="s">
        <v>74</v>
      </c>
      <c r="BH154" t="s">
        <v>278</v>
      </c>
      <c r="BI154">
        <v>12</v>
      </c>
      <c r="BJ154" t="s">
        <v>1135</v>
      </c>
      <c r="BK154" t="s">
        <v>352</v>
      </c>
      <c r="BL154" t="s">
        <v>1136</v>
      </c>
      <c r="BM154" t="s">
        <v>3209</v>
      </c>
      <c r="BN154" t="s">
        <v>74</v>
      </c>
      <c r="BO154" t="s">
        <v>74</v>
      </c>
      <c r="BP154" t="s">
        <v>74</v>
      </c>
      <c r="BQ154" t="s">
        <v>74</v>
      </c>
      <c r="BR154" t="s">
        <v>101</v>
      </c>
      <c r="BS154" t="s">
        <v>3210</v>
      </c>
      <c r="BT154" t="str">
        <f>HYPERLINK("https%3A%2F%2Fwww.webofscience.com%2Fwos%2Fwoscc%2Ffull-record%2FWOS:001067646900001","View Full Record in Web of Science")</f>
        <v>View Full Record in Web of Science</v>
      </c>
    </row>
    <row r="155" spans="1:72" x14ac:dyDescent="0.2">
      <c r="A155" t="s">
        <v>103</v>
      </c>
      <c r="B155" t="s">
        <v>3211</v>
      </c>
      <c r="C155" t="s">
        <v>74</v>
      </c>
      <c r="D155" t="s">
        <v>74</v>
      </c>
      <c r="E155" t="s">
        <v>74</v>
      </c>
      <c r="F155" t="s">
        <v>3212</v>
      </c>
      <c r="G155" t="s">
        <v>74</v>
      </c>
      <c r="H155" t="s">
        <v>74</v>
      </c>
      <c r="I155" t="s">
        <v>3213</v>
      </c>
      <c r="J155" t="s">
        <v>3214</v>
      </c>
      <c r="K155" t="s">
        <v>74</v>
      </c>
      <c r="L155" t="s">
        <v>74</v>
      </c>
      <c r="M155" t="s">
        <v>79</v>
      </c>
      <c r="N155" t="s">
        <v>108</v>
      </c>
      <c r="O155" t="s">
        <v>74</v>
      </c>
      <c r="P155" t="s">
        <v>74</v>
      </c>
      <c r="Q155" t="s">
        <v>74</v>
      </c>
      <c r="R155" t="s">
        <v>74</v>
      </c>
      <c r="S155" t="s">
        <v>74</v>
      </c>
      <c r="T155" t="s">
        <v>3215</v>
      </c>
      <c r="U155" t="s">
        <v>74</v>
      </c>
      <c r="V155" t="s">
        <v>3216</v>
      </c>
      <c r="W155" t="s">
        <v>3217</v>
      </c>
      <c r="X155" t="s">
        <v>3218</v>
      </c>
      <c r="Y155" t="s">
        <v>3219</v>
      </c>
      <c r="Z155" t="s">
        <v>3220</v>
      </c>
      <c r="AA155" t="s">
        <v>3221</v>
      </c>
      <c r="AB155" t="s">
        <v>3222</v>
      </c>
      <c r="AC155" t="s">
        <v>74</v>
      </c>
      <c r="AD155" t="s">
        <v>74</v>
      </c>
      <c r="AE155" t="s">
        <v>74</v>
      </c>
      <c r="AF155" t="s">
        <v>74</v>
      </c>
      <c r="AG155">
        <v>8</v>
      </c>
      <c r="AH155">
        <v>1</v>
      </c>
      <c r="AI155">
        <v>1</v>
      </c>
      <c r="AJ155">
        <v>25</v>
      </c>
      <c r="AK155">
        <v>25</v>
      </c>
      <c r="AL155" t="s">
        <v>2010</v>
      </c>
      <c r="AM155" t="s">
        <v>93</v>
      </c>
      <c r="AN155" t="s">
        <v>2011</v>
      </c>
      <c r="AO155" t="s">
        <v>3223</v>
      </c>
      <c r="AP155" t="s">
        <v>3224</v>
      </c>
      <c r="AQ155" t="s">
        <v>74</v>
      </c>
      <c r="AR155" t="s">
        <v>3225</v>
      </c>
      <c r="AS155" t="s">
        <v>3226</v>
      </c>
      <c r="AT155" t="s">
        <v>3227</v>
      </c>
      <c r="AU155">
        <v>2023</v>
      </c>
      <c r="AV155">
        <v>52</v>
      </c>
      <c r="AW155">
        <v>4</v>
      </c>
      <c r="AX155" t="s">
        <v>74</v>
      </c>
      <c r="AY155" t="s">
        <v>74</v>
      </c>
      <c r="AZ155" t="s">
        <v>74</v>
      </c>
      <c r="BA155" t="s">
        <v>74</v>
      </c>
      <c r="BB155" t="s">
        <v>74</v>
      </c>
      <c r="BC155" t="s">
        <v>74</v>
      </c>
      <c r="BD155">
        <v>100998</v>
      </c>
      <c r="BE155" t="s">
        <v>3228</v>
      </c>
      <c r="BF155" t="str">
        <f>HYPERLINK("http://dx.doi.org/10.1016/j.orgdyn.2023.100998","http://dx.doi.org/10.1016/j.orgdyn.2023.100998")</f>
        <v>http://dx.doi.org/10.1016/j.orgdyn.2023.100998</v>
      </c>
      <c r="BG155" t="s">
        <v>74</v>
      </c>
      <c r="BH155" t="s">
        <v>157</v>
      </c>
      <c r="BI155">
        <v>10</v>
      </c>
      <c r="BJ155" t="s">
        <v>3229</v>
      </c>
      <c r="BK155" t="s">
        <v>159</v>
      </c>
      <c r="BL155" t="s">
        <v>1630</v>
      </c>
      <c r="BM155" t="s">
        <v>3230</v>
      </c>
      <c r="BN155" t="s">
        <v>74</v>
      </c>
      <c r="BO155" t="s">
        <v>161</v>
      </c>
      <c r="BP155" t="s">
        <v>74</v>
      </c>
      <c r="BQ155" t="s">
        <v>74</v>
      </c>
      <c r="BR155" t="s">
        <v>101</v>
      </c>
      <c r="BS155" t="s">
        <v>3231</v>
      </c>
      <c r="BT155" t="str">
        <f>HYPERLINK("https%3A%2F%2Fwww.webofscience.com%2Fwos%2Fwoscc%2Ffull-record%2FWOS:001125658100001","View Full Record in Web of Science")</f>
        <v>View Full Record in Web of Science</v>
      </c>
    </row>
    <row r="156" spans="1:72" x14ac:dyDescent="0.2">
      <c r="A156" t="s">
        <v>103</v>
      </c>
      <c r="B156" t="s">
        <v>3232</v>
      </c>
      <c r="C156" t="s">
        <v>74</v>
      </c>
      <c r="D156" t="s">
        <v>74</v>
      </c>
      <c r="E156" t="s">
        <v>74</v>
      </c>
      <c r="F156" t="s">
        <v>3233</v>
      </c>
      <c r="G156" t="s">
        <v>74</v>
      </c>
      <c r="H156" t="s">
        <v>74</v>
      </c>
      <c r="I156" t="s">
        <v>3234</v>
      </c>
      <c r="J156" t="s">
        <v>3235</v>
      </c>
      <c r="K156" t="s">
        <v>74</v>
      </c>
      <c r="L156" t="s">
        <v>74</v>
      </c>
      <c r="M156" t="s">
        <v>79</v>
      </c>
      <c r="N156" t="s">
        <v>138</v>
      </c>
      <c r="O156" t="s">
        <v>74</v>
      </c>
      <c r="P156" t="s">
        <v>74</v>
      </c>
      <c r="Q156" t="s">
        <v>74</v>
      </c>
      <c r="R156" t="s">
        <v>74</v>
      </c>
      <c r="S156" t="s">
        <v>74</v>
      </c>
      <c r="T156" t="s">
        <v>3236</v>
      </c>
      <c r="U156" t="s">
        <v>74</v>
      </c>
      <c r="V156" t="s">
        <v>3237</v>
      </c>
      <c r="W156" t="s">
        <v>3238</v>
      </c>
      <c r="X156" t="s">
        <v>142</v>
      </c>
      <c r="Y156" t="s">
        <v>3239</v>
      </c>
      <c r="Z156" t="s">
        <v>144</v>
      </c>
      <c r="AA156" t="s">
        <v>74</v>
      </c>
      <c r="AB156" t="s">
        <v>3240</v>
      </c>
      <c r="AC156" t="s">
        <v>3241</v>
      </c>
      <c r="AD156" t="s">
        <v>3242</v>
      </c>
      <c r="AE156" t="s">
        <v>3243</v>
      </c>
      <c r="AF156" t="s">
        <v>74</v>
      </c>
      <c r="AG156">
        <v>68</v>
      </c>
      <c r="AH156">
        <v>0</v>
      </c>
      <c r="AI156">
        <v>0</v>
      </c>
      <c r="AJ156">
        <v>16</v>
      </c>
      <c r="AK156">
        <v>16</v>
      </c>
      <c r="AL156" t="s">
        <v>148</v>
      </c>
      <c r="AM156" t="s">
        <v>149</v>
      </c>
      <c r="AN156" t="s">
        <v>150</v>
      </c>
      <c r="AO156" t="s">
        <v>3244</v>
      </c>
      <c r="AP156" t="s">
        <v>3245</v>
      </c>
      <c r="AQ156" t="s">
        <v>74</v>
      </c>
      <c r="AR156" t="s">
        <v>3246</v>
      </c>
      <c r="AS156" t="s">
        <v>3247</v>
      </c>
      <c r="AT156" t="s">
        <v>3248</v>
      </c>
      <c r="AU156">
        <v>2023</v>
      </c>
      <c r="AV156" t="s">
        <v>74</v>
      </c>
      <c r="AW156" t="s">
        <v>74</v>
      </c>
      <c r="AX156" t="s">
        <v>74</v>
      </c>
      <c r="AY156" t="s">
        <v>74</v>
      </c>
      <c r="AZ156" t="s">
        <v>74</v>
      </c>
      <c r="BA156" t="s">
        <v>74</v>
      </c>
      <c r="BB156" t="s">
        <v>74</v>
      </c>
      <c r="BC156" t="s">
        <v>74</v>
      </c>
      <c r="BD156" t="s">
        <v>74</v>
      </c>
      <c r="BE156" t="s">
        <v>3249</v>
      </c>
      <c r="BF156" t="str">
        <f>HYPERLINK("http://dx.doi.org/10.1177/10245294231218335","http://dx.doi.org/10.1177/10245294231218335")</f>
        <v>http://dx.doi.org/10.1177/10245294231218335</v>
      </c>
      <c r="BG156" t="s">
        <v>74</v>
      </c>
      <c r="BH156" t="s">
        <v>157</v>
      </c>
      <c r="BI156">
        <v>19</v>
      </c>
      <c r="BJ156" t="s">
        <v>3250</v>
      </c>
      <c r="BK156" t="s">
        <v>159</v>
      </c>
      <c r="BL156" t="s">
        <v>3251</v>
      </c>
      <c r="BM156" t="s">
        <v>3252</v>
      </c>
      <c r="BN156" t="s">
        <v>74</v>
      </c>
      <c r="BO156" t="s">
        <v>161</v>
      </c>
      <c r="BP156" t="s">
        <v>74</v>
      </c>
      <c r="BQ156" t="s">
        <v>74</v>
      </c>
      <c r="BR156" t="s">
        <v>101</v>
      </c>
      <c r="BS156" t="s">
        <v>3253</v>
      </c>
      <c r="BT156" t="str">
        <f>HYPERLINK("https%3A%2F%2Fwww.webofscience.com%2Fwos%2Fwoscc%2Ffull-record%2FWOS:001107787900001","View Full Record in Web of Science")</f>
        <v>View Full Record in Web of Science</v>
      </c>
    </row>
    <row r="157" spans="1:72" x14ac:dyDescent="0.2">
      <c r="A157" t="s">
        <v>72</v>
      </c>
      <c r="B157" t="s">
        <v>3254</v>
      </c>
      <c r="C157" t="s">
        <v>74</v>
      </c>
      <c r="D157" t="s">
        <v>74</v>
      </c>
      <c r="E157" t="s">
        <v>284</v>
      </c>
      <c r="F157" t="s">
        <v>3255</v>
      </c>
      <c r="G157" t="s">
        <v>74</v>
      </c>
      <c r="H157" t="s">
        <v>74</v>
      </c>
      <c r="I157" t="s">
        <v>3256</v>
      </c>
      <c r="J157" t="s">
        <v>3257</v>
      </c>
      <c r="K157" t="s">
        <v>74</v>
      </c>
      <c r="L157" t="s">
        <v>74</v>
      </c>
      <c r="M157" t="s">
        <v>79</v>
      </c>
      <c r="N157" t="s">
        <v>80</v>
      </c>
      <c r="O157" t="s">
        <v>3258</v>
      </c>
      <c r="P157" t="s">
        <v>3259</v>
      </c>
      <c r="Q157" t="s">
        <v>3260</v>
      </c>
      <c r="R157" t="s">
        <v>3261</v>
      </c>
      <c r="S157" t="s">
        <v>74</v>
      </c>
      <c r="T157" t="s">
        <v>3262</v>
      </c>
      <c r="U157" t="s">
        <v>3263</v>
      </c>
      <c r="V157" t="s">
        <v>3264</v>
      </c>
      <c r="W157" t="s">
        <v>3265</v>
      </c>
      <c r="X157" t="s">
        <v>3266</v>
      </c>
      <c r="Y157" t="s">
        <v>3267</v>
      </c>
      <c r="Z157" t="s">
        <v>3268</v>
      </c>
      <c r="AA157" t="s">
        <v>74</v>
      </c>
      <c r="AB157" t="s">
        <v>74</v>
      </c>
      <c r="AC157" t="s">
        <v>74</v>
      </c>
      <c r="AD157" t="s">
        <v>74</v>
      </c>
      <c r="AE157" t="s">
        <v>74</v>
      </c>
      <c r="AF157" t="s">
        <v>74</v>
      </c>
      <c r="AG157">
        <v>15</v>
      </c>
      <c r="AH157">
        <v>0</v>
      </c>
      <c r="AI157">
        <v>0</v>
      </c>
      <c r="AJ157">
        <v>1</v>
      </c>
      <c r="AK157">
        <v>1</v>
      </c>
      <c r="AL157" t="s">
        <v>638</v>
      </c>
      <c r="AM157" t="s">
        <v>639</v>
      </c>
      <c r="AN157" t="s">
        <v>640</v>
      </c>
      <c r="AO157" t="s">
        <v>74</v>
      </c>
      <c r="AP157" t="s">
        <v>74</v>
      </c>
      <c r="AQ157" t="s">
        <v>3269</v>
      </c>
      <c r="AR157" t="s">
        <v>74</v>
      </c>
      <c r="AS157" t="s">
        <v>74</v>
      </c>
      <c r="AT157" t="s">
        <v>74</v>
      </c>
      <c r="AU157">
        <v>2023</v>
      </c>
      <c r="AV157" t="s">
        <v>74</v>
      </c>
      <c r="AW157" t="s">
        <v>74</v>
      </c>
      <c r="AX157" t="s">
        <v>74</v>
      </c>
      <c r="AY157" t="s">
        <v>74</v>
      </c>
      <c r="AZ157" t="s">
        <v>74</v>
      </c>
      <c r="BA157" t="s">
        <v>74</v>
      </c>
      <c r="BB157">
        <v>351</v>
      </c>
      <c r="BC157">
        <v>356</v>
      </c>
      <c r="BD157" t="s">
        <v>74</v>
      </c>
      <c r="BE157" t="s">
        <v>3270</v>
      </c>
      <c r="BF157" t="str">
        <f>HYPERLINK("http://dx.doi.org/10.1109/WI-IAT59888.2023.00057","http://dx.doi.org/10.1109/WI-IAT59888.2023.00057")</f>
        <v>http://dx.doi.org/10.1109/WI-IAT59888.2023.00057</v>
      </c>
      <c r="BG157" t="s">
        <v>74</v>
      </c>
      <c r="BH157" t="s">
        <v>74</v>
      </c>
      <c r="BI157">
        <v>6</v>
      </c>
      <c r="BJ157" t="s">
        <v>3271</v>
      </c>
      <c r="BK157" t="s">
        <v>98</v>
      </c>
      <c r="BL157" t="s">
        <v>99</v>
      </c>
      <c r="BM157" t="s">
        <v>3272</v>
      </c>
      <c r="BN157" t="s">
        <v>74</v>
      </c>
      <c r="BO157" t="s">
        <v>74</v>
      </c>
      <c r="BP157" t="s">
        <v>74</v>
      </c>
      <c r="BQ157" t="s">
        <v>74</v>
      </c>
      <c r="BR157" t="s">
        <v>101</v>
      </c>
      <c r="BS157" t="s">
        <v>3273</v>
      </c>
      <c r="BT157" t="str">
        <f>HYPERLINK("https%3A%2F%2Fwww.webofscience.com%2Fwos%2Fwoscc%2Ffull-record%2FWOS:001139644800050","View Full Record in Web of Science")</f>
        <v>View Full Record in Web of Science</v>
      </c>
    </row>
    <row r="158" spans="1:72" x14ac:dyDescent="0.2">
      <c r="A158" t="s">
        <v>103</v>
      </c>
      <c r="B158" t="s">
        <v>3274</v>
      </c>
      <c r="C158" t="s">
        <v>74</v>
      </c>
      <c r="D158" t="s">
        <v>74</v>
      </c>
      <c r="E158" t="s">
        <v>74</v>
      </c>
      <c r="F158" t="s">
        <v>3275</v>
      </c>
      <c r="G158" t="s">
        <v>74</v>
      </c>
      <c r="H158" t="s">
        <v>74</v>
      </c>
      <c r="I158" t="s">
        <v>3276</v>
      </c>
      <c r="J158" t="s">
        <v>3277</v>
      </c>
      <c r="K158" t="s">
        <v>74</v>
      </c>
      <c r="L158" t="s">
        <v>74</v>
      </c>
      <c r="M158" t="s">
        <v>79</v>
      </c>
      <c r="N158" t="s">
        <v>108</v>
      </c>
      <c r="O158" t="s">
        <v>74</v>
      </c>
      <c r="P158" t="s">
        <v>74</v>
      </c>
      <c r="Q158" t="s">
        <v>74</v>
      </c>
      <c r="R158" t="s">
        <v>74</v>
      </c>
      <c r="S158" t="s">
        <v>74</v>
      </c>
      <c r="T158" t="s">
        <v>3278</v>
      </c>
      <c r="U158" t="s">
        <v>3279</v>
      </c>
      <c r="V158" t="s">
        <v>3280</v>
      </c>
      <c r="W158" t="s">
        <v>3281</v>
      </c>
      <c r="X158" t="s">
        <v>3282</v>
      </c>
      <c r="Y158" t="s">
        <v>3283</v>
      </c>
      <c r="Z158" t="s">
        <v>3284</v>
      </c>
      <c r="AA158" t="s">
        <v>2376</v>
      </c>
      <c r="AB158" t="s">
        <v>3285</v>
      </c>
      <c r="AC158" t="s">
        <v>74</v>
      </c>
      <c r="AD158" t="s">
        <v>74</v>
      </c>
      <c r="AE158" t="s">
        <v>74</v>
      </c>
      <c r="AF158" t="s">
        <v>74</v>
      </c>
      <c r="AG158">
        <v>79</v>
      </c>
      <c r="AH158">
        <v>12</v>
      </c>
      <c r="AI158">
        <v>12</v>
      </c>
      <c r="AJ158">
        <v>179</v>
      </c>
      <c r="AK158">
        <v>220</v>
      </c>
      <c r="AL158" t="s">
        <v>764</v>
      </c>
      <c r="AM158" t="s">
        <v>765</v>
      </c>
      <c r="AN158" t="s">
        <v>766</v>
      </c>
      <c r="AO158" t="s">
        <v>3286</v>
      </c>
      <c r="AP158" t="s">
        <v>74</v>
      </c>
      <c r="AQ158" t="s">
        <v>74</v>
      </c>
      <c r="AR158" t="s">
        <v>3287</v>
      </c>
      <c r="AS158" t="s">
        <v>3288</v>
      </c>
      <c r="AT158" t="s">
        <v>771</v>
      </c>
      <c r="AU158">
        <v>2023</v>
      </c>
      <c r="AV158">
        <v>83</v>
      </c>
      <c r="AW158" t="s">
        <v>74</v>
      </c>
      <c r="AX158" t="s">
        <v>74</v>
      </c>
      <c r="AY158" t="s">
        <v>74</v>
      </c>
      <c r="AZ158" t="s">
        <v>74</v>
      </c>
      <c r="BA158" t="s">
        <v>74</v>
      </c>
      <c r="BB158" t="s">
        <v>74</v>
      </c>
      <c r="BC158" t="s">
        <v>74</v>
      </c>
      <c r="BD158">
        <v>102030</v>
      </c>
      <c r="BE158" t="s">
        <v>3289</v>
      </c>
      <c r="BF158" t="str">
        <f>HYPERLINK("http://dx.doi.org/10.1016/j.tele.2023.102030","http://dx.doi.org/10.1016/j.tele.2023.102030")</f>
        <v>http://dx.doi.org/10.1016/j.tele.2023.102030</v>
      </c>
      <c r="BG158" t="s">
        <v>74</v>
      </c>
      <c r="BH158" t="s">
        <v>255</v>
      </c>
      <c r="BI158">
        <v>13</v>
      </c>
      <c r="BJ158" t="s">
        <v>1016</v>
      </c>
      <c r="BK158" t="s">
        <v>159</v>
      </c>
      <c r="BL158" t="s">
        <v>1016</v>
      </c>
      <c r="BM158" t="s">
        <v>3290</v>
      </c>
      <c r="BN158" t="s">
        <v>74</v>
      </c>
      <c r="BO158" t="s">
        <v>74</v>
      </c>
      <c r="BP158" t="s">
        <v>74</v>
      </c>
      <c r="BQ158" t="s">
        <v>74</v>
      </c>
      <c r="BR158" t="s">
        <v>101</v>
      </c>
      <c r="BS158" t="s">
        <v>3291</v>
      </c>
      <c r="BT158" t="str">
        <f>HYPERLINK("https%3A%2F%2Fwww.webofscience.com%2Fwos%2Fwoscc%2Ffull-record%2FWOS:001053007200001","View Full Record in Web of Science")</f>
        <v>View Full Record in Web of Science</v>
      </c>
    </row>
    <row r="159" spans="1:72" x14ac:dyDescent="0.2">
      <c r="A159" t="s">
        <v>72</v>
      </c>
      <c r="B159" t="s">
        <v>3292</v>
      </c>
      <c r="C159" t="s">
        <v>74</v>
      </c>
      <c r="D159" t="s">
        <v>74</v>
      </c>
      <c r="E159" t="s">
        <v>75</v>
      </c>
      <c r="F159" t="s">
        <v>3293</v>
      </c>
      <c r="G159" t="s">
        <v>74</v>
      </c>
      <c r="H159" t="s">
        <v>74</v>
      </c>
      <c r="I159" t="s">
        <v>3294</v>
      </c>
      <c r="J159" t="s">
        <v>3295</v>
      </c>
      <c r="K159" t="s">
        <v>74</v>
      </c>
      <c r="L159" t="s">
        <v>74</v>
      </c>
      <c r="M159" t="s">
        <v>79</v>
      </c>
      <c r="N159" t="s">
        <v>80</v>
      </c>
      <c r="O159" t="s">
        <v>3296</v>
      </c>
      <c r="P159" t="s">
        <v>3297</v>
      </c>
      <c r="Q159" t="s">
        <v>3298</v>
      </c>
      <c r="R159" t="s">
        <v>3299</v>
      </c>
      <c r="S159" t="s">
        <v>3300</v>
      </c>
      <c r="T159" t="s">
        <v>3301</v>
      </c>
      <c r="U159" t="s">
        <v>74</v>
      </c>
      <c r="V159" t="s">
        <v>74</v>
      </c>
      <c r="W159" t="s">
        <v>3302</v>
      </c>
      <c r="X159" t="s">
        <v>3303</v>
      </c>
      <c r="Y159" t="s">
        <v>3304</v>
      </c>
      <c r="Z159" t="s">
        <v>3305</v>
      </c>
      <c r="AA159" t="s">
        <v>74</v>
      </c>
      <c r="AB159" t="s">
        <v>74</v>
      </c>
      <c r="AC159" t="s">
        <v>74</v>
      </c>
      <c r="AD159" t="s">
        <v>74</v>
      </c>
      <c r="AE159" t="s">
        <v>74</v>
      </c>
      <c r="AF159" t="s">
        <v>74</v>
      </c>
      <c r="AG159">
        <v>2</v>
      </c>
      <c r="AH159">
        <v>0</v>
      </c>
      <c r="AI159">
        <v>0</v>
      </c>
      <c r="AJ159">
        <v>0</v>
      </c>
      <c r="AK159">
        <v>0</v>
      </c>
      <c r="AL159" t="s">
        <v>92</v>
      </c>
      <c r="AM159" t="s">
        <v>93</v>
      </c>
      <c r="AN159" t="s">
        <v>94</v>
      </c>
      <c r="AO159" t="s">
        <v>74</v>
      </c>
      <c r="AP159" t="s">
        <v>74</v>
      </c>
      <c r="AQ159" t="s">
        <v>3306</v>
      </c>
      <c r="AR159" t="s">
        <v>74</v>
      </c>
      <c r="AS159" t="s">
        <v>74</v>
      </c>
      <c r="AT159" t="s">
        <v>74</v>
      </c>
      <c r="AU159">
        <v>2023</v>
      </c>
      <c r="AV159" t="s">
        <v>74</v>
      </c>
      <c r="AW159" t="s">
        <v>74</v>
      </c>
      <c r="AX159" t="s">
        <v>74</v>
      </c>
      <c r="AY159" t="s">
        <v>74</v>
      </c>
      <c r="AZ159" t="s">
        <v>74</v>
      </c>
      <c r="BA159" t="s">
        <v>74</v>
      </c>
      <c r="BB159" t="s">
        <v>74</v>
      </c>
      <c r="BC159" t="s">
        <v>74</v>
      </c>
      <c r="BD159">
        <v>19</v>
      </c>
      <c r="BE159" t="s">
        <v>3307</v>
      </c>
      <c r="BF159" t="str">
        <f>HYPERLINK("http://dx.doi.org/10.1145/3610969.3611132","http://dx.doi.org/10.1145/3610969.3611132")</f>
        <v>http://dx.doi.org/10.1145/3610969.3611132</v>
      </c>
      <c r="BG159" t="s">
        <v>74</v>
      </c>
      <c r="BH159" t="s">
        <v>74</v>
      </c>
      <c r="BI159">
        <v>1</v>
      </c>
      <c r="BJ159" t="s">
        <v>3308</v>
      </c>
      <c r="BK159" t="s">
        <v>98</v>
      </c>
      <c r="BL159" t="s">
        <v>423</v>
      </c>
      <c r="BM159" t="s">
        <v>3309</v>
      </c>
      <c r="BN159" t="s">
        <v>74</v>
      </c>
      <c r="BO159" t="s">
        <v>74</v>
      </c>
      <c r="BP159" t="s">
        <v>74</v>
      </c>
      <c r="BQ159" t="s">
        <v>74</v>
      </c>
      <c r="BR159" t="s">
        <v>101</v>
      </c>
      <c r="BS159" t="s">
        <v>3310</v>
      </c>
      <c r="BT159" t="str">
        <f>HYPERLINK("https%3A%2F%2Fwww.webofscience.com%2Fwos%2Fwoscc%2Ffull-record%2FWOS:001147623400019","View Full Record in Web of Science")</f>
        <v>View Full Record in Web of Science</v>
      </c>
    </row>
    <row r="160" spans="1:72" x14ac:dyDescent="0.2">
      <c r="A160" t="s">
        <v>72</v>
      </c>
      <c r="B160" t="s">
        <v>3311</v>
      </c>
      <c r="C160" t="s">
        <v>74</v>
      </c>
      <c r="D160" t="s">
        <v>74</v>
      </c>
      <c r="E160" t="s">
        <v>75</v>
      </c>
      <c r="F160" t="s">
        <v>3312</v>
      </c>
      <c r="G160" t="s">
        <v>74</v>
      </c>
      <c r="H160" t="s">
        <v>74</v>
      </c>
      <c r="I160" t="s">
        <v>3313</v>
      </c>
      <c r="J160" t="s">
        <v>3314</v>
      </c>
      <c r="K160" t="s">
        <v>74</v>
      </c>
      <c r="L160" t="s">
        <v>74</v>
      </c>
      <c r="M160" t="s">
        <v>79</v>
      </c>
      <c r="N160" t="s">
        <v>80</v>
      </c>
      <c r="O160" t="s">
        <v>3315</v>
      </c>
      <c r="P160" t="s">
        <v>3316</v>
      </c>
      <c r="Q160" t="s">
        <v>3317</v>
      </c>
      <c r="R160" t="s">
        <v>3318</v>
      </c>
      <c r="S160" t="s">
        <v>74</v>
      </c>
      <c r="T160" t="s">
        <v>3319</v>
      </c>
      <c r="U160" t="s">
        <v>3320</v>
      </c>
      <c r="V160" t="s">
        <v>3321</v>
      </c>
      <c r="W160" t="s">
        <v>3322</v>
      </c>
      <c r="X160" t="s">
        <v>3323</v>
      </c>
      <c r="Y160" t="s">
        <v>3324</v>
      </c>
      <c r="Z160" t="s">
        <v>3325</v>
      </c>
      <c r="AA160" t="s">
        <v>3326</v>
      </c>
      <c r="AB160" t="s">
        <v>3327</v>
      </c>
      <c r="AC160" t="s">
        <v>74</v>
      </c>
      <c r="AD160" t="s">
        <v>74</v>
      </c>
      <c r="AE160" t="s">
        <v>74</v>
      </c>
      <c r="AF160" t="s">
        <v>74</v>
      </c>
      <c r="AG160">
        <v>78</v>
      </c>
      <c r="AH160">
        <v>1</v>
      </c>
      <c r="AI160">
        <v>1</v>
      </c>
      <c r="AJ160">
        <v>9</v>
      </c>
      <c r="AK160">
        <v>9</v>
      </c>
      <c r="AL160" t="s">
        <v>92</v>
      </c>
      <c r="AM160" t="s">
        <v>93</v>
      </c>
      <c r="AN160" t="s">
        <v>94</v>
      </c>
      <c r="AO160" t="s">
        <v>74</v>
      </c>
      <c r="AP160" t="s">
        <v>74</v>
      </c>
      <c r="AQ160" t="s">
        <v>3328</v>
      </c>
      <c r="AR160" t="s">
        <v>74</v>
      </c>
      <c r="AS160" t="s">
        <v>74</v>
      </c>
      <c r="AT160" t="s">
        <v>74</v>
      </c>
      <c r="AU160">
        <v>2023</v>
      </c>
      <c r="AV160" t="s">
        <v>74</v>
      </c>
      <c r="AW160" t="s">
        <v>74</v>
      </c>
      <c r="AX160" t="s">
        <v>74</v>
      </c>
      <c r="AY160" t="s">
        <v>74</v>
      </c>
      <c r="AZ160" t="s">
        <v>74</v>
      </c>
      <c r="BA160" t="s">
        <v>74</v>
      </c>
      <c r="BB160">
        <v>40</v>
      </c>
      <c r="BC160">
        <v>50</v>
      </c>
      <c r="BD160" t="s">
        <v>74</v>
      </c>
      <c r="BE160" t="s">
        <v>3329</v>
      </c>
      <c r="BF160" t="str">
        <f>HYPERLINK("http://dx.doi.org/10.1145/3568294.3580035","http://dx.doi.org/10.1145/3568294.3580035")</f>
        <v>http://dx.doi.org/10.1145/3568294.3580035</v>
      </c>
      <c r="BG160" t="s">
        <v>74</v>
      </c>
      <c r="BH160" t="s">
        <v>74</v>
      </c>
      <c r="BI160">
        <v>11</v>
      </c>
      <c r="BJ160" t="s">
        <v>3330</v>
      </c>
      <c r="BK160" t="s">
        <v>180</v>
      </c>
      <c r="BL160" t="s">
        <v>3331</v>
      </c>
      <c r="BM160" t="s">
        <v>3332</v>
      </c>
      <c r="BN160" t="s">
        <v>74</v>
      </c>
      <c r="BO160" t="s">
        <v>3333</v>
      </c>
      <c r="BP160" t="s">
        <v>74</v>
      </c>
      <c r="BQ160" t="s">
        <v>74</v>
      </c>
      <c r="BR160" t="s">
        <v>101</v>
      </c>
      <c r="BS160" t="s">
        <v>3334</v>
      </c>
      <c r="BT160" t="str">
        <f>HYPERLINK("https%3A%2F%2Fwww.webofscience.com%2Fwos%2Fwoscc%2Ffull-record%2FWOS:001054975700005","View Full Record in Web of Science")</f>
        <v>View Full Record in Web of Science</v>
      </c>
    </row>
    <row r="161" spans="1:72" x14ac:dyDescent="0.2">
      <c r="A161" t="s">
        <v>103</v>
      </c>
      <c r="B161" t="s">
        <v>3335</v>
      </c>
      <c r="C161" t="s">
        <v>74</v>
      </c>
      <c r="D161" t="s">
        <v>74</v>
      </c>
      <c r="E161" t="s">
        <v>74</v>
      </c>
      <c r="F161" t="s">
        <v>3336</v>
      </c>
      <c r="G161" t="s">
        <v>74</v>
      </c>
      <c r="H161" t="s">
        <v>74</v>
      </c>
      <c r="I161" t="s">
        <v>3337</v>
      </c>
      <c r="J161" t="s">
        <v>3338</v>
      </c>
      <c r="K161" t="s">
        <v>74</v>
      </c>
      <c r="L161" t="s">
        <v>74</v>
      </c>
      <c r="M161" t="s">
        <v>79</v>
      </c>
      <c r="N161" t="s">
        <v>108</v>
      </c>
      <c r="O161" t="s">
        <v>74</v>
      </c>
      <c r="P161" t="s">
        <v>74</v>
      </c>
      <c r="Q161" t="s">
        <v>74</v>
      </c>
      <c r="R161" t="s">
        <v>74</v>
      </c>
      <c r="S161" t="s">
        <v>74</v>
      </c>
      <c r="T161" t="s">
        <v>3339</v>
      </c>
      <c r="U161" t="s">
        <v>74</v>
      </c>
      <c r="V161" t="s">
        <v>3340</v>
      </c>
      <c r="W161" t="s">
        <v>3341</v>
      </c>
      <c r="X161" t="s">
        <v>3342</v>
      </c>
      <c r="Y161" t="s">
        <v>3343</v>
      </c>
      <c r="Z161" t="s">
        <v>3344</v>
      </c>
      <c r="AA161" t="s">
        <v>74</v>
      </c>
      <c r="AB161" t="s">
        <v>3345</v>
      </c>
      <c r="AC161" t="s">
        <v>74</v>
      </c>
      <c r="AD161" t="s">
        <v>74</v>
      </c>
      <c r="AE161" t="s">
        <v>74</v>
      </c>
      <c r="AF161" t="s">
        <v>74</v>
      </c>
      <c r="AG161">
        <v>49</v>
      </c>
      <c r="AH161">
        <v>3</v>
      </c>
      <c r="AI161">
        <v>3</v>
      </c>
      <c r="AJ161">
        <v>63</v>
      </c>
      <c r="AK161">
        <v>63</v>
      </c>
      <c r="AL161" t="s">
        <v>764</v>
      </c>
      <c r="AM161" t="s">
        <v>765</v>
      </c>
      <c r="AN161" t="s">
        <v>766</v>
      </c>
      <c r="AO161" t="s">
        <v>3346</v>
      </c>
      <c r="AP161" t="s">
        <v>74</v>
      </c>
      <c r="AQ161" t="s">
        <v>74</v>
      </c>
      <c r="AR161" t="s">
        <v>3347</v>
      </c>
      <c r="AS161" t="s">
        <v>3348</v>
      </c>
      <c r="AT161" t="s">
        <v>375</v>
      </c>
      <c r="AU161">
        <v>2023</v>
      </c>
      <c r="AV161">
        <v>5</v>
      </c>
      <c r="AW161" t="s">
        <v>74</v>
      </c>
      <c r="AX161" t="s">
        <v>74</v>
      </c>
      <c r="AY161" t="s">
        <v>74</v>
      </c>
      <c r="AZ161" t="s">
        <v>74</v>
      </c>
      <c r="BA161" t="s">
        <v>74</v>
      </c>
      <c r="BB161" t="s">
        <v>74</v>
      </c>
      <c r="BC161" t="s">
        <v>74</v>
      </c>
      <c r="BD161">
        <v>100151</v>
      </c>
      <c r="BE161" t="s">
        <v>3349</v>
      </c>
      <c r="BF161" t="str">
        <f>HYPERLINK("http://dx.doi.org/10.1016/j.caeo.2023.100151","http://dx.doi.org/10.1016/j.caeo.2023.100151")</f>
        <v>http://dx.doi.org/10.1016/j.caeo.2023.100151</v>
      </c>
      <c r="BG161" t="s">
        <v>74</v>
      </c>
      <c r="BH161" t="s">
        <v>1886</v>
      </c>
      <c r="BI161">
        <v>10</v>
      </c>
      <c r="BJ161" t="s">
        <v>2064</v>
      </c>
      <c r="BK161" t="s">
        <v>352</v>
      </c>
      <c r="BL161" t="s">
        <v>1187</v>
      </c>
      <c r="BM161" t="s">
        <v>3350</v>
      </c>
      <c r="BN161" t="s">
        <v>74</v>
      </c>
      <c r="BO161" t="s">
        <v>425</v>
      </c>
      <c r="BP161" t="s">
        <v>74</v>
      </c>
      <c r="BQ161" t="s">
        <v>74</v>
      </c>
      <c r="BR161" t="s">
        <v>101</v>
      </c>
      <c r="BS161" t="s">
        <v>3351</v>
      </c>
      <c r="BT161" t="str">
        <f>HYPERLINK("https%3A%2F%2Fwww.webofscience.com%2Fwos%2Fwoscc%2Ffull-record%2FWOS:001102793000001","View Full Record in Web of Science")</f>
        <v>View Full Record in Web of Science</v>
      </c>
    </row>
    <row r="162" spans="1:72" x14ac:dyDescent="0.2">
      <c r="A162" t="s">
        <v>72</v>
      </c>
      <c r="B162" t="s">
        <v>3352</v>
      </c>
      <c r="C162" t="s">
        <v>74</v>
      </c>
      <c r="D162" t="s">
        <v>74</v>
      </c>
      <c r="E162" t="s">
        <v>75</v>
      </c>
      <c r="F162" t="s">
        <v>3353</v>
      </c>
      <c r="G162" t="s">
        <v>74</v>
      </c>
      <c r="H162" t="s">
        <v>74</v>
      </c>
      <c r="I162" t="s">
        <v>3354</v>
      </c>
      <c r="J162" t="s">
        <v>1193</v>
      </c>
      <c r="K162" t="s">
        <v>74</v>
      </c>
      <c r="L162" t="s">
        <v>74</v>
      </c>
      <c r="M162" t="s">
        <v>79</v>
      </c>
      <c r="N162" t="s">
        <v>80</v>
      </c>
      <c r="O162" t="s">
        <v>1194</v>
      </c>
      <c r="P162" t="s">
        <v>1195</v>
      </c>
      <c r="Q162" t="s">
        <v>1196</v>
      </c>
      <c r="R162" t="s">
        <v>1197</v>
      </c>
      <c r="S162" t="s">
        <v>74</v>
      </c>
      <c r="T162" t="s">
        <v>3355</v>
      </c>
      <c r="U162" t="s">
        <v>74</v>
      </c>
      <c r="V162" t="s">
        <v>74</v>
      </c>
      <c r="W162" t="s">
        <v>3356</v>
      </c>
      <c r="X162" t="s">
        <v>3357</v>
      </c>
      <c r="Y162" t="s">
        <v>3358</v>
      </c>
      <c r="Z162" t="s">
        <v>3359</v>
      </c>
      <c r="AA162" t="s">
        <v>74</v>
      </c>
      <c r="AB162" t="s">
        <v>74</v>
      </c>
      <c r="AC162" t="s">
        <v>3360</v>
      </c>
      <c r="AD162" t="s">
        <v>3361</v>
      </c>
      <c r="AE162" t="s">
        <v>3362</v>
      </c>
      <c r="AF162" t="s">
        <v>74</v>
      </c>
      <c r="AG162">
        <v>16</v>
      </c>
      <c r="AH162">
        <v>0</v>
      </c>
      <c r="AI162">
        <v>0</v>
      </c>
      <c r="AJ162">
        <v>3</v>
      </c>
      <c r="AK162">
        <v>3</v>
      </c>
      <c r="AL162" t="s">
        <v>92</v>
      </c>
      <c r="AM162" t="s">
        <v>93</v>
      </c>
      <c r="AN162" t="s">
        <v>94</v>
      </c>
      <c r="AO162" t="s">
        <v>74</v>
      </c>
      <c r="AP162" t="s">
        <v>74</v>
      </c>
      <c r="AQ162" t="s">
        <v>1209</v>
      </c>
      <c r="AR162" t="s">
        <v>74</v>
      </c>
      <c r="AS162" t="s">
        <v>74</v>
      </c>
      <c r="AT162" t="s">
        <v>74</v>
      </c>
      <c r="AU162">
        <v>2023</v>
      </c>
      <c r="AV162" t="s">
        <v>74</v>
      </c>
      <c r="AW162" t="s">
        <v>74</v>
      </c>
      <c r="AX162" t="s">
        <v>74</v>
      </c>
      <c r="AY162" t="s">
        <v>74</v>
      </c>
      <c r="AZ162" t="s">
        <v>74</v>
      </c>
      <c r="BA162" t="s">
        <v>74</v>
      </c>
      <c r="BB162">
        <v>945</v>
      </c>
      <c r="BC162">
        <v>946</v>
      </c>
      <c r="BD162" t="s">
        <v>74</v>
      </c>
      <c r="BE162" t="s">
        <v>3363</v>
      </c>
      <c r="BF162" t="str">
        <f>HYPERLINK("http://dx.doi.org/10.1145/3600211.3604744","http://dx.doi.org/10.1145/3600211.3604744")</f>
        <v>http://dx.doi.org/10.1145/3600211.3604744</v>
      </c>
      <c r="BG162" t="s">
        <v>74</v>
      </c>
      <c r="BH162" t="s">
        <v>74</v>
      </c>
      <c r="BI162">
        <v>2</v>
      </c>
      <c r="BJ162" t="s">
        <v>1211</v>
      </c>
      <c r="BK162" t="s">
        <v>180</v>
      </c>
      <c r="BL162" t="s">
        <v>1212</v>
      </c>
      <c r="BM162" t="s">
        <v>1213</v>
      </c>
      <c r="BN162" t="s">
        <v>74</v>
      </c>
      <c r="BO162" t="s">
        <v>74</v>
      </c>
      <c r="BP162" t="s">
        <v>74</v>
      </c>
      <c r="BQ162" t="s">
        <v>74</v>
      </c>
      <c r="BR162" t="s">
        <v>101</v>
      </c>
      <c r="BS162" t="s">
        <v>3364</v>
      </c>
      <c r="BT162" t="str">
        <f>HYPERLINK("https%3A%2F%2Fwww.webofscience.com%2Fwos%2Fwoscc%2Ffull-record%2FWOS:001117838100074","View Full Record in Web of Science")</f>
        <v>View Full Record in Web of Science</v>
      </c>
    </row>
    <row r="163" spans="1:72" x14ac:dyDescent="0.2">
      <c r="A163" t="s">
        <v>103</v>
      </c>
      <c r="B163" t="s">
        <v>3365</v>
      </c>
      <c r="C163" t="s">
        <v>74</v>
      </c>
      <c r="D163" t="s">
        <v>74</v>
      </c>
      <c r="E163" t="s">
        <v>74</v>
      </c>
      <c r="F163" t="s">
        <v>3366</v>
      </c>
      <c r="G163" t="s">
        <v>74</v>
      </c>
      <c r="H163" t="s">
        <v>74</v>
      </c>
      <c r="I163" t="s">
        <v>3367</v>
      </c>
      <c r="J163" t="s">
        <v>3368</v>
      </c>
      <c r="K163" t="s">
        <v>74</v>
      </c>
      <c r="L163" t="s">
        <v>74</v>
      </c>
      <c r="M163" t="s">
        <v>79</v>
      </c>
      <c r="N163" t="s">
        <v>108</v>
      </c>
      <c r="O163" t="s">
        <v>74</v>
      </c>
      <c r="P163" t="s">
        <v>74</v>
      </c>
      <c r="Q163" t="s">
        <v>74</v>
      </c>
      <c r="R163" t="s">
        <v>74</v>
      </c>
      <c r="S163" t="s">
        <v>74</v>
      </c>
      <c r="T163" t="s">
        <v>3369</v>
      </c>
      <c r="U163" t="s">
        <v>74</v>
      </c>
      <c r="V163" t="s">
        <v>3370</v>
      </c>
      <c r="W163" t="s">
        <v>3371</v>
      </c>
      <c r="X163" t="s">
        <v>3372</v>
      </c>
      <c r="Y163" t="s">
        <v>3373</v>
      </c>
      <c r="Z163" t="s">
        <v>3374</v>
      </c>
      <c r="AA163" t="s">
        <v>3375</v>
      </c>
      <c r="AB163" t="s">
        <v>3376</v>
      </c>
      <c r="AC163" t="s">
        <v>74</v>
      </c>
      <c r="AD163" t="s">
        <v>74</v>
      </c>
      <c r="AE163" t="s">
        <v>74</v>
      </c>
      <c r="AF163" t="s">
        <v>74</v>
      </c>
      <c r="AG163">
        <v>72</v>
      </c>
      <c r="AH163">
        <v>5</v>
      </c>
      <c r="AI163">
        <v>5</v>
      </c>
      <c r="AJ163">
        <v>146</v>
      </c>
      <c r="AK163">
        <v>146</v>
      </c>
      <c r="AL163" t="s">
        <v>764</v>
      </c>
      <c r="AM163" t="s">
        <v>765</v>
      </c>
      <c r="AN163" t="s">
        <v>766</v>
      </c>
      <c r="AO163" t="s">
        <v>3377</v>
      </c>
      <c r="AP163" t="s">
        <v>3378</v>
      </c>
      <c r="AQ163" t="s">
        <v>74</v>
      </c>
      <c r="AR163" t="s">
        <v>3379</v>
      </c>
      <c r="AS163" t="s">
        <v>3380</v>
      </c>
      <c r="AT163" t="s">
        <v>276</v>
      </c>
      <c r="AU163">
        <v>2023</v>
      </c>
      <c r="AV163">
        <v>265</v>
      </c>
      <c r="AW163" t="s">
        <v>74</v>
      </c>
      <c r="AX163" t="s">
        <v>74</v>
      </c>
      <c r="AY163" t="s">
        <v>74</v>
      </c>
      <c r="AZ163" t="s">
        <v>74</v>
      </c>
      <c r="BA163" t="s">
        <v>74</v>
      </c>
      <c r="BB163" t="s">
        <v>74</v>
      </c>
      <c r="BC163" t="s">
        <v>74</v>
      </c>
      <c r="BD163">
        <v>109015</v>
      </c>
      <c r="BE163" t="s">
        <v>3381</v>
      </c>
      <c r="BF163" t="str">
        <f>HYPERLINK("http://dx.doi.org/10.1016/j.ijpe.2023.109015","http://dx.doi.org/10.1016/j.ijpe.2023.109015")</f>
        <v>http://dx.doi.org/10.1016/j.ijpe.2023.109015</v>
      </c>
      <c r="BG163" t="s">
        <v>74</v>
      </c>
      <c r="BH163" t="s">
        <v>255</v>
      </c>
      <c r="BI163">
        <v>11</v>
      </c>
      <c r="BJ163" t="s">
        <v>3382</v>
      </c>
      <c r="BK163" t="s">
        <v>130</v>
      </c>
      <c r="BL163" t="s">
        <v>3383</v>
      </c>
      <c r="BM163" t="s">
        <v>3384</v>
      </c>
      <c r="BN163" t="s">
        <v>74</v>
      </c>
      <c r="BO163" t="s">
        <v>74</v>
      </c>
      <c r="BP163" t="s">
        <v>74</v>
      </c>
      <c r="BQ163" t="s">
        <v>74</v>
      </c>
      <c r="BR163" t="s">
        <v>101</v>
      </c>
      <c r="BS163" t="s">
        <v>3385</v>
      </c>
      <c r="BT163" t="str">
        <f>HYPERLINK("https%3A%2F%2Fwww.webofscience.com%2Fwos%2Fwoscc%2Ffull-record%2FWOS:001069856000001","View Full Record in Web of Science")</f>
        <v>View Full Record in Web of Science</v>
      </c>
    </row>
    <row r="164" spans="1:72" x14ac:dyDescent="0.2">
      <c r="A164" t="s">
        <v>103</v>
      </c>
      <c r="B164" t="s">
        <v>3386</v>
      </c>
      <c r="C164" t="s">
        <v>74</v>
      </c>
      <c r="D164" t="s">
        <v>74</v>
      </c>
      <c r="E164" t="s">
        <v>74</v>
      </c>
      <c r="F164" t="s">
        <v>3387</v>
      </c>
      <c r="G164" t="s">
        <v>74</v>
      </c>
      <c r="H164" t="s">
        <v>74</v>
      </c>
      <c r="I164" t="s">
        <v>3388</v>
      </c>
      <c r="J164" t="s">
        <v>3389</v>
      </c>
      <c r="K164" t="s">
        <v>74</v>
      </c>
      <c r="L164" t="s">
        <v>74</v>
      </c>
      <c r="M164" t="s">
        <v>79</v>
      </c>
      <c r="N164" t="s">
        <v>108</v>
      </c>
      <c r="O164" t="s">
        <v>74</v>
      </c>
      <c r="P164" t="s">
        <v>74</v>
      </c>
      <c r="Q164" t="s">
        <v>74</v>
      </c>
      <c r="R164" t="s">
        <v>74</v>
      </c>
      <c r="S164" t="s">
        <v>74</v>
      </c>
      <c r="T164" t="s">
        <v>3390</v>
      </c>
      <c r="U164" t="s">
        <v>3391</v>
      </c>
      <c r="V164" t="s">
        <v>3392</v>
      </c>
      <c r="W164" t="s">
        <v>3393</v>
      </c>
      <c r="X164" t="s">
        <v>3394</v>
      </c>
      <c r="Y164" t="s">
        <v>3395</v>
      </c>
      <c r="Z164" t="s">
        <v>3396</v>
      </c>
      <c r="AA164" t="s">
        <v>3397</v>
      </c>
      <c r="AB164" t="s">
        <v>3398</v>
      </c>
      <c r="AC164" t="s">
        <v>3399</v>
      </c>
      <c r="AD164" t="s">
        <v>3400</v>
      </c>
      <c r="AE164" t="s">
        <v>3401</v>
      </c>
      <c r="AF164" t="s">
        <v>74</v>
      </c>
      <c r="AG164">
        <v>115</v>
      </c>
      <c r="AH164">
        <v>3</v>
      </c>
      <c r="AI164">
        <v>4</v>
      </c>
      <c r="AJ164">
        <v>58</v>
      </c>
      <c r="AK164">
        <v>58</v>
      </c>
      <c r="AL164" t="s">
        <v>1379</v>
      </c>
      <c r="AM164" t="s">
        <v>1380</v>
      </c>
      <c r="AN164" t="s">
        <v>1381</v>
      </c>
      <c r="AO164" t="s">
        <v>74</v>
      </c>
      <c r="AP164" t="s">
        <v>3402</v>
      </c>
      <c r="AQ164" t="s">
        <v>74</v>
      </c>
      <c r="AR164" t="s">
        <v>3403</v>
      </c>
      <c r="AS164" t="s">
        <v>3404</v>
      </c>
      <c r="AT164" t="s">
        <v>74</v>
      </c>
      <c r="AU164">
        <v>2023</v>
      </c>
      <c r="AV164">
        <v>4</v>
      </c>
      <c r="AW164" t="s">
        <v>74</v>
      </c>
      <c r="AX164" t="s">
        <v>74</v>
      </c>
      <c r="AY164" t="s">
        <v>74</v>
      </c>
      <c r="AZ164" t="s">
        <v>74</v>
      </c>
      <c r="BA164" t="s">
        <v>74</v>
      </c>
      <c r="BB164">
        <v>280</v>
      </c>
      <c r="BC164">
        <v>302</v>
      </c>
      <c r="BD164" t="s">
        <v>74</v>
      </c>
      <c r="BE164" t="s">
        <v>3405</v>
      </c>
      <c r="BF164" t="str">
        <f>HYPERLINK("http://dx.doi.org/10.1109/OJCS.2023.3300321","http://dx.doi.org/10.1109/OJCS.2023.3300321")</f>
        <v>http://dx.doi.org/10.1109/OJCS.2023.3300321</v>
      </c>
      <c r="BG164" t="s">
        <v>74</v>
      </c>
      <c r="BH164" t="s">
        <v>74</v>
      </c>
      <c r="BI164">
        <v>23</v>
      </c>
      <c r="BJ164" t="s">
        <v>3406</v>
      </c>
      <c r="BK164" t="s">
        <v>352</v>
      </c>
      <c r="BL164" t="s">
        <v>906</v>
      </c>
      <c r="BM164" t="s">
        <v>3407</v>
      </c>
      <c r="BN164" t="s">
        <v>74</v>
      </c>
      <c r="BO164" t="s">
        <v>1711</v>
      </c>
      <c r="BP164" t="s">
        <v>74</v>
      </c>
      <c r="BQ164" t="s">
        <v>74</v>
      </c>
      <c r="BR164" t="s">
        <v>101</v>
      </c>
      <c r="BS164" t="s">
        <v>3408</v>
      </c>
      <c r="BT164" t="str">
        <f>HYPERLINK("https%3A%2F%2Fwww.webofscience.com%2Fwos%2Fwoscc%2Ffull-record%2FWOS:001122343200001","View Full Record in Web of Science")</f>
        <v>View Full Record in Web of Science</v>
      </c>
    </row>
    <row r="165" spans="1:72" x14ac:dyDescent="0.2">
      <c r="A165" t="s">
        <v>103</v>
      </c>
      <c r="B165" t="s">
        <v>3409</v>
      </c>
      <c r="C165" t="s">
        <v>74</v>
      </c>
      <c r="D165" t="s">
        <v>74</v>
      </c>
      <c r="E165" t="s">
        <v>74</v>
      </c>
      <c r="F165" t="s">
        <v>3410</v>
      </c>
      <c r="G165" t="s">
        <v>74</v>
      </c>
      <c r="H165" t="s">
        <v>74</v>
      </c>
      <c r="I165" t="s">
        <v>3411</v>
      </c>
      <c r="J165" t="s">
        <v>2940</v>
      </c>
      <c r="K165" t="s">
        <v>74</v>
      </c>
      <c r="L165" t="s">
        <v>74</v>
      </c>
      <c r="M165" t="s">
        <v>79</v>
      </c>
      <c r="N165" t="s">
        <v>108</v>
      </c>
      <c r="O165" t="s">
        <v>74</v>
      </c>
      <c r="P165" t="s">
        <v>74</v>
      </c>
      <c r="Q165" t="s">
        <v>74</v>
      </c>
      <c r="R165" t="s">
        <v>74</v>
      </c>
      <c r="S165" t="s">
        <v>74</v>
      </c>
      <c r="T165" t="s">
        <v>3412</v>
      </c>
      <c r="U165" t="s">
        <v>74</v>
      </c>
      <c r="V165" t="s">
        <v>3413</v>
      </c>
      <c r="W165" t="s">
        <v>3414</v>
      </c>
      <c r="X165" t="s">
        <v>3415</v>
      </c>
      <c r="Y165" t="s">
        <v>3416</v>
      </c>
      <c r="Z165" t="s">
        <v>3417</v>
      </c>
      <c r="AA165" t="s">
        <v>3418</v>
      </c>
      <c r="AB165" t="s">
        <v>3419</v>
      </c>
      <c r="AC165" t="s">
        <v>74</v>
      </c>
      <c r="AD165" t="s">
        <v>74</v>
      </c>
      <c r="AE165" t="s">
        <v>74</v>
      </c>
      <c r="AF165" t="s">
        <v>74</v>
      </c>
      <c r="AG165">
        <v>34</v>
      </c>
      <c r="AH165">
        <v>0</v>
      </c>
      <c r="AI165">
        <v>0</v>
      </c>
      <c r="AJ165">
        <v>26</v>
      </c>
      <c r="AK165">
        <v>26</v>
      </c>
      <c r="AL165" t="s">
        <v>939</v>
      </c>
      <c r="AM165" t="s">
        <v>940</v>
      </c>
      <c r="AN165" t="s">
        <v>941</v>
      </c>
      <c r="AO165" t="s">
        <v>74</v>
      </c>
      <c r="AP165" t="s">
        <v>2951</v>
      </c>
      <c r="AQ165" t="s">
        <v>74</v>
      </c>
      <c r="AR165" t="s">
        <v>2952</v>
      </c>
      <c r="AS165" t="s">
        <v>2953</v>
      </c>
      <c r="AT165" t="s">
        <v>276</v>
      </c>
      <c r="AU165">
        <v>2023</v>
      </c>
      <c r="AV165">
        <v>13</v>
      </c>
      <c r="AW165">
        <v>11</v>
      </c>
      <c r="AX165" t="s">
        <v>74</v>
      </c>
      <c r="AY165" t="s">
        <v>74</v>
      </c>
      <c r="AZ165" t="s">
        <v>74</v>
      </c>
      <c r="BA165" t="s">
        <v>74</v>
      </c>
      <c r="BB165" t="s">
        <v>74</v>
      </c>
      <c r="BC165" t="s">
        <v>74</v>
      </c>
      <c r="BD165">
        <v>1155</v>
      </c>
      <c r="BE165" t="s">
        <v>3420</v>
      </c>
      <c r="BF165" t="str">
        <f>HYPERLINK("http://dx.doi.org/10.3390/educsci13111155","http://dx.doi.org/10.3390/educsci13111155")</f>
        <v>http://dx.doi.org/10.3390/educsci13111155</v>
      </c>
      <c r="BG165" t="s">
        <v>74</v>
      </c>
      <c r="BH165" t="s">
        <v>74</v>
      </c>
      <c r="BI165">
        <v>18</v>
      </c>
      <c r="BJ165" t="s">
        <v>423</v>
      </c>
      <c r="BK165" t="s">
        <v>352</v>
      </c>
      <c r="BL165" t="s">
        <v>423</v>
      </c>
      <c r="BM165" t="s">
        <v>3421</v>
      </c>
      <c r="BN165" t="s">
        <v>74</v>
      </c>
      <c r="BO165" t="s">
        <v>425</v>
      </c>
      <c r="BP165" t="s">
        <v>74</v>
      </c>
      <c r="BQ165" t="s">
        <v>74</v>
      </c>
      <c r="BR165" t="s">
        <v>101</v>
      </c>
      <c r="BS165" t="s">
        <v>3422</v>
      </c>
      <c r="BT165" t="str">
        <f>HYPERLINK("https%3A%2F%2Fwww.webofscience.com%2Fwos%2Fwoscc%2Ffull-record%2FWOS:001118353400001","View Full Record in Web of Science")</f>
        <v>View Full Record in Web of Science</v>
      </c>
    </row>
    <row r="166" spans="1:72" x14ac:dyDescent="0.2">
      <c r="A166" t="s">
        <v>103</v>
      </c>
      <c r="B166" t="s">
        <v>3423</v>
      </c>
      <c r="C166" t="s">
        <v>74</v>
      </c>
      <c r="D166" t="s">
        <v>74</v>
      </c>
      <c r="E166" t="s">
        <v>74</v>
      </c>
      <c r="F166" t="s">
        <v>3424</v>
      </c>
      <c r="G166" t="s">
        <v>74</v>
      </c>
      <c r="H166" t="s">
        <v>74</v>
      </c>
      <c r="I166" t="s">
        <v>3425</v>
      </c>
      <c r="J166" t="s">
        <v>3426</v>
      </c>
      <c r="K166" t="s">
        <v>74</v>
      </c>
      <c r="L166" t="s">
        <v>74</v>
      </c>
      <c r="M166" t="s">
        <v>79</v>
      </c>
      <c r="N166" t="s">
        <v>108</v>
      </c>
      <c r="O166" t="s">
        <v>74</v>
      </c>
      <c r="P166" t="s">
        <v>74</v>
      </c>
      <c r="Q166" t="s">
        <v>74</v>
      </c>
      <c r="R166" t="s">
        <v>74</v>
      </c>
      <c r="S166" t="s">
        <v>74</v>
      </c>
      <c r="T166" t="s">
        <v>3427</v>
      </c>
      <c r="U166" t="s">
        <v>3428</v>
      </c>
      <c r="V166" t="s">
        <v>3429</v>
      </c>
      <c r="W166" t="s">
        <v>3430</v>
      </c>
      <c r="X166" t="s">
        <v>3431</v>
      </c>
      <c r="Y166" t="s">
        <v>3432</v>
      </c>
      <c r="Z166" t="s">
        <v>3433</v>
      </c>
      <c r="AA166" t="s">
        <v>3434</v>
      </c>
      <c r="AB166" t="s">
        <v>3435</v>
      </c>
      <c r="AC166" t="s">
        <v>74</v>
      </c>
      <c r="AD166" t="s">
        <v>74</v>
      </c>
      <c r="AE166" t="s">
        <v>74</v>
      </c>
      <c r="AF166" t="s">
        <v>74</v>
      </c>
      <c r="AG166">
        <v>33</v>
      </c>
      <c r="AH166">
        <v>1</v>
      </c>
      <c r="AI166">
        <v>1</v>
      </c>
      <c r="AJ166">
        <v>13</v>
      </c>
      <c r="AK166">
        <v>13</v>
      </c>
      <c r="AL166" t="s">
        <v>939</v>
      </c>
      <c r="AM166" t="s">
        <v>940</v>
      </c>
      <c r="AN166" t="s">
        <v>941</v>
      </c>
      <c r="AO166" t="s">
        <v>74</v>
      </c>
      <c r="AP166" t="s">
        <v>3436</v>
      </c>
      <c r="AQ166" t="s">
        <v>74</v>
      </c>
      <c r="AR166" t="s">
        <v>3437</v>
      </c>
      <c r="AS166" t="s">
        <v>3438</v>
      </c>
      <c r="AT166" t="s">
        <v>467</v>
      </c>
      <c r="AU166">
        <v>2023</v>
      </c>
      <c r="AV166">
        <v>12</v>
      </c>
      <c r="AW166">
        <v>20</v>
      </c>
      <c r="AX166" t="s">
        <v>74</v>
      </c>
      <c r="AY166" t="s">
        <v>74</v>
      </c>
      <c r="AZ166" t="s">
        <v>74</v>
      </c>
      <c r="BA166" t="s">
        <v>74</v>
      </c>
      <c r="BB166" t="s">
        <v>74</v>
      </c>
      <c r="BC166" t="s">
        <v>74</v>
      </c>
      <c r="BD166">
        <v>6524</v>
      </c>
      <c r="BE166" t="s">
        <v>3439</v>
      </c>
      <c r="BF166" t="str">
        <f>HYPERLINK("http://dx.doi.org/10.3390/jcm12206524","http://dx.doi.org/10.3390/jcm12206524")</f>
        <v>http://dx.doi.org/10.3390/jcm12206524</v>
      </c>
      <c r="BG166" t="s">
        <v>74</v>
      </c>
      <c r="BH166" t="s">
        <v>74</v>
      </c>
      <c r="BI166">
        <v>12</v>
      </c>
      <c r="BJ166" t="s">
        <v>3440</v>
      </c>
      <c r="BK166" t="s">
        <v>130</v>
      </c>
      <c r="BL166" t="s">
        <v>3441</v>
      </c>
      <c r="BM166" t="s">
        <v>3442</v>
      </c>
      <c r="BN166">
        <v>37892665</v>
      </c>
      <c r="BO166" t="s">
        <v>1728</v>
      </c>
      <c r="BP166" t="s">
        <v>74</v>
      </c>
      <c r="BQ166" t="s">
        <v>74</v>
      </c>
      <c r="BR166" t="s">
        <v>101</v>
      </c>
      <c r="BS166" t="s">
        <v>3443</v>
      </c>
      <c r="BT166" t="str">
        <f>HYPERLINK("https%3A%2F%2Fwww.webofscience.com%2Fwos%2Fwoscc%2Ffull-record%2FWOS:001095336300001","View Full Record in Web of Science")</f>
        <v>View Full Record in Web of Science</v>
      </c>
    </row>
    <row r="167" spans="1:72" x14ac:dyDescent="0.2">
      <c r="A167" t="s">
        <v>103</v>
      </c>
      <c r="B167" t="s">
        <v>3444</v>
      </c>
      <c r="C167" t="s">
        <v>74</v>
      </c>
      <c r="D167" t="s">
        <v>74</v>
      </c>
      <c r="E167" t="s">
        <v>74</v>
      </c>
      <c r="F167" t="s">
        <v>3445</v>
      </c>
      <c r="G167" t="s">
        <v>74</v>
      </c>
      <c r="H167" t="s">
        <v>74</v>
      </c>
      <c r="I167" t="s">
        <v>3446</v>
      </c>
      <c r="J167" t="s">
        <v>3447</v>
      </c>
      <c r="K167" t="s">
        <v>74</v>
      </c>
      <c r="L167" t="s">
        <v>74</v>
      </c>
      <c r="M167" t="s">
        <v>79</v>
      </c>
      <c r="N167" t="s">
        <v>108</v>
      </c>
      <c r="O167" t="s">
        <v>74</v>
      </c>
      <c r="P167" t="s">
        <v>74</v>
      </c>
      <c r="Q167" t="s">
        <v>74</v>
      </c>
      <c r="R167" t="s">
        <v>74</v>
      </c>
      <c r="S167" t="s">
        <v>74</v>
      </c>
      <c r="T167" t="s">
        <v>3448</v>
      </c>
      <c r="U167" t="s">
        <v>3449</v>
      </c>
      <c r="V167" t="s">
        <v>3450</v>
      </c>
      <c r="W167" t="s">
        <v>3451</v>
      </c>
      <c r="X167" t="s">
        <v>3452</v>
      </c>
      <c r="Y167" t="s">
        <v>3453</v>
      </c>
      <c r="Z167" t="s">
        <v>3454</v>
      </c>
      <c r="AA167" t="s">
        <v>3455</v>
      </c>
      <c r="AB167" t="s">
        <v>3456</v>
      </c>
      <c r="AC167" t="s">
        <v>74</v>
      </c>
      <c r="AD167" t="s">
        <v>74</v>
      </c>
      <c r="AE167" t="s">
        <v>74</v>
      </c>
      <c r="AF167" t="s">
        <v>74</v>
      </c>
      <c r="AG167">
        <v>62</v>
      </c>
      <c r="AH167">
        <v>32</v>
      </c>
      <c r="AI167">
        <v>32</v>
      </c>
      <c r="AJ167">
        <v>115</v>
      </c>
      <c r="AK167">
        <v>115</v>
      </c>
      <c r="AL167" t="s">
        <v>483</v>
      </c>
      <c r="AM167" t="s">
        <v>484</v>
      </c>
      <c r="AN167" t="s">
        <v>3457</v>
      </c>
      <c r="AO167" t="s">
        <v>3458</v>
      </c>
      <c r="AP167" t="s">
        <v>3459</v>
      </c>
      <c r="AQ167" t="s">
        <v>74</v>
      </c>
      <c r="AR167" t="s">
        <v>3460</v>
      </c>
      <c r="AS167" t="s">
        <v>3461</v>
      </c>
      <c r="AT167" t="s">
        <v>3462</v>
      </c>
      <c r="AU167">
        <v>2023</v>
      </c>
      <c r="AV167">
        <v>31</v>
      </c>
      <c r="AW167">
        <v>1</v>
      </c>
      <c r="AX167" t="s">
        <v>74</v>
      </c>
      <c r="AY167" t="s">
        <v>74</v>
      </c>
      <c r="AZ167" t="s">
        <v>74</v>
      </c>
      <c r="BA167" t="s">
        <v>74</v>
      </c>
      <c r="BB167">
        <v>3</v>
      </c>
      <c r="BC167">
        <v>13</v>
      </c>
      <c r="BD167" t="s">
        <v>74</v>
      </c>
      <c r="BE167" t="s">
        <v>3463</v>
      </c>
      <c r="BF167" t="str">
        <f>HYPERLINK("http://dx.doi.org/10.1108/CEMJ-02-2023-0091","http://dx.doi.org/10.1108/CEMJ-02-2023-0091")</f>
        <v>http://dx.doi.org/10.1108/CEMJ-02-2023-0091</v>
      </c>
      <c r="BG167" t="s">
        <v>74</v>
      </c>
      <c r="BH167" t="s">
        <v>74</v>
      </c>
      <c r="BI167">
        <v>11</v>
      </c>
      <c r="BJ167" t="s">
        <v>3464</v>
      </c>
      <c r="BK167" t="s">
        <v>352</v>
      </c>
      <c r="BL167" t="s">
        <v>470</v>
      </c>
      <c r="BM167" t="s">
        <v>3465</v>
      </c>
      <c r="BN167" t="s">
        <v>74</v>
      </c>
      <c r="BO167" t="s">
        <v>425</v>
      </c>
      <c r="BP167" t="s">
        <v>74</v>
      </c>
      <c r="BQ167" t="s">
        <v>74</v>
      </c>
      <c r="BR167" t="s">
        <v>101</v>
      </c>
      <c r="BS167" t="s">
        <v>3466</v>
      </c>
      <c r="BT167" t="str">
        <f>HYPERLINK("https%3A%2F%2Fwww.webofscience.com%2Fwos%2Fwoscc%2Ffull-record%2FWOS:001069883100001","View Full Record in Web of Science")</f>
        <v>View Full Record in Web of Science</v>
      </c>
    </row>
    <row r="168" spans="1:72" x14ac:dyDescent="0.2">
      <c r="A168" t="s">
        <v>72</v>
      </c>
      <c r="B168" t="s">
        <v>3467</v>
      </c>
      <c r="C168" t="s">
        <v>74</v>
      </c>
      <c r="D168" t="s">
        <v>74</v>
      </c>
      <c r="E168" t="s">
        <v>75</v>
      </c>
      <c r="F168" t="s">
        <v>3468</v>
      </c>
      <c r="G168" t="s">
        <v>74</v>
      </c>
      <c r="H168" t="s">
        <v>74</v>
      </c>
      <c r="I168" t="s">
        <v>3469</v>
      </c>
      <c r="J168" t="s">
        <v>1193</v>
      </c>
      <c r="K168" t="s">
        <v>74</v>
      </c>
      <c r="L168" t="s">
        <v>74</v>
      </c>
      <c r="M168" t="s">
        <v>79</v>
      </c>
      <c r="N168" t="s">
        <v>80</v>
      </c>
      <c r="O168" t="s">
        <v>1194</v>
      </c>
      <c r="P168" t="s">
        <v>1195</v>
      </c>
      <c r="Q168" t="s">
        <v>1196</v>
      </c>
      <c r="R168" t="s">
        <v>1197</v>
      </c>
      <c r="S168" t="s">
        <v>74</v>
      </c>
      <c r="T168" t="s">
        <v>3470</v>
      </c>
      <c r="U168" t="s">
        <v>3471</v>
      </c>
      <c r="V168" t="s">
        <v>3472</v>
      </c>
      <c r="W168" t="s">
        <v>3473</v>
      </c>
      <c r="X168" t="s">
        <v>3474</v>
      </c>
      <c r="Y168" t="s">
        <v>3475</v>
      </c>
      <c r="Z168" t="s">
        <v>3476</v>
      </c>
      <c r="AA168" t="s">
        <v>74</v>
      </c>
      <c r="AB168" t="s">
        <v>74</v>
      </c>
      <c r="AC168" t="s">
        <v>3477</v>
      </c>
      <c r="AD168" t="s">
        <v>3478</v>
      </c>
      <c r="AE168" t="s">
        <v>3479</v>
      </c>
      <c r="AF168" t="s">
        <v>74</v>
      </c>
      <c r="AG168">
        <v>180</v>
      </c>
      <c r="AH168">
        <v>1</v>
      </c>
      <c r="AI168">
        <v>1</v>
      </c>
      <c r="AJ168">
        <v>9</v>
      </c>
      <c r="AK168">
        <v>9</v>
      </c>
      <c r="AL168" t="s">
        <v>92</v>
      </c>
      <c r="AM168" t="s">
        <v>93</v>
      </c>
      <c r="AN168" t="s">
        <v>94</v>
      </c>
      <c r="AO168" t="s">
        <v>74</v>
      </c>
      <c r="AP168" t="s">
        <v>74</v>
      </c>
      <c r="AQ168" t="s">
        <v>1209</v>
      </c>
      <c r="AR168" t="s">
        <v>74</v>
      </c>
      <c r="AS168" t="s">
        <v>74</v>
      </c>
      <c r="AT168" t="s">
        <v>74</v>
      </c>
      <c r="AU168">
        <v>2023</v>
      </c>
      <c r="AV168" t="s">
        <v>74</v>
      </c>
      <c r="AW168" t="s">
        <v>74</v>
      </c>
      <c r="AX168" t="s">
        <v>74</v>
      </c>
      <c r="AY168" t="s">
        <v>74</v>
      </c>
      <c r="AZ168" t="s">
        <v>74</v>
      </c>
      <c r="BA168" t="s">
        <v>74</v>
      </c>
      <c r="BB168">
        <v>396</v>
      </c>
      <c r="BC168">
        <v>410</v>
      </c>
      <c r="BD168" t="s">
        <v>74</v>
      </c>
      <c r="BE168" t="s">
        <v>3480</v>
      </c>
      <c r="BF168" t="str">
        <f>HYPERLINK("http://dx.doi.org/10.1145/3600211.3604722","http://dx.doi.org/10.1145/3600211.3604722")</f>
        <v>http://dx.doi.org/10.1145/3600211.3604722</v>
      </c>
      <c r="BG168" t="s">
        <v>74</v>
      </c>
      <c r="BH168" t="s">
        <v>74</v>
      </c>
      <c r="BI168">
        <v>15</v>
      </c>
      <c r="BJ168" t="s">
        <v>1211</v>
      </c>
      <c r="BK168" t="s">
        <v>180</v>
      </c>
      <c r="BL168" t="s">
        <v>1212</v>
      </c>
      <c r="BM168" t="s">
        <v>1213</v>
      </c>
      <c r="BN168" t="s">
        <v>74</v>
      </c>
      <c r="BO168" t="s">
        <v>3481</v>
      </c>
      <c r="BP168" t="s">
        <v>74</v>
      </c>
      <c r="BQ168" t="s">
        <v>74</v>
      </c>
      <c r="BR168" t="s">
        <v>101</v>
      </c>
      <c r="BS168" t="s">
        <v>3482</v>
      </c>
      <c r="BT168" t="str">
        <f>HYPERLINK("https%3A%2F%2Fwww.webofscience.com%2Fwos%2Fwoscc%2Ffull-record%2FWOS:001117838100032","View Full Record in Web of Science")</f>
        <v>View Full Record in Web of Science</v>
      </c>
    </row>
    <row r="169" spans="1:72" x14ac:dyDescent="0.2">
      <c r="A169" t="s">
        <v>103</v>
      </c>
      <c r="B169" t="s">
        <v>3483</v>
      </c>
      <c r="C169" t="s">
        <v>74</v>
      </c>
      <c r="D169" t="s">
        <v>74</v>
      </c>
      <c r="E169" t="s">
        <v>74</v>
      </c>
      <c r="F169" t="s">
        <v>3484</v>
      </c>
      <c r="G169" t="s">
        <v>74</v>
      </c>
      <c r="H169" t="s">
        <v>74</v>
      </c>
      <c r="I169" t="s">
        <v>3485</v>
      </c>
      <c r="J169" t="s">
        <v>3486</v>
      </c>
      <c r="K169" t="s">
        <v>74</v>
      </c>
      <c r="L169" t="s">
        <v>74</v>
      </c>
      <c r="M169" t="s">
        <v>79</v>
      </c>
      <c r="N169" t="s">
        <v>108</v>
      </c>
      <c r="O169" t="s">
        <v>74</v>
      </c>
      <c r="P169" t="s">
        <v>74</v>
      </c>
      <c r="Q169" t="s">
        <v>74</v>
      </c>
      <c r="R169" t="s">
        <v>74</v>
      </c>
      <c r="S169" t="s">
        <v>74</v>
      </c>
      <c r="T169" t="s">
        <v>3487</v>
      </c>
      <c r="U169" t="s">
        <v>3488</v>
      </c>
      <c r="V169" t="s">
        <v>3489</v>
      </c>
      <c r="W169" t="s">
        <v>3490</v>
      </c>
      <c r="X169" t="s">
        <v>3491</v>
      </c>
      <c r="Y169" t="s">
        <v>3492</v>
      </c>
      <c r="Z169" t="s">
        <v>3493</v>
      </c>
      <c r="AA169" t="s">
        <v>3494</v>
      </c>
      <c r="AB169" t="s">
        <v>3495</v>
      </c>
      <c r="AC169" t="s">
        <v>74</v>
      </c>
      <c r="AD169" t="s">
        <v>74</v>
      </c>
      <c r="AE169" t="s">
        <v>74</v>
      </c>
      <c r="AF169" t="s">
        <v>74</v>
      </c>
      <c r="AG169">
        <v>150</v>
      </c>
      <c r="AH169">
        <v>0</v>
      </c>
      <c r="AI169">
        <v>0</v>
      </c>
      <c r="AJ169">
        <v>5</v>
      </c>
      <c r="AK169">
        <v>5</v>
      </c>
      <c r="AL169" t="s">
        <v>1379</v>
      </c>
      <c r="AM169" t="s">
        <v>1380</v>
      </c>
      <c r="AN169" t="s">
        <v>1381</v>
      </c>
      <c r="AO169" t="s">
        <v>74</v>
      </c>
      <c r="AP169" t="s">
        <v>3496</v>
      </c>
      <c r="AQ169" t="s">
        <v>74</v>
      </c>
      <c r="AR169" t="s">
        <v>3497</v>
      </c>
      <c r="AS169" t="s">
        <v>3498</v>
      </c>
      <c r="AT169" t="s">
        <v>74</v>
      </c>
      <c r="AU169">
        <v>2023</v>
      </c>
      <c r="AV169">
        <v>4</v>
      </c>
      <c r="AW169" t="s">
        <v>74</v>
      </c>
      <c r="AX169" t="s">
        <v>74</v>
      </c>
      <c r="AY169" t="s">
        <v>74</v>
      </c>
      <c r="AZ169" t="s">
        <v>74</v>
      </c>
      <c r="BA169" t="s">
        <v>74</v>
      </c>
      <c r="BB169">
        <v>2952</v>
      </c>
      <c r="BC169">
        <v>2971</v>
      </c>
      <c r="BD169" t="s">
        <v>74</v>
      </c>
      <c r="BE169" t="s">
        <v>3499</v>
      </c>
      <c r="BF169" t="str">
        <f>HYPERLINK("http://dx.doi.org/10.1109/OJCOMS.2023.3320646","http://dx.doi.org/10.1109/OJCOMS.2023.3320646")</f>
        <v>http://dx.doi.org/10.1109/OJCOMS.2023.3320646</v>
      </c>
      <c r="BG169" t="s">
        <v>74</v>
      </c>
      <c r="BH169" t="s">
        <v>74</v>
      </c>
      <c r="BI169">
        <v>20</v>
      </c>
      <c r="BJ169" t="s">
        <v>3500</v>
      </c>
      <c r="BK169" t="s">
        <v>352</v>
      </c>
      <c r="BL169" t="s">
        <v>3501</v>
      </c>
      <c r="BM169" t="s">
        <v>3502</v>
      </c>
      <c r="BN169" t="s">
        <v>74</v>
      </c>
      <c r="BO169" t="s">
        <v>3503</v>
      </c>
      <c r="BP169" t="s">
        <v>74</v>
      </c>
      <c r="BQ169" t="s">
        <v>74</v>
      </c>
      <c r="BR169" t="s">
        <v>101</v>
      </c>
      <c r="BS169" t="s">
        <v>3504</v>
      </c>
      <c r="BT169" t="str">
        <f>HYPERLINK("https%3A%2F%2Fwww.webofscience.com%2Fwos%2Fwoscc%2Ffull-record%2FWOS:001121792100004","View Full Record in Web of Science")</f>
        <v>View Full Record in Web of Science</v>
      </c>
    </row>
    <row r="170" spans="1:72" x14ac:dyDescent="0.2">
      <c r="A170" t="s">
        <v>72</v>
      </c>
      <c r="B170" t="s">
        <v>3505</v>
      </c>
      <c r="C170" t="s">
        <v>74</v>
      </c>
      <c r="D170" t="s">
        <v>74</v>
      </c>
      <c r="E170" t="s">
        <v>75</v>
      </c>
      <c r="F170" t="s">
        <v>3506</v>
      </c>
      <c r="G170" t="s">
        <v>74</v>
      </c>
      <c r="H170" t="s">
        <v>74</v>
      </c>
      <c r="I170" t="s">
        <v>3507</v>
      </c>
      <c r="J170" t="s">
        <v>3508</v>
      </c>
      <c r="K170" t="s">
        <v>74</v>
      </c>
      <c r="L170" t="s">
        <v>74</v>
      </c>
      <c r="M170" t="s">
        <v>79</v>
      </c>
      <c r="N170" t="s">
        <v>80</v>
      </c>
      <c r="O170" t="s">
        <v>3509</v>
      </c>
      <c r="P170" t="s">
        <v>3510</v>
      </c>
      <c r="Q170" t="s">
        <v>3511</v>
      </c>
      <c r="R170" t="s">
        <v>3512</v>
      </c>
      <c r="S170" t="s">
        <v>74</v>
      </c>
      <c r="T170" t="s">
        <v>3513</v>
      </c>
      <c r="U170" t="s">
        <v>74</v>
      </c>
      <c r="V170" t="s">
        <v>3514</v>
      </c>
      <c r="W170" t="s">
        <v>3515</v>
      </c>
      <c r="X170" t="s">
        <v>3516</v>
      </c>
      <c r="Y170" t="s">
        <v>3517</v>
      </c>
      <c r="Z170" t="s">
        <v>3518</v>
      </c>
      <c r="AA170" t="s">
        <v>74</v>
      </c>
      <c r="AB170" t="s">
        <v>74</v>
      </c>
      <c r="AC170" t="s">
        <v>74</v>
      </c>
      <c r="AD170" t="s">
        <v>74</v>
      </c>
      <c r="AE170" t="s">
        <v>74</v>
      </c>
      <c r="AF170" t="s">
        <v>74</v>
      </c>
      <c r="AG170">
        <v>0</v>
      </c>
      <c r="AH170">
        <v>0</v>
      </c>
      <c r="AI170">
        <v>0</v>
      </c>
      <c r="AJ170">
        <v>2</v>
      </c>
      <c r="AK170">
        <v>2</v>
      </c>
      <c r="AL170" t="s">
        <v>92</v>
      </c>
      <c r="AM170" t="s">
        <v>93</v>
      </c>
      <c r="AN170" t="s">
        <v>94</v>
      </c>
      <c r="AO170" t="s">
        <v>74</v>
      </c>
      <c r="AP170" t="s">
        <v>74</v>
      </c>
      <c r="AQ170" t="s">
        <v>3519</v>
      </c>
      <c r="AR170" t="s">
        <v>74</v>
      </c>
      <c r="AS170" t="s">
        <v>74</v>
      </c>
      <c r="AT170" t="s">
        <v>74</v>
      </c>
      <c r="AU170">
        <v>2023</v>
      </c>
      <c r="AV170" t="s">
        <v>74</v>
      </c>
      <c r="AW170" t="s">
        <v>74</v>
      </c>
      <c r="AX170" t="s">
        <v>74</v>
      </c>
      <c r="AY170" t="s">
        <v>74</v>
      </c>
      <c r="AZ170" t="s">
        <v>74</v>
      </c>
      <c r="BA170" t="s">
        <v>74</v>
      </c>
      <c r="BB170">
        <v>7</v>
      </c>
      <c r="BC170">
        <v>8</v>
      </c>
      <c r="BD170" t="s">
        <v>74</v>
      </c>
      <c r="BE170" t="s">
        <v>3520</v>
      </c>
      <c r="BF170" t="str">
        <f>HYPERLINK("http://dx.doi.org/10.1145/3596454.3597176","http://dx.doi.org/10.1145/3596454.3597176")</f>
        <v>http://dx.doi.org/10.1145/3596454.3597176</v>
      </c>
      <c r="BG170" t="s">
        <v>74</v>
      </c>
      <c r="BH170" t="s">
        <v>74</v>
      </c>
      <c r="BI170">
        <v>2</v>
      </c>
      <c r="BJ170" t="s">
        <v>3521</v>
      </c>
      <c r="BK170" t="s">
        <v>98</v>
      </c>
      <c r="BL170" t="s">
        <v>99</v>
      </c>
      <c r="BM170" t="s">
        <v>3522</v>
      </c>
      <c r="BN170" t="s">
        <v>74</v>
      </c>
      <c r="BO170" t="s">
        <v>74</v>
      </c>
      <c r="BP170" t="s">
        <v>74</v>
      </c>
      <c r="BQ170" t="s">
        <v>74</v>
      </c>
      <c r="BR170" t="s">
        <v>101</v>
      </c>
      <c r="BS170" t="s">
        <v>3523</v>
      </c>
      <c r="BT170" t="str">
        <f>HYPERLINK("https%3A%2F%2Fwww.webofscience.com%2Fwos%2Fwoscc%2Ffull-record%2FWOS:001147874500003","View Full Record in Web of Science")</f>
        <v>View Full Record in Web of Science</v>
      </c>
    </row>
    <row r="171" spans="1:72" x14ac:dyDescent="0.2">
      <c r="A171" t="s">
        <v>103</v>
      </c>
      <c r="B171" t="s">
        <v>3524</v>
      </c>
      <c r="C171" t="s">
        <v>74</v>
      </c>
      <c r="D171" t="s">
        <v>74</v>
      </c>
      <c r="E171" t="s">
        <v>74</v>
      </c>
      <c r="F171" t="s">
        <v>3525</v>
      </c>
      <c r="G171" t="s">
        <v>74</v>
      </c>
      <c r="H171" t="s">
        <v>74</v>
      </c>
      <c r="I171" t="s">
        <v>3526</v>
      </c>
      <c r="J171" t="s">
        <v>3527</v>
      </c>
      <c r="K171" t="s">
        <v>74</v>
      </c>
      <c r="L171" t="s">
        <v>74</v>
      </c>
      <c r="M171" t="s">
        <v>79</v>
      </c>
      <c r="N171" t="s">
        <v>108</v>
      </c>
      <c r="O171" t="s">
        <v>74</v>
      </c>
      <c r="P171" t="s">
        <v>74</v>
      </c>
      <c r="Q171" t="s">
        <v>74</v>
      </c>
      <c r="R171" t="s">
        <v>74</v>
      </c>
      <c r="S171" t="s">
        <v>74</v>
      </c>
      <c r="T171" t="s">
        <v>3528</v>
      </c>
      <c r="U171" t="s">
        <v>74</v>
      </c>
      <c r="V171" t="s">
        <v>3529</v>
      </c>
      <c r="W171" t="s">
        <v>3530</v>
      </c>
      <c r="X171" t="s">
        <v>3531</v>
      </c>
      <c r="Y171" t="s">
        <v>3532</v>
      </c>
      <c r="Z171" t="s">
        <v>3533</v>
      </c>
      <c r="AA171" t="s">
        <v>3534</v>
      </c>
      <c r="AB171" t="s">
        <v>74</v>
      </c>
      <c r="AC171" t="s">
        <v>3535</v>
      </c>
      <c r="AD171" t="s">
        <v>3535</v>
      </c>
      <c r="AE171" t="s">
        <v>3536</v>
      </c>
      <c r="AF171" t="s">
        <v>74</v>
      </c>
      <c r="AG171">
        <v>28</v>
      </c>
      <c r="AH171">
        <v>0</v>
      </c>
      <c r="AI171">
        <v>0</v>
      </c>
      <c r="AJ171">
        <v>20</v>
      </c>
      <c r="AK171">
        <v>20</v>
      </c>
      <c r="AL171" t="s">
        <v>3537</v>
      </c>
      <c r="AM171" t="s">
        <v>3538</v>
      </c>
      <c r="AN171" t="s">
        <v>3539</v>
      </c>
      <c r="AO171" t="s">
        <v>3540</v>
      </c>
      <c r="AP171" t="s">
        <v>74</v>
      </c>
      <c r="AQ171" t="s">
        <v>74</v>
      </c>
      <c r="AR171" t="s">
        <v>3541</v>
      </c>
      <c r="AS171" t="s">
        <v>3542</v>
      </c>
      <c r="AT171" t="s">
        <v>74</v>
      </c>
      <c r="AU171">
        <v>2023</v>
      </c>
      <c r="AV171">
        <v>20</v>
      </c>
      <c r="AW171">
        <v>7</v>
      </c>
      <c r="AX171" t="s">
        <v>74</v>
      </c>
      <c r="AY171" t="s">
        <v>74</v>
      </c>
      <c r="AZ171" t="s">
        <v>74</v>
      </c>
      <c r="BA171" t="s">
        <v>74</v>
      </c>
      <c r="BB171" t="s">
        <v>74</v>
      </c>
      <c r="BC171" t="s">
        <v>74</v>
      </c>
      <c r="BD171">
        <v>2</v>
      </c>
      <c r="BE171" t="s">
        <v>3543</v>
      </c>
      <c r="BF171" t="str">
        <f>HYPERLINK("http://dx.doi.org/10.53761/1.20.7.02","http://dx.doi.org/10.53761/1.20.7.02")</f>
        <v>http://dx.doi.org/10.53761/1.20.7.02</v>
      </c>
      <c r="BG171" t="s">
        <v>74</v>
      </c>
      <c r="BH171" t="s">
        <v>74</v>
      </c>
      <c r="BI171">
        <v>12</v>
      </c>
      <c r="BJ171" t="s">
        <v>423</v>
      </c>
      <c r="BK171" t="s">
        <v>352</v>
      </c>
      <c r="BL171" t="s">
        <v>423</v>
      </c>
      <c r="BM171" t="s">
        <v>3544</v>
      </c>
      <c r="BN171" t="s">
        <v>74</v>
      </c>
      <c r="BO171" t="s">
        <v>1711</v>
      </c>
      <c r="BP171" t="s">
        <v>74</v>
      </c>
      <c r="BQ171" t="s">
        <v>74</v>
      </c>
      <c r="BR171" t="s">
        <v>101</v>
      </c>
      <c r="BS171" t="s">
        <v>3545</v>
      </c>
      <c r="BT171" t="str">
        <f>HYPERLINK("https%3A%2F%2Fwww.webofscience.com%2Fwos%2Fwoscc%2Ffull-record%2FWOS:001103781300001","View Full Record in Web of Science")</f>
        <v>View Full Record in Web of Science</v>
      </c>
    </row>
    <row r="172" spans="1:72" x14ac:dyDescent="0.2">
      <c r="A172" t="s">
        <v>103</v>
      </c>
      <c r="B172" t="s">
        <v>3546</v>
      </c>
      <c r="C172" t="s">
        <v>74</v>
      </c>
      <c r="D172" t="s">
        <v>74</v>
      </c>
      <c r="E172" t="s">
        <v>74</v>
      </c>
      <c r="F172" t="s">
        <v>3547</v>
      </c>
      <c r="G172" t="s">
        <v>74</v>
      </c>
      <c r="H172" t="s">
        <v>74</v>
      </c>
      <c r="I172" t="s">
        <v>3548</v>
      </c>
      <c r="J172" t="s">
        <v>824</v>
      </c>
      <c r="K172" t="s">
        <v>74</v>
      </c>
      <c r="L172" t="s">
        <v>74</v>
      </c>
      <c r="M172" t="s">
        <v>79</v>
      </c>
      <c r="N172" t="s">
        <v>108</v>
      </c>
      <c r="O172" t="s">
        <v>74</v>
      </c>
      <c r="P172" t="s">
        <v>74</v>
      </c>
      <c r="Q172" t="s">
        <v>74</v>
      </c>
      <c r="R172" t="s">
        <v>74</v>
      </c>
      <c r="S172" t="s">
        <v>74</v>
      </c>
      <c r="T172" t="s">
        <v>3549</v>
      </c>
      <c r="U172" t="s">
        <v>391</v>
      </c>
      <c r="V172" t="s">
        <v>3550</v>
      </c>
      <c r="W172" t="s">
        <v>3551</v>
      </c>
      <c r="X172" t="s">
        <v>456</v>
      </c>
      <c r="Y172" t="s">
        <v>3552</v>
      </c>
      <c r="Z172" t="s">
        <v>3553</v>
      </c>
      <c r="AA172" t="s">
        <v>74</v>
      </c>
      <c r="AB172" t="s">
        <v>74</v>
      </c>
      <c r="AC172" t="s">
        <v>74</v>
      </c>
      <c r="AD172" t="s">
        <v>74</v>
      </c>
      <c r="AE172" t="s">
        <v>74</v>
      </c>
      <c r="AF172" t="s">
        <v>74</v>
      </c>
      <c r="AG172">
        <v>58</v>
      </c>
      <c r="AH172">
        <v>1</v>
      </c>
      <c r="AI172">
        <v>1</v>
      </c>
      <c r="AJ172">
        <v>29</v>
      </c>
      <c r="AK172">
        <v>29</v>
      </c>
      <c r="AL172" t="s">
        <v>833</v>
      </c>
      <c r="AM172" t="s">
        <v>834</v>
      </c>
      <c r="AN172" t="s">
        <v>835</v>
      </c>
      <c r="AO172" t="s">
        <v>836</v>
      </c>
      <c r="AP172" t="s">
        <v>837</v>
      </c>
      <c r="AQ172" t="s">
        <v>74</v>
      </c>
      <c r="AR172" t="s">
        <v>838</v>
      </c>
      <c r="AS172" t="s">
        <v>839</v>
      </c>
      <c r="AT172" t="s">
        <v>74</v>
      </c>
      <c r="AU172">
        <v>2023</v>
      </c>
      <c r="AV172">
        <v>39</v>
      </c>
      <c r="AW172">
        <v>5</v>
      </c>
      <c r="AX172" t="s">
        <v>74</v>
      </c>
      <c r="AY172" t="s">
        <v>74</v>
      </c>
      <c r="AZ172" t="s">
        <v>74</v>
      </c>
      <c r="BA172" t="s">
        <v>74</v>
      </c>
      <c r="BB172">
        <v>1</v>
      </c>
      <c r="BC172">
        <v>19</v>
      </c>
      <c r="BD172" t="s">
        <v>74</v>
      </c>
      <c r="BE172" t="s">
        <v>3554</v>
      </c>
      <c r="BF172" t="str">
        <f>HYPERLINK("http://dx.doi.org/10.14742/ajet.8825","http://dx.doi.org/10.14742/ajet.8825")</f>
        <v>http://dx.doi.org/10.14742/ajet.8825</v>
      </c>
      <c r="BG172" t="s">
        <v>74</v>
      </c>
      <c r="BH172" t="s">
        <v>74</v>
      </c>
      <c r="BI172">
        <v>19</v>
      </c>
      <c r="BJ172" t="s">
        <v>423</v>
      </c>
      <c r="BK172" t="s">
        <v>159</v>
      </c>
      <c r="BL172" t="s">
        <v>423</v>
      </c>
      <c r="BM172" t="s">
        <v>841</v>
      </c>
      <c r="BN172" t="s">
        <v>74</v>
      </c>
      <c r="BO172" t="s">
        <v>425</v>
      </c>
      <c r="BP172" t="s">
        <v>74</v>
      </c>
      <c r="BQ172" t="s">
        <v>74</v>
      </c>
      <c r="BR172" t="s">
        <v>101</v>
      </c>
      <c r="BS172" t="s">
        <v>3555</v>
      </c>
      <c r="BT172" t="str">
        <f>HYPERLINK("https%3A%2F%2Fwww.webofscience.com%2Fwos%2Fwoscc%2Ffull-record%2FWOS:001132966400002","View Full Record in Web of Science")</f>
        <v>View Full Record in Web of Science</v>
      </c>
    </row>
    <row r="173" spans="1:72" x14ac:dyDescent="0.2">
      <c r="A173" t="s">
        <v>103</v>
      </c>
      <c r="B173" t="s">
        <v>3556</v>
      </c>
      <c r="C173" t="s">
        <v>74</v>
      </c>
      <c r="D173" t="s">
        <v>74</v>
      </c>
      <c r="E173" t="s">
        <v>74</v>
      </c>
      <c r="F173" t="s">
        <v>3557</v>
      </c>
      <c r="G173" t="s">
        <v>74</v>
      </c>
      <c r="H173" t="s">
        <v>74</v>
      </c>
      <c r="I173" t="s">
        <v>3558</v>
      </c>
      <c r="J173" t="s">
        <v>3559</v>
      </c>
      <c r="K173" t="s">
        <v>74</v>
      </c>
      <c r="L173" t="s">
        <v>74</v>
      </c>
      <c r="M173" t="s">
        <v>79</v>
      </c>
      <c r="N173" t="s">
        <v>108</v>
      </c>
      <c r="O173" t="s">
        <v>74</v>
      </c>
      <c r="P173" t="s">
        <v>74</v>
      </c>
      <c r="Q173" t="s">
        <v>74</v>
      </c>
      <c r="R173" t="s">
        <v>74</v>
      </c>
      <c r="S173" t="s">
        <v>74</v>
      </c>
      <c r="T173" t="s">
        <v>3560</v>
      </c>
      <c r="U173" t="s">
        <v>3561</v>
      </c>
      <c r="V173" t="s">
        <v>3562</v>
      </c>
      <c r="W173" t="s">
        <v>3563</v>
      </c>
      <c r="X173" t="s">
        <v>3564</v>
      </c>
      <c r="Y173" t="s">
        <v>3565</v>
      </c>
      <c r="Z173" t="s">
        <v>3566</v>
      </c>
      <c r="AA173" t="s">
        <v>3567</v>
      </c>
      <c r="AB173" t="s">
        <v>3568</v>
      </c>
      <c r="AC173" t="s">
        <v>3569</v>
      </c>
      <c r="AD173" t="s">
        <v>3569</v>
      </c>
      <c r="AE173" t="s">
        <v>3570</v>
      </c>
      <c r="AF173" t="s">
        <v>74</v>
      </c>
      <c r="AG173">
        <v>35</v>
      </c>
      <c r="AH173">
        <v>0</v>
      </c>
      <c r="AI173">
        <v>0</v>
      </c>
      <c r="AJ173">
        <v>124</v>
      </c>
      <c r="AK173">
        <v>124</v>
      </c>
      <c r="AL173" t="s">
        <v>343</v>
      </c>
      <c r="AM173" t="s">
        <v>93</v>
      </c>
      <c r="AN173" t="s">
        <v>344</v>
      </c>
      <c r="AO173" t="s">
        <v>3571</v>
      </c>
      <c r="AP173" t="s">
        <v>3572</v>
      </c>
      <c r="AQ173" t="s">
        <v>74</v>
      </c>
      <c r="AR173" t="s">
        <v>3573</v>
      </c>
      <c r="AS173" t="s">
        <v>3574</v>
      </c>
      <c r="AT173" t="s">
        <v>527</v>
      </c>
      <c r="AU173">
        <v>2023</v>
      </c>
      <c r="AV173">
        <v>18</v>
      </c>
      <c r="AW173">
        <v>4</v>
      </c>
      <c r="AX173" t="s">
        <v>74</v>
      </c>
      <c r="AY173" t="s">
        <v>74</v>
      </c>
      <c r="AZ173" t="s">
        <v>74</v>
      </c>
      <c r="BA173" t="s">
        <v>74</v>
      </c>
      <c r="BB173">
        <v>607</v>
      </c>
      <c r="BC173">
        <v>614</v>
      </c>
      <c r="BD173" t="s">
        <v>74</v>
      </c>
      <c r="BE173" t="s">
        <v>3575</v>
      </c>
      <c r="BF173" t="str">
        <f>HYPERLINK("http://dx.doi.org/10.1007/s11412-023-09409-w","http://dx.doi.org/10.1007/s11412-023-09409-w")</f>
        <v>http://dx.doi.org/10.1007/s11412-023-09409-w</v>
      </c>
      <c r="BG173" t="s">
        <v>74</v>
      </c>
      <c r="BH173" t="s">
        <v>1886</v>
      </c>
      <c r="BI173">
        <v>8</v>
      </c>
      <c r="BJ173" t="s">
        <v>3576</v>
      </c>
      <c r="BK173" t="s">
        <v>159</v>
      </c>
      <c r="BL173" t="s">
        <v>3576</v>
      </c>
      <c r="BM173" t="s">
        <v>3577</v>
      </c>
      <c r="BN173" t="s">
        <v>74</v>
      </c>
      <c r="BO173" t="s">
        <v>161</v>
      </c>
      <c r="BP173" t="s">
        <v>74</v>
      </c>
      <c r="BQ173" t="s">
        <v>74</v>
      </c>
      <c r="BR173" t="s">
        <v>101</v>
      </c>
      <c r="BS173" t="s">
        <v>3578</v>
      </c>
      <c r="BT173" t="str">
        <f>HYPERLINK("https%3A%2F%2Fwww.webofscience.com%2Fwos%2Fwoscc%2Ffull-record%2FWOS:001088024000001","View Full Record in Web of Science")</f>
        <v>View Full Record in Web of Science</v>
      </c>
    </row>
    <row r="174" spans="1:72" x14ac:dyDescent="0.2">
      <c r="A174" t="s">
        <v>103</v>
      </c>
      <c r="B174" t="s">
        <v>3579</v>
      </c>
      <c r="C174" t="s">
        <v>74</v>
      </c>
      <c r="D174" t="s">
        <v>74</v>
      </c>
      <c r="E174" t="s">
        <v>74</v>
      </c>
      <c r="F174" t="s">
        <v>3580</v>
      </c>
      <c r="G174" t="s">
        <v>74</v>
      </c>
      <c r="H174" t="s">
        <v>74</v>
      </c>
      <c r="I174" t="s">
        <v>3581</v>
      </c>
      <c r="J174" t="s">
        <v>3582</v>
      </c>
      <c r="K174" t="s">
        <v>74</v>
      </c>
      <c r="L174" t="s">
        <v>74</v>
      </c>
      <c r="M174" t="s">
        <v>79</v>
      </c>
      <c r="N174" t="s">
        <v>108</v>
      </c>
      <c r="O174" t="s">
        <v>74</v>
      </c>
      <c r="P174" t="s">
        <v>74</v>
      </c>
      <c r="Q174" t="s">
        <v>74</v>
      </c>
      <c r="R174" t="s">
        <v>74</v>
      </c>
      <c r="S174" t="s">
        <v>74</v>
      </c>
      <c r="T174" t="s">
        <v>3583</v>
      </c>
      <c r="U174" t="s">
        <v>74</v>
      </c>
      <c r="V174" t="s">
        <v>3584</v>
      </c>
      <c r="W174" t="s">
        <v>3585</v>
      </c>
      <c r="X174" t="s">
        <v>74</v>
      </c>
      <c r="Y174" t="s">
        <v>3586</v>
      </c>
      <c r="Z174" t="s">
        <v>3587</v>
      </c>
      <c r="AA174" t="s">
        <v>74</v>
      </c>
      <c r="AB174" t="s">
        <v>3588</v>
      </c>
      <c r="AC174" t="s">
        <v>3589</v>
      </c>
      <c r="AD174" t="s">
        <v>3589</v>
      </c>
      <c r="AE174" t="s">
        <v>3589</v>
      </c>
      <c r="AF174" t="s">
        <v>74</v>
      </c>
      <c r="AG174">
        <v>53</v>
      </c>
      <c r="AH174">
        <v>2</v>
      </c>
      <c r="AI174">
        <v>2</v>
      </c>
      <c r="AJ174">
        <v>40</v>
      </c>
      <c r="AK174">
        <v>40</v>
      </c>
      <c r="AL174" t="s">
        <v>2032</v>
      </c>
      <c r="AM174" t="s">
        <v>149</v>
      </c>
      <c r="AN174" t="s">
        <v>2033</v>
      </c>
      <c r="AO174" t="s">
        <v>74</v>
      </c>
      <c r="AP174" t="s">
        <v>3590</v>
      </c>
      <c r="AQ174" t="s">
        <v>74</v>
      </c>
      <c r="AR174" t="s">
        <v>3591</v>
      </c>
      <c r="AS174" t="s">
        <v>3592</v>
      </c>
      <c r="AT174" t="s">
        <v>3593</v>
      </c>
      <c r="AU174">
        <v>2023</v>
      </c>
      <c r="AV174">
        <v>13</v>
      </c>
      <c r="AW174">
        <v>1</v>
      </c>
      <c r="AX174" t="s">
        <v>74</v>
      </c>
      <c r="AY174" t="s">
        <v>74</v>
      </c>
      <c r="AZ174" t="s">
        <v>74</v>
      </c>
      <c r="BA174" t="s">
        <v>74</v>
      </c>
      <c r="BB174" t="s">
        <v>74</v>
      </c>
      <c r="BC174" t="s">
        <v>74</v>
      </c>
      <c r="BD174">
        <v>46</v>
      </c>
      <c r="BE174" t="s">
        <v>3594</v>
      </c>
      <c r="BF174" t="str">
        <f>HYPERLINK("http://dx.doi.org/10.1186/s40468-023-00260-2","http://dx.doi.org/10.1186/s40468-023-00260-2")</f>
        <v>http://dx.doi.org/10.1186/s40468-023-00260-2</v>
      </c>
      <c r="BG174" t="s">
        <v>74</v>
      </c>
      <c r="BH174" t="s">
        <v>74</v>
      </c>
      <c r="BI174">
        <v>28</v>
      </c>
      <c r="BJ174" t="s">
        <v>2861</v>
      </c>
      <c r="BK174" t="s">
        <v>352</v>
      </c>
      <c r="BL174" t="s">
        <v>2862</v>
      </c>
      <c r="BM174" t="s">
        <v>3595</v>
      </c>
      <c r="BN174" t="s">
        <v>74</v>
      </c>
      <c r="BO174" t="s">
        <v>425</v>
      </c>
      <c r="BP174" t="s">
        <v>74</v>
      </c>
      <c r="BQ174" t="s">
        <v>74</v>
      </c>
      <c r="BR174" t="s">
        <v>101</v>
      </c>
      <c r="BS174" t="s">
        <v>3596</v>
      </c>
      <c r="BT174" t="str">
        <f>HYPERLINK("https%3A%2F%2Fwww.webofscience.com%2Fwos%2Fwoscc%2Ffull-record%2FWOS:001086706800001","View Full Record in Web of Science")</f>
        <v>View Full Record in Web of Science</v>
      </c>
    </row>
    <row r="175" spans="1:72" x14ac:dyDescent="0.2">
      <c r="A175" t="s">
        <v>72</v>
      </c>
      <c r="B175" t="s">
        <v>3597</v>
      </c>
      <c r="C175" t="s">
        <v>74</v>
      </c>
      <c r="D175" t="s">
        <v>3598</v>
      </c>
      <c r="E175" t="s">
        <v>74</v>
      </c>
      <c r="F175" t="s">
        <v>3599</v>
      </c>
      <c r="G175" t="s">
        <v>74</v>
      </c>
      <c r="H175" t="s">
        <v>74</v>
      </c>
      <c r="I175" t="s">
        <v>3600</v>
      </c>
      <c r="J175" t="s">
        <v>3601</v>
      </c>
      <c r="K175" t="s">
        <v>312</v>
      </c>
      <c r="L175" t="s">
        <v>74</v>
      </c>
      <c r="M175" t="s">
        <v>79</v>
      </c>
      <c r="N175" t="s">
        <v>80</v>
      </c>
      <c r="O175" t="s">
        <v>3602</v>
      </c>
      <c r="P175" t="s">
        <v>3603</v>
      </c>
      <c r="Q175" t="s">
        <v>3604</v>
      </c>
      <c r="R175" t="s">
        <v>74</v>
      </c>
      <c r="S175" t="s">
        <v>74</v>
      </c>
      <c r="T175" t="s">
        <v>3605</v>
      </c>
      <c r="U175" t="s">
        <v>74</v>
      </c>
      <c r="V175" t="s">
        <v>3606</v>
      </c>
      <c r="W175" t="s">
        <v>3607</v>
      </c>
      <c r="X175" t="s">
        <v>3608</v>
      </c>
      <c r="Y175" t="s">
        <v>3609</v>
      </c>
      <c r="Z175" t="s">
        <v>3610</v>
      </c>
      <c r="AA175" t="s">
        <v>74</v>
      </c>
      <c r="AB175" t="s">
        <v>74</v>
      </c>
      <c r="AC175" t="s">
        <v>3611</v>
      </c>
      <c r="AD175" t="s">
        <v>3612</v>
      </c>
      <c r="AE175" t="s">
        <v>3613</v>
      </c>
      <c r="AF175" t="s">
        <v>74</v>
      </c>
      <c r="AG175">
        <v>28</v>
      </c>
      <c r="AH175">
        <v>0</v>
      </c>
      <c r="AI175">
        <v>0</v>
      </c>
      <c r="AJ175">
        <v>6</v>
      </c>
      <c r="AK175">
        <v>7</v>
      </c>
      <c r="AL175" t="s">
        <v>325</v>
      </c>
      <c r="AM175" t="s">
        <v>245</v>
      </c>
      <c r="AN175" t="s">
        <v>246</v>
      </c>
      <c r="AO175" t="s">
        <v>326</v>
      </c>
      <c r="AP175" t="s">
        <v>327</v>
      </c>
      <c r="AQ175" t="s">
        <v>3614</v>
      </c>
      <c r="AR175" t="s">
        <v>329</v>
      </c>
      <c r="AS175" t="s">
        <v>74</v>
      </c>
      <c r="AT175" t="s">
        <v>74</v>
      </c>
      <c r="AU175">
        <v>2023</v>
      </c>
      <c r="AV175">
        <v>13988</v>
      </c>
      <c r="AW175" t="s">
        <v>74</v>
      </c>
      <c r="AX175" t="s">
        <v>74</v>
      </c>
      <c r="AY175" t="s">
        <v>74</v>
      </c>
      <c r="AZ175" t="s">
        <v>74</v>
      </c>
      <c r="BA175" t="s">
        <v>74</v>
      </c>
      <c r="BB175">
        <v>50</v>
      </c>
      <c r="BC175">
        <v>66</v>
      </c>
      <c r="BD175" t="s">
        <v>74</v>
      </c>
      <c r="BE175" t="s">
        <v>3615</v>
      </c>
      <c r="BF175" t="str">
        <f>HYPERLINK("http://dx.doi.org/10.1007/978-3-031-29956-8_4","http://dx.doi.org/10.1007/978-3-031-29956-8_4")</f>
        <v>http://dx.doi.org/10.1007/978-3-031-29956-8_4</v>
      </c>
      <c r="BG175" t="s">
        <v>74</v>
      </c>
      <c r="BH175" t="s">
        <v>74</v>
      </c>
      <c r="BI175">
        <v>17</v>
      </c>
      <c r="BJ175" t="s">
        <v>1851</v>
      </c>
      <c r="BK175" t="s">
        <v>98</v>
      </c>
      <c r="BL175" t="s">
        <v>99</v>
      </c>
      <c r="BM175" t="s">
        <v>3616</v>
      </c>
      <c r="BN175" t="s">
        <v>74</v>
      </c>
      <c r="BO175" t="s">
        <v>74</v>
      </c>
      <c r="BP175" t="s">
        <v>74</v>
      </c>
      <c r="BQ175" t="s">
        <v>74</v>
      </c>
      <c r="BR175" t="s">
        <v>101</v>
      </c>
      <c r="BS175" t="s">
        <v>3617</v>
      </c>
      <c r="BT175" t="str">
        <f>HYPERLINK("https%3A%2F%2Fwww.webofscience.com%2Fwos%2Fwoscc%2Ffull-record%2FWOS:000999872400004","View Full Record in Web of Science")</f>
        <v>View Full Record in Web of Science</v>
      </c>
    </row>
    <row r="176" spans="1:72" x14ac:dyDescent="0.2">
      <c r="A176" t="s">
        <v>103</v>
      </c>
      <c r="B176" t="s">
        <v>3618</v>
      </c>
      <c r="C176" t="s">
        <v>74</v>
      </c>
      <c r="D176" t="s">
        <v>74</v>
      </c>
      <c r="E176" t="s">
        <v>74</v>
      </c>
      <c r="F176" t="s">
        <v>3619</v>
      </c>
      <c r="G176" t="s">
        <v>74</v>
      </c>
      <c r="H176" t="s">
        <v>74</v>
      </c>
      <c r="I176" t="s">
        <v>3620</v>
      </c>
      <c r="J176" t="s">
        <v>3621</v>
      </c>
      <c r="K176" t="s">
        <v>74</v>
      </c>
      <c r="L176" t="s">
        <v>74</v>
      </c>
      <c r="M176" t="s">
        <v>79</v>
      </c>
      <c r="N176" t="s">
        <v>108</v>
      </c>
      <c r="O176" t="s">
        <v>74</v>
      </c>
      <c r="P176" t="s">
        <v>74</v>
      </c>
      <c r="Q176" t="s">
        <v>74</v>
      </c>
      <c r="R176" t="s">
        <v>74</v>
      </c>
      <c r="S176" t="s">
        <v>74</v>
      </c>
      <c r="T176" t="s">
        <v>3622</v>
      </c>
      <c r="U176" t="s">
        <v>3623</v>
      </c>
      <c r="V176" t="s">
        <v>3624</v>
      </c>
      <c r="W176" t="s">
        <v>3625</v>
      </c>
      <c r="X176" t="s">
        <v>3626</v>
      </c>
      <c r="Y176" t="s">
        <v>3627</v>
      </c>
      <c r="Z176" t="s">
        <v>3628</v>
      </c>
      <c r="AA176" t="s">
        <v>3629</v>
      </c>
      <c r="AB176" t="s">
        <v>74</v>
      </c>
      <c r="AC176" t="s">
        <v>74</v>
      </c>
      <c r="AD176" t="s">
        <v>74</v>
      </c>
      <c r="AE176" t="s">
        <v>74</v>
      </c>
      <c r="AF176" t="s">
        <v>74</v>
      </c>
      <c r="AG176">
        <v>42</v>
      </c>
      <c r="AH176">
        <v>1</v>
      </c>
      <c r="AI176">
        <v>1</v>
      </c>
      <c r="AJ176">
        <v>77</v>
      </c>
      <c r="AK176">
        <v>112</v>
      </c>
      <c r="AL176" t="s">
        <v>3630</v>
      </c>
      <c r="AM176" t="s">
        <v>3631</v>
      </c>
      <c r="AN176" t="s">
        <v>3632</v>
      </c>
      <c r="AO176" t="s">
        <v>3633</v>
      </c>
      <c r="AP176" t="s">
        <v>74</v>
      </c>
      <c r="AQ176" t="s">
        <v>74</v>
      </c>
      <c r="AR176" t="s">
        <v>3634</v>
      </c>
      <c r="AS176" t="s">
        <v>3635</v>
      </c>
      <c r="AT176" t="s">
        <v>74</v>
      </c>
      <c r="AU176">
        <v>2023</v>
      </c>
      <c r="AV176">
        <v>53</v>
      </c>
      <c r="AW176" t="s">
        <v>74</v>
      </c>
      <c r="AX176" t="s">
        <v>74</v>
      </c>
      <c r="AY176" t="s">
        <v>74</v>
      </c>
      <c r="AZ176" t="s">
        <v>74</v>
      </c>
      <c r="BA176" t="s">
        <v>74</v>
      </c>
      <c r="BB176">
        <v>1</v>
      </c>
      <c r="BC176">
        <v>21</v>
      </c>
      <c r="BD176" t="s">
        <v>74</v>
      </c>
      <c r="BE176" t="s">
        <v>3636</v>
      </c>
      <c r="BF176" t="str">
        <f>HYPERLINK("http://dx.doi.org/10.17705/1CAIS.05301","http://dx.doi.org/10.17705/1CAIS.05301")</f>
        <v>http://dx.doi.org/10.17705/1CAIS.05301</v>
      </c>
      <c r="BG176" t="s">
        <v>74</v>
      </c>
      <c r="BH176" t="s">
        <v>74</v>
      </c>
      <c r="BI176">
        <v>22</v>
      </c>
      <c r="BJ176" t="s">
        <v>230</v>
      </c>
      <c r="BK176" t="s">
        <v>352</v>
      </c>
      <c r="BL176" t="s">
        <v>99</v>
      </c>
      <c r="BM176" t="s">
        <v>3637</v>
      </c>
      <c r="BN176" t="s">
        <v>74</v>
      </c>
      <c r="BO176" t="s">
        <v>74</v>
      </c>
      <c r="BP176" t="s">
        <v>74</v>
      </c>
      <c r="BQ176" t="s">
        <v>74</v>
      </c>
      <c r="BR176" t="s">
        <v>101</v>
      </c>
      <c r="BS176" t="s">
        <v>3638</v>
      </c>
      <c r="BT176" t="str">
        <f>HYPERLINK("https%3A%2F%2Fwww.webofscience.com%2Fwos%2Fwoscc%2Ffull-record%2FWOS:001022678600001","View Full Record in Web of Science")</f>
        <v>View Full Record in Web of Science</v>
      </c>
    </row>
    <row r="177" spans="1:72" x14ac:dyDescent="0.2">
      <c r="A177" t="s">
        <v>103</v>
      </c>
      <c r="B177" t="s">
        <v>3639</v>
      </c>
      <c r="C177" t="s">
        <v>74</v>
      </c>
      <c r="D177" t="s">
        <v>74</v>
      </c>
      <c r="E177" t="s">
        <v>74</v>
      </c>
      <c r="F177" t="s">
        <v>3640</v>
      </c>
      <c r="G177" t="s">
        <v>74</v>
      </c>
      <c r="H177" t="s">
        <v>74</v>
      </c>
      <c r="I177" t="s">
        <v>3641</v>
      </c>
      <c r="J177" t="s">
        <v>3642</v>
      </c>
      <c r="K177" t="s">
        <v>74</v>
      </c>
      <c r="L177" t="s">
        <v>74</v>
      </c>
      <c r="M177" t="s">
        <v>79</v>
      </c>
      <c r="N177" t="s">
        <v>108</v>
      </c>
      <c r="O177" t="s">
        <v>74</v>
      </c>
      <c r="P177" t="s">
        <v>74</v>
      </c>
      <c r="Q177" t="s">
        <v>74</v>
      </c>
      <c r="R177" t="s">
        <v>74</v>
      </c>
      <c r="S177" t="s">
        <v>74</v>
      </c>
      <c r="T177" t="s">
        <v>74</v>
      </c>
      <c r="U177" t="s">
        <v>74</v>
      </c>
      <c r="V177" t="s">
        <v>3643</v>
      </c>
      <c r="W177" t="s">
        <v>3644</v>
      </c>
      <c r="X177" t="s">
        <v>74</v>
      </c>
      <c r="Y177" t="s">
        <v>3645</v>
      </c>
      <c r="Z177" t="s">
        <v>74</v>
      </c>
      <c r="AA177" t="s">
        <v>74</v>
      </c>
      <c r="AB177" t="s">
        <v>74</v>
      </c>
      <c r="AC177" t="s">
        <v>74</v>
      </c>
      <c r="AD177" t="s">
        <v>74</v>
      </c>
      <c r="AE177" t="s">
        <v>74</v>
      </c>
      <c r="AF177" t="s">
        <v>74</v>
      </c>
      <c r="AG177">
        <v>4</v>
      </c>
      <c r="AH177">
        <v>0</v>
      </c>
      <c r="AI177">
        <v>0</v>
      </c>
      <c r="AJ177">
        <v>1</v>
      </c>
      <c r="AK177">
        <v>1</v>
      </c>
      <c r="AL177" t="s">
        <v>3646</v>
      </c>
      <c r="AM177" t="s">
        <v>548</v>
      </c>
      <c r="AN177" t="s">
        <v>3647</v>
      </c>
      <c r="AO177" t="s">
        <v>3648</v>
      </c>
      <c r="AP177" t="s">
        <v>3649</v>
      </c>
      <c r="AQ177" t="s">
        <v>74</v>
      </c>
      <c r="AR177" t="s">
        <v>3642</v>
      </c>
      <c r="AS177" t="s">
        <v>3650</v>
      </c>
      <c r="AT177" t="s">
        <v>74</v>
      </c>
      <c r="AU177">
        <v>2023</v>
      </c>
      <c r="AV177">
        <v>25</v>
      </c>
      <c r="AW177">
        <v>3</v>
      </c>
      <c r="AX177" t="s">
        <v>74</v>
      </c>
      <c r="AY177" t="s">
        <v>74</v>
      </c>
      <c r="AZ177" t="s">
        <v>74</v>
      </c>
      <c r="BA177" t="s">
        <v>74</v>
      </c>
      <c r="BB177">
        <v>199</v>
      </c>
      <c r="BC177">
        <v>205</v>
      </c>
      <c r="BD177" t="s">
        <v>74</v>
      </c>
      <c r="BE177" t="s">
        <v>74</v>
      </c>
      <c r="BF177" t="s">
        <v>74</v>
      </c>
      <c r="BG177" t="s">
        <v>74</v>
      </c>
      <c r="BH177" t="s">
        <v>74</v>
      </c>
      <c r="BI177">
        <v>7</v>
      </c>
      <c r="BJ177" t="s">
        <v>3651</v>
      </c>
      <c r="BK177" t="s">
        <v>352</v>
      </c>
      <c r="BL177" t="s">
        <v>3651</v>
      </c>
      <c r="BM177" t="s">
        <v>3652</v>
      </c>
      <c r="BN177" t="s">
        <v>74</v>
      </c>
      <c r="BO177" t="s">
        <v>74</v>
      </c>
      <c r="BP177" t="s">
        <v>74</v>
      </c>
      <c r="BQ177" t="s">
        <v>74</v>
      </c>
      <c r="BR177" t="s">
        <v>101</v>
      </c>
      <c r="BS177" t="s">
        <v>3653</v>
      </c>
      <c r="BT177" t="str">
        <f>HYPERLINK("https%3A%2F%2Fwww.webofscience.com%2Fwos%2Fwoscc%2Ffull-record%2FWOS:001106392900005","View Full Record in Web of Science")</f>
        <v>View Full Record in Web of Science</v>
      </c>
    </row>
    <row r="178" spans="1:72" x14ac:dyDescent="0.2">
      <c r="A178" t="s">
        <v>72</v>
      </c>
      <c r="B178" t="s">
        <v>3654</v>
      </c>
      <c r="C178" t="s">
        <v>74</v>
      </c>
      <c r="D178" t="s">
        <v>2161</v>
      </c>
      <c r="E178" t="s">
        <v>74</v>
      </c>
      <c r="F178" t="s">
        <v>3655</v>
      </c>
      <c r="G178" t="s">
        <v>74</v>
      </c>
      <c r="H178" t="s">
        <v>74</v>
      </c>
      <c r="I178" t="s">
        <v>3656</v>
      </c>
      <c r="J178" t="s">
        <v>3657</v>
      </c>
      <c r="K178" t="s">
        <v>74</v>
      </c>
      <c r="L178" t="s">
        <v>74</v>
      </c>
      <c r="M178" t="s">
        <v>79</v>
      </c>
      <c r="N178" t="s">
        <v>80</v>
      </c>
      <c r="O178" t="s">
        <v>3658</v>
      </c>
      <c r="P178" t="s">
        <v>3659</v>
      </c>
      <c r="Q178" t="s">
        <v>3660</v>
      </c>
      <c r="R178" t="s">
        <v>3661</v>
      </c>
      <c r="S178" t="s">
        <v>74</v>
      </c>
      <c r="T178" t="s">
        <v>3662</v>
      </c>
      <c r="U178" t="s">
        <v>74</v>
      </c>
      <c r="V178" t="s">
        <v>3663</v>
      </c>
      <c r="W178" t="s">
        <v>3664</v>
      </c>
      <c r="X178" t="s">
        <v>3665</v>
      </c>
      <c r="Y178" t="s">
        <v>3666</v>
      </c>
      <c r="Z178" t="s">
        <v>3667</v>
      </c>
      <c r="AA178" t="s">
        <v>74</v>
      </c>
      <c r="AB178" t="s">
        <v>3668</v>
      </c>
      <c r="AC178" t="s">
        <v>3669</v>
      </c>
      <c r="AD178" t="s">
        <v>3670</v>
      </c>
      <c r="AE178" t="s">
        <v>3671</v>
      </c>
      <c r="AF178" t="s">
        <v>74</v>
      </c>
      <c r="AG178">
        <v>41</v>
      </c>
      <c r="AH178">
        <v>0</v>
      </c>
      <c r="AI178">
        <v>0</v>
      </c>
      <c r="AJ178">
        <v>2</v>
      </c>
      <c r="AK178">
        <v>2</v>
      </c>
      <c r="AL178" t="s">
        <v>92</v>
      </c>
      <c r="AM178" t="s">
        <v>93</v>
      </c>
      <c r="AN178" t="s">
        <v>94</v>
      </c>
      <c r="AO178" t="s">
        <v>74</v>
      </c>
      <c r="AP178" t="s">
        <v>74</v>
      </c>
      <c r="AQ178" t="s">
        <v>3672</v>
      </c>
      <c r="AR178" t="s">
        <v>74</v>
      </c>
      <c r="AS178" t="s">
        <v>74</v>
      </c>
      <c r="AT178" t="s">
        <v>74</v>
      </c>
      <c r="AU178">
        <v>2023</v>
      </c>
      <c r="AV178" t="s">
        <v>74</v>
      </c>
      <c r="AW178" t="s">
        <v>74</v>
      </c>
      <c r="AX178" t="s">
        <v>74</v>
      </c>
      <c r="AY178" t="s">
        <v>74</v>
      </c>
      <c r="AZ178" t="s">
        <v>74</v>
      </c>
      <c r="BA178" t="s">
        <v>74</v>
      </c>
      <c r="BB178" t="s">
        <v>74</v>
      </c>
      <c r="BC178" t="s">
        <v>74</v>
      </c>
      <c r="BD178">
        <v>4</v>
      </c>
      <c r="BE178" t="s">
        <v>3673</v>
      </c>
      <c r="BF178" t="str">
        <f>HYPERLINK("http://dx.doi.org/10.1145/3626495.3626506","http://dx.doi.org/10.1145/3626495.3626506")</f>
        <v>http://dx.doi.org/10.1145/3626495.3626506</v>
      </c>
      <c r="BG178" t="s">
        <v>74</v>
      </c>
      <c r="BH178" t="s">
        <v>74</v>
      </c>
      <c r="BI178">
        <v>10</v>
      </c>
      <c r="BJ178" t="s">
        <v>331</v>
      </c>
      <c r="BK178" t="s">
        <v>98</v>
      </c>
      <c r="BL178" t="s">
        <v>99</v>
      </c>
      <c r="BM178" t="s">
        <v>3674</v>
      </c>
      <c r="BN178" t="s">
        <v>74</v>
      </c>
      <c r="BO178" t="s">
        <v>646</v>
      </c>
      <c r="BP178" t="s">
        <v>74</v>
      </c>
      <c r="BQ178" t="s">
        <v>74</v>
      </c>
      <c r="BR178" t="s">
        <v>101</v>
      </c>
      <c r="BS178" t="s">
        <v>3675</v>
      </c>
      <c r="BT178" t="str">
        <f>HYPERLINK("https%3A%2F%2Fwww.webofscience.com%2Fwos%2Fwoscc%2Ffull-record%2FWOS:001122588100006","View Full Record in Web of Science")</f>
        <v>View Full Record in Web of Science</v>
      </c>
    </row>
    <row r="179" spans="1:72" x14ac:dyDescent="0.2">
      <c r="A179" t="s">
        <v>72</v>
      </c>
      <c r="B179" t="s">
        <v>3676</v>
      </c>
      <c r="C179" t="s">
        <v>74</v>
      </c>
      <c r="D179" t="s">
        <v>74</v>
      </c>
      <c r="E179" t="s">
        <v>284</v>
      </c>
      <c r="F179" t="s">
        <v>3677</v>
      </c>
      <c r="G179" t="s">
        <v>74</v>
      </c>
      <c r="H179" t="s">
        <v>74</v>
      </c>
      <c r="I179" t="s">
        <v>3678</v>
      </c>
      <c r="J179" t="s">
        <v>3679</v>
      </c>
      <c r="K179" t="s">
        <v>3680</v>
      </c>
      <c r="L179" t="s">
        <v>74</v>
      </c>
      <c r="M179" t="s">
        <v>79</v>
      </c>
      <c r="N179" t="s">
        <v>80</v>
      </c>
      <c r="O179" t="s">
        <v>3681</v>
      </c>
      <c r="P179" t="s">
        <v>3682</v>
      </c>
      <c r="Q179" t="s">
        <v>3683</v>
      </c>
      <c r="R179" t="s">
        <v>959</v>
      </c>
      <c r="S179" t="s">
        <v>3684</v>
      </c>
      <c r="T179" t="s">
        <v>3685</v>
      </c>
      <c r="U179" t="s">
        <v>74</v>
      </c>
      <c r="V179" t="s">
        <v>3686</v>
      </c>
      <c r="W179" t="s">
        <v>3687</v>
      </c>
      <c r="X179" t="s">
        <v>3688</v>
      </c>
      <c r="Y179" t="s">
        <v>3689</v>
      </c>
      <c r="Z179" t="s">
        <v>3690</v>
      </c>
      <c r="AA179" t="s">
        <v>74</v>
      </c>
      <c r="AB179" t="s">
        <v>3691</v>
      </c>
      <c r="AC179" t="s">
        <v>3692</v>
      </c>
      <c r="AD179" t="s">
        <v>3693</v>
      </c>
      <c r="AE179" t="s">
        <v>3694</v>
      </c>
      <c r="AF179" t="s">
        <v>74</v>
      </c>
      <c r="AG179">
        <v>23</v>
      </c>
      <c r="AH179">
        <v>0</v>
      </c>
      <c r="AI179">
        <v>0</v>
      </c>
      <c r="AJ179">
        <v>5</v>
      </c>
      <c r="AK179">
        <v>5</v>
      </c>
      <c r="AL179" t="s">
        <v>638</v>
      </c>
      <c r="AM179" t="s">
        <v>639</v>
      </c>
      <c r="AN179" t="s">
        <v>640</v>
      </c>
      <c r="AO179" t="s">
        <v>3695</v>
      </c>
      <c r="AP179" t="s">
        <v>74</v>
      </c>
      <c r="AQ179" t="s">
        <v>3696</v>
      </c>
      <c r="AR179" t="s">
        <v>3697</v>
      </c>
      <c r="AS179" t="s">
        <v>74</v>
      </c>
      <c r="AT179" t="s">
        <v>74</v>
      </c>
      <c r="AU179">
        <v>2023</v>
      </c>
      <c r="AV179" t="s">
        <v>74</v>
      </c>
      <c r="AW179" t="s">
        <v>74</v>
      </c>
      <c r="AX179" t="s">
        <v>74</v>
      </c>
      <c r="AY179" t="s">
        <v>74</v>
      </c>
      <c r="AZ179" t="s">
        <v>74</v>
      </c>
      <c r="BA179" t="s">
        <v>74</v>
      </c>
      <c r="BB179">
        <v>138</v>
      </c>
      <c r="BC179">
        <v>145</v>
      </c>
      <c r="BD179" t="s">
        <v>74</v>
      </c>
      <c r="BE179" t="s">
        <v>3698</v>
      </c>
      <c r="BF179" t="str">
        <f>HYPERLINK("http://dx.doi.org/10.1109/AITest58265.2023.00030","http://dx.doi.org/10.1109/AITest58265.2023.00030")</f>
        <v>http://dx.doi.org/10.1109/AITest58265.2023.00030</v>
      </c>
      <c r="BG179" t="s">
        <v>74</v>
      </c>
      <c r="BH179" t="s">
        <v>74</v>
      </c>
      <c r="BI179">
        <v>8</v>
      </c>
      <c r="BJ179" t="s">
        <v>3271</v>
      </c>
      <c r="BK179" t="s">
        <v>98</v>
      </c>
      <c r="BL179" t="s">
        <v>99</v>
      </c>
      <c r="BM179" t="s">
        <v>3699</v>
      </c>
      <c r="BN179" t="s">
        <v>74</v>
      </c>
      <c r="BO179" t="s">
        <v>646</v>
      </c>
      <c r="BP179" t="s">
        <v>74</v>
      </c>
      <c r="BQ179" t="s">
        <v>74</v>
      </c>
      <c r="BR179" t="s">
        <v>101</v>
      </c>
      <c r="BS179" t="s">
        <v>3700</v>
      </c>
      <c r="BT179" t="str">
        <f>HYPERLINK("https%3A%2F%2Fwww.webofscience.com%2Fwos%2Fwoscc%2Ffull-record%2FWOS:001062490100020","View Full Record in Web of Science")</f>
        <v>View Full Record in Web of Science</v>
      </c>
    </row>
    <row r="180" spans="1:72" x14ac:dyDescent="0.2">
      <c r="A180" t="s">
        <v>103</v>
      </c>
      <c r="B180" t="s">
        <v>3701</v>
      </c>
      <c r="C180" t="s">
        <v>74</v>
      </c>
      <c r="D180" t="s">
        <v>74</v>
      </c>
      <c r="E180" t="s">
        <v>74</v>
      </c>
      <c r="F180" t="s">
        <v>3702</v>
      </c>
      <c r="G180" t="s">
        <v>74</v>
      </c>
      <c r="H180" t="s">
        <v>74</v>
      </c>
      <c r="I180" t="s">
        <v>3703</v>
      </c>
      <c r="J180" t="s">
        <v>3704</v>
      </c>
      <c r="K180" t="s">
        <v>74</v>
      </c>
      <c r="L180" t="s">
        <v>74</v>
      </c>
      <c r="M180" t="s">
        <v>79</v>
      </c>
      <c r="N180" t="s">
        <v>108</v>
      </c>
      <c r="O180" t="s">
        <v>74</v>
      </c>
      <c r="P180" t="s">
        <v>74</v>
      </c>
      <c r="Q180" t="s">
        <v>74</v>
      </c>
      <c r="R180" t="s">
        <v>74</v>
      </c>
      <c r="S180" t="s">
        <v>74</v>
      </c>
      <c r="T180" t="s">
        <v>3705</v>
      </c>
      <c r="U180" t="s">
        <v>3706</v>
      </c>
      <c r="V180" t="s">
        <v>3707</v>
      </c>
      <c r="W180" t="s">
        <v>3708</v>
      </c>
      <c r="X180" t="s">
        <v>3709</v>
      </c>
      <c r="Y180" t="s">
        <v>3710</v>
      </c>
      <c r="Z180" t="s">
        <v>3711</v>
      </c>
      <c r="AA180" t="s">
        <v>74</v>
      </c>
      <c r="AB180" t="s">
        <v>3712</v>
      </c>
      <c r="AC180" t="s">
        <v>74</v>
      </c>
      <c r="AD180" t="s">
        <v>74</v>
      </c>
      <c r="AE180" t="s">
        <v>74</v>
      </c>
      <c r="AF180" t="s">
        <v>74</v>
      </c>
      <c r="AG180">
        <v>64</v>
      </c>
      <c r="AH180">
        <v>1</v>
      </c>
      <c r="AI180">
        <v>1</v>
      </c>
      <c r="AJ180">
        <v>70</v>
      </c>
      <c r="AK180">
        <v>70</v>
      </c>
      <c r="AL180" t="s">
        <v>244</v>
      </c>
      <c r="AM180" t="s">
        <v>245</v>
      </c>
      <c r="AN180" t="s">
        <v>246</v>
      </c>
      <c r="AO180" t="s">
        <v>3713</v>
      </c>
      <c r="AP180" t="s">
        <v>3714</v>
      </c>
      <c r="AQ180" t="s">
        <v>74</v>
      </c>
      <c r="AR180" t="s">
        <v>3704</v>
      </c>
      <c r="AS180" t="s">
        <v>3715</v>
      </c>
      <c r="AT180" t="s">
        <v>2016</v>
      </c>
      <c r="AU180">
        <v>2024</v>
      </c>
      <c r="AV180">
        <v>68</v>
      </c>
      <c r="AW180">
        <v>1</v>
      </c>
      <c r="AX180" t="s">
        <v>74</v>
      </c>
      <c r="AY180" t="s">
        <v>74</v>
      </c>
      <c r="AZ180" t="s">
        <v>253</v>
      </c>
      <c r="BA180" t="s">
        <v>74</v>
      </c>
      <c r="BB180">
        <v>58</v>
      </c>
      <c r="BC180">
        <v>66</v>
      </c>
      <c r="BD180" t="s">
        <v>74</v>
      </c>
      <c r="BE180" t="s">
        <v>3716</v>
      </c>
      <c r="BF180" t="str">
        <f>HYPERLINK("http://dx.doi.org/10.1007/s11528-023-00911-4","http://dx.doi.org/10.1007/s11528-023-00911-4")</f>
        <v>http://dx.doi.org/10.1007/s11528-023-00911-4</v>
      </c>
      <c r="BG180" t="s">
        <v>74</v>
      </c>
      <c r="BH180" t="s">
        <v>157</v>
      </c>
      <c r="BI180">
        <v>9</v>
      </c>
      <c r="BJ180" t="s">
        <v>423</v>
      </c>
      <c r="BK180" t="s">
        <v>352</v>
      </c>
      <c r="BL180" t="s">
        <v>423</v>
      </c>
      <c r="BM180" t="s">
        <v>3717</v>
      </c>
      <c r="BN180" t="s">
        <v>74</v>
      </c>
      <c r="BO180" t="s">
        <v>74</v>
      </c>
      <c r="BP180" t="s">
        <v>74</v>
      </c>
      <c r="BQ180" t="s">
        <v>74</v>
      </c>
      <c r="BR180" t="s">
        <v>101</v>
      </c>
      <c r="BS180" t="s">
        <v>3718</v>
      </c>
      <c r="BT180" t="str">
        <f>HYPERLINK("https%3A%2F%2Fwww.webofscience.com%2Fwos%2Fwoscc%2Ffull-record%2FWOS:001100085100001","View Full Record in Web of Science")</f>
        <v>View Full Record in Web of Science</v>
      </c>
    </row>
    <row r="181" spans="1:72" x14ac:dyDescent="0.2">
      <c r="A181" t="s">
        <v>103</v>
      </c>
      <c r="B181" t="s">
        <v>3719</v>
      </c>
      <c r="C181" t="s">
        <v>74</v>
      </c>
      <c r="D181" t="s">
        <v>74</v>
      </c>
      <c r="E181" t="s">
        <v>74</v>
      </c>
      <c r="F181" t="s">
        <v>3720</v>
      </c>
      <c r="G181" t="s">
        <v>74</v>
      </c>
      <c r="H181" t="s">
        <v>74</v>
      </c>
      <c r="I181" t="s">
        <v>3721</v>
      </c>
      <c r="J181" t="s">
        <v>3722</v>
      </c>
      <c r="K181" t="s">
        <v>74</v>
      </c>
      <c r="L181" t="s">
        <v>74</v>
      </c>
      <c r="M181" t="s">
        <v>79</v>
      </c>
      <c r="N181" t="s">
        <v>108</v>
      </c>
      <c r="O181" t="s">
        <v>74</v>
      </c>
      <c r="P181" t="s">
        <v>74</v>
      </c>
      <c r="Q181" t="s">
        <v>74</v>
      </c>
      <c r="R181" t="s">
        <v>74</v>
      </c>
      <c r="S181" t="s">
        <v>74</v>
      </c>
      <c r="T181" t="s">
        <v>3723</v>
      </c>
      <c r="U181" t="s">
        <v>3724</v>
      </c>
      <c r="V181" t="s">
        <v>3725</v>
      </c>
      <c r="W181" t="s">
        <v>3726</v>
      </c>
      <c r="X181" t="s">
        <v>3727</v>
      </c>
      <c r="Y181" t="s">
        <v>3728</v>
      </c>
      <c r="Z181" t="s">
        <v>3729</v>
      </c>
      <c r="AA181" t="s">
        <v>74</v>
      </c>
      <c r="AB181" t="s">
        <v>3730</v>
      </c>
      <c r="AC181" t="s">
        <v>3731</v>
      </c>
      <c r="AD181" t="s">
        <v>3732</v>
      </c>
      <c r="AE181" t="s">
        <v>3733</v>
      </c>
      <c r="AF181" t="s">
        <v>74</v>
      </c>
      <c r="AG181">
        <v>99</v>
      </c>
      <c r="AH181">
        <v>0</v>
      </c>
      <c r="AI181">
        <v>0</v>
      </c>
      <c r="AJ181">
        <v>14</v>
      </c>
      <c r="AK181">
        <v>14</v>
      </c>
      <c r="AL181" t="s">
        <v>119</v>
      </c>
      <c r="AM181" t="s">
        <v>120</v>
      </c>
      <c r="AN181" t="s">
        <v>121</v>
      </c>
      <c r="AO181" t="s">
        <v>3734</v>
      </c>
      <c r="AP181" t="s">
        <v>3735</v>
      </c>
      <c r="AQ181" t="s">
        <v>74</v>
      </c>
      <c r="AR181" t="s">
        <v>3736</v>
      </c>
      <c r="AS181" t="s">
        <v>3737</v>
      </c>
      <c r="AT181" t="s">
        <v>2016</v>
      </c>
      <c r="AU181">
        <v>2024</v>
      </c>
      <c r="AV181">
        <v>189</v>
      </c>
      <c r="AW181" t="s">
        <v>74</v>
      </c>
      <c r="AX181" t="s">
        <v>3738</v>
      </c>
      <c r="AY181" t="s">
        <v>74</v>
      </c>
      <c r="AZ181" t="s">
        <v>74</v>
      </c>
      <c r="BA181" t="s">
        <v>74</v>
      </c>
      <c r="BB181" t="s">
        <v>74</v>
      </c>
      <c r="BC181" t="s">
        <v>74</v>
      </c>
      <c r="BD181">
        <v>113933</v>
      </c>
      <c r="BE181" t="s">
        <v>3739</v>
      </c>
      <c r="BF181" t="str">
        <f>HYPERLINK("http://dx.doi.org/10.1016/j.rser.2023.113933","http://dx.doi.org/10.1016/j.rser.2023.113933")</f>
        <v>http://dx.doi.org/10.1016/j.rser.2023.113933</v>
      </c>
      <c r="BG181" t="s">
        <v>74</v>
      </c>
      <c r="BH181" t="s">
        <v>157</v>
      </c>
      <c r="BI181">
        <v>23</v>
      </c>
      <c r="BJ181" t="s">
        <v>3740</v>
      </c>
      <c r="BK181" t="s">
        <v>130</v>
      </c>
      <c r="BL181" t="s">
        <v>3741</v>
      </c>
      <c r="BM181" t="s">
        <v>3742</v>
      </c>
      <c r="BN181" t="s">
        <v>74</v>
      </c>
      <c r="BO181" t="s">
        <v>74</v>
      </c>
      <c r="BP181" t="s">
        <v>74</v>
      </c>
      <c r="BQ181" t="s">
        <v>74</v>
      </c>
      <c r="BR181" t="s">
        <v>101</v>
      </c>
      <c r="BS181" t="s">
        <v>3743</v>
      </c>
      <c r="BT181" t="str">
        <f>HYPERLINK("https%3A%2F%2Fwww.webofscience.com%2Fwos%2Fwoscc%2Ffull-record%2FWOS:001107373300001","View Full Record in Web of Science")</f>
        <v>View Full Record in Web of Science</v>
      </c>
    </row>
    <row r="182" spans="1:72" x14ac:dyDescent="0.2">
      <c r="A182" t="s">
        <v>72</v>
      </c>
      <c r="B182" t="s">
        <v>3744</v>
      </c>
      <c r="C182" t="s">
        <v>74</v>
      </c>
      <c r="D182" t="s">
        <v>74</v>
      </c>
      <c r="E182" t="s">
        <v>75</v>
      </c>
      <c r="F182" t="s">
        <v>3745</v>
      </c>
      <c r="G182" t="s">
        <v>74</v>
      </c>
      <c r="H182" t="s">
        <v>74</v>
      </c>
      <c r="I182" t="s">
        <v>3746</v>
      </c>
      <c r="J182" t="s">
        <v>3295</v>
      </c>
      <c r="K182" t="s">
        <v>74</v>
      </c>
      <c r="L182" t="s">
        <v>74</v>
      </c>
      <c r="M182" t="s">
        <v>79</v>
      </c>
      <c r="N182" t="s">
        <v>80</v>
      </c>
      <c r="O182" t="s">
        <v>3296</v>
      </c>
      <c r="P182" t="s">
        <v>3297</v>
      </c>
      <c r="Q182" t="s">
        <v>3298</v>
      </c>
      <c r="R182" t="s">
        <v>3299</v>
      </c>
      <c r="S182" t="s">
        <v>3300</v>
      </c>
      <c r="T182" t="s">
        <v>3747</v>
      </c>
      <c r="U182" t="s">
        <v>74</v>
      </c>
      <c r="V182" t="s">
        <v>3748</v>
      </c>
      <c r="W182" t="s">
        <v>3749</v>
      </c>
      <c r="X182" t="s">
        <v>3750</v>
      </c>
      <c r="Y182" t="s">
        <v>3751</v>
      </c>
      <c r="Z182" t="s">
        <v>3752</v>
      </c>
      <c r="AA182" t="s">
        <v>74</v>
      </c>
      <c r="AB182" t="s">
        <v>74</v>
      </c>
      <c r="AC182" t="s">
        <v>3753</v>
      </c>
      <c r="AD182" t="s">
        <v>3754</v>
      </c>
      <c r="AE182" t="s">
        <v>3755</v>
      </c>
      <c r="AF182" t="s">
        <v>74</v>
      </c>
      <c r="AG182">
        <v>42</v>
      </c>
      <c r="AH182">
        <v>0</v>
      </c>
      <c r="AI182">
        <v>0</v>
      </c>
      <c r="AJ182">
        <v>1</v>
      </c>
      <c r="AK182">
        <v>1</v>
      </c>
      <c r="AL182" t="s">
        <v>92</v>
      </c>
      <c r="AM182" t="s">
        <v>93</v>
      </c>
      <c r="AN182" t="s">
        <v>94</v>
      </c>
      <c r="AO182" t="s">
        <v>74</v>
      </c>
      <c r="AP182" t="s">
        <v>74</v>
      </c>
      <c r="AQ182" t="s">
        <v>3306</v>
      </c>
      <c r="AR182" t="s">
        <v>74</v>
      </c>
      <c r="AS182" t="s">
        <v>74</v>
      </c>
      <c r="AT182" t="s">
        <v>74</v>
      </c>
      <c r="AU182">
        <v>2023</v>
      </c>
      <c r="AV182" t="s">
        <v>74</v>
      </c>
      <c r="AW182" t="s">
        <v>74</v>
      </c>
      <c r="AX182" t="s">
        <v>74</v>
      </c>
      <c r="AY182" t="s">
        <v>74</v>
      </c>
      <c r="AZ182" t="s">
        <v>74</v>
      </c>
      <c r="BA182" t="s">
        <v>74</v>
      </c>
      <c r="BB182" t="s">
        <v>74</v>
      </c>
      <c r="BC182" t="s">
        <v>74</v>
      </c>
      <c r="BD182">
        <v>2</v>
      </c>
      <c r="BE182" t="s">
        <v>3756</v>
      </c>
      <c r="BF182" t="str">
        <f>HYPERLINK("http://dx.doi.org/10.1145/3610969.3610982","http://dx.doi.org/10.1145/3610969.3610982")</f>
        <v>http://dx.doi.org/10.1145/3610969.3610982</v>
      </c>
      <c r="BG182" t="s">
        <v>74</v>
      </c>
      <c r="BH182" t="s">
        <v>74</v>
      </c>
      <c r="BI182">
        <v>7</v>
      </c>
      <c r="BJ182" t="s">
        <v>3308</v>
      </c>
      <c r="BK182" t="s">
        <v>98</v>
      </c>
      <c r="BL182" t="s">
        <v>423</v>
      </c>
      <c r="BM182" t="s">
        <v>3309</v>
      </c>
      <c r="BN182" t="s">
        <v>74</v>
      </c>
      <c r="BO182" t="s">
        <v>2722</v>
      </c>
      <c r="BP182" t="s">
        <v>74</v>
      </c>
      <c r="BQ182" t="s">
        <v>74</v>
      </c>
      <c r="BR182" t="s">
        <v>101</v>
      </c>
      <c r="BS182" t="s">
        <v>3757</v>
      </c>
      <c r="BT182" t="str">
        <f>HYPERLINK("https%3A%2F%2Fwww.webofscience.com%2Fwos%2Fwoscc%2Ffull-record%2FWOS:001147623400003","View Full Record in Web of Science")</f>
        <v>View Full Record in Web of Science</v>
      </c>
    </row>
    <row r="183" spans="1:72" x14ac:dyDescent="0.2">
      <c r="A183" t="s">
        <v>103</v>
      </c>
      <c r="B183" t="s">
        <v>3758</v>
      </c>
      <c r="C183" t="s">
        <v>74</v>
      </c>
      <c r="D183" t="s">
        <v>74</v>
      </c>
      <c r="E183" t="s">
        <v>74</v>
      </c>
      <c r="F183" t="s">
        <v>3759</v>
      </c>
      <c r="G183" t="s">
        <v>74</v>
      </c>
      <c r="H183" t="s">
        <v>74</v>
      </c>
      <c r="I183" t="s">
        <v>3760</v>
      </c>
      <c r="J183" t="s">
        <v>3761</v>
      </c>
      <c r="K183" t="s">
        <v>74</v>
      </c>
      <c r="L183" t="s">
        <v>74</v>
      </c>
      <c r="M183" t="s">
        <v>79</v>
      </c>
      <c r="N183" t="s">
        <v>108</v>
      </c>
      <c r="O183" t="s">
        <v>74</v>
      </c>
      <c r="P183" t="s">
        <v>74</v>
      </c>
      <c r="Q183" t="s">
        <v>74</v>
      </c>
      <c r="R183" t="s">
        <v>74</v>
      </c>
      <c r="S183" t="s">
        <v>74</v>
      </c>
      <c r="T183" t="s">
        <v>3762</v>
      </c>
      <c r="U183" t="s">
        <v>74</v>
      </c>
      <c r="V183" t="s">
        <v>3763</v>
      </c>
      <c r="W183" t="s">
        <v>3764</v>
      </c>
      <c r="X183" t="s">
        <v>3765</v>
      </c>
      <c r="Y183" t="s">
        <v>3766</v>
      </c>
      <c r="Z183" t="s">
        <v>3767</v>
      </c>
      <c r="AA183" t="s">
        <v>3768</v>
      </c>
      <c r="AB183" t="s">
        <v>3769</v>
      </c>
      <c r="AC183" t="s">
        <v>3770</v>
      </c>
      <c r="AD183" t="s">
        <v>3770</v>
      </c>
      <c r="AE183" t="s">
        <v>3771</v>
      </c>
      <c r="AF183" t="s">
        <v>74</v>
      </c>
      <c r="AG183">
        <v>46</v>
      </c>
      <c r="AH183">
        <v>0</v>
      </c>
      <c r="AI183">
        <v>0</v>
      </c>
      <c r="AJ183">
        <v>29</v>
      </c>
      <c r="AK183">
        <v>29</v>
      </c>
      <c r="AL183" t="s">
        <v>1987</v>
      </c>
      <c r="AM183" t="s">
        <v>149</v>
      </c>
      <c r="AN183" t="s">
        <v>1988</v>
      </c>
      <c r="AO183" t="s">
        <v>3772</v>
      </c>
      <c r="AP183" t="s">
        <v>74</v>
      </c>
      <c r="AQ183" t="s">
        <v>74</v>
      </c>
      <c r="AR183" t="s">
        <v>3773</v>
      </c>
      <c r="AS183" t="s">
        <v>3774</v>
      </c>
      <c r="AT183" t="s">
        <v>3775</v>
      </c>
      <c r="AU183">
        <v>2023</v>
      </c>
      <c r="AV183">
        <v>19</v>
      </c>
      <c r="AW183">
        <v>1</v>
      </c>
      <c r="AX183" t="s">
        <v>74</v>
      </c>
      <c r="AY183" t="s">
        <v>74</v>
      </c>
      <c r="AZ183" t="s">
        <v>74</v>
      </c>
      <c r="BA183" t="s">
        <v>74</v>
      </c>
      <c r="BB183" t="s">
        <v>74</v>
      </c>
      <c r="BC183" t="s">
        <v>74</v>
      </c>
      <c r="BD183">
        <v>26</v>
      </c>
      <c r="BE183" t="s">
        <v>3776</v>
      </c>
      <c r="BF183" t="str">
        <f>HYPERLINK("http://dx.doi.org/10.1007/s40979-023-00146-z","http://dx.doi.org/10.1007/s40979-023-00146-z")</f>
        <v>http://dx.doi.org/10.1007/s40979-023-00146-z</v>
      </c>
      <c r="BG183" t="s">
        <v>74</v>
      </c>
      <c r="BH183" t="s">
        <v>74</v>
      </c>
      <c r="BI183">
        <v>39</v>
      </c>
      <c r="BJ183" t="s">
        <v>423</v>
      </c>
      <c r="BK183" t="s">
        <v>352</v>
      </c>
      <c r="BL183" t="s">
        <v>423</v>
      </c>
      <c r="BM183" t="s">
        <v>3777</v>
      </c>
      <c r="BN183" t="s">
        <v>74</v>
      </c>
      <c r="BO183" t="s">
        <v>1071</v>
      </c>
      <c r="BP183" t="s">
        <v>74</v>
      </c>
      <c r="BQ183" t="s">
        <v>74</v>
      </c>
      <c r="BR183" t="s">
        <v>101</v>
      </c>
      <c r="BS183" t="s">
        <v>3778</v>
      </c>
      <c r="BT183" t="str">
        <f>HYPERLINK("https%3A%2F%2Fwww.webofscience.com%2Fwos%2Fwoscc%2Ffull-record%2FWOS:001129231700001","View Full Record in Web of Science")</f>
        <v>View Full Record in Web of Science</v>
      </c>
    </row>
    <row r="184" spans="1:72" x14ac:dyDescent="0.2">
      <c r="A184" t="s">
        <v>103</v>
      </c>
      <c r="B184" t="s">
        <v>3779</v>
      </c>
      <c r="C184" t="s">
        <v>74</v>
      </c>
      <c r="D184" t="s">
        <v>74</v>
      </c>
      <c r="E184" t="s">
        <v>74</v>
      </c>
      <c r="F184" t="s">
        <v>3780</v>
      </c>
      <c r="G184" t="s">
        <v>74</v>
      </c>
      <c r="H184" t="s">
        <v>74</v>
      </c>
      <c r="I184" t="s">
        <v>3781</v>
      </c>
      <c r="J184" t="s">
        <v>3782</v>
      </c>
      <c r="K184" t="s">
        <v>74</v>
      </c>
      <c r="L184" t="s">
        <v>74</v>
      </c>
      <c r="M184" t="s">
        <v>79</v>
      </c>
      <c r="N184" t="s">
        <v>108</v>
      </c>
      <c r="O184" t="s">
        <v>74</v>
      </c>
      <c r="P184" t="s">
        <v>74</v>
      </c>
      <c r="Q184" t="s">
        <v>74</v>
      </c>
      <c r="R184" t="s">
        <v>74</v>
      </c>
      <c r="S184" t="s">
        <v>74</v>
      </c>
      <c r="T184" t="s">
        <v>3783</v>
      </c>
      <c r="U184" t="s">
        <v>74</v>
      </c>
      <c r="V184" t="s">
        <v>3784</v>
      </c>
      <c r="W184" t="s">
        <v>3785</v>
      </c>
      <c r="X184" t="s">
        <v>3786</v>
      </c>
      <c r="Y184" t="s">
        <v>3787</v>
      </c>
      <c r="Z184" t="s">
        <v>3788</v>
      </c>
      <c r="AA184" t="s">
        <v>3789</v>
      </c>
      <c r="AB184" t="s">
        <v>3790</v>
      </c>
      <c r="AC184" t="s">
        <v>3791</v>
      </c>
      <c r="AD184" t="s">
        <v>3792</v>
      </c>
      <c r="AE184" t="s">
        <v>3793</v>
      </c>
      <c r="AF184" t="s">
        <v>74</v>
      </c>
      <c r="AG184">
        <v>47</v>
      </c>
      <c r="AH184">
        <v>19</v>
      </c>
      <c r="AI184">
        <v>19</v>
      </c>
      <c r="AJ184">
        <v>52</v>
      </c>
      <c r="AK184">
        <v>57</v>
      </c>
      <c r="AL184" t="s">
        <v>1379</v>
      </c>
      <c r="AM184" t="s">
        <v>1380</v>
      </c>
      <c r="AN184" t="s">
        <v>1381</v>
      </c>
      <c r="AO184" t="s">
        <v>3794</v>
      </c>
      <c r="AP184" t="s">
        <v>3795</v>
      </c>
      <c r="AQ184" t="s">
        <v>74</v>
      </c>
      <c r="AR184" t="s">
        <v>3796</v>
      </c>
      <c r="AS184" t="s">
        <v>3797</v>
      </c>
      <c r="AT184" t="s">
        <v>74</v>
      </c>
      <c r="AU184">
        <v>2023</v>
      </c>
      <c r="AV184">
        <v>25</v>
      </c>
      <c r="AW184" t="s">
        <v>74</v>
      </c>
      <c r="AX184" t="s">
        <v>74</v>
      </c>
      <c r="AY184" t="s">
        <v>74</v>
      </c>
      <c r="AZ184" t="s">
        <v>74</v>
      </c>
      <c r="BA184" t="s">
        <v>74</v>
      </c>
      <c r="BB184">
        <v>2323</v>
      </c>
      <c r="BC184">
        <v>2338</v>
      </c>
      <c r="BD184" t="s">
        <v>74</v>
      </c>
      <c r="BE184" t="s">
        <v>3798</v>
      </c>
      <c r="BF184" t="str">
        <f>HYPERLINK("http://dx.doi.org/10.1109/TMM.2022.3146010","http://dx.doi.org/10.1109/TMM.2022.3146010")</f>
        <v>http://dx.doi.org/10.1109/TMM.2022.3146010</v>
      </c>
      <c r="BG184" t="s">
        <v>74</v>
      </c>
      <c r="BH184" t="s">
        <v>74</v>
      </c>
      <c r="BI184">
        <v>16</v>
      </c>
      <c r="BJ184" t="s">
        <v>3799</v>
      </c>
      <c r="BK184" t="s">
        <v>130</v>
      </c>
      <c r="BL184" t="s">
        <v>644</v>
      </c>
      <c r="BM184" t="s">
        <v>3800</v>
      </c>
      <c r="BN184" t="s">
        <v>74</v>
      </c>
      <c r="BO184" t="s">
        <v>74</v>
      </c>
      <c r="BP184" t="s">
        <v>1434</v>
      </c>
      <c r="BQ184" t="s">
        <v>1912</v>
      </c>
      <c r="BR184" t="s">
        <v>101</v>
      </c>
      <c r="BS184" t="s">
        <v>3801</v>
      </c>
      <c r="BT184" t="str">
        <f>HYPERLINK("https%3A%2F%2Fwww.webofscience.com%2Fwos%2Fwoscc%2Ffull-record%2FWOS:001007432100056","View Full Record in Web of Science")</f>
        <v>View Full Record in Web of Science</v>
      </c>
    </row>
    <row r="185" spans="1:72" x14ac:dyDescent="0.2">
      <c r="A185" t="s">
        <v>103</v>
      </c>
      <c r="B185" t="s">
        <v>3802</v>
      </c>
      <c r="C185" t="s">
        <v>74</v>
      </c>
      <c r="D185" t="s">
        <v>74</v>
      </c>
      <c r="E185" t="s">
        <v>74</v>
      </c>
      <c r="F185" t="s">
        <v>3803</v>
      </c>
      <c r="G185" t="s">
        <v>74</v>
      </c>
      <c r="H185" t="s">
        <v>74</v>
      </c>
      <c r="I185" t="s">
        <v>3804</v>
      </c>
      <c r="J185" t="s">
        <v>3805</v>
      </c>
      <c r="K185" t="s">
        <v>74</v>
      </c>
      <c r="L185" t="s">
        <v>74</v>
      </c>
      <c r="M185" t="s">
        <v>79</v>
      </c>
      <c r="N185" t="s">
        <v>108</v>
      </c>
      <c r="O185" t="s">
        <v>74</v>
      </c>
      <c r="P185" t="s">
        <v>74</v>
      </c>
      <c r="Q185" t="s">
        <v>74</v>
      </c>
      <c r="R185" t="s">
        <v>74</v>
      </c>
      <c r="S185" t="s">
        <v>74</v>
      </c>
      <c r="T185" t="s">
        <v>74</v>
      </c>
      <c r="U185" t="s">
        <v>3806</v>
      </c>
      <c r="V185" t="s">
        <v>3807</v>
      </c>
      <c r="W185" t="s">
        <v>3808</v>
      </c>
      <c r="X185" t="s">
        <v>3809</v>
      </c>
      <c r="Y185" t="s">
        <v>3810</v>
      </c>
      <c r="Z185" t="s">
        <v>3811</v>
      </c>
      <c r="AA185" t="s">
        <v>3812</v>
      </c>
      <c r="AB185" t="s">
        <v>3813</v>
      </c>
      <c r="AC185" t="s">
        <v>3814</v>
      </c>
      <c r="AD185" t="s">
        <v>3815</v>
      </c>
      <c r="AE185" t="s">
        <v>3816</v>
      </c>
      <c r="AF185" t="s">
        <v>74</v>
      </c>
      <c r="AG185">
        <v>39</v>
      </c>
      <c r="AH185">
        <v>0</v>
      </c>
      <c r="AI185">
        <v>0</v>
      </c>
      <c r="AJ185">
        <v>6</v>
      </c>
      <c r="AK185">
        <v>6</v>
      </c>
      <c r="AL185" t="s">
        <v>2032</v>
      </c>
      <c r="AM185" t="s">
        <v>149</v>
      </c>
      <c r="AN185" t="s">
        <v>2033</v>
      </c>
      <c r="AO185" t="s">
        <v>3817</v>
      </c>
      <c r="AP185" t="s">
        <v>3818</v>
      </c>
      <c r="AQ185" t="s">
        <v>74</v>
      </c>
      <c r="AR185" t="s">
        <v>3819</v>
      </c>
      <c r="AS185" t="s">
        <v>3820</v>
      </c>
      <c r="AT185" t="s">
        <v>3821</v>
      </c>
      <c r="AU185">
        <v>2023</v>
      </c>
      <c r="AV185">
        <v>12</v>
      </c>
      <c r="AW185">
        <v>1</v>
      </c>
      <c r="AX185" t="s">
        <v>74</v>
      </c>
      <c r="AY185" t="s">
        <v>74</v>
      </c>
      <c r="AZ185" t="s">
        <v>74</v>
      </c>
      <c r="BA185" t="s">
        <v>74</v>
      </c>
      <c r="BB185" t="s">
        <v>74</v>
      </c>
      <c r="BC185" t="s">
        <v>74</v>
      </c>
      <c r="BD185">
        <v>297</v>
      </c>
      <c r="BE185" t="s">
        <v>3822</v>
      </c>
      <c r="BF185" t="str">
        <f>HYPERLINK("http://dx.doi.org/10.1038/s41377-023-01296-y","http://dx.doi.org/10.1038/s41377-023-01296-y")</f>
        <v>http://dx.doi.org/10.1038/s41377-023-01296-y</v>
      </c>
      <c r="BG185" t="s">
        <v>74</v>
      </c>
      <c r="BH185" t="s">
        <v>74</v>
      </c>
      <c r="BI185">
        <v>15</v>
      </c>
      <c r="BJ185" t="s">
        <v>3823</v>
      </c>
      <c r="BK185" t="s">
        <v>130</v>
      </c>
      <c r="BL185" t="s">
        <v>3823</v>
      </c>
      <c r="BM185" t="s">
        <v>3824</v>
      </c>
      <c r="BN185">
        <v>38097545</v>
      </c>
      <c r="BO185" t="s">
        <v>425</v>
      </c>
      <c r="BP185" t="s">
        <v>74</v>
      </c>
      <c r="BQ185" t="s">
        <v>74</v>
      </c>
      <c r="BR185" t="s">
        <v>101</v>
      </c>
      <c r="BS185" t="s">
        <v>3825</v>
      </c>
      <c r="BT185" t="str">
        <f>HYPERLINK("https%3A%2F%2Fwww.webofscience.com%2Fwos%2Fwoscc%2Ffull-record%2FWOS:001125877200002","View Full Record in Web of Science")</f>
        <v>View Full Record in Web of Science</v>
      </c>
    </row>
    <row r="186" spans="1:72" x14ac:dyDescent="0.2">
      <c r="A186" t="s">
        <v>103</v>
      </c>
      <c r="B186" t="s">
        <v>3826</v>
      </c>
      <c r="C186" t="s">
        <v>74</v>
      </c>
      <c r="D186" t="s">
        <v>74</v>
      </c>
      <c r="E186" t="s">
        <v>74</v>
      </c>
      <c r="F186" t="s">
        <v>3827</v>
      </c>
      <c r="G186" t="s">
        <v>74</v>
      </c>
      <c r="H186" t="s">
        <v>74</v>
      </c>
      <c r="I186" t="s">
        <v>3828</v>
      </c>
      <c r="J186" t="s">
        <v>3829</v>
      </c>
      <c r="K186" t="s">
        <v>74</v>
      </c>
      <c r="L186" t="s">
        <v>74</v>
      </c>
      <c r="M186" t="s">
        <v>79</v>
      </c>
      <c r="N186" t="s">
        <v>138</v>
      </c>
      <c r="O186" t="s">
        <v>74</v>
      </c>
      <c r="P186" t="s">
        <v>74</v>
      </c>
      <c r="Q186" t="s">
        <v>74</v>
      </c>
      <c r="R186" t="s">
        <v>74</v>
      </c>
      <c r="S186" t="s">
        <v>74</v>
      </c>
      <c r="T186" t="s">
        <v>74</v>
      </c>
      <c r="U186" t="s">
        <v>3830</v>
      </c>
      <c r="V186" t="s">
        <v>3831</v>
      </c>
      <c r="W186" t="s">
        <v>3832</v>
      </c>
      <c r="X186" t="s">
        <v>3833</v>
      </c>
      <c r="Y186" t="s">
        <v>3834</v>
      </c>
      <c r="Z186" t="s">
        <v>3835</v>
      </c>
      <c r="AA186" t="s">
        <v>3836</v>
      </c>
      <c r="AB186" t="s">
        <v>74</v>
      </c>
      <c r="AC186" t="s">
        <v>3837</v>
      </c>
      <c r="AD186" t="s">
        <v>3838</v>
      </c>
      <c r="AE186" t="s">
        <v>3839</v>
      </c>
      <c r="AF186" t="s">
        <v>74</v>
      </c>
      <c r="AG186">
        <v>39</v>
      </c>
      <c r="AH186">
        <v>0</v>
      </c>
      <c r="AI186">
        <v>0</v>
      </c>
      <c r="AJ186">
        <v>14</v>
      </c>
      <c r="AK186">
        <v>14</v>
      </c>
      <c r="AL186" t="s">
        <v>343</v>
      </c>
      <c r="AM186" t="s">
        <v>93</v>
      </c>
      <c r="AN186" t="s">
        <v>344</v>
      </c>
      <c r="AO186" t="s">
        <v>3840</v>
      </c>
      <c r="AP186" t="s">
        <v>3841</v>
      </c>
      <c r="AQ186" t="s">
        <v>74</v>
      </c>
      <c r="AR186" t="s">
        <v>3842</v>
      </c>
      <c r="AS186" t="s">
        <v>3843</v>
      </c>
      <c r="AT186" t="s">
        <v>3844</v>
      </c>
      <c r="AU186">
        <v>2023</v>
      </c>
      <c r="AV186" t="s">
        <v>74</v>
      </c>
      <c r="AW186" t="s">
        <v>74</v>
      </c>
      <c r="AX186" t="s">
        <v>74</v>
      </c>
      <c r="AY186" t="s">
        <v>74</v>
      </c>
      <c r="AZ186" t="s">
        <v>74</v>
      </c>
      <c r="BA186" t="s">
        <v>74</v>
      </c>
      <c r="BB186" t="s">
        <v>74</v>
      </c>
      <c r="BC186" t="s">
        <v>74</v>
      </c>
      <c r="BD186" t="s">
        <v>74</v>
      </c>
      <c r="BE186" t="s">
        <v>3845</v>
      </c>
      <c r="BF186" t="str">
        <f>HYPERLINK("http://dx.doi.org/10.1007/s10853-023-09018-w","http://dx.doi.org/10.1007/s10853-023-09018-w")</f>
        <v>http://dx.doi.org/10.1007/s10853-023-09018-w</v>
      </c>
      <c r="BG186" t="s">
        <v>74</v>
      </c>
      <c r="BH186" t="s">
        <v>157</v>
      </c>
      <c r="BI186">
        <v>12</v>
      </c>
      <c r="BJ186" t="s">
        <v>3846</v>
      </c>
      <c r="BK186" t="s">
        <v>130</v>
      </c>
      <c r="BL186" t="s">
        <v>3847</v>
      </c>
      <c r="BM186" t="s">
        <v>3848</v>
      </c>
      <c r="BN186" t="s">
        <v>74</v>
      </c>
      <c r="BO186" t="s">
        <v>74</v>
      </c>
      <c r="BP186" t="s">
        <v>74</v>
      </c>
      <c r="BQ186" t="s">
        <v>74</v>
      </c>
      <c r="BR186" t="s">
        <v>101</v>
      </c>
      <c r="BS186" t="s">
        <v>3849</v>
      </c>
      <c r="BT186" t="str">
        <f>HYPERLINK("https%3A%2F%2Fwww.webofscience.com%2Fwos%2Fwoscc%2Ffull-record%2FWOS:001096902600002","View Full Record in Web of Science")</f>
        <v>View Full Record in Web of Science</v>
      </c>
    </row>
    <row r="187" spans="1:72" x14ac:dyDescent="0.2">
      <c r="A187" t="s">
        <v>103</v>
      </c>
      <c r="B187" t="s">
        <v>3850</v>
      </c>
      <c r="C187" t="s">
        <v>74</v>
      </c>
      <c r="D187" t="s">
        <v>74</v>
      </c>
      <c r="E187" t="s">
        <v>74</v>
      </c>
      <c r="F187" t="s">
        <v>3851</v>
      </c>
      <c r="G187" t="s">
        <v>74</v>
      </c>
      <c r="H187" t="s">
        <v>74</v>
      </c>
      <c r="I187" t="s">
        <v>3852</v>
      </c>
      <c r="J187" t="s">
        <v>824</v>
      </c>
      <c r="K187" t="s">
        <v>74</v>
      </c>
      <c r="L187" t="s">
        <v>74</v>
      </c>
      <c r="M187" t="s">
        <v>79</v>
      </c>
      <c r="N187" t="s">
        <v>108</v>
      </c>
      <c r="O187" t="s">
        <v>74</v>
      </c>
      <c r="P187" t="s">
        <v>74</v>
      </c>
      <c r="Q187" t="s">
        <v>74</v>
      </c>
      <c r="R187" t="s">
        <v>74</v>
      </c>
      <c r="S187" t="s">
        <v>74</v>
      </c>
      <c r="T187" t="s">
        <v>3853</v>
      </c>
      <c r="U187" t="s">
        <v>74</v>
      </c>
      <c r="V187" t="s">
        <v>3854</v>
      </c>
      <c r="W187" t="s">
        <v>3855</v>
      </c>
      <c r="X187" t="s">
        <v>3856</v>
      </c>
      <c r="Y187" t="s">
        <v>3857</v>
      </c>
      <c r="Z187" t="s">
        <v>3858</v>
      </c>
      <c r="AA187" t="s">
        <v>3859</v>
      </c>
      <c r="AB187" t="s">
        <v>3860</v>
      </c>
      <c r="AC187" t="s">
        <v>74</v>
      </c>
      <c r="AD187" t="s">
        <v>74</v>
      </c>
      <c r="AE187" t="s">
        <v>74</v>
      </c>
      <c r="AF187" t="s">
        <v>74</v>
      </c>
      <c r="AG187">
        <v>52</v>
      </c>
      <c r="AH187">
        <v>1</v>
      </c>
      <c r="AI187">
        <v>1</v>
      </c>
      <c r="AJ187">
        <v>4</v>
      </c>
      <c r="AK187">
        <v>4</v>
      </c>
      <c r="AL187" t="s">
        <v>833</v>
      </c>
      <c r="AM187" t="s">
        <v>834</v>
      </c>
      <c r="AN187" t="s">
        <v>835</v>
      </c>
      <c r="AO187" t="s">
        <v>836</v>
      </c>
      <c r="AP187" t="s">
        <v>837</v>
      </c>
      <c r="AQ187" t="s">
        <v>74</v>
      </c>
      <c r="AR187" t="s">
        <v>838</v>
      </c>
      <c r="AS187" t="s">
        <v>839</v>
      </c>
      <c r="AT187" t="s">
        <v>74</v>
      </c>
      <c r="AU187">
        <v>2023</v>
      </c>
      <c r="AV187">
        <v>39</v>
      </c>
      <c r="AW187">
        <v>5</v>
      </c>
      <c r="AX187" t="s">
        <v>74</v>
      </c>
      <c r="AY187" t="s">
        <v>74</v>
      </c>
      <c r="AZ187" t="s">
        <v>74</v>
      </c>
      <c r="BA187" t="s">
        <v>74</v>
      </c>
      <c r="BB187">
        <v>101</v>
      </c>
      <c r="BC187">
        <v>124</v>
      </c>
      <c r="BD187" t="s">
        <v>74</v>
      </c>
      <c r="BE187" t="s">
        <v>3861</v>
      </c>
      <c r="BF187" t="str">
        <f>HYPERLINK("http://dx.doi.org/10.14742/ajet.8922","http://dx.doi.org/10.14742/ajet.8922")</f>
        <v>http://dx.doi.org/10.14742/ajet.8922</v>
      </c>
      <c r="BG187" t="s">
        <v>74</v>
      </c>
      <c r="BH187" t="s">
        <v>74</v>
      </c>
      <c r="BI187">
        <v>24</v>
      </c>
      <c r="BJ187" t="s">
        <v>423</v>
      </c>
      <c r="BK187" t="s">
        <v>159</v>
      </c>
      <c r="BL187" t="s">
        <v>423</v>
      </c>
      <c r="BM187" t="s">
        <v>841</v>
      </c>
      <c r="BN187" t="s">
        <v>74</v>
      </c>
      <c r="BO187" t="s">
        <v>425</v>
      </c>
      <c r="BP187" t="s">
        <v>74</v>
      </c>
      <c r="BQ187" t="s">
        <v>74</v>
      </c>
      <c r="BR187" t="s">
        <v>101</v>
      </c>
      <c r="BS187" t="s">
        <v>3862</v>
      </c>
      <c r="BT187" t="str">
        <f>HYPERLINK("https%3A%2F%2Fwww.webofscience.com%2Fwos%2Fwoscc%2Ffull-record%2FWOS:001132966400004","View Full Record in Web of Science")</f>
        <v>View Full Record in Web of Science</v>
      </c>
    </row>
    <row r="188" spans="1:72" x14ac:dyDescent="0.2">
      <c r="A188" t="s">
        <v>103</v>
      </c>
      <c r="B188" t="s">
        <v>3863</v>
      </c>
      <c r="C188" t="s">
        <v>74</v>
      </c>
      <c r="D188" t="s">
        <v>74</v>
      </c>
      <c r="E188" t="s">
        <v>74</v>
      </c>
      <c r="F188" t="s">
        <v>3864</v>
      </c>
      <c r="G188" t="s">
        <v>74</v>
      </c>
      <c r="H188" t="s">
        <v>74</v>
      </c>
      <c r="I188" t="s">
        <v>3865</v>
      </c>
      <c r="J188" t="s">
        <v>2433</v>
      </c>
      <c r="K188" t="s">
        <v>74</v>
      </c>
      <c r="L188" t="s">
        <v>74</v>
      </c>
      <c r="M188" t="s">
        <v>79</v>
      </c>
      <c r="N188" t="s">
        <v>108</v>
      </c>
      <c r="O188" t="s">
        <v>74</v>
      </c>
      <c r="P188" t="s">
        <v>74</v>
      </c>
      <c r="Q188" t="s">
        <v>74</v>
      </c>
      <c r="R188" t="s">
        <v>74</v>
      </c>
      <c r="S188" t="s">
        <v>74</v>
      </c>
      <c r="T188" t="s">
        <v>3866</v>
      </c>
      <c r="U188" t="s">
        <v>3867</v>
      </c>
      <c r="V188" t="s">
        <v>3868</v>
      </c>
      <c r="W188" t="s">
        <v>3869</v>
      </c>
      <c r="X188" t="s">
        <v>3870</v>
      </c>
      <c r="Y188" t="s">
        <v>3871</v>
      </c>
      <c r="Z188" t="s">
        <v>3872</v>
      </c>
      <c r="AA188" t="s">
        <v>3873</v>
      </c>
      <c r="AB188" t="s">
        <v>3874</v>
      </c>
      <c r="AC188" t="s">
        <v>74</v>
      </c>
      <c r="AD188" t="s">
        <v>74</v>
      </c>
      <c r="AE188" t="s">
        <v>74</v>
      </c>
      <c r="AF188" t="s">
        <v>74</v>
      </c>
      <c r="AG188">
        <v>78</v>
      </c>
      <c r="AH188">
        <v>13</v>
      </c>
      <c r="AI188">
        <v>13</v>
      </c>
      <c r="AJ188">
        <v>178</v>
      </c>
      <c r="AK188">
        <v>231</v>
      </c>
      <c r="AL188" t="s">
        <v>939</v>
      </c>
      <c r="AM188" t="s">
        <v>940</v>
      </c>
      <c r="AN188" t="s">
        <v>941</v>
      </c>
      <c r="AO188" t="s">
        <v>74</v>
      </c>
      <c r="AP188" t="s">
        <v>2444</v>
      </c>
      <c r="AQ188" t="s">
        <v>74</v>
      </c>
      <c r="AR188" t="s">
        <v>2445</v>
      </c>
      <c r="AS188" t="s">
        <v>2446</v>
      </c>
      <c r="AT188" t="s">
        <v>3875</v>
      </c>
      <c r="AU188">
        <v>2023</v>
      </c>
      <c r="AV188">
        <v>13</v>
      </c>
      <c r="AW188">
        <v>11</v>
      </c>
      <c r="AX188" t="s">
        <v>74</v>
      </c>
      <c r="AY188" t="s">
        <v>74</v>
      </c>
      <c r="AZ188" t="s">
        <v>74</v>
      </c>
      <c r="BA188" t="s">
        <v>74</v>
      </c>
      <c r="BB188" t="s">
        <v>74</v>
      </c>
      <c r="BC188" t="s">
        <v>74</v>
      </c>
      <c r="BD188">
        <v>6716</v>
      </c>
      <c r="BE188" t="s">
        <v>3876</v>
      </c>
      <c r="BF188" t="str">
        <f>HYPERLINK("http://dx.doi.org/10.3390/app13116716","http://dx.doi.org/10.3390/app13116716")</f>
        <v>http://dx.doi.org/10.3390/app13116716</v>
      </c>
      <c r="BG188" t="s">
        <v>74</v>
      </c>
      <c r="BH188" t="s">
        <v>74</v>
      </c>
      <c r="BI188">
        <v>15</v>
      </c>
      <c r="BJ188" t="s">
        <v>2448</v>
      </c>
      <c r="BK188" t="s">
        <v>130</v>
      </c>
      <c r="BL188" t="s">
        <v>2449</v>
      </c>
      <c r="BM188" t="s">
        <v>3877</v>
      </c>
      <c r="BN188" t="s">
        <v>74</v>
      </c>
      <c r="BO188" t="s">
        <v>1071</v>
      </c>
      <c r="BP188" t="s">
        <v>74</v>
      </c>
      <c r="BQ188" t="s">
        <v>74</v>
      </c>
      <c r="BR188" t="s">
        <v>101</v>
      </c>
      <c r="BS188" t="s">
        <v>3878</v>
      </c>
      <c r="BT188" t="str">
        <f>HYPERLINK("https%3A%2F%2Fwww.webofscience.com%2Fwos%2Fwoscc%2Ffull-record%2FWOS:001005041700001","View Full Record in Web of Science")</f>
        <v>View Full Record in Web of Science</v>
      </c>
    </row>
    <row r="189" spans="1:72" x14ac:dyDescent="0.2">
      <c r="A189" t="s">
        <v>103</v>
      </c>
      <c r="B189" t="s">
        <v>3879</v>
      </c>
      <c r="C189" t="s">
        <v>74</v>
      </c>
      <c r="D189" t="s">
        <v>74</v>
      </c>
      <c r="E189" t="s">
        <v>74</v>
      </c>
      <c r="F189" t="s">
        <v>3880</v>
      </c>
      <c r="G189" t="s">
        <v>74</v>
      </c>
      <c r="H189" t="s">
        <v>74</v>
      </c>
      <c r="I189" t="s">
        <v>3881</v>
      </c>
      <c r="J189" t="s">
        <v>3882</v>
      </c>
      <c r="K189" t="s">
        <v>74</v>
      </c>
      <c r="L189" t="s">
        <v>74</v>
      </c>
      <c r="M189" t="s">
        <v>79</v>
      </c>
      <c r="N189" t="s">
        <v>108</v>
      </c>
      <c r="O189" t="s">
        <v>74</v>
      </c>
      <c r="P189" t="s">
        <v>74</v>
      </c>
      <c r="Q189" t="s">
        <v>74</v>
      </c>
      <c r="R189" t="s">
        <v>74</v>
      </c>
      <c r="S189" t="s">
        <v>74</v>
      </c>
      <c r="T189" t="s">
        <v>3883</v>
      </c>
      <c r="U189" t="s">
        <v>74</v>
      </c>
      <c r="V189" t="s">
        <v>3884</v>
      </c>
      <c r="W189" t="s">
        <v>3885</v>
      </c>
      <c r="X189" t="s">
        <v>3886</v>
      </c>
      <c r="Y189" t="s">
        <v>3887</v>
      </c>
      <c r="Z189" t="s">
        <v>3888</v>
      </c>
      <c r="AA189" t="s">
        <v>3889</v>
      </c>
      <c r="AB189" t="s">
        <v>3890</v>
      </c>
      <c r="AC189" t="s">
        <v>74</v>
      </c>
      <c r="AD189" t="s">
        <v>74</v>
      </c>
      <c r="AE189" t="s">
        <v>74</v>
      </c>
      <c r="AF189" t="s">
        <v>74</v>
      </c>
      <c r="AG189">
        <v>43</v>
      </c>
      <c r="AH189">
        <v>1</v>
      </c>
      <c r="AI189">
        <v>1</v>
      </c>
      <c r="AJ189">
        <v>102</v>
      </c>
      <c r="AK189">
        <v>102</v>
      </c>
      <c r="AL189" t="s">
        <v>3891</v>
      </c>
      <c r="AM189" t="s">
        <v>3892</v>
      </c>
      <c r="AN189" t="s">
        <v>3893</v>
      </c>
      <c r="AO189" t="s">
        <v>3894</v>
      </c>
      <c r="AP189" t="s">
        <v>3895</v>
      </c>
      <c r="AQ189" t="s">
        <v>74</v>
      </c>
      <c r="AR189" t="s">
        <v>3896</v>
      </c>
      <c r="AS189" t="s">
        <v>3897</v>
      </c>
      <c r="AT189" t="s">
        <v>74</v>
      </c>
      <c r="AU189">
        <v>2023</v>
      </c>
      <c r="AV189">
        <v>11</v>
      </c>
      <c r="AW189">
        <v>3</v>
      </c>
      <c r="AX189" t="s">
        <v>74</v>
      </c>
      <c r="AY189" t="s">
        <v>74</v>
      </c>
      <c r="AZ189" t="s">
        <v>74</v>
      </c>
      <c r="BA189" t="s">
        <v>74</v>
      </c>
      <c r="BB189">
        <v>25</v>
      </c>
      <c r="BC189">
        <v>37</v>
      </c>
      <c r="BD189" t="s">
        <v>74</v>
      </c>
      <c r="BE189" t="s">
        <v>3898</v>
      </c>
      <c r="BF189" t="str">
        <f>HYPERLINK("http://dx.doi.org/10.15678/EBER.2023.110302","http://dx.doi.org/10.15678/EBER.2023.110302")</f>
        <v>http://dx.doi.org/10.15678/EBER.2023.110302</v>
      </c>
      <c r="BG189" t="s">
        <v>74</v>
      </c>
      <c r="BH189" t="s">
        <v>74</v>
      </c>
      <c r="BI189">
        <v>13</v>
      </c>
      <c r="BJ189" t="s">
        <v>469</v>
      </c>
      <c r="BK189" t="s">
        <v>352</v>
      </c>
      <c r="BL189" t="s">
        <v>470</v>
      </c>
      <c r="BM189" t="s">
        <v>3899</v>
      </c>
      <c r="BN189" t="s">
        <v>74</v>
      </c>
      <c r="BO189" t="s">
        <v>425</v>
      </c>
      <c r="BP189" t="s">
        <v>74</v>
      </c>
      <c r="BQ189" t="s">
        <v>74</v>
      </c>
      <c r="BR189" t="s">
        <v>101</v>
      </c>
      <c r="BS189" t="s">
        <v>3900</v>
      </c>
      <c r="BT189" t="str">
        <f>HYPERLINK("https%3A%2F%2Fwww.webofscience.com%2Fwos%2Fwoscc%2Ffull-record%2FWOS:001082967300003","View Full Record in Web of Science")</f>
        <v>View Full Record in Web of Science</v>
      </c>
    </row>
    <row r="190" spans="1:72" x14ac:dyDescent="0.2">
      <c r="A190" t="s">
        <v>103</v>
      </c>
      <c r="B190" t="s">
        <v>3901</v>
      </c>
      <c r="C190" t="s">
        <v>74</v>
      </c>
      <c r="D190" t="s">
        <v>74</v>
      </c>
      <c r="E190" t="s">
        <v>74</v>
      </c>
      <c r="F190" t="s">
        <v>3902</v>
      </c>
      <c r="G190" t="s">
        <v>74</v>
      </c>
      <c r="H190" t="s">
        <v>74</v>
      </c>
      <c r="I190" t="s">
        <v>3903</v>
      </c>
      <c r="J190" t="s">
        <v>3904</v>
      </c>
      <c r="K190" t="s">
        <v>74</v>
      </c>
      <c r="L190" t="s">
        <v>74</v>
      </c>
      <c r="M190" t="s">
        <v>79</v>
      </c>
      <c r="N190" t="s">
        <v>138</v>
      </c>
      <c r="O190" t="s">
        <v>74</v>
      </c>
      <c r="P190" t="s">
        <v>74</v>
      </c>
      <c r="Q190" t="s">
        <v>74</v>
      </c>
      <c r="R190" t="s">
        <v>74</v>
      </c>
      <c r="S190" t="s">
        <v>74</v>
      </c>
      <c r="T190" t="s">
        <v>3905</v>
      </c>
      <c r="U190" t="s">
        <v>74</v>
      </c>
      <c r="V190" t="s">
        <v>3906</v>
      </c>
      <c r="W190" t="s">
        <v>3907</v>
      </c>
      <c r="X190" t="s">
        <v>3908</v>
      </c>
      <c r="Y190" t="s">
        <v>3909</v>
      </c>
      <c r="Z190" t="s">
        <v>3910</v>
      </c>
      <c r="AA190" t="s">
        <v>3911</v>
      </c>
      <c r="AB190" t="s">
        <v>3912</v>
      </c>
      <c r="AC190" t="s">
        <v>74</v>
      </c>
      <c r="AD190" t="s">
        <v>74</v>
      </c>
      <c r="AE190" t="s">
        <v>74</v>
      </c>
      <c r="AF190" t="s">
        <v>74</v>
      </c>
      <c r="AG190">
        <v>4</v>
      </c>
      <c r="AH190">
        <v>1</v>
      </c>
      <c r="AI190">
        <v>1</v>
      </c>
      <c r="AJ190">
        <v>15</v>
      </c>
      <c r="AK190">
        <v>15</v>
      </c>
      <c r="AL190" t="s">
        <v>737</v>
      </c>
      <c r="AM190" t="s">
        <v>738</v>
      </c>
      <c r="AN190" t="s">
        <v>739</v>
      </c>
      <c r="AO190" t="s">
        <v>3913</v>
      </c>
      <c r="AP190" t="s">
        <v>3914</v>
      </c>
      <c r="AQ190" t="s">
        <v>74</v>
      </c>
      <c r="AR190" t="s">
        <v>3915</v>
      </c>
      <c r="AS190" t="s">
        <v>3916</v>
      </c>
      <c r="AT190" t="s">
        <v>3917</v>
      </c>
      <c r="AU190">
        <v>2023</v>
      </c>
      <c r="AV190" t="s">
        <v>74</v>
      </c>
      <c r="AW190" t="s">
        <v>74</v>
      </c>
      <c r="AX190" t="s">
        <v>74</v>
      </c>
      <c r="AY190" t="s">
        <v>74</v>
      </c>
      <c r="AZ190" t="s">
        <v>74</v>
      </c>
      <c r="BA190" t="s">
        <v>74</v>
      </c>
      <c r="BB190" t="s">
        <v>74</v>
      </c>
      <c r="BC190" t="s">
        <v>74</v>
      </c>
      <c r="BD190" t="s">
        <v>74</v>
      </c>
      <c r="BE190" t="s">
        <v>3918</v>
      </c>
      <c r="BF190" t="str">
        <f>HYPERLINK("http://dx.doi.org/10.1080/01900692.2023.2274801","http://dx.doi.org/10.1080/01900692.2023.2274801")</f>
        <v>http://dx.doi.org/10.1080/01900692.2023.2274801</v>
      </c>
      <c r="BG190" t="s">
        <v>74</v>
      </c>
      <c r="BH190" t="s">
        <v>157</v>
      </c>
      <c r="BI190">
        <v>7</v>
      </c>
      <c r="BJ190" t="s">
        <v>3919</v>
      </c>
      <c r="BK190" t="s">
        <v>352</v>
      </c>
      <c r="BL190" t="s">
        <v>3919</v>
      </c>
      <c r="BM190" t="s">
        <v>3920</v>
      </c>
      <c r="BN190" t="s">
        <v>74</v>
      </c>
      <c r="BO190" t="s">
        <v>1237</v>
      </c>
      <c r="BP190" t="s">
        <v>74</v>
      </c>
      <c r="BQ190" t="s">
        <v>74</v>
      </c>
      <c r="BR190" t="s">
        <v>101</v>
      </c>
      <c r="BS190" t="s">
        <v>3921</v>
      </c>
      <c r="BT190" t="str">
        <f>HYPERLINK("https%3A%2F%2Fwww.webofscience.com%2Fwos%2Fwoscc%2Ffull-record%2FWOS:001098851800001","View Full Record in Web of Science")</f>
        <v>View Full Record in Web of Science</v>
      </c>
    </row>
    <row r="191" spans="1:72" x14ac:dyDescent="0.2">
      <c r="A191" t="s">
        <v>103</v>
      </c>
      <c r="B191" t="s">
        <v>3922</v>
      </c>
      <c r="C191" t="s">
        <v>74</v>
      </c>
      <c r="D191" t="s">
        <v>74</v>
      </c>
      <c r="E191" t="s">
        <v>74</v>
      </c>
      <c r="F191" t="s">
        <v>3923</v>
      </c>
      <c r="G191" t="s">
        <v>74</v>
      </c>
      <c r="H191" t="s">
        <v>74</v>
      </c>
      <c r="I191" t="s">
        <v>3924</v>
      </c>
      <c r="J191" t="s">
        <v>824</v>
      </c>
      <c r="K191" t="s">
        <v>74</v>
      </c>
      <c r="L191" t="s">
        <v>74</v>
      </c>
      <c r="M191" t="s">
        <v>79</v>
      </c>
      <c r="N191" t="s">
        <v>108</v>
      </c>
      <c r="O191" t="s">
        <v>74</v>
      </c>
      <c r="P191" t="s">
        <v>74</v>
      </c>
      <c r="Q191" t="s">
        <v>74</v>
      </c>
      <c r="R191" t="s">
        <v>74</v>
      </c>
      <c r="S191" t="s">
        <v>74</v>
      </c>
      <c r="T191" t="s">
        <v>3925</v>
      </c>
      <c r="U191" t="s">
        <v>74</v>
      </c>
      <c r="V191" t="s">
        <v>3926</v>
      </c>
      <c r="W191" t="s">
        <v>3927</v>
      </c>
      <c r="X191" t="s">
        <v>3928</v>
      </c>
      <c r="Y191" t="s">
        <v>3929</v>
      </c>
      <c r="Z191" t="s">
        <v>3930</v>
      </c>
      <c r="AA191" t="s">
        <v>3931</v>
      </c>
      <c r="AB191" t="s">
        <v>3932</v>
      </c>
      <c r="AC191" t="s">
        <v>74</v>
      </c>
      <c r="AD191" t="s">
        <v>74</v>
      </c>
      <c r="AE191" t="s">
        <v>74</v>
      </c>
      <c r="AF191" t="s">
        <v>74</v>
      </c>
      <c r="AG191">
        <v>18</v>
      </c>
      <c r="AH191">
        <v>24</v>
      </c>
      <c r="AI191">
        <v>24</v>
      </c>
      <c r="AJ191">
        <v>127</v>
      </c>
      <c r="AK191">
        <v>199</v>
      </c>
      <c r="AL191" t="s">
        <v>833</v>
      </c>
      <c r="AM191" t="s">
        <v>834</v>
      </c>
      <c r="AN191" t="s">
        <v>835</v>
      </c>
      <c r="AO191" t="s">
        <v>836</v>
      </c>
      <c r="AP191" t="s">
        <v>837</v>
      </c>
      <c r="AQ191" t="s">
        <v>74</v>
      </c>
      <c r="AR191" t="s">
        <v>838</v>
      </c>
      <c r="AS191" t="s">
        <v>839</v>
      </c>
      <c r="AT191" t="s">
        <v>74</v>
      </c>
      <c r="AU191">
        <v>2023</v>
      </c>
      <c r="AV191">
        <v>39</v>
      </c>
      <c r="AW191">
        <v>1</v>
      </c>
      <c r="AX191" t="s">
        <v>74</v>
      </c>
      <c r="AY191" t="s">
        <v>74</v>
      </c>
      <c r="AZ191" t="s">
        <v>74</v>
      </c>
      <c r="BA191" t="s">
        <v>74</v>
      </c>
      <c r="BB191">
        <v>18</v>
      </c>
      <c r="BC191">
        <v>18</v>
      </c>
      <c r="BD191" t="s">
        <v>74</v>
      </c>
      <c r="BE191" t="s">
        <v>3933</v>
      </c>
      <c r="BF191" t="str">
        <f>HYPERLINK("http://dx.doi.org/10.14742/ajet.8695","http://dx.doi.org/10.14742/ajet.8695")</f>
        <v>http://dx.doi.org/10.14742/ajet.8695</v>
      </c>
      <c r="BG191" t="s">
        <v>74</v>
      </c>
      <c r="BH191" t="s">
        <v>74</v>
      </c>
      <c r="BI191">
        <v>1</v>
      </c>
      <c r="BJ191" t="s">
        <v>423</v>
      </c>
      <c r="BK191" t="s">
        <v>159</v>
      </c>
      <c r="BL191" t="s">
        <v>423</v>
      </c>
      <c r="BM191" t="s">
        <v>3934</v>
      </c>
      <c r="BN191" t="s">
        <v>74</v>
      </c>
      <c r="BO191" t="s">
        <v>425</v>
      </c>
      <c r="BP191" t="s">
        <v>74</v>
      </c>
      <c r="BQ191" t="s">
        <v>74</v>
      </c>
      <c r="BR191" t="s">
        <v>101</v>
      </c>
      <c r="BS191" t="s">
        <v>3935</v>
      </c>
      <c r="BT191" t="str">
        <f>HYPERLINK("https%3A%2F%2Fwww.webofscience.com%2Fwos%2Fwoscc%2Ffull-record%2FWOS:000988740600002","View Full Record in Web of Science")</f>
        <v>View Full Record in Web of Science</v>
      </c>
    </row>
    <row r="192" spans="1:72" x14ac:dyDescent="0.2">
      <c r="A192" t="s">
        <v>103</v>
      </c>
      <c r="B192" t="s">
        <v>3936</v>
      </c>
      <c r="C192" t="s">
        <v>74</v>
      </c>
      <c r="D192" t="s">
        <v>74</v>
      </c>
      <c r="E192" t="s">
        <v>74</v>
      </c>
      <c r="F192" t="s">
        <v>3937</v>
      </c>
      <c r="G192" t="s">
        <v>74</v>
      </c>
      <c r="H192" t="s">
        <v>74</v>
      </c>
      <c r="I192" t="s">
        <v>3938</v>
      </c>
      <c r="J192" t="s">
        <v>1370</v>
      </c>
      <c r="K192" t="s">
        <v>74</v>
      </c>
      <c r="L192" t="s">
        <v>74</v>
      </c>
      <c r="M192" t="s">
        <v>79</v>
      </c>
      <c r="N192" t="s">
        <v>108</v>
      </c>
      <c r="O192" t="s">
        <v>74</v>
      </c>
      <c r="P192" t="s">
        <v>74</v>
      </c>
      <c r="Q192" t="s">
        <v>74</v>
      </c>
      <c r="R192" t="s">
        <v>74</v>
      </c>
      <c r="S192" t="s">
        <v>74</v>
      </c>
      <c r="T192" t="s">
        <v>3939</v>
      </c>
      <c r="U192" t="s">
        <v>74</v>
      </c>
      <c r="V192" t="s">
        <v>3940</v>
      </c>
      <c r="W192" t="s">
        <v>3941</v>
      </c>
      <c r="X192" t="s">
        <v>3942</v>
      </c>
      <c r="Y192" t="s">
        <v>3943</v>
      </c>
      <c r="Z192" t="s">
        <v>3944</v>
      </c>
      <c r="AA192" t="s">
        <v>3945</v>
      </c>
      <c r="AB192" t="s">
        <v>3946</v>
      </c>
      <c r="AC192" t="s">
        <v>3947</v>
      </c>
      <c r="AD192" t="s">
        <v>3948</v>
      </c>
      <c r="AE192" t="s">
        <v>3949</v>
      </c>
      <c r="AF192" t="s">
        <v>74</v>
      </c>
      <c r="AG192">
        <v>30</v>
      </c>
      <c r="AH192">
        <v>0</v>
      </c>
      <c r="AI192">
        <v>0</v>
      </c>
      <c r="AJ192">
        <v>5</v>
      </c>
      <c r="AK192">
        <v>5</v>
      </c>
      <c r="AL192" t="s">
        <v>1379</v>
      </c>
      <c r="AM192" t="s">
        <v>1380</v>
      </c>
      <c r="AN192" t="s">
        <v>1381</v>
      </c>
      <c r="AO192" t="s">
        <v>1382</v>
      </c>
      <c r="AP192" t="s">
        <v>74</v>
      </c>
      <c r="AQ192" t="s">
        <v>74</v>
      </c>
      <c r="AR192" t="s">
        <v>1370</v>
      </c>
      <c r="AS192" t="s">
        <v>1383</v>
      </c>
      <c r="AT192" t="s">
        <v>74</v>
      </c>
      <c r="AU192">
        <v>2023</v>
      </c>
      <c r="AV192">
        <v>11</v>
      </c>
      <c r="AW192" t="s">
        <v>74</v>
      </c>
      <c r="AX192" t="s">
        <v>74</v>
      </c>
      <c r="AY192" t="s">
        <v>74</v>
      </c>
      <c r="AZ192" t="s">
        <v>74</v>
      </c>
      <c r="BA192" t="s">
        <v>74</v>
      </c>
      <c r="BB192">
        <v>123543</v>
      </c>
      <c r="BC192">
        <v>123564</v>
      </c>
      <c r="BD192" t="s">
        <v>74</v>
      </c>
      <c r="BE192" t="s">
        <v>3950</v>
      </c>
      <c r="BF192" t="str">
        <f>HYPERLINK("http://dx.doi.org/10.1109/ACCESS.2023.3329071","http://dx.doi.org/10.1109/ACCESS.2023.3329071")</f>
        <v>http://dx.doi.org/10.1109/ACCESS.2023.3329071</v>
      </c>
      <c r="BG192" t="s">
        <v>74</v>
      </c>
      <c r="BH192" t="s">
        <v>74</v>
      </c>
      <c r="BI192">
        <v>22</v>
      </c>
      <c r="BJ192" t="s">
        <v>1385</v>
      </c>
      <c r="BK192" t="s">
        <v>130</v>
      </c>
      <c r="BL192" t="s">
        <v>1386</v>
      </c>
      <c r="BM192" t="s">
        <v>3951</v>
      </c>
      <c r="BN192" t="s">
        <v>74</v>
      </c>
      <c r="BO192" t="s">
        <v>425</v>
      </c>
      <c r="BP192" t="s">
        <v>74</v>
      </c>
      <c r="BQ192" t="s">
        <v>74</v>
      </c>
      <c r="BR192" t="s">
        <v>101</v>
      </c>
      <c r="BS192" t="s">
        <v>3952</v>
      </c>
      <c r="BT192" t="str">
        <f>HYPERLINK("https%3A%2F%2Fwww.webofscience.com%2Fwos%2Fwoscc%2Ffull-record%2FWOS:001106880400001","View Full Record in Web of Science")</f>
        <v>View Full Record in Web of Science</v>
      </c>
    </row>
    <row r="193" spans="1:72" x14ac:dyDescent="0.2">
      <c r="A193" t="s">
        <v>72</v>
      </c>
      <c r="B193" t="s">
        <v>3953</v>
      </c>
      <c r="C193" t="s">
        <v>74</v>
      </c>
      <c r="D193" t="s">
        <v>74</v>
      </c>
      <c r="E193" t="s">
        <v>75</v>
      </c>
      <c r="F193" t="s">
        <v>3954</v>
      </c>
      <c r="G193" t="s">
        <v>74</v>
      </c>
      <c r="H193" t="s">
        <v>74</v>
      </c>
      <c r="I193" t="s">
        <v>3955</v>
      </c>
      <c r="J193" t="s">
        <v>1193</v>
      </c>
      <c r="K193" t="s">
        <v>74</v>
      </c>
      <c r="L193" t="s">
        <v>74</v>
      </c>
      <c r="M193" t="s">
        <v>79</v>
      </c>
      <c r="N193" t="s">
        <v>80</v>
      </c>
      <c r="O193" t="s">
        <v>1194</v>
      </c>
      <c r="P193" t="s">
        <v>1195</v>
      </c>
      <c r="Q193" t="s">
        <v>1196</v>
      </c>
      <c r="R193" t="s">
        <v>1197</v>
      </c>
      <c r="S193" t="s">
        <v>74</v>
      </c>
      <c r="T193" t="s">
        <v>3956</v>
      </c>
      <c r="U193" t="s">
        <v>74</v>
      </c>
      <c r="V193" t="s">
        <v>3957</v>
      </c>
      <c r="W193" t="s">
        <v>3958</v>
      </c>
      <c r="X193" t="s">
        <v>1228</v>
      </c>
      <c r="Y193" t="s">
        <v>3959</v>
      </c>
      <c r="Z193" t="s">
        <v>74</v>
      </c>
      <c r="AA193" t="s">
        <v>74</v>
      </c>
      <c r="AB193" t="s">
        <v>3960</v>
      </c>
      <c r="AC193" t="s">
        <v>3961</v>
      </c>
      <c r="AD193" t="s">
        <v>3962</v>
      </c>
      <c r="AE193" t="s">
        <v>3963</v>
      </c>
      <c r="AF193" t="s">
        <v>74</v>
      </c>
      <c r="AG193">
        <v>46</v>
      </c>
      <c r="AH193">
        <v>0</v>
      </c>
      <c r="AI193">
        <v>0</v>
      </c>
      <c r="AJ193">
        <v>7</v>
      </c>
      <c r="AK193">
        <v>7</v>
      </c>
      <c r="AL193" t="s">
        <v>92</v>
      </c>
      <c r="AM193" t="s">
        <v>93</v>
      </c>
      <c r="AN193" t="s">
        <v>94</v>
      </c>
      <c r="AO193" t="s">
        <v>74</v>
      </c>
      <c r="AP193" t="s">
        <v>74</v>
      </c>
      <c r="AQ193" t="s">
        <v>1209</v>
      </c>
      <c r="AR193" t="s">
        <v>74</v>
      </c>
      <c r="AS193" t="s">
        <v>74</v>
      </c>
      <c r="AT193" t="s">
        <v>74</v>
      </c>
      <c r="AU193">
        <v>2023</v>
      </c>
      <c r="AV193" t="s">
        <v>74</v>
      </c>
      <c r="AW193" t="s">
        <v>74</v>
      </c>
      <c r="AX193" t="s">
        <v>74</v>
      </c>
      <c r="AY193" t="s">
        <v>74</v>
      </c>
      <c r="AZ193" t="s">
        <v>74</v>
      </c>
      <c r="BA193" t="s">
        <v>74</v>
      </c>
      <c r="BB193">
        <v>913</v>
      </c>
      <c r="BC193">
        <v>926</v>
      </c>
      <c r="BD193" t="s">
        <v>74</v>
      </c>
      <c r="BE193" t="s">
        <v>3964</v>
      </c>
      <c r="BF193" t="str">
        <f>HYPERLINK("http://dx.doi.org/10.1145/3600211.3604712","http://dx.doi.org/10.1145/3600211.3604712")</f>
        <v>http://dx.doi.org/10.1145/3600211.3604712</v>
      </c>
      <c r="BG193" t="s">
        <v>74</v>
      </c>
      <c r="BH193" t="s">
        <v>74</v>
      </c>
      <c r="BI193">
        <v>14</v>
      </c>
      <c r="BJ193" t="s">
        <v>1211</v>
      </c>
      <c r="BK193" t="s">
        <v>180</v>
      </c>
      <c r="BL193" t="s">
        <v>1212</v>
      </c>
      <c r="BM193" t="s">
        <v>1213</v>
      </c>
      <c r="BN193" t="s">
        <v>74</v>
      </c>
      <c r="BO193" t="s">
        <v>2722</v>
      </c>
      <c r="BP193" t="s">
        <v>74</v>
      </c>
      <c r="BQ193" t="s">
        <v>74</v>
      </c>
      <c r="BR193" t="s">
        <v>101</v>
      </c>
      <c r="BS193" t="s">
        <v>3965</v>
      </c>
      <c r="BT193" t="str">
        <f>HYPERLINK("https%3A%2F%2Fwww.webofscience.com%2Fwos%2Fwoscc%2Ffull-record%2FWOS:001117838100069","View Full Record in Web of Science")</f>
        <v>View Full Record in Web of Science</v>
      </c>
    </row>
    <row r="194" spans="1:72" x14ac:dyDescent="0.2">
      <c r="A194" t="s">
        <v>103</v>
      </c>
      <c r="B194" t="s">
        <v>3966</v>
      </c>
      <c r="C194" t="s">
        <v>74</v>
      </c>
      <c r="D194" t="s">
        <v>74</v>
      </c>
      <c r="E194" t="s">
        <v>74</v>
      </c>
      <c r="F194" t="s">
        <v>3967</v>
      </c>
      <c r="G194" t="s">
        <v>74</v>
      </c>
      <c r="H194" t="s">
        <v>74</v>
      </c>
      <c r="I194" t="s">
        <v>3968</v>
      </c>
      <c r="J194" t="s">
        <v>3969</v>
      </c>
      <c r="K194" t="s">
        <v>74</v>
      </c>
      <c r="L194" t="s">
        <v>74</v>
      </c>
      <c r="M194" t="s">
        <v>79</v>
      </c>
      <c r="N194" t="s">
        <v>108</v>
      </c>
      <c r="O194" t="s">
        <v>74</v>
      </c>
      <c r="P194" t="s">
        <v>74</v>
      </c>
      <c r="Q194" t="s">
        <v>74</v>
      </c>
      <c r="R194" t="s">
        <v>74</v>
      </c>
      <c r="S194" t="s">
        <v>74</v>
      </c>
      <c r="T194" t="s">
        <v>74</v>
      </c>
      <c r="U194" t="s">
        <v>3970</v>
      </c>
      <c r="V194" t="s">
        <v>3971</v>
      </c>
      <c r="W194" t="s">
        <v>3972</v>
      </c>
      <c r="X194" t="s">
        <v>3973</v>
      </c>
      <c r="Y194" t="s">
        <v>3974</v>
      </c>
      <c r="Z194" t="s">
        <v>3975</v>
      </c>
      <c r="AA194" t="s">
        <v>74</v>
      </c>
      <c r="AB194" t="s">
        <v>3976</v>
      </c>
      <c r="AC194" t="s">
        <v>3977</v>
      </c>
      <c r="AD194" t="s">
        <v>3978</v>
      </c>
      <c r="AE194" t="s">
        <v>3979</v>
      </c>
      <c r="AF194" t="s">
        <v>74</v>
      </c>
      <c r="AG194">
        <v>31</v>
      </c>
      <c r="AH194">
        <v>1</v>
      </c>
      <c r="AI194">
        <v>1</v>
      </c>
      <c r="AJ194">
        <v>1</v>
      </c>
      <c r="AK194">
        <v>1</v>
      </c>
      <c r="AL194" t="s">
        <v>3980</v>
      </c>
      <c r="AM194" t="s">
        <v>1153</v>
      </c>
      <c r="AN194" t="s">
        <v>3981</v>
      </c>
      <c r="AO194" t="s">
        <v>74</v>
      </c>
      <c r="AP194" t="s">
        <v>3982</v>
      </c>
      <c r="AQ194" t="s">
        <v>74</v>
      </c>
      <c r="AR194" t="s">
        <v>3983</v>
      </c>
      <c r="AS194" t="s">
        <v>3984</v>
      </c>
      <c r="AT194" t="s">
        <v>3985</v>
      </c>
      <c r="AU194">
        <v>2024</v>
      </c>
      <c r="AV194">
        <v>3</v>
      </c>
      <c r="AW194">
        <v>1</v>
      </c>
      <c r="AX194" t="s">
        <v>74</v>
      </c>
      <c r="AY194" t="s">
        <v>74</v>
      </c>
      <c r="AZ194" t="s">
        <v>74</v>
      </c>
      <c r="BA194" t="s">
        <v>74</v>
      </c>
      <c r="BB194" t="s">
        <v>74</v>
      </c>
      <c r="BC194" t="s">
        <v>74</v>
      </c>
      <c r="BD194" t="s">
        <v>74</v>
      </c>
      <c r="BE194" t="s">
        <v>3986</v>
      </c>
      <c r="BF194" t="str">
        <f>HYPERLINK("http://dx.doi.org/10.1039/d3dd00147d","http://dx.doi.org/10.1039/d3dd00147d")</f>
        <v>http://dx.doi.org/10.1039/d3dd00147d</v>
      </c>
      <c r="BG194" t="s">
        <v>74</v>
      </c>
      <c r="BH194" t="s">
        <v>157</v>
      </c>
      <c r="BI194">
        <v>12</v>
      </c>
      <c r="BJ194" t="s">
        <v>3987</v>
      </c>
      <c r="BK194" t="s">
        <v>352</v>
      </c>
      <c r="BL194" t="s">
        <v>1995</v>
      </c>
      <c r="BM194" t="s">
        <v>3988</v>
      </c>
      <c r="BN194" t="s">
        <v>74</v>
      </c>
      <c r="BO194" t="s">
        <v>425</v>
      </c>
      <c r="BP194" t="s">
        <v>74</v>
      </c>
      <c r="BQ194" t="s">
        <v>74</v>
      </c>
      <c r="BR194" t="s">
        <v>101</v>
      </c>
      <c r="BS194" t="s">
        <v>3989</v>
      </c>
      <c r="BT194" t="str">
        <f>HYPERLINK("https%3A%2F%2Fwww.webofscience.com%2Fwos%2Fwoscc%2Ffull-record%2FWOS:001109972600001","View Full Record in Web of Science")</f>
        <v>View Full Record in Web of Science</v>
      </c>
    </row>
    <row r="195" spans="1:72" x14ac:dyDescent="0.2">
      <c r="A195" t="s">
        <v>72</v>
      </c>
      <c r="B195" t="s">
        <v>3990</v>
      </c>
      <c r="C195" t="s">
        <v>74</v>
      </c>
      <c r="D195" t="s">
        <v>74</v>
      </c>
      <c r="E195" t="s">
        <v>75</v>
      </c>
      <c r="F195" t="s">
        <v>3991</v>
      </c>
      <c r="G195" t="s">
        <v>74</v>
      </c>
      <c r="H195" t="s">
        <v>74</v>
      </c>
      <c r="I195" t="s">
        <v>3992</v>
      </c>
      <c r="J195" t="s">
        <v>78</v>
      </c>
      <c r="K195" t="s">
        <v>74</v>
      </c>
      <c r="L195" t="s">
        <v>74</v>
      </c>
      <c r="M195" t="s">
        <v>79</v>
      </c>
      <c r="N195" t="s">
        <v>80</v>
      </c>
      <c r="O195" t="s">
        <v>81</v>
      </c>
      <c r="P195" t="s">
        <v>82</v>
      </c>
      <c r="Q195" t="s">
        <v>83</v>
      </c>
      <c r="R195" t="s">
        <v>84</v>
      </c>
      <c r="S195" t="s">
        <v>74</v>
      </c>
      <c r="T195" t="s">
        <v>3993</v>
      </c>
      <c r="U195" t="s">
        <v>74</v>
      </c>
      <c r="V195" t="s">
        <v>3994</v>
      </c>
      <c r="W195" t="s">
        <v>3995</v>
      </c>
      <c r="X195" t="s">
        <v>3996</v>
      </c>
      <c r="Y195" t="s">
        <v>3997</v>
      </c>
      <c r="Z195" t="s">
        <v>3998</v>
      </c>
      <c r="AA195" t="s">
        <v>74</v>
      </c>
      <c r="AB195" t="s">
        <v>3999</v>
      </c>
      <c r="AC195" t="s">
        <v>74</v>
      </c>
      <c r="AD195" t="s">
        <v>74</v>
      </c>
      <c r="AE195" t="s">
        <v>74</v>
      </c>
      <c r="AF195" t="s">
        <v>74</v>
      </c>
      <c r="AG195">
        <v>11</v>
      </c>
      <c r="AH195">
        <v>0</v>
      </c>
      <c r="AI195">
        <v>0</v>
      </c>
      <c r="AJ195">
        <v>1</v>
      </c>
      <c r="AK195">
        <v>1</v>
      </c>
      <c r="AL195" t="s">
        <v>92</v>
      </c>
      <c r="AM195" t="s">
        <v>93</v>
      </c>
      <c r="AN195" t="s">
        <v>94</v>
      </c>
      <c r="AO195" t="s">
        <v>74</v>
      </c>
      <c r="AP195" t="s">
        <v>74</v>
      </c>
      <c r="AQ195" t="s">
        <v>95</v>
      </c>
      <c r="AR195" t="s">
        <v>74</v>
      </c>
      <c r="AS195" t="s">
        <v>74</v>
      </c>
      <c r="AT195" t="s">
        <v>74</v>
      </c>
      <c r="AU195">
        <v>2023</v>
      </c>
      <c r="AV195" t="s">
        <v>74</v>
      </c>
      <c r="AW195" t="s">
        <v>74</v>
      </c>
      <c r="AX195" t="s">
        <v>74</v>
      </c>
      <c r="AY195" t="s">
        <v>74</v>
      </c>
      <c r="AZ195" t="s">
        <v>74</v>
      </c>
      <c r="BA195" t="s">
        <v>74</v>
      </c>
      <c r="BB195" t="s">
        <v>74</v>
      </c>
      <c r="BC195" t="s">
        <v>74</v>
      </c>
      <c r="BD195">
        <v>89</v>
      </c>
      <c r="BE195" t="s">
        <v>4000</v>
      </c>
      <c r="BF195" t="str">
        <f>HYPERLINK("http://dx.doi.org/10.1145/3586182.3615821","http://dx.doi.org/10.1145/3586182.3615821")</f>
        <v>http://dx.doi.org/10.1145/3586182.3615821</v>
      </c>
      <c r="BG195" t="s">
        <v>74</v>
      </c>
      <c r="BH195" t="s">
        <v>74</v>
      </c>
      <c r="BI195">
        <v>3</v>
      </c>
      <c r="BJ195" t="s">
        <v>97</v>
      </c>
      <c r="BK195" t="s">
        <v>98</v>
      </c>
      <c r="BL195" t="s">
        <v>99</v>
      </c>
      <c r="BM195" t="s">
        <v>100</v>
      </c>
      <c r="BN195" t="s">
        <v>74</v>
      </c>
      <c r="BO195" t="s">
        <v>74</v>
      </c>
      <c r="BP195" t="s">
        <v>74</v>
      </c>
      <c r="BQ195" t="s">
        <v>74</v>
      </c>
      <c r="BR195" t="s">
        <v>101</v>
      </c>
      <c r="BS195" t="s">
        <v>4001</v>
      </c>
      <c r="BT195" t="str">
        <f>HYPERLINK("https%3A%2F%2Fwww.webofscience.com%2Fwos%2Fwoscc%2Ffull-record%2FWOS:001125107000088","View Full Record in Web of Science")</f>
        <v>View Full Record in Web of Science</v>
      </c>
    </row>
    <row r="196" spans="1:72" x14ac:dyDescent="0.2">
      <c r="A196" t="s">
        <v>103</v>
      </c>
      <c r="B196" t="s">
        <v>4002</v>
      </c>
      <c r="C196" t="s">
        <v>74</v>
      </c>
      <c r="D196" t="s">
        <v>74</v>
      </c>
      <c r="E196" t="s">
        <v>74</v>
      </c>
      <c r="F196" t="s">
        <v>4003</v>
      </c>
      <c r="G196" t="s">
        <v>74</v>
      </c>
      <c r="H196" t="s">
        <v>74</v>
      </c>
      <c r="I196" t="s">
        <v>4004</v>
      </c>
      <c r="J196" t="s">
        <v>4005</v>
      </c>
      <c r="K196" t="s">
        <v>74</v>
      </c>
      <c r="L196" t="s">
        <v>74</v>
      </c>
      <c r="M196" t="s">
        <v>79</v>
      </c>
      <c r="N196" t="s">
        <v>108</v>
      </c>
      <c r="O196" t="s">
        <v>74</v>
      </c>
      <c r="P196" t="s">
        <v>74</v>
      </c>
      <c r="Q196" t="s">
        <v>74</v>
      </c>
      <c r="R196" t="s">
        <v>74</v>
      </c>
      <c r="S196" t="s">
        <v>74</v>
      </c>
      <c r="T196" t="s">
        <v>4006</v>
      </c>
      <c r="U196" t="s">
        <v>74</v>
      </c>
      <c r="V196" t="s">
        <v>4007</v>
      </c>
      <c r="W196" t="s">
        <v>4008</v>
      </c>
      <c r="X196" t="s">
        <v>4009</v>
      </c>
      <c r="Y196" t="s">
        <v>4010</v>
      </c>
      <c r="Z196" t="s">
        <v>4011</v>
      </c>
      <c r="AA196" t="s">
        <v>4012</v>
      </c>
      <c r="AB196" t="s">
        <v>4013</v>
      </c>
      <c r="AC196" t="s">
        <v>74</v>
      </c>
      <c r="AD196" t="s">
        <v>74</v>
      </c>
      <c r="AE196" t="s">
        <v>74</v>
      </c>
      <c r="AF196" t="s">
        <v>74</v>
      </c>
      <c r="AG196">
        <v>40</v>
      </c>
      <c r="AH196">
        <v>1</v>
      </c>
      <c r="AI196">
        <v>1</v>
      </c>
      <c r="AJ196">
        <v>139</v>
      </c>
      <c r="AK196">
        <v>139</v>
      </c>
      <c r="AL196" t="s">
        <v>4014</v>
      </c>
      <c r="AM196" t="s">
        <v>4015</v>
      </c>
      <c r="AN196" t="s">
        <v>4016</v>
      </c>
      <c r="AO196" t="s">
        <v>4017</v>
      </c>
      <c r="AP196" t="s">
        <v>74</v>
      </c>
      <c r="AQ196" t="s">
        <v>74</v>
      </c>
      <c r="AR196" t="s">
        <v>4018</v>
      </c>
      <c r="AS196" t="s">
        <v>4019</v>
      </c>
      <c r="AT196" t="s">
        <v>276</v>
      </c>
      <c r="AU196">
        <v>2023</v>
      </c>
      <c r="AV196">
        <v>11</v>
      </c>
      <c r="AW196">
        <v>2</v>
      </c>
      <c r="AX196" t="s">
        <v>74</v>
      </c>
      <c r="AY196" t="s">
        <v>74</v>
      </c>
      <c r="AZ196" t="s">
        <v>74</v>
      </c>
      <c r="BA196" t="s">
        <v>74</v>
      </c>
      <c r="BB196" t="s">
        <v>74</v>
      </c>
      <c r="BC196" t="s">
        <v>74</v>
      </c>
      <c r="BD196" t="s">
        <v>4020</v>
      </c>
      <c r="BE196" t="s">
        <v>4021</v>
      </c>
      <c r="BF196" t="str">
        <f>HYPERLINK("http://dx.doi.org/10.17502/mrcs.v11i2.710","http://dx.doi.org/10.17502/mrcs.v11i2.710")</f>
        <v>http://dx.doi.org/10.17502/mrcs.v11i2.710</v>
      </c>
      <c r="BG196" t="s">
        <v>74</v>
      </c>
      <c r="BH196" t="s">
        <v>74</v>
      </c>
      <c r="BI196">
        <v>17</v>
      </c>
      <c r="BJ196" t="s">
        <v>4022</v>
      </c>
      <c r="BK196" t="s">
        <v>352</v>
      </c>
      <c r="BL196" t="s">
        <v>4022</v>
      </c>
      <c r="BM196" t="s">
        <v>4023</v>
      </c>
      <c r="BN196" t="s">
        <v>74</v>
      </c>
      <c r="BO196" t="s">
        <v>1071</v>
      </c>
      <c r="BP196" t="s">
        <v>74</v>
      </c>
      <c r="BQ196" t="s">
        <v>74</v>
      </c>
      <c r="BR196" t="s">
        <v>101</v>
      </c>
      <c r="BS196" t="s">
        <v>4024</v>
      </c>
      <c r="BT196" t="str">
        <f>HYPERLINK("https%3A%2F%2Fwww.webofscience.com%2Fwos%2Fwoscc%2Ffull-record%2FWOS:001069731400001","View Full Record in Web of Science")</f>
        <v>View Full Record in Web of Science</v>
      </c>
    </row>
    <row r="197" spans="1:72" x14ac:dyDescent="0.2">
      <c r="A197" t="s">
        <v>103</v>
      </c>
      <c r="B197" t="s">
        <v>4025</v>
      </c>
      <c r="C197" t="s">
        <v>74</v>
      </c>
      <c r="D197" t="s">
        <v>74</v>
      </c>
      <c r="E197" t="s">
        <v>74</v>
      </c>
      <c r="F197" t="s">
        <v>4026</v>
      </c>
      <c r="G197" t="s">
        <v>74</v>
      </c>
      <c r="H197" t="s">
        <v>74</v>
      </c>
      <c r="I197" t="s">
        <v>4027</v>
      </c>
      <c r="J197" t="s">
        <v>1326</v>
      </c>
      <c r="K197" t="s">
        <v>74</v>
      </c>
      <c r="L197" t="s">
        <v>74</v>
      </c>
      <c r="M197" t="s">
        <v>79</v>
      </c>
      <c r="N197" t="s">
        <v>108</v>
      </c>
      <c r="O197" t="s">
        <v>74</v>
      </c>
      <c r="P197" t="s">
        <v>74</v>
      </c>
      <c r="Q197" t="s">
        <v>74</v>
      </c>
      <c r="R197" t="s">
        <v>74</v>
      </c>
      <c r="S197" t="s">
        <v>74</v>
      </c>
      <c r="T197" t="s">
        <v>4028</v>
      </c>
      <c r="U197" t="s">
        <v>74</v>
      </c>
      <c r="V197" t="s">
        <v>4029</v>
      </c>
      <c r="W197" t="s">
        <v>4030</v>
      </c>
      <c r="X197" t="s">
        <v>4031</v>
      </c>
      <c r="Y197" t="s">
        <v>4032</v>
      </c>
      <c r="Z197" t="s">
        <v>4033</v>
      </c>
      <c r="AA197" t="s">
        <v>4034</v>
      </c>
      <c r="AB197" t="s">
        <v>4035</v>
      </c>
      <c r="AC197" t="s">
        <v>74</v>
      </c>
      <c r="AD197" t="s">
        <v>74</v>
      </c>
      <c r="AE197" t="s">
        <v>74</v>
      </c>
      <c r="AF197" t="s">
        <v>74</v>
      </c>
      <c r="AG197">
        <v>16</v>
      </c>
      <c r="AH197">
        <v>4</v>
      </c>
      <c r="AI197">
        <v>4</v>
      </c>
      <c r="AJ197">
        <v>62</v>
      </c>
      <c r="AK197">
        <v>87</v>
      </c>
      <c r="AL197" t="s">
        <v>1333</v>
      </c>
      <c r="AM197" t="s">
        <v>1334</v>
      </c>
      <c r="AN197" t="s">
        <v>1335</v>
      </c>
      <c r="AO197" t="s">
        <v>1336</v>
      </c>
      <c r="AP197" t="s">
        <v>74</v>
      </c>
      <c r="AQ197" t="s">
        <v>74</v>
      </c>
      <c r="AR197" t="s">
        <v>1337</v>
      </c>
      <c r="AS197" t="s">
        <v>1338</v>
      </c>
      <c r="AT197" t="s">
        <v>74</v>
      </c>
      <c r="AU197">
        <v>2023</v>
      </c>
      <c r="AV197">
        <v>17</v>
      </c>
      <c r="AW197">
        <v>1</v>
      </c>
      <c r="AX197" t="s">
        <v>74</v>
      </c>
      <c r="AY197" t="s">
        <v>74</v>
      </c>
      <c r="AZ197" t="s">
        <v>74</v>
      </c>
      <c r="BA197" t="s">
        <v>74</v>
      </c>
      <c r="BB197" t="s">
        <v>4036</v>
      </c>
      <c r="BC197" t="s">
        <v>4037</v>
      </c>
      <c r="BD197" t="s">
        <v>74</v>
      </c>
      <c r="BE197" t="s">
        <v>74</v>
      </c>
      <c r="BF197" t="s">
        <v>74</v>
      </c>
      <c r="BG197" t="s">
        <v>74</v>
      </c>
      <c r="BH197" t="s">
        <v>74</v>
      </c>
      <c r="BI197">
        <v>8</v>
      </c>
      <c r="BJ197" t="s">
        <v>423</v>
      </c>
      <c r="BK197" t="s">
        <v>352</v>
      </c>
      <c r="BL197" t="s">
        <v>423</v>
      </c>
      <c r="BM197" t="s">
        <v>4038</v>
      </c>
      <c r="BN197" t="s">
        <v>74</v>
      </c>
      <c r="BO197" t="s">
        <v>74</v>
      </c>
      <c r="BP197" t="s">
        <v>74</v>
      </c>
      <c r="BQ197" t="s">
        <v>74</v>
      </c>
      <c r="BR197" t="s">
        <v>101</v>
      </c>
      <c r="BS197" t="s">
        <v>4039</v>
      </c>
      <c r="BT197" t="str">
        <f>HYPERLINK("https%3A%2F%2Fwww.webofscience.com%2Fwos%2Fwoscc%2Ffull-record%2FWOS:001007212500001","View Full Record in Web of Science")</f>
        <v>View Full Record in Web of Science</v>
      </c>
    </row>
    <row r="198" spans="1:72" x14ac:dyDescent="0.2">
      <c r="A198" t="s">
        <v>72</v>
      </c>
      <c r="B198" t="s">
        <v>4040</v>
      </c>
      <c r="C198" t="s">
        <v>74</v>
      </c>
      <c r="D198" t="s">
        <v>74</v>
      </c>
      <c r="E198" t="s">
        <v>75</v>
      </c>
      <c r="F198" t="s">
        <v>4041</v>
      </c>
      <c r="G198" t="s">
        <v>74</v>
      </c>
      <c r="H198" t="s">
        <v>74</v>
      </c>
      <c r="I198" t="s">
        <v>4042</v>
      </c>
      <c r="J198" t="s">
        <v>166</v>
      </c>
      <c r="K198" t="s">
        <v>74</v>
      </c>
      <c r="L198" t="s">
        <v>74</v>
      </c>
      <c r="M198" t="s">
        <v>79</v>
      </c>
      <c r="N198" t="s">
        <v>80</v>
      </c>
      <c r="O198" t="s">
        <v>167</v>
      </c>
      <c r="P198" t="s">
        <v>168</v>
      </c>
      <c r="Q198" t="s">
        <v>169</v>
      </c>
      <c r="R198" t="s">
        <v>170</v>
      </c>
      <c r="S198" t="s">
        <v>74</v>
      </c>
      <c r="T198" t="s">
        <v>4043</v>
      </c>
      <c r="U198" t="s">
        <v>74</v>
      </c>
      <c r="V198" t="s">
        <v>4044</v>
      </c>
      <c r="W198" t="s">
        <v>4045</v>
      </c>
      <c r="X198" t="s">
        <v>4046</v>
      </c>
      <c r="Y198" t="s">
        <v>4047</v>
      </c>
      <c r="Z198" t="s">
        <v>4048</v>
      </c>
      <c r="AA198" t="s">
        <v>4049</v>
      </c>
      <c r="AB198" t="s">
        <v>4050</v>
      </c>
      <c r="AC198" t="s">
        <v>4051</v>
      </c>
      <c r="AD198" t="s">
        <v>4052</v>
      </c>
      <c r="AE198" t="s">
        <v>4053</v>
      </c>
      <c r="AF198" t="s">
        <v>74</v>
      </c>
      <c r="AG198">
        <v>42</v>
      </c>
      <c r="AH198">
        <v>0</v>
      </c>
      <c r="AI198">
        <v>0</v>
      </c>
      <c r="AJ198">
        <v>5</v>
      </c>
      <c r="AK198">
        <v>5</v>
      </c>
      <c r="AL198" t="s">
        <v>92</v>
      </c>
      <c r="AM198" t="s">
        <v>93</v>
      </c>
      <c r="AN198" t="s">
        <v>94</v>
      </c>
      <c r="AO198" t="s">
        <v>74</v>
      </c>
      <c r="AP198" t="s">
        <v>74</v>
      </c>
      <c r="AQ198" t="s">
        <v>177</v>
      </c>
      <c r="AR198" t="s">
        <v>74</v>
      </c>
      <c r="AS198" t="s">
        <v>74</v>
      </c>
      <c r="AT198" t="s">
        <v>74</v>
      </c>
      <c r="AU198">
        <v>2023</v>
      </c>
      <c r="AV198" t="s">
        <v>74</v>
      </c>
      <c r="AW198" t="s">
        <v>74</v>
      </c>
      <c r="AX198" t="s">
        <v>74</v>
      </c>
      <c r="AY198" t="s">
        <v>74</v>
      </c>
      <c r="AZ198" t="s">
        <v>74</v>
      </c>
      <c r="BA198" t="s">
        <v>74</v>
      </c>
      <c r="BB198">
        <v>1</v>
      </c>
      <c r="BC198">
        <v>7</v>
      </c>
      <c r="BD198" t="s">
        <v>74</v>
      </c>
      <c r="BE198" t="s">
        <v>4054</v>
      </c>
      <c r="BF198" t="str">
        <f>HYPERLINK("http://dx.doi.org/10.1145/3591196.3593517","http://dx.doi.org/10.1145/3591196.3593517")</f>
        <v>http://dx.doi.org/10.1145/3591196.3593517</v>
      </c>
      <c r="BG198" t="s">
        <v>74</v>
      </c>
      <c r="BH198" t="s">
        <v>74</v>
      </c>
      <c r="BI198">
        <v>7</v>
      </c>
      <c r="BJ198" t="s">
        <v>179</v>
      </c>
      <c r="BK198" t="s">
        <v>180</v>
      </c>
      <c r="BL198" t="s">
        <v>181</v>
      </c>
      <c r="BM198" t="s">
        <v>182</v>
      </c>
      <c r="BN198" t="s">
        <v>74</v>
      </c>
      <c r="BO198" t="s">
        <v>208</v>
      </c>
      <c r="BP198" t="s">
        <v>74</v>
      </c>
      <c r="BQ198" t="s">
        <v>74</v>
      </c>
      <c r="BR198" t="s">
        <v>101</v>
      </c>
      <c r="BS198" t="s">
        <v>4055</v>
      </c>
      <c r="BT198" t="str">
        <f>HYPERLINK("https%3A%2F%2Fwww.webofscience.com%2Fwos%2Fwoscc%2Ffull-record%2FWOS:001119074200001","View Full Record in Web of Science")</f>
        <v>View Full Record in Web of Science</v>
      </c>
    </row>
    <row r="199" spans="1:72" x14ac:dyDescent="0.2">
      <c r="A199" t="s">
        <v>103</v>
      </c>
      <c r="B199" t="s">
        <v>4056</v>
      </c>
      <c r="C199" t="s">
        <v>74</v>
      </c>
      <c r="D199" t="s">
        <v>74</v>
      </c>
      <c r="E199" t="s">
        <v>74</v>
      </c>
      <c r="F199" t="s">
        <v>4057</v>
      </c>
      <c r="G199" t="s">
        <v>74</v>
      </c>
      <c r="H199" t="s">
        <v>74</v>
      </c>
      <c r="I199" t="s">
        <v>4058</v>
      </c>
      <c r="J199" t="s">
        <v>4059</v>
      </c>
      <c r="K199" t="s">
        <v>74</v>
      </c>
      <c r="L199" t="s">
        <v>74</v>
      </c>
      <c r="M199" t="s">
        <v>79</v>
      </c>
      <c r="N199" t="s">
        <v>108</v>
      </c>
      <c r="O199" t="s">
        <v>74</v>
      </c>
      <c r="P199" t="s">
        <v>74</v>
      </c>
      <c r="Q199" t="s">
        <v>74</v>
      </c>
      <c r="R199" t="s">
        <v>74</v>
      </c>
      <c r="S199" t="s">
        <v>74</v>
      </c>
      <c r="T199" t="s">
        <v>4060</v>
      </c>
      <c r="U199" t="s">
        <v>74</v>
      </c>
      <c r="V199" t="s">
        <v>4061</v>
      </c>
      <c r="W199" t="s">
        <v>4062</v>
      </c>
      <c r="X199" t="s">
        <v>4063</v>
      </c>
      <c r="Y199" t="s">
        <v>4064</v>
      </c>
      <c r="Z199" t="s">
        <v>4065</v>
      </c>
      <c r="AA199" t="s">
        <v>74</v>
      </c>
      <c r="AB199" t="s">
        <v>74</v>
      </c>
      <c r="AC199" t="s">
        <v>4066</v>
      </c>
      <c r="AD199" t="s">
        <v>4066</v>
      </c>
      <c r="AE199" t="s">
        <v>4067</v>
      </c>
      <c r="AF199" t="s">
        <v>74</v>
      </c>
      <c r="AG199">
        <v>131</v>
      </c>
      <c r="AH199">
        <v>1</v>
      </c>
      <c r="AI199">
        <v>1</v>
      </c>
      <c r="AJ199">
        <v>20</v>
      </c>
      <c r="AK199">
        <v>28</v>
      </c>
      <c r="AL199" t="s">
        <v>148</v>
      </c>
      <c r="AM199" t="s">
        <v>149</v>
      </c>
      <c r="AN199" t="s">
        <v>150</v>
      </c>
      <c r="AO199" t="s">
        <v>4068</v>
      </c>
      <c r="AP199" t="s">
        <v>4069</v>
      </c>
      <c r="AQ199" t="s">
        <v>74</v>
      </c>
      <c r="AR199" t="s">
        <v>4070</v>
      </c>
      <c r="AS199" t="s">
        <v>4071</v>
      </c>
      <c r="AT199" t="s">
        <v>2582</v>
      </c>
      <c r="AU199">
        <v>2023</v>
      </c>
      <c r="AV199">
        <v>21</v>
      </c>
      <c r="AW199">
        <v>2</v>
      </c>
      <c r="AX199" t="s">
        <v>74</v>
      </c>
      <c r="AY199" t="s">
        <v>74</v>
      </c>
      <c r="AZ199" t="s">
        <v>253</v>
      </c>
      <c r="BA199" t="s">
        <v>74</v>
      </c>
      <c r="BB199">
        <v>211</v>
      </c>
      <c r="BC199">
        <v>241</v>
      </c>
      <c r="BD199" t="s">
        <v>74</v>
      </c>
      <c r="BE199" t="s">
        <v>4072</v>
      </c>
      <c r="BF199" t="str">
        <f>HYPERLINK("http://dx.doi.org/10.1177/14780771231168230","http://dx.doi.org/10.1177/14780771231168230")</f>
        <v>http://dx.doi.org/10.1177/14780771231168230</v>
      </c>
      <c r="BG199" t="s">
        <v>74</v>
      </c>
      <c r="BH199" t="s">
        <v>229</v>
      </c>
      <c r="BI199">
        <v>31</v>
      </c>
      <c r="BJ199" t="s">
        <v>4073</v>
      </c>
      <c r="BK199" t="s">
        <v>352</v>
      </c>
      <c r="BL199" t="s">
        <v>4073</v>
      </c>
      <c r="BM199" t="s">
        <v>4074</v>
      </c>
      <c r="BN199" t="s">
        <v>74</v>
      </c>
      <c r="BO199" t="s">
        <v>161</v>
      </c>
      <c r="BP199" t="s">
        <v>74</v>
      </c>
      <c r="BQ199" t="s">
        <v>74</v>
      </c>
      <c r="BR199" t="s">
        <v>101</v>
      </c>
      <c r="BS199" t="s">
        <v>4075</v>
      </c>
      <c r="BT199" t="str">
        <f>HYPERLINK("https%3A%2F%2Fwww.webofscience.com%2Fwos%2Fwoscc%2Ffull-record%2FWOS:001030447800001","View Full Record in Web of Science")</f>
        <v>View Full Record in Web of Science</v>
      </c>
    </row>
    <row r="200" spans="1:72" x14ac:dyDescent="0.2">
      <c r="A200" t="s">
        <v>103</v>
      </c>
      <c r="B200" t="s">
        <v>4076</v>
      </c>
      <c r="C200" t="s">
        <v>74</v>
      </c>
      <c r="D200" t="s">
        <v>74</v>
      </c>
      <c r="E200" t="s">
        <v>74</v>
      </c>
      <c r="F200" t="s">
        <v>4077</v>
      </c>
      <c r="G200" t="s">
        <v>74</v>
      </c>
      <c r="H200" t="s">
        <v>74</v>
      </c>
      <c r="I200" t="s">
        <v>4078</v>
      </c>
      <c r="J200" t="s">
        <v>1370</v>
      </c>
      <c r="K200" t="s">
        <v>74</v>
      </c>
      <c r="L200" t="s">
        <v>74</v>
      </c>
      <c r="M200" t="s">
        <v>79</v>
      </c>
      <c r="N200" t="s">
        <v>108</v>
      </c>
      <c r="O200" t="s">
        <v>74</v>
      </c>
      <c r="P200" t="s">
        <v>74</v>
      </c>
      <c r="Q200" t="s">
        <v>74</v>
      </c>
      <c r="R200" t="s">
        <v>74</v>
      </c>
      <c r="S200" t="s">
        <v>74</v>
      </c>
      <c r="T200" t="s">
        <v>4079</v>
      </c>
      <c r="U200" t="s">
        <v>74</v>
      </c>
      <c r="V200" t="s">
        <v>4080</v>
      </c>
      <c r="W200" t="s">
        <v>4081</v>
      </c>
      <c r="X200" t="s">
        <v>4082</v>
      </c>
      <c r="Y200" t="s">
        <v>4083</v>
      </c>
      <c r="Z200" t="s">
        <v>4084</v>
      </c>
      <c r="AA200" t="s">
        <v>74</v>
      </c>
      <c r="AB200" t="s">
        <v>74</v>
      </c>
      <c r="AC200" t="s">
        <v>4085</v>
      </c>
      <c r="AD200" t="s">
        <v>4085</v>
      </c>
      <c r="AE200" t="s">
        <v>3401</v>
      </c>
      <c r="AF200" t="s">
        <v>74</v>
      </c>
      <c r="AG200">
        <v>28</v>
      </c>
      <c r="AH200">
        <v>0</v>
      </c>
      <c r="AI200">
        <v>0</v>
      </c>
      <c r="AJ200">
        <v>6</v>
      </c>
      <c r="AK200">
        <v>6</v>
      </c>
      <c r="AL200" t="s">
        <v>1379</v>
      </c>
      <c r="AM200" t="s">
        <v>1380</v>
      </c>
      <c r="AN200" t="s">
        <v>1381</v>
      </c>
      <c r="AO200" t="s">
        <v>1382</v>
      </c>
      <c r="AP200" t="s">
        <v>74</v>
      </c>
      <c r="AQ200" t="s">
        <v>74</v>
      </c>
      <c r="AR200" t="s">
        <v>1370</v>
      </c>
      <c r="AS200" t="s">
        <v>1383</v>
      </c>
      <c r="AT200" t="s">
        <v>74</v>
      </c>
      <c r="AU200">
        <v>2023</v>
      </c>
      <c r="AV200">
        <v>11</v>
      </c>
      <c r="AW200" t="s">
        <v>74</v>
      </c>
      <c r="AX200" t="s">
        <v>74</v>
      </c>
      <c r="AY200" t="s">
        <v>74</v>
      </c>
      <c r="AZ200" t="s">
        <v>74</v>
      </c>
      <c r="BA200" t="s">
        <v>74</v>
      </c>
      <c r="BB200">
        <v>130330</v>
      </c>
      <c r="BC200">
        <v>130344</v>
      </c>
      <c r="BD200" t="s">
        <v>74</v>
      </c>
      <c r="BE200" t="s">
        <v>4086</v>
      </c>
      <c r="BF200" t="str">
        <f>HYPERLINK("http://dx.doi.org/10.1109/ACCESS.2023.3332628","http://dx.doi.org/10.1109/ACCESS.2023.3332628")</f>
        <v>http://dx.doi.org/10.1109/ACCESS.2023.3332628</v>
      </c>
      <c r="BG200" t="s">
        <v>74</v>
      </c>
      <c r="BH200" t="s">
        <v>74</v>
      </c>
      <c r="BI200">
        <v>15</v>
      </c>
      <c r="BJ200" t="s">
        <v>1385</v>
      </c>
      <c r="BK200" t="s">
        <v>130</v>
      </c>
      <c r="BL200" t="s">
        <v>1386</v>
      </c>
      <c r="BM200" t="s">
        <v>4087</v>
      </c>
      <c r="BN200" t="s">
        <v>74</v>
      </c>
      <c r="BO200" t="s">
        <v>425</v>
      </c>
      <c r="BP200" t="s">
        <v>74</v>
      </c>
      <c r="BQ200" t="s">
        <v>74</v>
      </c>
      <c r="BR200" t="s">
        <v>101</v>
      </c>
      <c r="BS200" t="s">
        <v>4088</v>
      </c>
      <c r="BT200" t="str">
        <f>HYPERLINK("https%3A%2F%2Fwww.webofscience.com%2Fwos%2Fwoscc%2Ffull-record%2FWOS:001121810700001","View Full Record in Web of Science")</f>
        <v>View Full Record in Web of Science</v>
      </c>
    </row>
    <row r="201" spans="1:72" x14ac:dyDescent="0.2">
      <c r="A201" t="s">
        <v>103</v>
      </c>
      <c r="B201" t="s">
        <v>4089</v>
      </c>
      <c r="C201" t="s">
        <v>74</v>
      </c>
      <c r="D201" t="s">
        <v>74</v>
      </c>
      <c r="E201" t="s">
        <v>74</v>
      </c>
      <c r="F201" t="s">
        <v>4090</v>
      </c>
      <c r="G201" t="s">
        <v>74</v>
      </c>
      <c r="H201" t="s">
        <v>74</v>
      </c>
      <c r="I201" t="s">
        <v>4091</v>
      </c>
      <c r="J201" t="s">
        <v>213</v>
      </c>
      <c r="K201" t="s">
        <v>74</v>
      </c>
      <c r="L201" t="s">
        <v>74</v>
      </c>
      <c r="M201" t="s">
        <v>79</v>
      </c>
      <c r="N201" t="s">
        <v>138</v>
      </c>
      <c r="O201" t="s">
        <v>74</v>
      </c>
      <c r="P201" t="s">
        <v>74</v>
      </c>
      <c r="Q201" t="s">
        <v>74</v>
      </c>
      <c r="R201" t="s">
        <v>74</v>
      </c>
      <c r="S201" t="s">
        <v>74</v>
      </c>
      <c r="T201" t="s">
        <v>4092</v>
      </c>
      <c r="U201" t="s">
        <v>4093</v>
      </c>
      <c r="V201" t="s">
        <v>4094</v>
      </c>
      <c r="W201" t="s">
        <v>4095</v>
      </c>
      <c r="X201" t="s">
        <v>4096</v>
      </c>
      <c r="Y201" t="s">
        <v>4097</v>
      </c>
      <c r="Z201" t="s">
        <v>4098</v>
      </c>
      <c r="AA201" t="s">
        <v>4099</v>
      </c>
      <c r="AB201" t="s">
        <v>4100</v>
      </c>
      <c r="AC201" t="s">
        <v>74</v>
      </c>
      <c r="AD201" t="s">
        <v>74</v>
      </c>
      <c r="AE201" t="s">
        <v>74</v>
      </c>
      <c r="AF201" t="s">
        <v>74</v>
      </c>
      <c r="AG201">
        <v>146</v>
      </c>
      <c r="AH201">
        <v>9</v>
      </c>
      <c r="AI201">
        <v>9</v>
      </c>
      <c r="AJ201">
        <v>178</v>
      </c>
      <c r="AK201">
        <v>178</v>
      </c>
      <c r="AL201" t="s">
        <v>220</v>
      </c>
      <c r="AM201" t="s">
        <v>221</v>
      </c>
      <c r="AN201" t="s">
        <v>222</v>
      </c>
      <c r="AO201" t="s">
        <v>223</v>
      </c>
      <c r="AP201" t="s">
        <v>224</v>
      </c>
      <c r="AQ201" t="s">
        <v>74</v>
      </c>
      <c r="AR201" t="s">
        <v>225</v>
      </c>
      <c r="AS201" t="s">
        <v>226</v>
      </c>
      <c r="AT201" t="s">
        <v>4101</v>
      </c>
      <c r="AU201">
        <v>2023</v>
      </c>
      <c r="AV201" t="s">
        <v>74</v>
      </c>
      <c r="AW201" t="s">
        <v>74</v>
      </c>
      <c r="AX201" t="s">
        <v>74</v>
      </c>
      <c r="AY201" t="s">
        <v>74</v>
      </c>
      <c r="AZ201" t="s">
        <v>74</v>
      </c>
      <c r="BA201" t="s">
        <v>74</v>
      </c>
      <c r="BB201" t="s">
        <v>74</v>
      </c>
      <c r="BC201" t="s">
        <v>74</v>
      </c>
      <c r="BD201" t="s">
        <v>74</v>
      </c>
      <c r="BE201" t="s">
        <v>4102</v>
      </c>
      <c r="BF201" t="str">
        <f>HYPERLINK("http://dx.doi.org/10.1080/08874417.2023.2261010","http://dx.doi.org/10.1080/08874417.2023.2261010")</f>
        <v>http://dx.doi.org/10.1080/08874417.2023.2261010</v>
      </c>
      <c r="BG201" t="s">
        <v>74</v>
      </c>
      <c r="BH201" t="s">
        <v>1886</v>
      </c>
      <c r="BI201">
        <v>32</v>
      </c>
      <c r="BJ201" t="s">
        <v>230</v>
      </c>
      <c r="BK201" t="s">
        <v>130</v>
      </c>
      <c r="BL201" t="s">
        <v>99</v>
      </c>
      <c r="BM201" t="s">
        <v>4103</v>
      </c>
      <c r="BN201" t="s">
        <v>74</v>
      </c>
      <c r="BO201" t="s">
        <v>74</v>
      </c>
      <c r="BP201" t="s">
        <v>74</v>
      </c>
      <c r="BQ201" t="s">
        <v>74</v>
      </c>
      <c r="BR201" t="s">
        <v>101</v>
      </c>
      <c r="BS201" t="s">
        <v>4104</v>
      </c>
      <c r="BT201" t="str">
        <f>HYPERLINK("https%3A%2F%2Fwww.webofscience.com%2Fwos%2Fwoscc%2Ffull-record%2FWOS:001080196300001","View Full Record in Web of Science")</f>
        <v>View Full Record in Web of Science</v>
      </c>
    </row>
    <row r="202" spans="1:72" x14ac:dyDescent="0.2">
      <c r="A202" t="s">
        <v>103</v>
      </c>
      <c r="B202" t="s">
        <v>4105</v>
      </c>
      <c r="C202" t="s">
        <v>74</v>
      </c>
      <c r="D202" t="s">
        <v>74</v>
      </c>
      <c r="E202" t="s">
        <v>74</v>
      </c>
      <c r="F202" t="s">
        <v>4106</v>
      </c>
      <c r="G202" t="s">
        <v>74</v>
      </c>
      <c r="H202" t="s">
        <v>74</v>
      </c>
      <c r="I202" t="s">
        <v>4107</v>
      </c>
      <c r="J202" t="s">
        <v>4108</v>
      </c>
      <c r="K202" t="s">
        <v>74</v>
      </c>
      <c r="L202" t="s">
        <v>74</v>
      </c>
      <c r="M202" t="s">
        <v>79</v>
      </c>
      <c r="N202" t="s">
        <v>108</v>
      </c>
      <c r="O202" t="s">
        <v>74</v>
      </c>
      <c r="P202" t="s">
        <v>74</v>
      </c>
      <c r="Q202" t="s">
        <v>74</v>
      </c>
      <c r="R202" t="s">
        <v>74</v>
      </c>
      <c r="S202" t="s">
        <v>74</v>
      </c>
      <c r="T202" t="s">
        <v>4109</v>
      </c>
      <c r="U202" t="s">
        <v>74</v>
      </c>
      <c r="V202" t="s">
        <v>4110</v>
      </c>
      <c r="W202" t="s">
        <v>4111</v>
      </c>
      <c r="X202" t="s">
        <v>4112</v>
      </c>
      <c r="Y202" t="s">
        <v>4113</v>
      </c>
      <c r="Z202" t="s">
        <v>4114</v>
      </c>
      <c r="AA202" t="s">
        <v>74</v>
      </c>
      <c r="AB202" t="s">
        <v>74</v>
      </c>
      <c r="AC202" t="s">
        <v>74</v>
      </c>
      <c r="AD202" t="s">
        <v>74</v>
      </c>
      <c r="AE202" t="s">
        <v>74</v>
      </c>
      <c r="AF202" t="s">
        <v>74</v>
      </c>
      <c r="AG202">
        <v>78</v>
      </c>
      <c r="AH202">
        <v>0</v>
      </c>
      <c r="AI202">
        <v>0</v>
      </c>
      <c r="AJ202">
        <v>8</v>
      </c>
      <c r="AK202">
        <v>11</v>
      </c>
      <c r="AL202" t="s">
        <v>343</v>
      </c>
      <c r="AM202" t="s">
        <v>521</v>
      </c>
      <c r="AN202" t="s">
        <v>522</v>
      </c>
      <c r="AO202" t="s">
        <v>4115</v>
      </c>
      <c r="AP202" t="s">
        <v>4116</v>
      </c>
      <c r="AQ202" t="s">
        <v>74</v>
      </c>
      <c r="AR202" t="s">
        <v>4117</v>
      </c>
      <c r="AS202" t="s">
        <v>4118</v>
      </c>
      <c r="AT202" t="s">
        <v>251</v>
      </c>
      <c r="AU202">
        <v>2024</v>
      </c>
      <c r="AV202">
        <v>83</v>
      </c>
      <c r="AW202">
        <v>7</v>
      </c>
      <c r="AX202" t="s">
        <v>74</v>
      </c>
      <c r="AY202" t="s">
        <v>74</v>
      </c>
      <c r="AZ202" t="s">
        <v>74</v>
      </c>
      <c r="BA202" t="s">
        <v>74</v>
      </c>
      <c r="BB202">
        <v>21551</v>
      </c>
      <c r="BC202">
        <v>21581</v>
      </c>
      <c r="BD202" t="s">
        <v>74</v>
      </c>
      <c r="BE202" t="s">
        <v>4119</v>
      </c>
      <c r="BF202" t="str">
        <f>HYPERLINK("http://dx.doi.org/10.1007/s11042-023-16175-2","http://dx.doi.org/10.1007/s11042-023-16175-2")</f>
        <v>http://dx.doi.org/10.1007/s11042-023-16175-2</v>
      </c>
      <c r="BG202" t="s">
        <v>74</v>
      </c>
      <c r="BH202" t="s">
        <v>229</v>
      </c>
      <c r="BI202">
        <v>31</v>
      </c>
      <c r="BJ202" t="s">
        <v>4120</v>
      </c>
      <c r="BK202" t="s">
        <v>130</v>
      </c>
      <c r="BL202" t="s">
        <v>906</v>
      </c>
      <c r="BM202" t="s">
        <v>4121</v>
      </c>
      <c r="BN202" t="s">
        <v>74</v>
      </c>
      <c r="BO202" t="s">
        <v>74</v>
      </c>
      <c r="BP202" t="s">
        <v>74</v>
      </c>
      <c r="BQ202" t="s">
        <v>74</v>
      </c>
      <c r="BR202" t="s">
        <v>101</v>
      </c>
      <c r="BS202" t="s">
        <v>4122</v>
      </c>
      <c r="BT202" t="str">
        <f>HYPERLINK("https%3A%2F%2Fwww.webofscience.com%2Fwos%2Fwoscc%2Ffull-record%2FWOS:001035725700009","View Full Record in Web of Science")</f>
        <v>View Full Record in Web of Science</v>
      </c>
    </row>
    <row r="203" spans="1:72" x14ac:dyDescent="0.2">
      <c r="A203" t="s">
        <v>72</v>
      </c>
      <c r="B203" t="s">
        <v>4123</v>
      </c>
      <c r="C203" t="s">
        <v>74</v>
      </c>
      <c r="D203" t="s">
        <v>4124</v>
      </c>
      <c r="E203" t="s">
        <v>74</v>
      </c>
      <c r="F203" t="s">
        <v>4125</v>
      </c>
      <c r="G203" t="s">
        <v>74</v>
      </c>
      <c r="H203" t="s">
        <v>74</v>
      </c>
      <c r="I203" t="s">
        <v>4126</v>
      </c>
      <c r="J203" t="s">
        <v>4127</v>
      </c>
      <c r="K203" t="s">
        <v>4128</v>
      </c>
      <c r="L203" t="s">
        <v>74</v>
      </c>
      <c r="M203" t="s">
        <v>79</v>
      </c>
      <c r="N203" t="s">
        <v>80</v>
      </c>
      <c r="O203" t="s">
        <v>4129</v>
      </c>
      <c r="P203" t="s">
        <v>4130</v>
      </c>
      <c r="Q203" t="s">
        <v>4131</v>
      </c>
      <c r="R203" t="s">
        <v>4132</v>
      </c>
      <c r="S203" t="s">
        <v>74</v>
      </c>
      <c r="T203" t="s">
        <v>4133</v>
      </c>
      <c r="U203" t="s">
        <v>4134</v>
      </c>
      <c r="V203" t="s">
        <v>4135</v>
      </c>
      <c r="W203" t="s">
        <v>4136</v>
      </c>
      <c r="X203" t="s">
        <v>4137</v>
      </c>
      <c r="Y203" t="s">
        <v>4138</v>
      </c>
      <c r="Z203" t="s">
        <v>4139</v>
      </c>
      <c r="AA203" t="s">
        <v>4140</v>
      </c>
      <c r="AB203" t="s">
        <v>74</v>
      </c>
      <c r="AC203" t="s">
        <v>4141</v>
      </c>
      <c r="AD203" t="s">
        <v>4142</v>
      </c>
      <c r="AE203" t="s">
        <v>4143</v>
      </c>
      <c r="AF203" t="s">
        <v>74</v>
      </c>
      <c r="AG203">
        <v>47</v>
      </c>
      <c r="AH203">
        <v>0</v>
      </c>
      <c r="AI203">
        <v>0</v>
      </c>
      <c r="AJ203">
        <v>0</v>
      </c>
      <c r="AK203">
        <v>0</v>
      </c>
      <c r="AL203" t="s">
        <v>284</v>
      </c>
      <c r="AM203" t="s">
        <v>93</v>
      </c>
      <c r="AN203" t="s">
        <v>299</v>
      </c>
      <c r="AO203" t="s">
        <v>4144</v>
      </c>
      <c r="AP203" t="s">
        <v>74</v>
      </c>
      <c r="AQ203" t="s">
        <v>4145</v>
      </c>
      <c r="AR203" t="s">
        <v>4146</v>
      </c>
      <c r="AS203" t="s">
        <v>74</v>
      </c>
      <c r="AT203" t="s">
        <v>74</v>
      </c>
      <c r="AU203">
        <v>2023</v>
      </c>
      <c r="AV203" t="s">
        <v>74</v>
      </c>
      <c r="AW203" t="s">
        <v>74</v>
      </c>
      <c r="AX203" t="s">
        <v>74</v>
      </c>
      <c r="AY203" t="s">
        <v>74</v>
      </c>
      <c r="AZ203" t="s">
        <v>74</v>
      </c>
      <c r="BA203" t="s">
        <v>74</v>
      </c>
      <c r="BB203" t="s">
        <v>74</v>
      </c>
      <c r="BC203" t="s">
        <v>74</v>
      </c>
      <c r="BD203" t="s">
        <v>74</v>
      </c>
      <c r="BE203" t="s">
        <v>74</v>
      </c>
      <c r="BF203" t="s">
        <v>74</v>
      </c>
      <c r="BG203" t="s">
        <v>74</v>
      </c>
      <c r="BH203" t="s">
        <v>74</v>
      </c>
      <c r="BI203">
        <v>7</v>
      </c>
      <c r="BJ203" t="s">
        <v>1385</v>
      </c>
      <c r="BK203" t="s">
        <v>98</v>
      </c>
      <c r="BL203" t="s">
        <v>1386</v>
      </c>
      <c r="BM203" t="s">
        <v>4147</v>
      </c>
      <c r="BN203" t="s">
        <v>74</v>
      </c>
      <c r="BO203" t="s">
        <v>74</v>
      </c>
      <c r="BP203" t="s">
        <v>74</v>
      </c>
      <c r="BQ203" t="s">
        <v>74</v>
      </c>
      <c r="BR203" t="s">
        <v>101</v>
      </c>
      <c r="BS203" t="s">
        <v>4148</v>
      </c>
      <c r="BT203" t="str">
        <f>HYPERLINK("https%3A%2F%2Fwww.webofscience.com%2Fwos%2Fwoscc%2Ffull-record%2FWOS:001117985100018","View Full Record in Web of Science")</f>
        <v>View Full Record in Web of Science</v>
      </c>
    </row>
    <row r="204" spans="1:72" x14ac:dyDescent="0.2">
      <c r="A204" t="s">
        <v>72</v>
      </c>
      <c r="B204" t="s">
        <v>4149</v>
      </c>
      <c r="C204" t="s">
        <v>74</v>
      </c>
      <c r="D204" t="s">
        <v>74</v>
      </c>
      <c r="E204" t="s">
        <v>284</v>
      </c>
      <c r="F204" t="s">
        <v>4150</v>
      </c>
      <c r="G204" t="s">
        <v>74</v>
      </c>
      <c r="H204" t="s">
        <v>74</v>
      </c>
      <c r="I204" t="s">
        <v>4151</v>
      </c>
      <c r="J204" t="s">
        <v>1242</v>
      </c>
      <c r="K204" t="s">
        <v>1243</v>
      </c>
      <c r="L204" t="s">
        <v>74</v>
      </c>
      <c r="M204" t="s">
        <v>79</v>
      </c>
      <c r="N204" t="s">
        <v>80</v>
      </c>
      <c r="O204" t="s">
        <v>1244</v>
      </c>
      <c r="P204" t="s">
        <v>1245</v>
      </c>
      <c r="Q204" t="s">
        <v>1246</v>
      </c>
      <c r="R204" t="s">
        <v>1103</v>
      </c>
      <c r="S204" t="s">
        <v>74</v>
      </c>
      <c r="T204" t="s">
        <v>74</v>
      </c>
      <c r="U204" t="s">
        <v>74</v>
      </c>
      <c r="V204" t="s">
        <v>4152</v>
      </c>
      <c r="W204" t="s">
        <v>4153</v>
      </c>
      <c r="X204" t="s">
        <v>4154</v>
      </c>
      <c r="Y204" t="s">
        <v>4155</v>
      </c>
      <c r="Z204" t="s">
        <v>4156</v>
      </c>
      <c r="AA204" t="s">
        <v>4157</v>
      </c>
      <c r="AB204" t="s">
        <v>4158</v>
      </c>
      <c r="AC204" t="s">
        <v>4159</v>
      </c>
      <c r="AD204" t="s">
        <v>4160</v>
      </c>
      <c r="AE204" t="s">
        <v>4161</v>
      </c>
      <c r="AF204" t="s">
        <v>74</v>
      </c>
      <c r="AG204">
        <v>25</v>
      </c>
      <c r="AH204">
        <v>0</v>
      </c>
      <c r="AI204">
        <v>0</v>
      </c>
      <c r="AJ204">
        <v>2</v>
      </c>
      <c r="AK204">
        <v>2</v>
      </c>
      <c r="AL204" t="s">
        <v>638</v>
      </c>
      <c r="AM204" t="s">
        <v>639</v>
      </c>
      <c r="AN204" t="s">
        <v>640</v>
      </c>
      <c r="AO204" t="s">
        <v>1253</v>
      </c>
      <c r="AP204" t="s">
        <v>74</v>
      </c>
      <c r="AQ204" t="s">
        <v>1254</v>
      </c>
      <c r="AR204" t="s">
        <v>1255</v>
      </c>
      <c r="AS204" t="s">
        <v>74</v>
      </c>
      <c r="AT204" t="s">
        <v>74</v>
      </c>
      <c r="AU204">
        <v>2023</v>
      </c>
      <c r="AV204" t="s">
        <v>74</v>
      </c>
      <c r="AW204" t="s">
        <v>74</v>
      </c>
      <c r="AX204" t="s">
        <v>74</v>
      </c>
      <c r="AY204" t="s">
        <v>74</v>
      </c>
      <c r="AZ204" t="s">
        <v>74</v>
      </c>
      <c r="BA204" t="s">
        <v>74</v>
      </c>
      <c r="BB204">
        <v>1713</v>
      </c>
      <c r="BC204">
        <v>1717</v>
      </c>
      <c r="BD204" t="s">
        <v>74</v>
      </c>
      <c r="BE204" t="s">
        <v>4162</v>
      </c>
      <c r="BF204" t="str">
        <f>HYPERLINK("http://dx.doi.org/10.1109/ASE56229.2023.00023","http://dx.doi.org/10.1109/ASE56229.2023.00023")</f>
        <v>http://dx.doi.org/10.1109/ASE56229.2023.00023</v>
      </c>
      <c r="BG204" t="s">
        <v>74</v>
      </c>
      <c r="BH204" t="s">
        <v>74</v>
      </c>
      <c r="BI204">
        <v>5</v>
      </c>
      <c r="BJ204" t="s">
        <v>1257</v>
      </c>
      <c r="BK204" t="s">
        <v>98</v>
      </c>
      <c r="BL204" t="s">
        <v>1258</v>
      </c>
      <c r="BM204" t="s">
        <v>1259</v>
      </c>
      <c r="BN204" t="s">
        <v>74</v>
      </c>
      <c r="BO204" t="s">
        <v>74</v>
      </c>
      <c r="BP204" t="s">
        <v>74</v>
      </c>
      <c r="BQ204" t="s">
        <v>74</v>
      </c>
      <c r="BR204" t="s">
        <v>101</v>
      </c>
      <c r="BS204" t="s">
        <v>4163</v>
      </c>
      <c r="BT204" t="str">
        <f>HYPERLINK("https%3A%2F%2Fwww.webofscience.com%2Fwos%2Fwoscc%2Ffull-record%2FWOS:001103357200140","View Full Record in Web of Science")</f>
        <v>View Full Record in Web of Science</v>
      </c>
    </row>
    <row r="205" spans="1:72" x14ac:dyDescent="0.2">
      <c r="A205" t="s">
        <v>103</v>
      </c>
      <c r="B205" t="s">
        <v>4164</v>
      </c>
      <c r="C205" t="s">
        <v>74</v>
      </c>
      <c r="D205" t="s">
        <v>74</v>
      </c>
      <c r="E205" t="s">
        <v>74</v>
      </c>
      <c r="F205" t="s">
        <v>4165</v>
      </c>
      <c r="G205" t="s">
        <v>74</v>
      </c>
      <c r="H205" t="s">
        <v>74</v>
      </c>
      <c r="I205" t="s">
        <v>4166</v>
      </c>
      <c r="J205" t="s">
        <v>4167</v>
      </c>
      <c r="K205" t="s">
        <v>74</v>
      </c>
      <c r="L205" t="s">
        <v>74</v>
      </c>
      <c r="M205" t="s">
        <v>79</v>
      </c>
      <c r="N205" t="s">
        <v>108</v>
      </c>
      <c r="O205" t="s">
        <v>74</v>
      </c>
      <c r="P205" t="s">
        <v>74</v>
      </c>
      <c r="Q205" t="s">
        <v>74</v>
      </c>
      <c r="R205" t="s">
        <v>74</v>
      </c>
      <c r="S205" t="s">
        <v>74</v>
      </c>
      <c r="T205" t="s">
        <v>4168</v>
      </c>
      <c r="U205" t="s">
        <v>74</v>
      </c>
      <c r="V205" t="s">
        <v>4169</v>
      </c>
      <c r="W205" t="s">
        <v>4170</v>
      </c>
      <c r="X205" t="s">
        <v>4171</v>
      </c>
      <c r="Y205" t="s">
        <v>4172</v>
      </c>
      <c r="Z205" t="s">
        <v>4173</v>
      </c>
      <c r="AA205" t="s">
        <v>4174</v>
      </c>
      <c r="AB205" t="s">
        <v>4175</v>
      </c>
      <c r="AC205" t="s">
        <v>74</v>
      </c>
      <c r="AD205" t="s">
        <v>74</v>
      </c>
      <c r="AE205" t="s">
        <v>74</v>
      </c>
      <c r="AF205" t="s">
        <v>74</v>
      </c>
      <c r="AG205">
        <v>27</v>
      </c>
      <c r="AH205">
        <v>24</v>
      </c>
      <c r="AI205">
        <v>24</v>
      </c>
      <c r="AJ205">
        <v>30</v>
      </c>
      <c r="AK205">
        <v>43</v>
      </c>
      <c r="AL205" t="s">
        <v>4176</v>
      </c>
      <c r="AM205" t="s">
        <v>4177</v>
      </c>
      <c r="AN205" t="s">
        <v>4178</v>
      </c>
      <c r="AO205" t="s">
        <v>4179</v>
      </c>
      <c r="AP205" t="s">
        <v>74</v>
      </c>
      <c r="AQ205" t="s">
        <v>74</v>
      </c>
      <c r="AR205" t="s">
        <v>4180</v>
      </c>
      <c r="AS205" t="s">
        <v>4181</v>
      </c>
      <c r="AT205" t="s">
        <v>74</v>
      </c>
      <c r="AU205">
        <v>2023</v>
      </c>
      <c r="AV205">
        <v>9</v>
      </c>
      <c r="AW205" t="s">
        <v>74</v>
      </c>
      <c r="AX205" t="s">
        <v>74</v>
      </c>
      <c r="AY205" t="s">
        <v>74</v>
      </c>
      <c r="AZ205" t="s">
        <v>74</v>
      </c>
      <c r="BA205" t="s">
        <v>74</v>
      </c>
      <c r="BB205" t="s">
        <v>74</v>
      </c>
      <c r="BC205" t="s">
        <v>74</v>
      </c>
      <c r="BD205" t="s">
        <v>4182</v>
      </c>
      <c r="BE205" t="s">
        <v>4183</v>
      </c>
      <c r="BF205" t="str">
        <f>HYPERLINK("http://dx.doi.org/10.2196/48163","http://dx.doi.org/10.2196/48163")</f>
        <v>http://dx.doi.org/10.2196/48163</v>
      </c>
      <c r="BG205" t="s">
        <v>74</v>
      </c>
      <c r="BH205" t="s">
        <v>74</v>
      </c>
      <c r="BI205">
        <v>7</v>
      </c>
      <c r="BJ205" t="s">
        <v>3308</v>
      </c>
      <c r="BK205" t="s">
        <v>352</v>
      </c>
      <c r="BL205" t="s">
        <v>423</v>
      </c>
      <c r="BM205" t="s">
        <v>4184</v>
      </c>
      <c r="BN205">
        <v>37279048</v>
      </c>
      <c r="BO205" t="s">
        <v>4185</v>
      </c>
      <c r="BP205" t="s">
        <v>74</v>
      </c>
      <c r="BQ205" t="s">
        <v>74</v>
      </c>
      <c r="BR205" t="s">
        <v>101</v>
      </c>
      <c r="BS205" t="s">
        <v>4186</v>
      </c>
      <c r="BT205" t="str">
        <f>HYPERLINK("https%3A%2F%2Fwww.webofscience.com%2Fwos%2Fwoscc%2Ffull-record%2FWOS:001021677200001","View Full Record in Web of Science")</f>
        <v>View Full Record in Web of Science</v>
      </c>
    </row>
    <row r="206" spans="1:72" x14ac:dyDescent="0.2">
      <c r="A206" t="s">
        <v>72</v>
      </c>
      <c r="B206" t="s">
        <v>4187</v>
      </c>
      <c r="C206" t="s">
        <v>74</v>
      </c>
      <c r="D206" t="s">
        <v>74</v>
      </c>
      <c r="E206" t="s">
        <v>92</v>
      </c>
      <c r="F206" t="s">
        <v>4188</v>
      </c>
      <c r="G206" t="s">
        <v>74</v>
      </c>
      <c r="H206" t="s">
        <v>74</v>
      </c>
      <c r="I206" t="s">
        <v>4189</v>
      </c>
      <c r="J206" t="s">
        <v>2504</v>
      </c>
      <c r="K206" t="s">
        <v>74</v>
      </c>
      <c r="L206" t="s">
        <v>74</v>
      </c>
      <c r="M206" t="s">
        <v>79</v>
      </c>
      <c r="N206" t="s">
        <v>80</v>
      </c>
      <c r="O206" t="s">
        <v>2505</v>
      </c>
      <c r="P206" t="s">
        <v>2506</v>
      </c>
      <c r="Q206" t="s">
        <v>2507</v>
      </c>
      <c r="R206" t="s">
        <v>1223</v>
      </c>
      <c r="S206" t="s">
        <v>74</v>
      </c>
      <c r="T206" t="s">
        <v>4190</v>
      </c>
      <c r="U206" t="s">
        <v>4191</v>
      </c>
      <c r="V206" t="s">
        <v>4192</v>
      </c>
      <c r="W206" t="s">
        <v>4193</v>
      </c>
      <c r="X206" t="s">
        <v>4194</v>
      </c>
      <c r="Y206" t="s">
        <v>4195</v>
      </c>
      <c r="Z206" t="s">
        <v>74</v>
      </c>
      <c r="AA206" t="s">
        <v>4196</v>
      </c>
      <c r="AB206" t="s">
        <v>4197</v>
      </c>
      <c r="AC206" t="s">
        <v>74</v>
      </c>
      <c r="AD206" t="s">
        <v>74</v>
      </c>
      <c r="AE206" t="s">
        <v>74</v>
      </c>
      <c r="AF206" t="s">
        <v>74</v>
      </c>
      <c r="AG206">
        <v>120</v>
      </c>
      <c r="AH206">
        <v>2</v>
      </c>
      <c r="AI206">
        <v>2</v>
      </c>
      <c r="AJ206">
        <v>6</v>
      </c>
      <c r="AK206">
        <v>6</v>
      </c>
      <c r="AL206" t="s">
        <v>92</v>
      </c>
      <c r="AM206" t="s">
        <v>93</v>
      </c>
      <c r="AN206" t="s">
        <v>94</v>
      </c>
      <c r="AO206" t="s">
        <v>74</v>
      </c>
      <c r="AP206" t="s">
        <v>74</v>
      </c>
      <c r="AQ206" t="s">
        <v>2515</v>
      </c>
      <c r="AR206" t="s">
        <v>74</v>
      </c>
      <c r="AS206" t="s">
        <v>74</v>
      </c>
      <c r="AT206" t="s">
        <v>74</v>
      </c>
      <c r="AU206">
        <v>2023</v>
      </c>
      <c r="AV206" t="s">
        <v>74</v>
      </c>
      <c r="AW206" t="s">
        <v>74</v>
      </c>
      <c r="AX206" t="s">
        <v>74</v>
      </c>
      <c r="AY206" t="s">
        <v>74</v>
      </c>
      <c r="AZ206" t="s">
        <v>74</v>
      </c>
      <c r="BA206" t="s">
        <v>74</v>
      </c>
      <c r="BB206">
        <v>506</v>
      </c>
      <c r="BC206">
        <v>517</v>
      </c>
      <c r="BD206" t="s">
        <v>74</v>
      </c>
      <c r="BE206" t="s">
        <v>4198</v>
      </c>
      <c r="BF206" t="str">
        <f>HYPERLINK("http://dx.doi.org/10.1145/3593013.3594016","http://dx.doi.org/10.1145/3593013.3594016")</f>
        <v>http://dx.doi.org/10.1145/3593013.3594016</v>
      </c>
      <c r="BG206" t="s">
        <v>74</v>
      </c>
      <c r="BH206" t="s">
        <v>74</v>
      </c>
      <c r="BI206">
        <v>12</v>
      </c>
      <c r="BJ206" t="s">
        <v>2517</v>
      </c>
      <c r="BK206" t="s">
        <v>180</v>
      </c>
      <c r="BL206" t="s">
        <v>1212</v>
      </c>
      <c r="BM206" t="s">
        <v>2518</v>
      </c>
      <c r="BN206" t="s">
        <v>74</v>
      </c>
      <c r="BO206" t="s">
        <v>4199</v>
      </c>
      <c r="BP206" t="s">
        <v>74</v>
      </c>
      <c r="BQ206" t="s">
        <v>74</v>
      </c>
      <c r="BR206" t="s">
        <v>101</v>
      </c>
      <c r="BS206" t="s">
        <v>4200</v>
      </c>
      <c r="BT206" t="str">
        <f>HYPERLINK("https%3A%2F%2Fwww.webofscience.com%2Fwos%2Fwoscc%2Ffull-record%2FWOS:001062819300047","View Full Record in Web of Science")</f>
        <v>View Full Record in Web of Science</v>
      </c>
    </row>
    <row r="207" spans="1:72" x14ac:dyDescent="0.2">
      <c r="A207" t="s">
        <v>103</v>
      </c>
      <c r="B207" t="s">
        <v>4201</v>
      </c>
      <c r="C207" t="s">
        <v>74</v>
      </c>
      <c r="D207" t="s">
        <v>74</v>
      </c>
      <c r="E207" t="s">
        <v>74</v>
      </c>
      <c r="F207" t="s">
        <v>4202</v>
      </c>
      <c r="G207" t="s">
        <v>74</v>
      </c>
      <c r="H207" t="s">
        <v>74</v>
      </c>
      <c r="I207" t="s">
        <v>4203</v>
      </c>
      <c r="J207" t="s">
        <v>4204</v>
      </c>
      <c r="K207" t="s">
        <v>74</v>
      </c>
      <c r="L207" t="s">
        <v>74</v>
      </c>
      <c r="M207" t="s">
        <v>79</v>
      </c>
      <c r="N207" t="s">
        <v>108</v>
      </c>
      <c r="O207" t="s">
        <v>74</v>
      </c>
      <c r="P207" t="s">
        <v>74</v>
      </c>
      <c r="Q207" t="s">
        <v>74</v>
      </c>
      <c r="R207" t="s">
        <v>74</v>
      </c>
      <c r="S207" t="s">
        <v>74</v>
      </c>
      <c r="T207" t="s">
        <v>4205</v>
      </c>
      <c r="U207" t="s">
        <v>4206</v>
      </c>
      <c r="V207" t="s">
        <v>4207</v>
      </c>
      <c r="W207" t="s">
        <v>4208</v>
      </c>
      <c r="X207" t="s">
        <v>4209</v>
      </c>
      <c r="Y207" t="s">
        <v>4210</v>
      </c>
      <c r="Z207" t="s">
        <v>4211</v>
      </c>
      <c r="AA207" t="s">
        <v>74</v>
      </c>
      <c r="AB207" t="s">
        <v>4212</v>
      </c>
      <c r="AC207" t="s">
        <v>74</v>
      </c>
      <c r="AD207" t="s">
        <v>74</v>
      </c>
      <c r="AE207" t="s">
        <v>74</v>
      </c>
      <c r="AF207" t="s">
        <v>74</v>
      </c>
      <c r="AG207">
        <v>26</v>
      </c>
      <c r="AH207">
        <v>0</v>
      </c>
      <c r="AI207">
        <v>0</v>
      </c>
      <c r="AJ207">
        <v>6</v>
      </c>
      <c r="AK207">
        <v>6</v>
      </c>
      <c r="AL207" t="s">
        <v>4213</v>
      </c>
      <c r="AM207" t="s">
        <v>4214</v>
      </c>
      <c r="AN207" t="s">
        <v>4215</v>
      </c>
      <c r="AO207" t="s">
        <v>4216</v>
      </c>
      <c r="AP207" t="s">
        <v>4217</v>
      </c>
      <c r="AQ207" t="s">
        <v>74</v>
      </c>
      <c r="AR207" t="s">
        <v>4218</v>
      </c>
      <c r="AS207" t="s">
        <v>4219</v>
      </c>
      <c r="AT207" t="s">
        <v>74</v>
      </c>
      <c r="AU207">
        <v>2023</v>
      </c>
      <c r="AV207">
        <v>17</v>
      </c>
      <c r="AW207">
        <v>2</v>
      </c>
      <c r="AX207" t="s">
        <v>74</v>
      </c>
      <c r="AY207" t="s">
        <v>74</v>
      </c>
      <c r="AZ207" t="s">
        <v>74</v>
      </c>
      <c r="BA207" t="s">
        <v>74</v>
      </c>
      <c r="BB207">
        <v>181</v>
      </c>
      <c r="BC207">
        <v>200</v>
      </c>
      <c r="BD207" t="s">
        <v>74</v>
      </c>
      <c r="BE207" t="s">
        <v>4220</v>
      </c>
      <c r="BF207" t="str">
        <f>HYPERLINK("http://dx.doi.org/10.5614/itbj.ict.res.appl.2023.17.2.4","http://dx.doi.org/10.5614/itbj.ict.res.appl.2023.17.2.4")</f>
        <v>http://dx.doi.org/10.5614/itbj.ict.res.appl.2023.17.2.4</v>
      </c>
      <c r="BG207" t="s">
        <v>74</v>
      </c>
      <c r="BH207" t="s">
        <v>74</v>
      </c>
      <c r="BI207">
        <v>20</v>
      </c>
      <c r="BJ207" t="s">
        <v>230</v>
      </c>
      <c r="BK207" t="s">
        <v>352</v>
      </c>
      <c r="BL207" t="s">
        <v>99</v>
      </c>
      <c r="BM207" t="s">
        <v>4221</v>
      </c>
      <c r="BN207" t="s">
        <v>74</v>
      </c>
      <c r="BO207" t="s">
        <v>425</v>
      </c>
      <c r="BP207" t="s">
        <v>74</v>
      </c>
      <c r="BQ207" t="s">
        <v>74</v>
      </c>
      <c r="BR207" t="s">
        <v>101</v>
      </c>
      <c r="BS207" t="s">
        <v>4222</v>
      </c>
      <c r="BT207" t="str">
        <f>HYPERLINK("https%3A%2F%2Fwww.webofscience.com%2Fwos%2Fwoscc%2Ffull-record%2FWOS:001061828800004","View Full Record in Web of Science")</f>
        <v>View Full Record in Web of Science</v>
      </c>
    </row>
    <row r="208" spans="1:72" x14ac:dyDescent="0.2">
      <c r="A208" t="s">
        <v>103</v>
      </c>
      <c r="B208" t="s">
        <v>4223</v>
      </c>
      <c r="C208" t="s">
        <v>74</v>
      </c>
      <c r="D208" t="s">
        <v>74</v>
      </c>
      <c r="E208" t="s">
        <v>74</v>
      </c>
      <c r="F208" t="s">
        <v>4224</v>
      </c>
      <c r="G208" t="s">
        <v>74</v>
      </c>
      <c r="H208" t="s">
        <v>74</v>
      </c>
      <c r="I208" t="s">
        <v>4225</v>
      </c>
      <c r="J208" t="s">
        <v>4226</v>
      </c>
      <c r="K208" t="s">
        <v>74</v>
      </c>
      <c r="L208" t="s">
        <v>74</v>
      </c>
      <c r="M208" t="s">
        <v>79</v>
      </c>
      <c r="N208" t="s">
        <v>108</v>
      </c>
      <c r="O208" t="s">
        <v>74</v>
      </c>
      <c r="P208" t="s">
        <v>74</v>
      </c>
      <c r="Q208" t="s">
        <v>74</v>
      </c>
      <c r="R208" t="s">
        <v>74</v>
      </c>
      <c r="S208" t="s">
        <v>74</v>
      </c>
      <c r="T208" t="s">
        <v>4227</v>
      </c>
      <c r="U208" t="s">
        <v>74</v>
      </c>
      <c r="V208" t="s">
        <v>4228</v>
      </c>
      <c r="W208" t="s">
        <v>4229</v>
      </c>
      <c r="X208" t="s">
        <v>4230</v>
      </c>
      <c r="Y208" t="s">
        <v>4231</v>
      </c>
      <c r="Z208" t="s">
        <v>4232</v>
      </c>
      <c r="AA208" t="s">
        <v>4233</v>
      </c>
      <c r="AB208" t="s">
        <v>4234</v>
      </c>
      <c r="AC208" t="s">
        <v>74</v>
      </c>
      <c r="AD208" t="s">
        <v>74</v>
      </c>
      <c r="AE208" t="s">
        <v>74</v>
      </c>
      <c r="AF208" t="s">
        <v>74</v>
      </c>
      <c r="AG208">
        <v>17</v>
      </c>
      <c r="AH208">
        <v>0</v>
      </c>
      <c r="AI208">
        <v>0</v>
      </c>
      <c r="AJ208">
        <v>18</v>
      </c>
      <c r="AK208">
        <v>18</v>
      </c>
      <c r="AL208" t="s">
        <v>4235</v>
      </c>
      <c r="AM208" t="s">
        <v>369</v>
      </c>
      <c r="AN208" t="s">
        <v>4236</v>
      </c>
      <c r="AO208" t="s">
        <v>4237</v>
      </c>
      <c r="AP208" t="s">
        <v>4238</v>
      </c>
      <c r="AQ208" t="s">
        <v>74</v>
      </c>
      <c r="AR208" t="s">
        <v>4226</v>
      </c>
      <c r="AS208" t="s">
        <v>4239</v>
      </c>
      <c r="AT208" t="s">
        <v>74</v>
      </c>
      <c r="AU208">
        <v>2023</v>
      </c>
      <c r="AV208">
        <v>2023</v>
      </c>
      <c r="AW208">
        <v>255</v>
      </c>
      <c r="AX208" t="s">
        <v>74</v>
      </c>
      <c r="AY208" t="s">
        <v>74</v>
      </c>
      <c r="AZ208" t="s">
        <v>74</v>
      </c>
      <c r="BA208" t="s">
        <v>74</v>
      </c>
      <c r="BB208">
        <v>149</v>
      </c>
      <c r="BC208">
        <v>160</v>
      </c>
      <c r="BD208" t="s">
        <v>74</v>
      </c>
      <c r="BE208" t="s">
        <v>4240</v>
      </c>
      <c r="BF208" t="str">
        <f>HYPERLINK("http://dx.doi.org/10.1515/sem-2023-0167","http://dx.doi.org/10.1515/sem-2023-0167")</f>
        <v>http://dx.doi.org/10.1515/sem-2023-0167</v>
      </c>
      <c r="BG208" t="s">
        <v>74</v>
      </c>
      <c r="BH208" t="s">
        <v>157</v>
      </c>
      <c r="BI208">
        <v>12</v>
      </c>
      <c r="BJ208" t="s">
        <v>4241</v>
      </c>
      <c r="BK208" t="s">
        <v>530</v>
      </c>
      <c r="BL208" t="s">
        <v>4242</v>
      </c>
      <c r="BM208" t="s">
        <v>4243</v>
      </c>
      <c r="BN208" t="s">
        <v>74</v>
      </c>
      <c r="BO208" t="s">
        <v>74</v>
      </c>
      <c r="BP208" t="s">
        <v>74</v>
      </c>
      <c r="BQ208" t="s">
        <v>74</v>
      </c>
      <c r="BR208" t="s">
        <v>101</v>
      </c>
      <c r="BS208" t="s">
        <v>4244</v>
      </c>
      <c r="BT208" t="str">
        <f>HYPERLINK("https%3A%2F%2Fwww.webofscience.com%2Fwos%2Fwoscc%2Ffull-record%2FWOS:001101941500001","View Full Record in Web of Science")</f>
        <v>View Full Record in Web of Science</v>
      </c>
    </row>
    <row r="209" spans="1:72" x14ac:dyDescent="0.2">
      <c r="A209" t="s">
        <v>103</v>
      </c>
      <c r="B209" t="s">
        <v>4245</v>
      </c>
      <c r="C209" t="s">
        <v>74</v>
      </c>
      <c r="D209" t="s">
        <v>74</v>
      </c>
      <c r="E209" t="s">
        <v>74</v>
      </c>
      <c r="F209" t="s">
        <v>4246</v>
      </c>
      <c r="G209" t="s">
        <v>74</v>
      </c>
      <c r="H209" t="s">
        <v>74</v>
      </c>
      <c r="I209" t="s">
        <v>4247</v>
      </c>
      <c r="J209" t="s">
        <v>4248</v>
      </c>
      <c r="K209" t="s">
        <v>74</v>
      </c>
      <c r="L209" t="s">
        <v>74</v>
      </c>
      <c r="M209" t="s">
        <v>79</v>
      </c>
      <c r="N209" t="s">
        <v>108</v>
      </c>
      <c r="O209" t="s">
        <v>74</v>
      </c>
      <c r="P209" t="s">
        <v>74</v>
      </c>
      <c r="Q209" t="s">
        <v>74</v>
      </c>
      <c r="R209" t="s">
        <v>74</v>
      </c>
      <c r="S209" t="s">
        <v>74</v>
      </c>
      <c r="T209" t="s">
        <v>4249</v>
      </c>
      <c r="U209" t="s">
        <v>74</v>
      </c>
      <c r="V209" t="s">
        <v>4250</v>
      </c>
      <c r="W209" t="s">
        <v>4251</v>
      </c>
      <c r="X209" t="s">
        <v>4252</v>
      </c>
      <c r="Y209" t="s">
        <v>4253</v>
      </c>
      <c r="Z209" t="s">
        <v>4254</v>
      </c>
      <c r="AA209" t="s">
        <v>74</v>
      </c>
      <c r="AB209" t="s">
        <v>74</v>
      </c>
      <c r="AC209" t="s">
        <v>74</v>
      </c>
      <c r="AD209" t="s">
        <v>74</v>
      </c>
      <c r="AE209" t="s">
        <v>74</v>
      </c>
      <c r="AF209" t="s">
        <v>74</v>
      </c>
      <c r="AG209">
        <v>37</v>
      </c>
      <c r="AH209">
        <v>0</v>
      </c>
      <c r="AI209">
        <v>0</v>
      </c>
      <c r="AJ209">
        <v>8</v>
      </c>
      <c r="AK209">
        <v>8</v>
      </c>
      <c r="AL209" t="s">
        <v>2492</v>
      </c>
      <c r="AM209" t="s">
        <v>461</v>
      </c>
      <c r="AN209" t="s">
        <v>2493</v>
      </c>
      <c r="AO209" t="s">
        <v>74</v>
      </c>
      <c r="AP209" t="s">
        <v>4255</v>
      </c>
      <c r="AQ209" t="s">
        <v>74</v>
      </c>
      <c r="AR209" t="s">
        <v>4256</v>
      </c>
      <c r="AS209" t="s">
        <v>4257</v>
      </c>
      <c r="AT209" t="s">
        <v>4258</v>
      </c>
      <c r="AU209">
        <v>2023</v>
      </c>
      <c r="AV209">
        <v>8</v>
      </c>
      <c r="AW209" t="s">
        <v>74</v>
      </c>
      <c r="AX209" t="s">
        <v>74</v>
      </c>
      <c r="AY209" t="s">
        <v>74</v>
      </c>
      <c r="AZ209" t="s">
        <v>74</v>
      </c>
      <c r="BA209" t="s">
        <v>74</v>
      </c>
      <c r="BB209" t="s">
        <v>74</v>
      </c>
      <c r="BC209" t="s">
        <v>74</v>
      </c>
      <c r="BD209">
        <v>1243474</v>
      </c>
      <c r="BE209" t="s">
        <v>4259</v>
      </c>
      <c r="BF209" t="str">
        <f>HYPERLINK("http://dx.doi.org/10.3389/fcomm.2023.1243474","http://dx.doi.org/10.3389/fcomm.2023.1243474")</f>
        <v>http://dx.doi.org/10.3389/fcomm.2023.1243474</v>
      </c>
      <c r="BG209" t="s">
        <v>74</v>
      </c>
      <c r="BH209" t="s">
        <v>74</v>
      </c>
      <c r="BI209">
        <v>5</v>
      </c>
      <c r="BJ209" t="s">
        <v>158</v>
      </c>
      <c r="BK209" t="s">
        <v>352</v>
      </c>
      <c r="BL209" t="s">
        <v>158</v>
      </c>
      <c r="BM209" t="s">
        <v>4260</v>
      </c>
      <c r="BN209" t="s">
        <v>74</v>
      </c>
      <c r="BO209" t="s">
        <v>425</v>
      </c>
      <c r="BP209" t="s">
        <v>74</v>
      </c>
      <c r="BQ209" t="s">
        <v>74</v>
      </c>
      <c r="BR209" t="s">
        <v>101</v>
      </c>
      <c r="BS209" t="s">
        <v>4261</v>
      </c>
      <c r="BT209" t="str">
        <f>HYPERLINK("https%3A%2F%2Fwww.webofscience.com%2Fwos%2Fwoscc%2Ffull-record%2FWOS:001159273900001","View Full Record in Web of Science")</f>
        <v>View Full Record in Web of Science</v>
      </c>
    </row>
    <row r="210" spans="1:72" x14ac:dyDescent="0.2">
      <c r="A210" t="s">
        <v>103</v>
      </c>
      <c r="B210" t="s">
        <v>4262</v>
      </c>
      <c r="C210" t="s">
        <v>74</v>
      </c>
      <c r="D210" t="s">
        <v>74</v>
      </c>
      <c r="E210" t="s">
        <v>74</v>
      </c>
      <c r="F210" t="s">
        <v>4263</v>
      </c>
      <c r="G210" t="s">
        <v>74</v>
      </c>
      <c r="H210" t="s">
        <v>74</v>
      </c>
      <c r="I210" t="s">
        <v>4264</v>
      </c>
      <c r="J210" t="s">
        <v>4265</v>
      </c>
      <c r="K210" t="s">
        <v>74</v>
      </c>
      <c r="L210" t="s">
        <v>74</v>
      </c>
      <c r="M210" t="s">
        <v>79</v>
      </c>
      <c r="N210" t="s">
        <v>108</v>
      </c>
      <c r="O210" t="s">
        <v>74</v>
      </c>
      <c r="P210" t="s">
        <v>74</v>
      </c>
      <c r="Q210" t="s">
        <v>74</v>
      </c>
      <c r="R210" t="s">
        <v>74</v>
      </c>
      <c r="S210" t="s">
        <v>74</v>
      </c>
      <c r="T210" t="s">
        <v>74</v>
      </c>
      <c r="U210" t="s">
        <v>4266</v>
      </c>
      <c r="V210" t="s">
        <v>4267</v>
      </c>
      <c r="W210" t="s">
        <v>4268</v>
      </c>
      <c r="X210" t="s">
        <v>4269</v>
      </c>
      <c r="Y210" t="s">
        <v>4270</v>
      </c>
      <c r="Z210" t="s">
        <v>4271</v>
      </c>
      <c r="AA210" t="s">
        <v>4272</v>
      </c>
      <c r="AB210" t="s">
        <v>4273</v>
      </c>
      <c r="AC210" t="s">
        <v>4274</v>
      </c>
      <c r="AD210" t="s">
        <v>4275</v>
      </c>
      <c r="AE210" t="s">
        <v>4276</v>
      </c>
      <c r="AF210" t="s">
        <v>74</v>
      </c>
      <c r="AG210">
        <v>55</v>
      </c>
      <c r="AH210">
        <v>2</v>
      </c>
      <c r="AI210">
        <v>2</v>
      </c>
      <c r="AJ210">
        <v>34</v>
      </c>
      <c r="AK210">
        <v>74</v>
      </c>
      <c r="AL210" t="s">
        <v>4277</v>
      </c>
      <c r="AM210" t="s">
        <v>4278</v>
      </c>
      <c r="AN210" t="s">
        <v>4279</v>
      </c>
      <c r="AO210" t="s">
        <v>4280</v>
      </c>
      <c r="AP210" t="s">
        <v>4281</v>
      </c>
      <c r="AQ210" t="s">
        <v>74</v>
      </c>
      <c r="AR210" t="s">
        <v>4282</v>
      </c>
      <c r="AS210" t="s">
        <v>4283</v>
      </c>
      <c r="AT210" t="s">
        <v>126</v>
      </c>
      <c r="AU210">
        <v>2023</v>
      </c>
      <c r="AV210">
        <v>44</v>
      </c>
      <c r="AW210">
        <v>1</v>
      </c>
      <c r="AX210" t="s">
        <v>74</v>
      </c>
      <c r="AY210" t="s">
        <v>74</v>
      </c>
      <c r="AZ210" t="s">
        <v>74</v>
      </c>
      <c r="BA210" t="s">
        <v>74</v>
      </c>
      <c r="BB210">
        <v>85</v>
      </c>
      <c r="BC210">
        <v>96</v>
      </c>
      <c r="BD210" t="s">
        <v>74</v>
      </c>
      <c r="BE210" t="s">
        <v>4284</v>
      </c>
      <c r="BF210" t="str">
        <f>HYPERLINK("http://dx.doi.org/10.1002/aaai.12077","http://dx.doi.org/10.1002/aaai.12077")</f>
        <v>http://dx.doi.org/10.1002/aaai.12077</v>
      </c>
      <c r="BG210" t="s">
        <v>74</v>
      </c>
      <c r="BH210" t="s">
        <v>1431</v>
      </c>
      <c r="BI210">
        <v>12</v>
      </c>
      <c r="BJ210" t="s">
        <v>304</v>
      </c>
      <c r="BK210" t="s">
        <v>130</v>
      </c>
      <c r="BL210" t="s">
        <v>99</v>
      </c>
      <c r="BM210" t="s">
        <v>4285</v>
      </c>
      <c r="BN210" t="s">
        <v>74</v>
      </c>
      <c r="BO210" t="s">
        <v>4286</v>
      </c>
      <c r="BP210" t="s">
        <v>74</v>
      </c>
      <c r="BQ210" t="s">
        <v>74</v>
      </c>
      <c r="BR210" t="s">
        <v>101</v>
      </c>
      <c r="BS210" t="s">
        <v>4287</v>
      </c>
      <c r="BT210" t="str">
        <f>HYPERLINK("https%3A%2F%2Fwww.webofscience.com%2Fwos%2Fwoscc%2Ffull-record%2FWOS:000942899500001","View Full Record in Web of Science")</f>
        <v>View Full Record in Web of Science</v>
      </c>
    </row>
    <row r="211" spans="1:72" x14ac:dyDescent="0.2">
      <c r="A211" t="s">
        <v>103</v>
      </c>
      <c r="B211" t="s">
        <v>4288</v>
      </c>
      <c r="C211" t="s">
        <v>74</v>
      </c>
      <c r="D211" t="s">
        <v>74</v>
      </c>
      <c r="E211" t="s">
        <v>74</v>
      </c>
      <c r="F211" t="s">
        <v>4289</v>
      </c>
      <c r="G211" t="s">
        <v>74</v>
      </c>
      <c r="H211" t="s">
        <v>74</v>
      </c>
      <c r="I211" t="s">
        <v>4290</v>
      </c>
      <c r="J211" t="s">
        <v>4291</v>
      </c>
      <c r="K211" t="s">
        <v>74</v>
      </c>
      <c r="L211" t="s">
        <v>74</v>
      </c>
      <c r="M211" t="s">
        <v>79</v>
      </c>
      <c r="N211" t="s">
        <v>138</v>
      </c>
      <c r="O211" t="s">
        <v>74</v>
      </c>
      <c r="P211" t="s">
        <v>74</v>
      </c>
      <c r="Q211" t="s">
        <v>74</v>
      </c>
      <c r="R211" t="s">
        <v>74</v>
      </c>
      <c r="S211" t="s">
        <v>74</v>
      </c>
      <c r="T211" t="s">
        <v>4292</v>
      </c>
      <c r="U211" t="s">
        <v>317</v>
      </c>
      <c r="V211" t="s">
        <v>4293</v>
      </c>
      <c r="W211" t="s">
        <v>4294</v>
      </c>
      <c r="X211" t="s">
        <v>4295</v>
      </c>
      <c r="Y211" t="s">
        <v>4296</v>
      </c>
      <c r="Z211" t="s">
        <v>74</v>
      </c>
      <c r="AA211" t="s">
        <v>4297</v>
      </c>
      <c r="AB211" t="s">
        <v>4298</v>
      </c>
      <c r="AC211" t="s">
        <v>74</v>
      </c>
      <c r="AD211" t="s">
        <v>74</v>
      </c>
      <c r="AE211" t="s">
        <v>74</v>
      </c>
      <c r="AF211" t="s">
        <v>74</v>
      </c>
      <c r="AG211">
        <v>75</v>
      </c>
      <c r="AH211">
        <v>0</v>
      </c>
      <c r="AI211">
        <v>0</v>
      </c>
      <c r="AJ211">
        <v>89</v>
      </c>
      <c r="AK211">
        <v>89</v>
      </c>
      <c r="AL211" t="s">
        <v>220</v>
      </c>
      <c r="AM211" t="s">
        <v>221</v>
      </c>
      <c r="AN211" t="s">
        <v>222</v>
      </c>
      <c r="AO211" t="s">
        <v>4299</v>
      </c>
      <c r="AP211" t="s">
        <v>4300</v>
      </c>
      <c r="AQ211" t="s">
        <v>74</v>
      </c>
      <c r="AR211" t="s">
        <v>4301</v>
      </c>
      <c r="AS211" t="s">
        <v>4302</v>
      </c>
      <c r="AT211" t="s">
        <v>4303</v>
      </c>
      <c r="AU211">
        <v>2023</v>
      </c>
      <c r="AV211" t="s">
        <v>74</v>
      </c>
      <c r="AW211" t="s">
        <v>74</v>
      </c>
      <c r="AX211" t="s">
        <v>74</v>
      </c>
      <c r="AY211" t="s">
        <v>74</v>
      </c>
      <c r="AZ211" t="s">
        <v>74</v>
      </c>
      <c r="BA211" t="s">
        <v>74</v>
      </c>
      <c r="BB211" t="s">
        <v>74</v>
      </c>
      <c r="BC211" t="s">
        <v>74</v>
      </c>
      <c r="BD211" t="s">
        <v>74</v>
      </c>
      <c r="BE211" t="s">
        <v>4304</v>
      </c>
      <c r="BF211" t="str">
        <f>HYPERLINK("http://dx.doi.org/10.1080/10447318.2023.2288730","http://dx.doi.org/10.1080/10447318.2023.2288730")</f>
        <v>http://dx.doi.org/10.1080/10447318.2023.2288730</v>
      </c>
      <c r="BG211" t="s">
        <v>74</v>
      </c>
      <c r="BH211" t="s">
        <v>128</v>
      </c>
      <c r="BI211">
        <v>13</v>
      </c>
      <c r="BJ211" t="s">
        <v>4305</v>
      </c>
      <c r="BK211" t="s">
        <v>947</v>
      </c>
      <c r="BL211" t="s">
        <v>906</v>
      </c>
      <c r="BM211" t="s">
        <v>4306</v>
      </c>
      <c r="BN211" t="s">
        <v>74</v>
      </c>
      <c r="BO211" t="s">
        <v>74</v>
      </c>
      <c r="BP211" t="s">
        <v>74</v>
      </c>
      <c r="BQ211" t="s">
        <v>74</v>
      </c>
      <c r="BR211" t="s">
        <v>101</v>
      </c>
      <c r="BS211" t="s">
        <v>4307</v>
      </c>
      <c r="BT211" t="str">
        <f>HYPERLINK("https%3A%2F%2Fwww.webofscience.com%2Fwos%2Fwoscc%2Ffull-record%2FWOS:001123440600001","View Full Record in Web of Science")</f>
        <v>View Full Record in Web of Science</v>
      </c>
    </row>
    <row r="212" spans="1:72" x14ac:dyDescent="0.2">
      <c r="A212" t="s">
        <v>72</v>
      </c>
      <c r="B212" t="s">
        <v>4308</v>
      </c>
      <c r="C212" t="s">
        <v>74</v>
      </c>
      <c r="D212" t="s">
        <v>74</v>
      </c>
      <c r="E212" t="s">
        <v>75</v>
      </c>
      <c r="F212" t="s">
        <v>4309</v>
      </c>
      <c r="G212" t="s">
        <v>74</v>
      </c>
      <c r="H212" t="s">
        <v>74</v>
      </c>
      <c r="I212" t="s">
        <v>4310</v>
      </c>
      <c r="J212" t="s">
        <v>1636</v>
      </c>
      <c r="K212" t="s">
        <v>74</v>
      </c>
      <c r="L212" t="s">
        <v>74</v>
      </c>
      <c r="M212" t="s">
        <v>79</v>
      </c>
      <c r="N212" t="s">
        <v>80</v>
      </c>
      <c r="O212" t="s">
        <v>1637</v>
      </c>
      <c r="P212" t="s">
        <v>1638</v>
      </c>
      <c r="Q212" t="s">
        <v>1639</v>
      </c>
      <c r="R212" t="s">
        <v>1640</v>
      </c>
      <c r="S212" t="s">
        <v>74</v>
      </c>
      <c r="T212" t="s">
        <v>4311</v>
      </c>
      <c r="U212" t="s">
        <v>4312</v>
      </c>
      <c r="V212" t="s">
        <v>4313</v>
      </c>
      <c r="W212" t="s">
        <v>4314</v>
      </c>
      <c r="X212" t="s">
        <v>4315</v>
      </c>
      <c r="Y212" t="s">
        <v>4316</v>
      </c>
      <c r="Z212" t="s">
        <v>4317</v>
      </c>
      <c r="AA212" t="s">
        <v>74</v>
      </c>
      <c r="AB212" t="s">
        <v>4318</v>
      </c>
      <c r="AC212" t="s">
        <v>4319</v>
      </c>
      <c r="AD212" t="s">
        <v>4320</v>
      </c>
      <c r="AE212" t="s">
        <v>4321</v>
      </c>
      <c r="AF212" t="s">
        <v>74</v>
      </c>
      <c r="AG212">
        <v>116</v>
      </c>
      <c r="AH212">
        <v>5</v>
      </c>
      <c r="AI212">
        <v>5</v>
      </c>
      <c r="AJ212">
        <v>2</v>
      </c>
      <c r="AK212">
        <v>2</v>
      </c>
      <c r="AL212" t="s">
        <v>92</v>
      </c>
      <c r="AM212" t="s">
        <v>93</v>
      </c>
      <c r="AN212" t="s">
        <v>94</v>
      </c>
      <c r="AO212" t="s">
        <v>74</v>
      </c>
      <c r="AP212" t="s">
        <v>74</v>
      </c>
      <c r="AQ212" t="s">
        <v>1651</v>
      </c>
      <c r="AR212" t="s">
        <v>74</v>
      </c>
      <c r="AS212" t="s">
        <v>74</v>
      </c>
      <c r="AT212" t="s">
        <v>74</v>
      </c>
      <c r="AU212">
        <v>2023</v>
      </c>
      <c r="AV212" t="s">
        <v>74</v>
      </c>
      <c r="AW212" t="s">
        <v>74</v>
      </c>
      <c r="AX212" t="s">
        <v>74</v>
      </c>
      <c r="AY212" t="s">
        <v>74</v>
      </c>
      <c r="AZ212" t="s">
        <v>74</v>
      </c>
      <c r="BA212" t="s">
        <v>74</v>
      </c>
      <c r="BB212" t="s">
        <v>74</v>
      </c>
      <c r="BC212" t="s">
        <v>74</v>
      </c>
      <c r="BD212" t="s">
        <v>74</v>
      </c>
      <c r="BE212" t="s">
        <v>4322</v>
      </c>
      <c r="BF212" t="str">
        <f>HYPERLINK("http://dx.doi.org/10.1145/3544548.3581318","http://dx.doi.org/10.1145/3544548.3581318")</f>
        <v>http://dx.doi.org/10.1145/3544548.3581318</v>
      </c>
      <c r="BG212" t="s">
        <v>74</v>
      </c>
      <c r="BH212" t="s">
        <v>74</v>
      </c>
      <c r="BI212">
        <v>20</v>
      </c>
      <c r="BJ212" t="s">
        <v>1653</v>
      </c>
      <c r="BK212" t="s">
        <v>98</v>
      </c>
      <c r="BL212" t="s">
        <v>1654</v>
      </c>
      <c r="BM212" t="s">
        <v>1655</v>
      </c>
      <c r="BN212" t="s">
        <v>74</v>
      </c>
      <c r="BO212" t="s">
        <v>1237</v>
      </c>
      <c r="BP212" t="s">
        <v>74</v>
      </c>
      <c r="BQ212" t="s">
        <v>74</v>
      </c>
      <c r="BR212" t="s">
        <v>101</v>
      </c>
      <c r="BS212" t="s">
        <v>4323</v>
      </c>
      <c r="BT212" t="str">
        <f>HYPERLINK("https%3A%2F%2Fwww.webofscience.com%2Fwos%2Fwoscc%2Ffull-record%2FWOS:001048393803022","View Full Record in Web of Science")</f>
        <v>View Full Record in Web of Science</v>
      </c>
    </row>
    <row r="213" spans="1:72" x14ac:dyDescent="0.2">
      <c r="A213" t="s">
        <v>103</v>
      </c>
      <c r="B213" t="s">
        <v>4324</v>
      </c>
      <c r="C213" t="s">
        <v>74</v>
      </c>
      <c r="D213" t="s">
        <v>74</v>
      </c>
      <c r="E213" t="s">
        <v>74</v>
      </c>
      <c r="F213" t="s">
        <v>4325</v>
      </c>
      <c r="G213" t="s">
        <v>74</v>
      </c>
      <c r="H213" t="s">
        <v>74</v>
      </c>
      <c r="I213" t="s">
        <v>4326</v>
      </c>
      <c r="J213" t="s">
        <v>1974</v>
      </c>
      <c r="K213" t="s">
        <v>74</v>
      </c>
      <c r="L213" t="s">
        <v>74</v>
      </c>
      <c r="M213" t="s">
        <v>79</v>
      </c>
      <c r="N213" t="s">
        <v>108</v>
      </c>
      <c r="O213" t="s">
        <v>74</v>
      </c>
      <c r="P213" t="s">
        <v>74</v>
      </c>
      <c r="Q213" t="s">
        <v>74</v>
      </c>
      <c r="R213" t="s">
        <v>74</v>
      </c>
      <c r="S213" t="s">
        <v>74</v>
      </c>
      <c r="T213" t="s">
        <v>4327</v>
      </c>
      <c r="U213" t="s">
        <v>74</v>
      </c>
      <c r="V213" t="s">
        <v>4328</v>
      </c>
      <c r="W213" t="s">
        <v>4329</v>
      </c>
      <c r="X213" t="s">
        <v>74</v>
      </c>
      <c r="Y213" t="s">
        <v>4330</v>
      </c>
      <c r="Z213" t="s">
        <v>4331</v>
      </c>
      <c r="AA213" t="s">
        <v>74</v>
      </c>
      <c r="AB213" t="s">
        <v>74</v>
      </c>
      <c r="AC213" t="s">
        <v>4332</v>
      </c>
      <c r="AD213" t="s">
        <v>4332</v>
      </c>
      <c r="AE213" t="s">
        <v>4333</v>
      </c>
      <c r="AF213" t="s">
        <v>74</v>
      </c>
      <c r="AG213">
        <v>37</v>
      </c>
      <c r="AH213">
        <v>0</v>
      </c>
      <c r="AI213">
        <v>0</v>
      </c>
      <c r="AJ213">
        <v>7</v>
      </c>
      <c r="AK213">
        <v>7</v>
      </c>
      <c r="AL213" t="s">
        <v>1987</v>
      </c>
      <c r="AM213" t="s">
        <v>149</v>
      </c>
      <c r="AN213" t="s">
        <v>1988</v>
      </c>
      <c r="AO213" t="s">
        <v>1989</v>
      </c>
      <c r="AP213" t="s">
        <v>74</v>
      </c>
      <c r="AQ213" t="s">
        <v>74</v>
      </c>
      <c r="AR213" t="s">
        <v>1990</v>
      </c>
      <c r="AS213" t="s">
        <v>1991</v>
      </c>
      <c r="AT213" t="s">
        <v>4334</v>
      </c>
      <c r="AU213">
        <v>2023</v>
      </c>
      <c r="AV213">
        <v>15</v>
      </c>
      <c r="AW213">
        <v>1</v>
      </c>
      <c r="AX213" t="s">
        <v>74</v>
      </c>
      <c r="AY213" t="s">
        <v>74</v>
      </c>
      <c r="AZ213" t="s">
        <v>74</v>
      </c>
      <c r="BA213" t="s">
        <v>74</v>
      </c>
      <c r="BB213" t="s">
        <v>74</v>
      </c>
      <c r="BC213" t="s">
        <v>74</v>
      </c>
      <c r="BD213">
        <v>83</v>
      </c>
      <c r="BE213" t="s">
        <v>4335</v>
      </c>
      <c r="BF213" t="str">
        <f>HYPERLINK("http://dx.doi.org/10.1186/s13321-023-00742-8","http://dx.doi.org/10.1186/s13321-023-00742-8")</f>
        <v>http://dx.doi.org/10.1186/s13321-023-00742-8</v>
      </c>
      <c r="BG213" t="s">
        <v>74</v>
      </c>
      <c r="BH213" t="s">
        <v>74</v>
      </c>
      <c r="BI213">
        <v>17</v>
      </c>
      <c r="BJ213" t="s">
        <v>1994</v>
      </c>
      <c r="BK213" t="s">
        <v>130</v>
      </c>
      <c r="BL213" t="s">
        <v>1995</v>
      </c>
      <c r="BM213" t="s">
        <v>4336</v>
      </c>
      <c r="BN213">
        <v>37726842</v>
      </c>
      <c r="BO213" t="s">
        <v>4337</v>
      </c>
      <c r="BP213" t="s">
        <v>74</v>
      </c>
      <c r="BQ213" t="s">
        <v>74</v>
      </c>
      <c r="BR213" t="s">
        <v>101</v>
      </c>
      <c r="BS213" t="s">
        <v>4338</v>
      </c>
      <c r="BT213" t="str">
        <f>HYPERLINK("https%3A%2F%2Fwww.webofscience.com%2Fwos%2Fwoscc%2Ffull-record%2FWOS:001147352100001","View Full Record in Web of Science")</f>
        <v>View Full Record in Web of Science</v>
      </c>
    </row>
    <row r="214" spans="1:72" x14ac:dyDescent="0.2">
      <c r="A214" t="s">
        <v>72</v>
      </c>
      <c r="B214" t="s">
        <v>4339</v>
      </c>
      <c r="C214" t="s">
        <v>74</v>
      </c>
      <c r="D214" t="s">
        <v>74</v>
      </c>
      <c r="E214" t="s">
        <v>284</v>
      </c>
      <c r="F214" t="s">
        <v>4340</v>
      </c>
      <c r="G214" t="s">
        <v>74</v>
      </c>
      <c r="H214" t="s">
        <v>74</v>
      </c>
      <c r="I214" t="s">
        <v>4341</v>
      </c>
      <c r="J214" t="s">
        <v>4342</v>
      </c>
      <c r="K214" t="s">
        <v>4343</v>
      </c>
      <c r="L214" t="s">
        <v>74</v>
      </c>
      <c r="M214" t="s">
        <v>79</v>
      </c>
      <c r="N214" t="s">
        <v>80</v>
      </c>
      <c r="O214" t="s">
        <v>4344</v>
      </c>
      <c r="P214" t="s">
        <v>4345</v>
      </c>
      <c r="Q214" t="s">
        <v>4346</v>
      </c>
      <c r="R214" t="s">
        <v>4347</v>
      </c>
      <c r="S214" t="s">
        <v>74</v>
      </c>
      <c r="T214" t="s">
        <v>4348</v>
      </c>
      <c r="U214" t="s">
        <v>74</v>
      </c>
      <c r="V214" t="s">
        <v>4349</v>
      </c>
      <c r="W214" t="s">
        <v>4350</v>
      </c>
      <c r="X214" t="s">
        <v>4351</v>
      </c>
      <c r="Y214" t="s">
        <v>4352</v>
      </c>
      <c r="Z214" t="s">
        <v>4353</v>
      </c>
      <c r="AA214" t="s">
        <v>74</v>
      </c>
      <c r="AB214" t="s">
        <v>74</v>
      </c>
      <c r="AC214" t="s">
        <v>74</v>
      </c>
      <c r="AD214" t="s">
        <v>74</v>
      </c>
      <c r="AE214" t="s">
        <v>74</v>
      </c>
      <c r="AF214" t="s">
        <v>74</v>
      </c>
      <c r="AG214">
        <v>12</v>
      </c>
      <c r="AH214">
        <v>0</v>
      </c>
      <c r="AI214">
        <v>0</v>
      </c>
      <c r="AJ214">
        <v>1</v>
      </c>
      <c r="AK214">
        <v>1</v>
      </c>
      <c r="AL214" t="s">
        <v>638</v>
      </c>
      <c r="AM214" t="s">
        <v>639</v>
      </c>
      <c r="AN214" t="s">
        <v>640</v>
      </c>
      <c r="AO214" t="s">
        <v>4354</v>
      </c>
      <c r="AP214" t="s">
        <v>74</v>
      </c>
      <c r="AQ214" t="s">
        <v>4355</v>
      </c>
      <c r="AR214" t="s">
        <v>4356</v>
      </c>
      <c r="AS214" t="s">
        <v>74</v>
      </c>
      <c r="AT214" t="s">
        <v>74</v>
      </c>
      <c r="AU214">
        <v>2023</v>
      </c>
      <c r="AV214" t="s">
        <v>74</v>
      </c>
      <c r="AW214" t="s">
        <v>74</v>
      </c>
      <c r="AX214" t="s">
        <v>74</v>
      </c>
      <c r="AY214" t="s">
        <v>74</v>
      </c>
      <c r="AZ214" t="s">
        <v>74</v>
      </c>
      <c r="BA214" t="s">
        <v>74</v>
      </c>
      <c r="BB214">
        <v>20</v>
      </c>
      <c r="BC214">
        <v>34</v>
      </c>
      <c r="BD214" t="s">
        <v>74</v>
      </c>
      <c r="BE214" t="s">
        <v>4357</v>
      </c>
      <c r="BF214" t="str">
        <f>HYPERLINK("http://dx.doi.org/10.1109/VISAP60414.2023.00008","http://dx.doi.org/10.1109/VISAP60414.2023.00008")</f>
        <v>http://dx.doi.org/10.1109/VISAP60414.2023.00008</v>
      </c>
      <c r="BG214" t="s">
        <v>74</v>
      </c>
      <c r="BH214" t="s">
        <v>74</v>
      </c>
      <c r="BI214">
        <v>15</v>
      </c>
      <c r="BJ214" t="s">
        <v>4358</v>
      </c>
      <c r="BK214" t="s">
        <v>180</v>
      </c>
      <c r="BL214" t="s">
        <v>4359</v>
      </c>
      <c r="BM214" t="s">
        <v>4360</v>
      </c>
      <c r="BN214" t="s">
        <v>74</v>
      </c>
      <c r="BO214" t="s">
        <v>74</v>
      </c>
      <c r="BP214" t="s">
        <v>74</v>
      </c>
      <c r="BQ214" t="s">
        <v>74</v>
      </c>
      <c r="BR214" t="s">
        <v>101</v>
      </c>
      <c r="BS214" t="s">
        <v>4361</v>
      </c>
      <c r="BT214" t="str">
        <f>HYPERLINK("https%3A%2F%2Fwww.webofscience.com%2Fwos%2Fwoscc%2Ffull-record%2FWOS:001134714800003","View Full Record in Web of Science")</f>
        <v>View Full Record in Web of Science</v>
      </c>
    </row>
    <row r="215" spans="1:72" x14ac:dyDescent="0.2">
      <c r="A215" t="s">
        <v>103</v>
      </c>
      <c r="B215" t="s">
        <v>4362</v>
      </c>
      <c r="C215" t="s">
        <v>74</v>
      </c>
      <c r="D215" t="s">
        <v>74</v>
      </c>
      <c r="E215" t="s">
        <v>74</v>
      </c>
      <c r="F215" t="s">
        <v>4363</v>
      </c>
      <c r="G215" t="s">
        <v>74</v>
      </c>
      <c r="H215" t="s">
        <v>74</v>
      </c>
      <c r="I215" t="s">
        <v>4364</v>
      </c>
      <c r="J215" t="s">
        <v>4365</v>
      </c>
      <c r="K215" t="s">
        <v>74</v>
      </c>
      <c r="L215" t="s">
        <v>74</v>
      </c>
      <c r="M215" t="s">
        <v>79</v>
      </c>
      <c r="N215" t="s">
        <v>108</v>
      </c>
      <c r="O215" t="s">
        <v>74</v>
      </c>
      <c r="P215" t="s">
        <v>74</v>
      </c>
      <c r="Q215" t="s">
        <v>74</v>
      </c>
      <c r="R215" t="s">
        <v>74</v>
      </c>
      <c r="S215" t="s">
        <v>74</v>
      </c>
      <c r="T215" t="s">
        <v>4366</v>
      </c>
      <c r="U215" t="s">
        <v>4367</v>
      </c>
      <c r="V215" t="s">
        <v>4368</v>
      </c>
      <c r="W215" t="s">
        <v>4369</v>
      </c>
      <c r="X215" t="s">
        <v>4370</v>
      </c>
      <c r="Y215" t="s">
        <v>4371</v>
      </c>
      <c r="Z215" t="s">
        <v>4372</v>
      </c>
      <c r="AA215" t="s">
        <v>4373</v>
      </c>
      <c r="AB215" t="s">
        <v>4374</v>
      </c>
      <c r="AC215" t="s">
        <v>4375</v>
      </c>
      <c r="AD215" t="s">
        <v>4376</v>
      </c>
      <c r="AE215" t="s">
        <v>4377</v>
      </c>
      <c r="AF215" t="s">
        <v>74</v>
      </c>
      <c r="AG215">
        <v>99</v>
      </c>
      <c r="AH215">
        <v>1</v>
      </c>
      <c r="AI215">
        <v>1</v>
      </c>
      <c r="AJ215">
        <v>12</v>
      </c>
      <c r="AK215">
        <v>12</v>
      </c>
      <c r="AL215" t="s">
        <v>4378</v>
      </c>
      <c r="AM215" t="s">
        <v>4379</v>
      </c>
      <c r="AN215" t="s">
        <v>4380</v>
      </c>
      <c r="AO215" t="s">
        <v>4381</v>
      </c>
      <c r="AP215" t="s">
        <v>4382</v>
      </c>
      <c r="AQ215" t="s">
        <v>74</v>
      </c>
      <c r="AR215" t="s">
        <v>4383</v>
      </c>
      <c r="AS215" t="s">
        <v>4384</v>
      </c>
      <c r="AT215" t="s">
        <v>126</v>
      </c>
      <c r="AU215">
        <v>2024</v>
      </c>
      <c r="AV215">
        <v>34</v>
      </c>
      <c r="AW215">
        <v>11</v>
      </c>
      <c r="AX215" t="s">
        <v>74</v>
      </c>
      <c r="AY215" t="s">
        <v>74</v>
      </c>
      <c r="AZ215" t="s">
        <v>74</v>
      </c>
      <c r="BA215" t="s">
        <v>74</v>
      </c>
      <c r="BB215" t="s">
        <v>74</v>
      </c>
      <c r="BC215" t="s">
        <v>74</v>
      </c>
      <c r="BD215" t="s">
        <v>74</v>
      </c>
      <c r="BE215" t="s">
        <v>4385</v>
      </c>
      <c r="BF215" t="str">
        <f>HYPERLINK("http://dx.doi.org/10.1002/adfm.202311324","http://dx.doi.org/10.1002/adfm.202311324")</f>
        <v>http://dx.doi.org/10.1002/adfm.202311324</v>
      </c>
      <c r="BG215" t="s">
        <v>74</v>
      </c>
      <c r="BH215" t="s">
        <v>128</v>
      </c>
      <c r="BI215">
        <v>15</v>
      </c>
      <c r="BJ215" t="s">
        <v>4386</v>
      </c>
      <c r="BK215" t="s">
        <v>130</v>
      </c>
      <c r="BL215" t="s">
        <v>4387</v>
      </c>
      <c r="BM215" t="s">
        <v>4388</v>
      </c>
      <c r="BN215" t="s">
        <v>74</v>
      </c>
      <c r="BO215" t="s">
        <v>2722</v>
      </c>
      <c r="BP215" t="s">
        <v>74</v>
      </c>
      <c r="BQ215" t="s">
        <v>74</v>
      </c>
      <c r="BR215" t="s">
        <v>101</v>
      </c>
      <c r="BS215" t="s">
        <v>4389</v>
      </c>
      <c r="BT215" t="str">
        <f>HYPERLINK("https%3A%2F%2Fwww.webofscience.com%2Fwos%2Fwoscc%2Ffull-record%2FWOS:001112105200001","View Full Record in Web of Science")</f>
        <v>View Full Record in Web of Science</v>
      </c>
    </row>
    <row r="216" spans="1:72" x14ac:dyDescent="0.2">
      <c r="A216" t="s">
        <v>103</v>
      </c>
      <c r="B216" t="s">
        <v>4390</v>
      </c>
      <c r="C216" t="s">
        <v>74</v>
      </c>
      <c r="D216" t="s">
        <v>74</v>
      </c>
      <c r="E216" t="s">
        <v>74</v>
      </c>
      <c r="F216" t="s">
        <v>4391</v>
      </c>
      <c r="G216" t="s">
        <v>74</v>
      </c>
      <c r="H216" t="s">
        <v>74</v>
      </c>
      <c r="I216" t="s">
        <v>4392</v>
      </c>
      <c r="J216" t="s">
        <v>4393</v>
      </c>
      <c r="K216" t="s">
        <v>74</v>
      </c>
      <c r="L216" t="s">
        <v>74</v>
      </c>
      <c r="M216" t="s">
        <v>79</v>
      </c>
      <c r="N216" t="s">
        <v>108</v>
      </c>
      <c r="O216" t="s">
        <v>74</v>
      </c>
      <c r="P216" t="s">
        <v>74</v>
      </c>
      <c r="Q216" t="s">
        <v>74</v>
      </c>
      <c r="R216" t="s">
        <v>74</v>
      </c>
      <c r="S216" t="s">
        <v>74</v>
      </c>
      <c r="T216" t="s">
        <v>4394</v>
      </c>
      <c r="U216" t="s">
        <v>74</v>
      </c>
      <c r="V216" t="s">
        <v>4395</v>
      </c>
      <c r="W216" t="s">
        <v>4396</v>
      </c>
      <c r="X216" t="s">
        <v>4397</v>
      </c>
      <c r="Y216" t="s">
        <v>4398</v>
      </c>
      <c r="Z216" t="s">
        <v>4399</v>
      </c>
      <c r="AA216" t="s">
        <v>74</v>
      </c>
      <c r="AB216" t="s">
        <v>4400</v>
      </c>
      <c r="AC216" t="s">
        <v>4401</v>
      </c>
      <c r="AD216" t="s">
        <v>4401</v>
      </c>
      <c r="AE216" t="s">
        <v>4402</v>
      </c>
      <c r="AF216" t="s">
        <v>74</v>
      </c>
      <c r="AG216">
        <v>59</v>
      </c>
      <c r="AH216">
        <v>0</v>
      </c>
      <c r="AI216">
        <v>0</v>
      </c>
      <c r="AJ216">
        <v>33</v>
      </c>
      <c r="AK216">
        <v>33</v>
      </c>
      <c r="AL216" t="s">
        <v>939</v>
      </c>
      <c r="AM216" t="s">
        <v>940</v>
      </c>
      <c r="AN216" t="s">
        <v>941</v>
      </c>
      <c r="AO216" t="s">
        <v>74</v>
      </c>
      <c r="AP216" t="s">
        <v>4403</v>
      </c>
      <c r="AQ216" t="s">
        <v>74</v>
      </c>
      <c r="AR216" t="s">
        <v>4404</v>
      </c>
      <c r="AS216" t="s">
        <v>4405</v>
      </c>
      <c r="AT216" t="s">
        <v>467</v>
      </c>
      <c r="AU216">
        <v>2023</v>
      </c>
      <c r="AV216">
        <v>9</v>
      </c>
      <c r="AW216">
        <v>10</v>
      </c>
      <c r="AX216" t="s">
        <v>74</v>
      </c>
      <c r="AY216" t="s">
        <v>74</v>
      </c>
      <c r="AZ216" t="s">
        <v>74</v>
      </c>
      <c r="BA216" t="s">
        <v>74</v>
      </c>
      <c r="BB216" t="s">
        <v>74</v>
      </c>
      <c r="BC216" t="s">
        <v>74</v>
      </c>
      <c r="BD216">
        <v>199</v>
      </c>
      <c r="BE216" t="s">
        <v>4406</v>
      </c>
      <c r="BF216" t="str">
        <f>HYPERLINK("http://dx.doi.org/10.3390/jimaging9100199","http://dx.doi.org/10.3390/jimaging9100199")</f>
        <v>http://dx.doi.org/10.3390/jimaging9100199</v>
      </c>
      <c r="BG216" t="s">
        <v>74</v>
      </c>
      <c r="BH216" t="s">
        <v>74</v>
      </c>
      <c r="BI216">
        <v>18</v>
      </c>
      <c r="BJ216" t="s">
        <v>4407</v>
      </c>
      <c r="BK216" t="s">
        <v>352</v>
      </c>
      <c r="BL216" t="s">
        <v>4407</v>
      </c>
      <c r="BM216" t="s">
        <v>4408</v>
      </c>
      <c r="BN216">
        <v>37888306</v>
      </c>
      <c r="BO216" t="s">
        <v>4185</v>
      </c>
      <c r="BP216" t="s">
        <v>74</v>
      </c>
      <c r="BQ216" t="s">
        <v>74</v>
      </c>
      <c r="BR216" t="s">
        <v>101</v>
      </c>
      <c r="BS216" t="s">
        <v>4409</v>
      </c>
      <c r="BT216" t="str">
        <f>HYPERLINK("https%3A%2F%2Fwww.webofscience.com%2Fwos%2Fwoscc%2Ffull-record%2FWOS:001089477900001","View Full Record in Web of Science")</f>
        <v>View Full Record in Web of Science</v>
      </c>
    </row>
    <row r="217" spans="1:72" x14ac:dyDescent="0.2">
      <c r="A217" t="s">
        <v>103</v>
      </c>
      <c r="B217" t="s">
        <v>4410</v>
      </c>
      <c r="C217" t="s">
        <v>74</v>
      </c>
      <c r="D217" t="s">
        <v>74</v>
      </c>
      <c r="E217" t="s">
        <v>74</v>
      </c>
      <c r="F217" t="s">
        <v>4411</v>
      </c>
      <c r="G217" t="s">
        <v>74</v>
      </c>
      <c r="H217" t="s">
        <v>74</v>
      </c>
      <c r="I217" t="s">
        <v>4412</v>
      </c>
      <c r="J217" t="s">
        <v>4413</v>
      </c>
      <c r="K217" t="s">
        <v>74</v>
      </c>
      <c r="L217" t="s">
        <v>74</v>
      </c>
      <c r="M217" t="s">
        <v>79</v>
      </c>
      <c r="N217" t="s">
        <v>108</v>
      </c>
      <c r="O217" t="s">
        <v>74</v>
      </c>
      <c r="P217" t="s">
        <v>74</v>
      </c>
      <c r="Q217" t="s">
        <v>74</v>
      </c>
      <c r="R217" t="s">
        <v>74</v>
      </c>
      <c r="S217" t="s">
        <v>74</v>
      </c>
      <c r="T217" t="s">
        <v>4414</v>
      </c>
      <c r="U217" t="s">
        <v>4413</v>
      </c>
      <c r="V217" t="s">
        <v>4415</v>
      </c>
      <c r="W217" t="s">
        <v>4416</v>
      </c>
      <c r="X217" t="s">
        <v>4417</v>
      </c>
      <c r="Y217" t="s">
        <v>4418</v>
      </c>
      <c r="Z217" t="s">
        <v>4419</v>
      </c>
      <c r="AA217" t="s">
        <v>4420</v>
      </c>
      <c r="AB217" t="s">
        <v>4421</v>
      </c>
      <c r="AC217" t="s">
        <v>4422</v>
      </c>
      <c r="AD217" t="s">
        <v>4422</v>
      </c>
      <c r="AE217" t="s">
        <v>4422</v>
      </c>
      <c r="AF217" t="s">
        <v>74</v>
      </c>
      <c r="AG217">
        <v>67</v>
      </c>
      <c r="AH217">
        <v>2</v>
      </c>
      <c r="AI217">
        <v>2</v>
      </c>
      <c r="AJ217">
        <v>63</v>
      </c>
      <c r="AK217">
        <v>63</v>
      </c>
      <c r="AL217" t="s">
        <v>939</v>
      </c>
      <c r="AM217" t="s">
        <v>940</v>
      </c>
      <c r="AN217" t="s">
        <v>941</v>
      </c>
      <c r="AO217" t="s">
        <v>74</v>
      </c>
      <c r="AP217" t="s">
        <v>4423</v>
      </c>
      <c r="AQ217" t="s">
        <v>74</v>
      </c>
      <c r="AR217" t="s">
        <v>4413</v>
      </c>
      <c r="AS217" t="s">
        <v>4424</v>
      </c>
      <c r="AT217" t="s">
        <v>771</v>
      </c>
      <c r="AU217">
        <v>2023</v>
      </c>
      <c r="AV217">
        <v>14</v>
      </c>
      <c r="AW217">
        <v>9</v>
      </c>
      <c r="AX217" t="s">
        <v>74</v>
      </c>
      <c r="AY217" t="s">
        <v>74</v>
      </c>
      <c r="AZ217" t="s">
        <v>74</v>
      </c>
      <c r="BA217" t="s">
        <v>74</v>
      </c>
      <c r="BB217" t="s">
        <v>74</v>
      </c>
      <c r="BC217" t="s">
        <v>74</v>
      </c>
      <c r="BD217">
        <v>492</v>
      </c>
      <c r="BE217" t="s">
        <v>4425</v>
      </c>
      <c r="BF217" t="str">
        <f>HYPERLINK("http://dx.doi.org/10.3390/info14090492","http://dx.doi.org/10.3390/info14090492")</f>
        <v>http://dx.doi.org/10.3390/info14090492</v>
      </c>
      <c r="BG217" t="s">
        <v>74</v>
      </c>
      <c r="BH217" t="s">
        <v>74</v>
      </c>
      <c r="BI217">
        <v>26</v>
      </c>
      <c r="BJ217" t="s">
        <v>230</v>
      </c>
      <c r="BK217" t="s">
        <v>352</v>
      </c>
      <c r="BL217" t="s">
        <v>99</v>
      </c>
      <c r="BM217" t="s">
        <v>4426</v>
      </c>
      <c r="BN217" t="s">
        <v>74</v>
      </c>
      <c r="BO217" t="s">
        <v>425</v>
      </c>
      <c r="BP217" t="s">
        <v>74</v>
      </c>
      <c r="BQ217" t="s">
        <v>74</v>
      </c>
      <c r="BR217" t="s">
        <v>101</v>
      </c>
      <c r="BS217" t="s">
        <v>4427</v>
      </c>
      <c r="BT217" t="str">
        <f>HYPERLINK("https%3A%2F%2Fwww.webofscience.com%2Fwos%2Fwoscc%2Ffull-record%2FWOS:001071922000001","View Full Record in Web of Science")</f>
        <v>View Full Record in Web of Science</v>
      </c>
    </row>
    <row r="218" spans="1:72" x14ac:dyDescent="0.2">
      <c r="A218" t="s">
        <v>103</v>
      </c>
      <c r="B218" t="s">
        <v>4428</v>
      </c>
      <c r="C218" t="s">
        <v>74</v>
      </c>
      <c r="D218" t="s">
        <v>74</v>
      </c>
      <c r="E218" t="s">
        <v>74</v>
      </c>
      <c r="F218" t="s">
        <v>4429</v>
      </c>
      <c r="G218" t="s">
        <v>74</v>
      </c>
      <c r="H218" t="s">
        <v>74</v>
      </c>
      <c r="I218" t="s">
        <v>4430</v>
      </c>
      <c r="J218" t="s">
        <v>4431</v>
      </c>
      <c r="K218" t="s">
        <v>74</v>
      </c>
      <c r="L218" t="s">
        <v>74</v>
      </c>
      <c r="M218" t="s">
        <v>4432</v>
      </c>
      <c r="N218" t="s">
        <v>108</v>
      </c>
      <c r="O218" t="s">
        <v>74</v>
      </c>
      <c r="P218" t="s">
        <v>74</v>
      </c>
      <c r="Q218" t="s">
        <v>74</v>
      </c>
      <c r="R218" t="s">
        <v>74</v>
      </c>
      <c r="S218" t="s">
        <v>74</v>
      </c>
      <c r="T218" t="s">
        <v>74</v>
      </c>
      <c r="U218" t="s">
        <v>74</v>
      </c>
      <c r="V218" t="s">
        <v>4433</v>
      </c>
      <c r="W218" t="s">
        <v>4434</v>
      </c>
      <c r="X218" t="s">
        <v>4435</v>
      </c>
      <c r="Y218" t="s">
        <v>4436</v>
      </c>
      <c r="Z218" t="s">
        <v>4437</v>
      </c>
      <c r="AA218" t="s">
        <v>74</v>
      </c>
      <c r="AB218" t="s">
        <v>74</v>
      </c>
      <c r="AC218" t="s">
        <v>74</v>
      </c>
      <c r="AD218" t="s">
        <v>74</v>
      </c>
      <c r="AE218" t="s">
        <v>74</v>
      </c>
      <c r="AF218" t="s">
        <v>74</v>
      </c>
      <c r="AG218">
        <v>22</v>
      </c>
      <c r="AH218">
        <v>0</v>
      </c>
      <c r="AI218">
        <v>0</v>
      </c>
      <c r="AJ218">
        <v>0</v>
      </c>
      <c r="AK218">
        <v>0</v>
      </c>
      <c r="AL218" t="s">
        <v>4438</v>
      </c>
      <c r="AM218" t="s">
        <v>4439</v>
      </c>
      <c r="AN218" t="s">
        <v>4440</v>
      </c>
      <c r="AO218" t="s">
        <v>4441</v>
      </c>
      <c r="AP218" t="s">
        <v>74</v>
      </c>
      <c r="AQ218" t="s">
        <v>74</v>
      </c>
      <c r="AR218" t="s">
        <v>4442</v>
      </c>
      <c r="AS218" t="s">
        <v>4443</v>
      </c>
      <c r="AT218" t="s">
        <v>74</v>
      </c>
      <c r="AU218">
        <v>2023</v>
      </c>
      <c r="AV218" t="s">
        <v>74</v>
      </c>
      <c r="AW218">
        <v>30</v>
      </c>
      <c r="AX218" t="s">
        <v>74</v>
      </c>
      <c r="AY218" t="s">
        <v>74</v>
      </c>
      <c r="AZ218" t="s">
        <v>74</v>
      </c>
      <c r="BA218" t="s">
        <v>74</v>
      </c>
      <c r="BB218">
        <v>288</v>
      </c>
      <c r="BC218">
        <v>318</v>
      </c>
      <c r="BD218" t="s">
        <v>74</v>
      </c>
      <c r="BE218" t="s">
        <v>74</v>
      </c>
      <c r="BF218" t="s">
        <v>74</v>
      </c>
      <c r="BG218" t="s">
        <v>74</v>
      </c>
      <c r="BH218" t="s">
        <v>74</v>
      </c>
      <c r="BI218">
        <v>31</v>
      </c>
      <c r="BJ218" t="s">
        <v>2330</v>
      </c>
      <c r="BK218" t="s">
        <v>352</v>
      </c>
      <c r="BL218" t="s">
        <v>2331</v>
      </c>
      <c r="BM218" t="s">
        <v>4444</v>
      </c>
      <c r="BN218" t="s">
        <v>74</v>
      </c>
      <c r="BO218" t="s">
        <v>74</v>
      </c>
      <c r="BP218" t="s">
        <v>74</v>
      </c>
      <c r="BQ218" t="s">
        <v>74</v>
      </c>
      <c r="BR218" t="s">
        <v>101</v>
      </c>
      <c r="BS218" t="s">
        <v>4445</v>
      </c>
      <c r="BT218" t="str">
        <f>HYPERLINK("https%3A%2F%2Fwww.webofscience.com%2Fwos%2Fwoscc%2Ffull-record%2FWOS:001167685300016","View Full Record in Web of Science")</f>
        <v>View Full Record in Web of Science</v>
      </c>
    </row>
    <row r="219" spans="1:72" x14ac:dyDescent="0.2">
      <c r="A219" t="s">
        <v>103</v>
      </c>
      <c r="B219" t="s">
        <v>4446</v>
      </c>
      <c r="C219" t="s">
        <v>74</v>
      </c>
      <c r="D219" t="s">
        <v>74</v>
      </c>
      <c r="E219" t="s">
        <v>74</v>
      </c>
      <c r="F219" t="s">
        <v>4447</v>
      </c>
      <c r="G219" t="s">
        <v>74</v>
      </c>
      <c r="H219" t="s">
        <v>74</v>
      </c>
      <c r="I219" t="s">
        <v>4448</v>
      </c>
      <c r="J219" t="s">
        <v>4449</v>
      </c>
      <c r="K219" t="s">
        <v>74</v>
      </c>
      <c r="L219" t="s">
        <v>74</v>
      </c>
      <c r="M219" t="s">
        <v>79</v>
      </c>
      <c r="N219" t="s">
        <v>108</v>
      </c>
      <c r="O219" t="s">
        <v>74</v>
      </c>
      <c r="P219" t="s">
        <v>74</v>
      </c>
      <c r="Q219" t="s">
        <v>74</v>
      </c>
      <c r="R219" t="s">
        <v>74</v>
      </c>
      <c r="S219" t="s">
        <v>74</v>
      </c>
      <c r="T219" t="s">
        <v>4450</v>
      </c>
      <c r="U219" t="s">
        <v>4451</v>
      </c>
      <c r="V219" t="s">
        <v>4452</v>
      </c>
      <c r="W219" t="s">
        <v>4453</v>
      </c>
      <c r="X219" t="s">
        <v>4454</v>
      </c>
      <c r="Y219" t="s">
        <v>4455</v>
      </c>
      <c r="Z219" t="s">
        <v>4456</v>
      </c>
      <c r="AA219" t="s">
        <v>74</v>
      </c>
      <c r="AB219" t="s">
        <v>74</v>
      </c>
      <c r="AC219" t="s">
        <v>74</v>
      </c>
      <c r="AD219" t="s">
        <v>74</v>
      </c>
      <c r="AE219" t="s">
        <v>74</v>
      </c>
      <c r="AF219" t="s">
        <v>74</v>
      </c>
      <c r="AG219">
        <v>24</v>
      </c>
      <c r="AH219">
        <v>1</v>
      </c>
      <c r="AI219">
        <v>1</v>
      </c>
      <c r="AJ219">
        <v>38</v>
      </c>
      <c r="AK219">
        <v>43</v>
      </c>
      <c r="AL219" t="s">
        <v>119</v>
      </c>
      <c r="AM219" t="s">
        <v>120</v>
      </c>
      <c r="AN219" t="s">
        <v>121</v>
      </c>
      <c r="AO219" t="s">
        <v>4457</v>
      </c>
      <c r="AP219" t="s">
        <v>4458</v>
      </c>
      <c r="AQ219" t="s">
        <v>74</v>
      </c>
      <c r="AR219" t="s">
        <v>4459</v>
      </c>
      <c r="AS219" t="s">
        <v>4460</v>
      </c>
      <c r="AT219" t="s">
        <v>4461</v>
      </c>
      <c r="AU219">
        <v>2023</v>
      </c>
      <c r="AV219">
        <v>170</v>
      </c>
      <c r="AW219" t="s">
        <v>74</v>
      </c>
      <c r="AX219" t="s">
        <v>74</v>
      </c>
      <c r="AY219" t="s">
        <v>74</v>
      </c>
      <c r="AZ219" t="s">
        <v>74</v>
      </c>
      <c r="BA219" t="s">
        <v>74</v>
      </c>
      <c r="BB219" t="s">
        <v>74</v>
      </c>
      <c r="BC219" t="s">
        <v>74</v>
      </c>
      <c r="BD219">
        <v>113385</v>
      </c>
      <c r="BE219" t="s">
        <v>4462</v>
      </c>
      <c r="BF219" t="str">
        <f>HYPERLINK("http://dx.doi.org/10.1016/j.chaos.2023.113385","http://dx.doi.org/10.1016/j.chaos.2023.113385")</f>
        <v>http://dx.doi.org/10.1016/j.chaos.2023.113385</v>
      </c>
      <c r="BG219" t="s">
        <v>74</v>
      </c>
      <c r="BH219" t="s">
        <v>1431</v>
      </c>
      <c r="BI219">
        <v>9</v>
      </c>
      <c r="BJ219" t="s">
        <v>4463</v>
      </c>
      <c r="BK219" t="s">
        <v>130</v>
      </c>
      <c r="BL219" t="s">
        <v>4464</v>
      </c>
      <c r="BM219" t="s">
        <v>4465</v>
      </c>
      <c r="BN219" t="s">
        <v>74</v>
      </c>
      <c r="BO219" t="s">
        <v>74</v>
      </c>
      <c r="BP219" t="s">
        <v>74</v>
      </c>
      <c r="BQ219" t="s">
        <v>74</v>
      </c>
      <c r="BR219" t="s">
        <v>101</v>
      </c>
      <c r="BS219" t="s">
        <v>4466</v>
      </c>
      <c r="BT219" t="str">
        <f>HYPERLINK("https%3A%2F%2Fwww.webofscience.com%2Fwos%2Fwoscc%2Ffull-record%2FWOS:001030009800001","View Full Record in Web of Science")</f>
        <v>View Full Record in Web of Science</v>
      </c>
    </row>
    <row r="220" spans="1:72" x14ac:dyDescent="0.2">
      <c r="A220" t="s">
        <v>103</v>
      </c>
      <c r="B220" t="s">
        <v>4467</v>
      </c>
      <c r="C220" t="s">
        <v>74</v>
      </c>
      <c r="D220" t="s">
        <v>74</v>
      </c>
      <c r="E220" t="s">
        <v>74</v>
      </c>
      <c r="F220" t="s">
        <v>4468</v>
      </c>
      <c r="G220" t="s">
        <v>74</v>
      </c>
      <c r="H220" t="s">
        <v>74</v>
      </c>
      <c r="I220" t="s">
        <v>4469</v>
      </c>
      <c r="J220" t="s">
        <v>4470</v>
      </c>
      <c r="K220" t="s">
        <v>74</v>
      </c>
      <c r="L220" t="s">
        <v>74</v>
      </c>
      <c r="M220" t="s">
        <v>79</v>
      </c>
      <c r="N220" t="s">
        <v>138</v>
      </c>
      <c r="O220" t="s">
        <v>74</v>
      </c>
      <c r="P220" t="s">
        <v>74</v>
      </c>
      <c r="Q220" t="s">
        <v>74</v>
      </c>
      <c r="R220" t="s">
        <v>74</v>
      </c>
      <c r="S220" t="s">
        <v>74</v>
      </c>
      <c r="T220" t="s">
        <v>4471</v>
      </c>
      <c r="U220" t="s">
        <v>4472</v>
      </c>
      <c r="V220" t="s">
        <v>4473</v>
      </c>
      <c r="W220" t="s">
        <v>4474</v>
      </c>
      <c r="X220" t="s">
        <v>4475</v>
      </c>
      <c r="Y220" t="s">
        <v>4476</v>
      </c>
      <c r="Z220" t="s">
        <v>4477</v>
      </c>
      <c r="AA220" t="s">
        <v>4478</v>
      </c>
      <c r="AB220" t="s">
        <v>4479</v>
      </c>
      <c r="AC220" t="s">
        <v>74</v>
      </c>
      <c r="AD220" t="s">
        <v>74</v>
      </c>
      <c r="AE220" t="s">
        <v>74</v>
      </c>
      <c r="AF220" t="s">
        <v>74</v>
      </c>
      <c r="AG220">
        <v>66</v>
      </c>
      <c r="AH220">
        <v>0</v>
      </c>
      <c r="AI220">
        <v>0</v>
      </c>
      <c r="AJ220">
        <v>57</v>
      </c>
      <c r="AK220">
        <v>72</v>
      </c>
      <c r="AL220" t="s">
        <v>737</v>
      </c>
      <c r="AM220" t="s">
        <v>738</v>
      </c>
      <c r="AN220" t="s">
        <v>739</v>
      </c>
      <c r="AO220" t="s">
        <v>4480</v>
      </c>
      <c r="AP220" t="s">
        <v>4481</v>
      </c>
      <c r="AQ220" t="s">
        <v>74</v>
      </c>
      <c r="AR220" t="s">
        <v>4482</v>
      </c>
      <c r="AS220" t="s">
        <v>4483</v>
      </c>
      <c r="AT220" t="s">
        <v>4484</v>
      </c>
      <c r="AU220">
        <v>2023</v>
      </c>
      <c r="AV220" t="s">
        <v>74</v>
      </c>
      <c r="AW220" t="s">
        <v>74</v>
      </c>
      <c r="AX220" t="s">
        <v>74</v>
      </c>
      <c r="AY220" t="s">
        <v>74</v>
      </c>
      <c r="AZ220" t="s">
        <v>74</v>
      </c>
      <c r="BA220" t="s">
        <v>74</v>
      </c>
      <c r="BB220" t="s">
        <v>74</v>
      </c>
      <c r="BC220" t="s">
        <v>74</v>
      </c>
      <c r="BD220" t="s">
        <v>74</v>
      </c>
      <c r="BE220" t="s">
        <v>4485</v>
      </c>
      <c r="BF220" t="str">
        <f>HYPERLINK("http://dx.doi.org/10.1080/21670811.2023.2229883","http://dx.doi.org/10.1080/21670811.2023.2229883")</f>
        <v>http://dx.doi.org/10.1080/21670811.2023.2229883</v>
      </c>
      <c r="BG220" t="s">
        <v>74</v>
      </c>
      <c r="BH220" t="s">
        <v>1910</v>
      </c>
      <c r="BI220">
        <v>23</v>
      </c>
      <c r="BJ220" t="s">
        <v>158</v>
      </c>
      <c r="BK220" t="s">
        <v>159</v>
      </c>
      <c r="BL220" t="s">
        <v>158</v>
      </c>
      <c r="BM220" t="s">
        <v>4486</v>
      </c>
      <c r="BN220" t="s">
        <v>74</v>
      </c>
      <c r="BO220" t="s">
        <v>161</v>
      </c>
      <c r="BP220" t="s">
        <v>74</v>
      </c>
      <c r="BQ220" t="s">
        <v>74</v>
      </c>
      <c r="BR220" t="s">
        <v>101</v>
      </c>
      <c r="BS220" t="s">
        <v>4487</v>
      </c>
      <c r="BT220" t="str">
        <f>HYPERLINK("https%3A%2F%2Fwww.webofscience.com%2Fwos%2Fwoscc%2Ffull-record%2FWOS:001024004400001","View Full Record in Web of Science")</f>
        <v>View Full Record in Web of Science</v>
      </c>
    </row>
    <row r="221" spans="1:72" x14ac:dyDescent="0.2">
      <c r="A221" t="s">
        <v>72</v>
      </c>
      <c r="B221" t="s">
        <v>4488</v>
      </c>
      <c r="C221" t="s">
        <v>74</v>
      </c>
      <c r="D221" t="s">
        <v>4489</v>
      </c>
      <c r="E221" t="s">
        <v>74</v>
      </c>
      <c r="F221" t="s">
        <v>4490</v>
      </c>
      <c r="G221" t="s">
        <v>74</v>
      </c>
      <c r="H221" t="s">
        <v>74</v>
      </c>
      <c r="I221" t="s">
        <v>4491</v>
      </c>
      <c r="J221" t="s">
        <v>4492</v>
      </c>
      <c r="K221" t="s">
        <v>312</v>
      </c>
      <c r="L221" t="s">
        <v>74</v>
      </c>
      <c r="M221" t="s">
        <v>79</v>
      </c>
      <c r="N221" t="s">
        <v>80</v>
      </c>
      <c r="O221" t="s">
        <v>4493</v>
      </c>
      <c r="P221" t="s">
        <v>4494</v>
      </c>
      <c r="Q221" t="s">
        <v>4495</v>
      </c>
      <c r="R221" t="s">
        <v>4496</v>
      </c>
      <c r="S221" t="s">
        <v>74</v>
      </c>
      <c r="T221" t="s">
        <v>4497</v>
      </c>
      <c r="U221" t="s">
        <v>4498</v>
      </c>
      <c r="V221" t="s">
        <v>4499</v>
      </c>
      <c r="W221" t="s">
        <v>4500</v>
      </c>
      <c r="X221" t="s">
        <v>4501</v>
      </c>
      <c r="Y221" t="s">
        <v>4502</v>
      </c>
      <c r="Z221" t="s">
        <v>4503</v>
      </c>
      <c r="AA221" t="s">
        <v>74</v>
      </c>
      <c r="AB221" t="s">
        <v>4504</v>
      </c>
      <c r="AC221" t="s">
        <v>74</v>
      </c>
      <c r="AD221" t="s">
        <v>74</v>
      </c>
      <c r="AE221" t="s">
        <v>74</v>
      </c>
      <c r="AF221" t="s">
        <v>74</v>
      </c>
      <c r="AG221">
        <v>36</v>
      </c>
      <c r="AH221">
        <v>0</v>
      </c>
      <c r="AI221">
        <v>0</v>
      </c>
      <c r="AJ221">
        <v>1</v>
      </c>
      <c r="AK221">
        <v>1</v>
      </c>
      <c r="AL221" t="s">
        <v>325</v>
      </c>
      <c r="AM221" t="s">
        <v>245</v>
      </c>
      <c r="AN221" t="s">
        <v>246</v>
      </c>
      <c r="AO221" t="s">
        <v>326</v>
      </c>
      <c r="AP221" t="s">
        <v>327</v>
      </c>
      <c r="AQ221" t="s">
        <v>4505</v>
      </c>
      <c r="AR221" t="s">
        <v>329</v>
      </c>
      <c r="AS221" t="s">
        <v>74</v>
      </c>
      <c r="AT221" t="s">
        <v>74</v>
      </c>
      <c r="AU221">
        <v>2023</v>
      </c>
      <c r="AV221">
        <v>14397</v>
      </c>
      <c r="AW221" t="s">
        <v>74</v>
      </c>
      <c r="AX221" t="s">
        <v>74</v>
      </c>
      <c r="AY221" t="s">
        <v>74</v>
      </c>
      <c r="AZ221" t="s">
        <v>74</v>
      </c>
      <c r="BA221" t="s">
        <v>74</v>
      </c>
      <c r="BB221">
        <v>1</v>
      </c>
      <c r="BC221">
        <v>13</v>
      </c>
      <c r="BD221" t="s">
        <v>74</v>
      </c>
      <c r="BE221" t="s">
        <v>4506</v>
      </c>
      <c r="BF221" t="str">
        <f>HYPERLINK("http://dx.doi.org/10.1007/978-3-031-47896-3_1","http://dx.doi.org/10.1007/978-3-031-47896-3_1")</f>
        <v>http://dx.doi.org/10.1007/978-3-031-47896-3_1</v>
      </c>
      <c r="BG221" t="s">
        <v>74</v>
      </c>
      <c r="BH221" t="s">
        <v>74</v>
      </c>
      <c r="BI221">
        <v>13</v>
      </c>
      <c r="BJ221" t="s">
        <v>3083</v>
      </c>
      <c r="BK221" t="s">
        <v>180</v>
      </c>
      <c r="BL221" t="s">
        <v>3084</v>
      </c>
      <c r="BM221" t="s">
        <v>4507</v>
      </c>
      <c r="BN221" t="s">
        <v>74</v>
      </c>
      <c r="BO221" t="s">
        <v>74</v>
      </c>
      <c r="BP221" t="s">
        <v>74</v>
      </c>
      <c r="BQ221" t="s">
        <v>74</v>
      </c>
      <c r="BR221" t="s">
        <v>101</v>
      </c>
      <c r="BS221" t="s">
        <v>4508</v>
      </c>
      <c r="BT221" t="str">
        <f>HYPERLINK("https%3A%2F%2Fwww.webofscience.com%2Fwos%2Fwoscc%2Ffull-record%2FWOS:001160755400001","View Full Record in Web of Science")</f>
        <v>View Full Record in Web of Science</v>
      </c>
    </row>
    <row r="222" spans="1:72" x14ac:dyDescent="0.2">
      <c r="A222" t="s">
        <v>72</v>
      </c>
      <c r="B222" t="s">
        <v>4509</v>
      </c>
      <c r="C222" t="s">
        <v>74</v>
      </c>
      <c r="D222" t="s">
        <v>74</v>
      </c>
      <c r="E222" t="s">
        <v>75</v>
      </c>
      <c r="F222" t="s">
        <v>4510</v>
      </c>
      <c r="G222" t="s">
        <v>74</v>
      </c>
      <c r="H222" t="s">
        <v>74</v>
      </c>
      <c r="I222" t="s">
        <v>4511</v>
      </c>
      <c r="J222" t="s">
        <v>912</v>
      </c>
      <c r="K222" t="s">
        <v>74</v>
      </c>
      <c r="L222" t="s">
        <v>74</v>
      </c>
      <c r="M222" t="s">
        <v>79</v>
      </c>
      <c r="N222" t="s">
        <v>80</v>
      </c>
      <c r="O222" t="s">
        <v>913</v>
      </c>
      <c r="P222" t="s">
        <v>914</v>
      </c>
      <c r="Q222" t="s">
        <v>915</v>
      </c>
      <c r="R222" t="s">
        <v>916</v>
      </c>
      <c r="S222" t="s">
        <v>74</v>
      </c>
      <c r="T222" t="s">
        <v>4512</v>
      </c>
      <c r="U222" t="s">
        <v>74</v>
      </c>
      <c r="V222" t="s">
        <v>4513</v>
      </c>
      <c r="W222" t="s">
        <v>4514</v>
      </c>
      <c r="X222" t="s">
        <v>4515</v>
      </c>
      <c r="Y222" t="s">
        <v>4516</v>
      </c>
      <c r="Z222" t="s">
        <v>4517</v>
      </c>
      <c r="AA222" t="s">
        <v>74</v>
      </c>
      <c r="AB222" t="s">
        <v>74</v>
      </c>
      <c r="AC222" t="s">
        <v>74</v>
      </c>
      <c r="AD222" t="s">
        <v>74</v>
      </c>
      <c r="AE222" t="s">
        <v>74</v>
      </c>
      <c r="AF222" t="s">
        <v>74</v>
      </c>
      <c r="AG222">
        <v>50</v>
      </c>
      <c r="AH222">
        <v>0</v>
      </c>
      <c r="AI222">
        <v>0</v>
      </c>
      <c r="AJ222">
        <v>0</v>
      </c>
      <c r="AK222">
        <v>0</v>
      </c>
      <c r="AL222" t="s">
        <v>92</v>
      </c>
      <c r="AM222" t="s">
        <v>93</v>
      </c>
      <c r="AN222" t="s">
        <v>94</v>
      </c>
      <c r="AO222" t="s">
        <v>74</v>
      </c>
      <c r="AP222" t="s">
        <v>74</v>
      </c>
      <c r="AQ222" t="s">
        <v>922</v>
      </c>
      <c r="AR222" t="s">
        <v>74</v>
      </c>
      <c r="AS222" t="s">
        <v>74</v>
      </c>
      <c r="AT222" t="s">
        <v>74</v>
      </c>
      <c r="AU222">
        <v>2023</v>
      </c>
      <c r="AV222" t="s">
        <v>74</v>
      </c>
      <c r="AW222" t="s">
        <v>74</v>
      </c>
      <c r="AX222" t="s">
        <v>74</v>
      </c>
      <c r="AY222" t="s">
        <v>74</v>
      </c>
      <c r="AZ222" t="s">
        <v>74</v>
      </c>
      <c r="BA222" t="s">
        <v>74</v>
      </c>
      <c r="BB222">
        <v>845</v>
      </c>
      <c r="BC222">
        <v>856</v>
      </c>
      <c r="BD222" t="s">
        <v>74</v>
      </c>
      <c r="BE222" t="s">
        <v>4518</v>
      </c>
      <c r="BF222" t="str">
        <f>HYPERLINK("http://dx.doi.org/10.1145/3580305.3599365","http://dx.doi.org/10.1145/3580305.3599365")</f>
        <v>http://dx.doi.org/10.1145/3580305.3599365</v>
      </c>
      <c r="BG222" t="s">
        <v>74</v>
      </c>
      <c r="BH222" t="s">
        <v>74</v>
      </c>
      <c r="BI222">
        <v>12</v>
      </c>
      <c r="BJ222" t="s">
        <v>924</v>
      </c>
      <c r="BK222" t="s">
        <v>98</v>
      </c>
      <c r="BL222" t="s">
        <v>99</v>
      </c>
      <c r="BM222" t="s">
        <v>925</v>
      </c>
      <c r="BN222" t="s">
        <v>74</v>
      </c>
      <c r="BO222" t="s">
        <v>2722</v>
      </c>
      <c r="BP222" t="s">
        <v>74</v>
      </c>
      <c r="BQ222" t="s">
        <v>74</v>
      </c>
      <c r="BR222" t="s">
        <v>101</v>
      </c>
      <c r="BS222" t="s">
        <v>4519</v>
      </c>
      <c r="BT222" t="str">
        <f>HYPERLINK("https%3A%2F%2Fwww.webofscience.com%2Fwos%2Fwoscc%2Ffull-record%2FWOS:001118896300073","View Full Record in Web of Science")</f>
        <v>View Full Record in Web of Science</v>
      </c>
    </row>
    <row r="223" spans="1:72" x14ac:dyDescent="0.2">
      <c r="A223" t="s">
        <v>103</v>
      </c>
      <c r="B223" t="s">
        <v>4520</v>
      </c>
      <c r="C223" t="s">
        <v>74</v>
      </c>
      <c r="D223" t="s">
        <v>74</v>
      </c>
      <c r="E223" t="s">
        <v>74</v>
      </c>
      <c r="F223" t="s">
        <v>4521</v>
      </c>
      <c r="G223" t="s">
        <v>74</v>
      </c>
      <c r="H223" t="s">
        <v>74</v>
      </c>
      <c r="I223" t="s">
        <v>4522</v>
      </c>
      <c r="J223" t="s">
        <v>4523</v>
      </c>
      <c r="K223" t="s">
        <v>74</v>
      </c>
      <c r="L223" t="s">
        <v>74</v>
      </c>
      <c r="M223" t="s">
        <v>79</v>
      </c>
      <c r="N223" t="s">
        <v>108</v>
      </c>
      <c r="O223" t="s">
        <v>74</v>
      </c>
      <c r="P223" t="s">
        <v>74</v>
      </c>
      <c r="Q223" t="s">
        <v>74</v>
      </c>
      <c r="R223" t="s">
        <v>74</v>
      </c>
      <c r="S223" t="s">
        <v>74</v>
      </c>
      <c r="T223" t="s">
        <v>4524</v>
      </c>
      <c r="U223" t="s">
        <v>4525</v>
      </c>
      <c r="V223" t="s">
        <v>4526</v>
      </c>
      <c r="W223" t="s">
        <v>4527</v>
      </c>
      <c r="X223" t="s">
        <v>3491</v>
      </c>
      <c r="Y223" t="s">
        <v>4528</v>
      </c>
      <c r="Z223" t="s">
        <v>4529</v>
      </c>
      <c r="AA223" t="s">
        <v>3494</v>
      </c>
      <c r="AB223" t="s">
        <v>74</v>
      </c>
      <c r="AC223" t="s">
        <v>4530</v>
      </c>
      <c r="AD223" t="s">
        <v>4531</v>
      </c>
      <c r="AE223" t="s">
        <v>4532</v>
      </c>
      <c r="AF223" t="s">
        <v>74</v>
      </c>
      <c r="AG223">
        <v>70</v>
      </c>
      <c r="AH223">
        <v>0</v>
      </c>
      <c r="AI223">
        <v>0</v>
      </c>
      <c r="AJ223">
        <v>2</v>
      </c>
      <c r="AK223">
        <v>2</v>
      </c>
      <c r="AL223" t="s">
        <v>4533</v>
      </c>
      <c r="AM223" t="s">
        <v>4534</v>
      </c>
      <c r="AN223" t="s">
        <v>4535</v>
      </c>
      <c r="AO223" t="s">
        <v>4536</v>
      </c>
      <c r="AP223" t="s">
        <v>74</v>
      </c>
      <c r="AQ223" t="s">
        <v>74</v>
      </c>
      <c r="AR223" t="s">
        <v>4537</v>
      </c>
      <c r="AS223" t="s">
        <v>4538</v>
      </c>
      <c r="AT223" t="s">
        <v>74</v>
      </c>
      <c r="AU223">
        <v>2023</v>
      </c>
      <c r="AV223">
        <v>12</v>
      </c>
      <c r="AW223">
        <v>1</v>
      </c>
      <c r="AX223" t="s">
        <v>74</v>
      </c>
      <c r="AY223" t="s">
        <v>74</v>
      </c>
      <c r="AZ223" t="s">
        <v>74</v>
      </c>
      <c r="BA223" t="s">
        <v>74</v>
      </c>
      <c r="BB223" t="s">
        <v>74</v>
      </c>
      <c r="BC223" t="s">
        <v>74</v>
      </c>
      <c r="BD223" t="s">
        <v>74</v>
      </c>
      <c r="BE223" t="s">
        <v>4539</v>
      </c>
      <c r="BF223" t="str">
        <f>HYPERLINK("http://dx.doi.org/10.1561/116.00000076","http://dx.doi.org/10.1561/116.00000076")</f>
        <v>http://dx.doi.org/10.1561/116.00000076</v>
      </c>
      <c r="BG223" t="s">
        <v>74</v>
      </c>
      <c r="BH223" t="s">
        <v>74</v>
      </c>
      <c r="BI223">
        <v>34</v>
      </c>
      <c r="BJ223" t="s">
        <v>2822</v>
      </c>
      <c r="BK223" t="s">
        <v>352</v>
      </c>
      <c r="BL223" t="s">
        <v>2823</v>
      </c>
      <c r="BM223" t="s">
        <v>4540</v>
      </c>
      <c r="BN223" t="s">
        <v>74</v>
      </c>
      <c r="BO223" t="s">
        <v>425</v>
      </c>
      <c r="BP223" t="s">
        <v>74</v>
      </c>
      <c r="BQ223" t="s">
        <v>74</v>
      </c>
      <c r="BR223" t="s">
        <v>101</v>
      </c>
      <c r="BS223" t="s">
        <v>4541</v>
      </c>
      <c r="BT223" t="str">
        <f>HYPERLINK("https%3A%2F%2Fwww.webofscience.com%2Fwos%2Fwoscc%2Ffull-record%2FWOS:001044466200001","View Full Record in Web of Science")</f>
        <v>View Full Record in Web of Science</v>
      </c>
    </row>
    <row r="224" spans="1:72" x14ac:dyDescent="0.2">
      <c r="A224" t="s">
        <v>103</v>
      </c>
      <c r="B224" t="s">
        <v>4542</v>
      </c>
      <c r="C224" t="s">
        <v>74</v>
      </c>
      <c r="D224" t="s">
        <v>74</v>
      </c>
      <c r="E224" t="s">
        <v>74</v>
      </c>
      <c r="F224" t="s">
        <v>4543</v>
      </c>
      <c r="G224" t="s">
        <v>74</v>
      </c>
      <c r="H224" t="s">
        <v>74</v>
      </c>
      <c r="I224" t="s">
        <v>4544</v>
      </c>
      <c r="J224" t="s">
        <v>4545</v>
      </c>
      <c r="K224" t="s">
        <v>74</v>
      </c>
      <c r="L224" t="s">
        <v>74</v>
      </c>
      <c r="M224" t="s">
        <v>79</v>
      </c>
      <c r="N224" t="s">
        <v>108</v>
      </c>
      <c r="O224" t="s">
        <v>74</v>
      </c>
      <c r="P224" t="s">
        <v>74</v>
      </c>
      <c r="Q224" t="s">
        <v>74</v>
      </c>
      <c r="R224" t="s">
        <v>74</v>
      </c>
      <c r="S224" t="s">
        <v>74</v>
      </c>
      <c r="T224" t="s">
        <v>4546</v>
      </c>
      <c r="U224" t="s">
        <v>4547</v>
      </c>
      <c r="V224" t="s">
        <v>4548</v>
      </c>
      <c r="W224" t="s">
        <v>4549</v>
      </c>
      <c r="X224" t="s">
        <v>4550</v>
      </c>
      <c r="Y224" t="s">
        <v>4551</v>
      </c>
      <c r="Z224" t="s">
        <v>4552</v>
      </c>
      <c r="AA224" t="s">
        <v>4553</v>
      </c>
      <c r="AB224" t="s">
        <v>4554</v>
      </c>
      <c r="AC224" t="s">
        <v>74</v>
      </c>
      <c r="AD224" t="s">
        <v>74</v>
      </c>
      <c r="AE224" t="s">
        <v>74</v>
      </c>
      <c r="AF224" t="s">
        <v>74</v>
      </c>
      <c r="AG224">
        <v>71</v>
      </c>
      <c r="AH224">
        <v>8</v>
      </c>
      <c r="AI224">
        <v>8</v>
      </c>
      <c r="AJ224">
        <v>56</v>
      </c>
      <c r="AK224">
        <v>100</v>
      </c>
      <c r="AL224" t="s">
        <v>220</v>
      </c>
      <c r="AM224" t="s">
        <v>221</v>
      </c>
      <c r="AN224" t="s">
        <v>222</v>
      </c>
      <c r="AO224" t="s">
        <v>4555</v>
      </c>
      <c r="AP224" t="s">
        <v>4556</v>
      </c>
      <c r="AQ224" t="s">
        <v>74</v>
      </c>
      <c r="AR224" t="s">
        <v>4557</v>
      </c>
      <c r="AS224" t="s">
        <v>4558</v>
      </c>
      <c r="AT224" t="s">
        <v>4559</v>
      </c>
      <c r="AU224">
        <v>2024</v>
      </c>
      <c r="AV224">
        <v>36</v>
      </c>
      <c r="AW224">
        <v>2</v>
      </c>
      <c r="AX224" t="s">
        <v>74</v>
      </c>
      <c r="AY224" t="s">
        <v>74</v>
      </c>
      <c r="AZ224" t="s">
        <v>74</v>
      </c>
      <c r="BA224" t="s">
        <v>74</v>
      </c>
      <c r="BB224">
        <v>287</v>
      </c>
      <c r="BC224">
        <v>315</v>
      </c>
      <c r="BD224" t="s">
        <v>74</v>
      </c>
      <c r="BE224" t="s">
        <v>4560</v>
      </c>
      <c r="BF224" t="str">
        <f>HYPERLINK("http://dx.doi.org/10.1080/08982112.2023.2206479","http://dx.doi.org/10.1080/08982112.2023.2206479")</f>
        <v>http://dx.doi.org/10.1080/08982112.2023.2206479</v>
      </c>
      <c r="BG224" t="s">
        <v>74</v>
      </c>
      <c r="BH224" t="s">
        <v>2889</v>
      </c>
      <c r="BI224">
        <v>29</v>
      </c>
      <c r="BJ224" t="s">
        <v>4561</v>
      </c>
      <c r="BK224" t="s">
        <v>130</v>
      </c>
      <c r="BL224" t="s">
        <v>4562</v>
      </c>
      <c r="BM224" t="s">
        <v>4563</v>
      </c>
      <c r="BN224" t="s">
        <v>74</v>
      </c>
      <c r="BO224" t="s">
        <v>2568</v>
      </c>
      <c r="BP224" t="s">
        <v>74</v>
      </c>
      <c r="BQ224" t="s">
        <v>74</v>
      </c>
      <c r="BR224" t="s">
        <v>101</v>
      </c>
      <c r="BS224" t="s">
        <v>4564</v>
      </c>
      <c r="BT224" t="str">
        <f>HYPERLINK("https%3A%2F%2Fwww.webofscience.com%2Fwos%2Fwoscc%2Ffull-record%2FWOS:001009222000001","View Full Record in Web of Science")</f>
        <v>View Full Record in Web of Science</v>
      </c>
    </row>
    <row r="225" spans="1:72" x14ac:dyDescent="0.2">
      <c r="A225" t="s">
        <v>103</v>
      </c>
      <c r="B225" t="s">
        <v>4565</v>
      </c>
      <c r="C225" t="s">
        <v>74</v>
      </c>
      <c r="D225" t="s">
        <v>74</v>
      </c>
      <c r="E225" t="s">
        <v>74</v>
      </c>
      <c r="F225" t="s">
        <v>4566</v>
      </c>
      <c r="G225" t="s">
        <v>74</v>
      </c>
      <c r="H225" t="s">
        <v>74</v>
      </c>
      <c r="I225" t="s">
        <v>4567</v>
      </c>
      <c r="J225" t="s">
        <v>4568</v>
      </c>
      <c r="K225" t="s">
        <v>74</v>
      </c>
      <c r="L225" t="s">
        <v>74</v>
      </c>
      <c r="M225" t="s">
        <v>79</v>
      </c>
      <c r="N225" t="s">
        <v>108</v>
      </c>
      <c r="O225" t="s">
        <v>74</v>
      </c>
      <c r="P225" t="s">
        <v>74</v>
      </c>
      <c r="Q225" t="s">
        <v>74</v>
      </c>
      <c r="R225" t="s">
        <v>74</v>
      </c>
      <c r="S225" t="s">
        <v>74</v>
      </c>
      <c r="T225" t="s">
        <v>4569</v>
      </c>
      <c r="U225" t="s">
        <v>4570</v>
      </c>
      <c r="V225" t="s">
        <v>4571</v>
      </c>
      <c r="W225" t="s">
        <v>4572</v>
      </c>
      <c r="X225" t="s">
        <v>4573</v>
      </c>
      <c r="Y225" t="s">
        <v>4574</v>
      </c>
      <c r="Z225" t="s">
        <v>4575</v>
      </c>
      <c r="AA225" t="s">
        <v>4576</v>
      </c>
      <c r="AB225" t="s">
        <v>4577</v>
      </c>
      <c r="AC225" t="s">
        <v>4578</v>
      </c>
      <c r="AD225" t="s">
        <v>4579</v>
      </c>
      <c r="AE225" t="s">
        <v>4580</v>
      </c>
      <c r="AF225" t="s">
        <v>74</v>
      </c>
      <c r="AG225">
        <v>45</v>
      </c>
      <c r="AH225">
        <v>1</v>
      </c>
      <c r="AI225">
        <v>1</v>
      </c>
      <c r="AJ225">
        <v>10</v>
      </c>
      <c r="AK225">
        <v>10</v>
      </c>
      <c r="AL225" t="s">
        <v>119</v>
      </c>
      <c r="AM225" t="s">
        <v>120</v>
      </c>
      <c r="AN225" t="s">
        <v>121</v>
      </c>
      <c r="AO225" t="s">
        <v>4581</v>
      </c>
      <c r="AP225" t="s">
        <v>4582</v>
      </c>
      <c r="AQ225" t="s">
        <v>74</v>
      </c>
      <c r="AR225" t="s">
        <v>4583</v>
      </c>
      <c r="AS225" t="s">
        <v>4584</v>
      </c>
      <c r="AT225" t="s">
        <v>276</v>
      </c>
      <c r="AU225">
        <v>2023</v>
      </c>
      <c r="AV225">
        <v>166</v>
      </c>
      <c r="AW225" t="s">
        <v>74</v>
      </c>
      <c r="AX225" t="s">
        <v>74</v>
      </c>
      <c r="AY225" t="s">
        <v>74</v>
      </c>
      <c r="AZ225" t="s">
        <v>74</v>
      </c>
      <c r="BA225" t="s">
        <v>74</v>
      </c>
      <c r="BB225" t="s">
        <v>74</v>
      </c>
      <c r="BC225" t="s">
        <v>74</v>
      </c>
      <c r="BD225">
        <v>107549</v>
      </c>
      <c r="BE225" t="s">
        <v>4585</v>
      </c>
      <c r="BF225" t="str">
        <f>HYPERLINK("http://dx.doi.org/10.1016/j.compbiomed.2023.107549","http://dx.doi.org/10.1016/j.compbiomed.2023.107549")</f>
        <v>http://dx.doi.org/10.1016/j.compbiomed.2023.107549</v>
      </c>
      <c r="BG225" t="s">
        <v>74</v>
      </c>
      <c r="BH225" t="s">
        <v>1886</v>
      </c>
      <c r="BI225">
        <v>13</v>
      </c>
      <c r="BJ225" t="s">
        <v>4586</v>
      </c>
      <c r="BK225" t="s">
        <v>130</v>
      </c>
      <c r="BL225" t="s">
        <v>4587</v>
      </c>
      <c r="BM225" t="s">
        <v>4588</v>
      </c>
      <c r="BN225">
        <v>37839222</v>
      </c>
      <c r="BO225" t="s">
        <v>161</v>
      </c>
      <c r="BP225" t="s">
        <v>74</v>
      </c>
      <c r="BQ225" t="s">
        <v>74</v>
      </c>
      <c r="BR225" t="s">
        <v>101</v>
      </c>
      <c r="BS225" t="s">
        <v>4589</v>
      </c>
      <c r="BT225" t="str">
        <f>HYPERLINK("https%3A%2F%2Fwww.webofscience.com%2Fwos%2Fwoscc%2Ffull-record%2FWOS:001098179500001","View Full Record in Web of Science")</f>
        <v>View Full Record in Web of Science</v>
      </c>
    </row>
    <row r="226" spans="1:72" x14ac:dyDescent="0.2">
      <c r="A226" t="s">
        <v>103</v>
      </c>
      <c r="B226" t="s">
        <v>4590</v>
      </c>
      <c r="C226" t="s">
        <v>74</v>
      </c>
      <c r="D226" t="s">
        <v>74</v>
      </c>
      <c r="E226" t="s">
        <v>74</v>
      </c>
      <c r="F226" t="s">
        <v>4591</v>
      </c>
      <c r="G226" t="s">
        <v>74</v>
      </c>
      <c r="H226" t="s">
        <v>74</v>
      </c>
      <c r="I226" t="s">
        <v>4592</v>
      </c>
      <c r="J226" t="s">
        <v>1121</v>
      </c>
      <c r="K226" t="s">
        <v>74</v>
      </c>
      <c r="L226" t="s">
        <v>74</v>
      </c>
      <c r="M226" t="s">
        <v>79</v>
      </c>
      <c r="N226" t="s">
        <v>108</v>
      </c>
      <c r="O226" t="s">
        <v>74</v>
      </c>
      <c r="P226" t="s">
        <v>74</v>
      </c>
      <c r="Q226" t="s">
        <v>74</v>
      </c>
      <c r="R226" t="s">
        <v>74</v>
      </c>
      <c r="S226" t="s">
        <v>74</v>
      </c>
      <c r="T226" t="s">
        <v>4593</v>
      </c>
      <c r="U226" t="s">
        <v>4594</v>
      </c>
      <c r="V226" t="s">
        <v>4595</v>
      </c>
      <c r="W226" t="s">
        <v>4596</v>
      </c>
      <c r="X226" t="s">
        <v>4597</v>
      </c>
      <c r="Y226" t="s">
        <v>4598</v>
      </c>
      <c r="Z226" t="s">
        <v>4599</v>
      </c>
      <c r="AA226" t="s">
        <v>74</v>
      </c>
      <c r="AB226" t="s">
        <v>74</v>
      </c>
      <c r="AC226" t="s">
        <v>74</v>
      </c>
      <c r="AD226" t="s">
        <v>74</v>
      </c>
      <c r="AE226" t="s">
        <v>74</v>
      </c>
      <c r="AF226" t="s">
        <v>74</v>
      </c>
      <c r="AG226">
        <v>236</v>
      </c>
      <c r="AH226">
        <v>3</v>
      </c>
      <c r="AI226">
        <v>3</v>
      </c>
      <c r="AJ226">
        <v>23</v>
      </c>
      <c r="AK226">
        <v>23</v>
      </c>
      <c r="AL226" t="s">
        <v>1129</v>
      </c>
      <c r="AM226" t="s">
        <v>120</v>
      </c>
      <c r="AN226" t="s">
        <v>1130</v>
      </c>
      <c r="AO226" t="s">
        <v>1131</v>
      </c>
      <c r="AP226" t="s">
        <v>74</v>
      </c>
      <c r="AQ226" t="s">
        <v>74</v>
      </c>
      <c r="AR226" t="s">
        <v>1132</v>
      </c>
      <c r="AS226" t="s">
        <v>1133</v>
      </c>
      <c r="AT226" t="s">
        <v>276</v>
      </c>
      <c r="AU226">
        <v>2023</v>
      </c>
      <c r="AV226">
        <v>51</v>
      </c>
      <c r="AW226" t="s">
        <v>74</v>
      </c>
      <c r="AX226" t="s">
        <v>74</v>
      </c>
      <c r="AY226" t="s">
        <v>74</v>
      </c>
      <c r="AZ226" t="s">
        <v>74</v>
      </c>
      <c r="BA226" t="s">
        <v>74</v>
      </c>
      <c r="BB226" t="s">
        <v>74</v>
      </c>
      <c r="BC226" t="s">
        <v>74</v>
      </c>
      <c r="BD226">
        <v>105871</v>
      </c>
      <c r="BE226" t="s">
        <v>4600</v>
      </c>
      <c r="BF226" t="str">
        <f>HYPERLINK("http://dx.doi.org/10.1016/j.clsr.2023.105871","http://dx.doi.org/10.1016/j.clsr.2023.105871")</f>
        <v>http://dx.doi.org/10.1016/j.clsr.2023.105871</v>
      </c>
      <c r="BG226" t="s">
        <v>74</v>
      </c>
      <c r="BH226" t="s">
        <v>278</v>
      </c>
      <c r="BI226">
        <v>42</v>
      </c>
      <c r="BJ226" t="s">
        <v>1135</v>
      </c>
      <c r="BK226" t="s">
        <v>159</v>
      </c>
      <c r="BL226" t="s">
        <v>1136</v>
      </c>
      <c r="BM226" t="s">
        <v>4601</v>
      </c>
      <c r="BN226" t="s">
        <v>74</v>
      </c>
      <c r="BO226" t="s">
        <v>74</v>
      </c>
      <c r="BP226" t="s">
        <v>74</v>
      </c>
      <c r="BQ226" t="s">
        <v>74</v>
      </c>
      <c r="BR226" t="s">
        <v>101</v>
      </c>
      <c r="BS226" t="s">
        <v>4602</v>
      </c>
      <c r="BT226" t="str">
        <f>HYPERLINK("https%3A%2F%2Fwww.webofscience.com%2Fwos%2Fwoscc%2Ffull-record%2FWOS:001077914700001","View Full Record in Web of Science")</f>
        <v>View Full Record in Web of Science</v>
      </c>
    </row>
    <row r="227" spans="1:72" x14ac:dyDescent="0.2">
      <c r="A227" t="s">
        <v>103</v>
      </c>
      <c r="B227" t="s">
        <v>4603</v>
      </c>
      <c r="C227" t="s">
        <v>74</v>
      </c>
      <c r="D227" t="s">
        <v>74</v>
      </c>
      <c r="E227" t="s">
        <v>74</v>
      </c>
      <c r="F227" t="s">
        <v>4604</v>
      </c>
      <c r="G227" t="s">
        <v>74</v>
      </c>
      <c r="H227" t="s">
        <v>74</v>
      </c>
      <c r="I227" t="s">
        <v>4605</v>
      </c>
      <c r="J227" t="s">
        <v>4606</v>
      </c>
      <c r="K227" t="s">
        <v>74</v>
      </c>
      <c r="L227" t="s">
        <v>74</v>
      </c>
      <c r="M227" t="s">
        <v>79</v>
      </c>
      <c r="N227" t="s">
        <v>108</v>
      </c>
      <c r="O227" t="s">
        <v>74</v>
      </c>
      <c r="P227" t="s">
        <v>74</v>
      </c>
      <c r="Q227" t="s">
        <v>74</v>
      </c>
      <c r="R227" t="s">
        <v>74</v>
      </c>
      <c r="S227" t="s">
        <v>74</v>
      </c>
      <c r="T227" t="s">
        <v>4607</v>
      </c>
      <c r="U227" t="s">
        <v>74</v>
      </c>
      <c r="V227" t="s">
        <v>4608</v>
      </c>
      <c r="W227" t="s">
        <v>74</v>
      </c>
      <c r="X227" t="s">
        <v>74</v>
      </c>
      <c r="Y227" t="s">
        <v>74</v>
      </c>
      <c r="Z227" t="s">
        <v>4609</v>
      </c>
      <c r="AA227" t="s">
        <v>74</v>
      </c>
      <c r="AB227" t="s">
        <v>74</v>
      </c>
      <c r="AC227" t="s">
        <v>74</v>
      </c>
      <c r="AD227" t="s">
        <v>74</v>
      </c>
      <c r="AE227" t="s">
        <v>74</v>
      </c>
      <c r="AF227" t="s">
        <v>74</v>
      </c>
      <c r="AG227">
        <v>17</v>
      </c>
      <c r="AH227">
        <v>0</v>
      </c>
      <c r="AI227">
        <v>0</v>
      </c>
      <c r="AJ227">
        <v>21</v>
      </c>
      <c r="AK227">
        <v>21</v>
      </c>
      <c r="AL227" t="s">
        <v>737</v>
      </c>
      <c r="AM227" t="s">
        <v>738</v>
      </c>
      <c r="AN227" t="s">
        <v>739</v>
      </c>
      <c r="AO227" t="s">
        <v>4610</v>
      </c>
      <c r="AP227" t="s">
        <v>4611</v>
      </c>
      <c r="AQ227" t="s">
        <v>74</v>
      </c>
      <c r="AR227" t="s">
        <v>4612</v>
      </c>
      <c r="AS227" t="s">
        <v>4613</v>
      </c>
      <c r="AT227" t="s">
        <v>2079</v>
      </c>
      <c r="AU227">
        <v>2023</v>
      </c>
      <c r="AV227">
        <v>79</v>
      </c>
      <c r="AW227">
        <v>5</v>
      </c>
      <c r="AX227" t="s">
        <v>74</v>
      </c>
      <c r="AY227" t="s">
        <v>74</v>
      </c>
      <c r="AZ227" t="s">
        <v>253</v>
      </c>
      <c r="BA227" t="s">
        <v>74</v>
      </c>
      <c r="BB227">
        <v>299</v>
      </c>
      <c r="BC227">
        <v>303</v>
      </c>
      <c r="BD227" t="s">
        <v>74</v>
      </c>
      <c r="BE227" t="s">
        <v>4614</v>
      </c>
      <c r="BF227" t="str">
        <f>HYPERLINK("http://dx.doi.org/10.1080/00963402.2023.2245247","http://dx.doi.org/10.1080/00963402.2023.2245247")</f>
        <v>http://dx.doi.org/10.1080/00963402.2023.2245247</v>
      </c>
      <c r="BG227" t="s">
        <v>74</v>
      </c>
      <c r="BH227" t="s">
        <v>74</v>
      </c>
      <c r="BI227">
        <v>5</v>
      </c>
      <c r="BJ227" t="s">
        <v>4615</v>
      </c>
      <c r="BK227" t="s">
        <v>159</v>
      </c>
      <c r="BL227" t="s">
        <v>4615</v>
      </c>
      <c r="BM227" t="s">
        <v>4616</v>
      </c>
      <c r="BN227" t="s">
        <v>74</v>
      </c>
      <c r="BO227" t="s">
        <v>74</v>
      </c>
      <c r="BP227" t="s">
        <v>74</v>
      </c>
      <c r="BQ227" t="s">
        <v>74</v>
      </c>
      <c r="BR227" t="s">
        <v>101</v>
      </c>
      <c r="BS227" t="s">
        <v>4617</v>
      </c>
      <c r="BT227" t="str">
        <f>HYPERLINK("https%3A%2F%2Fwww.webofscience.com%2Fwos%2Fwoscc%2Ffull-record%2FWOS:001064985500005","View Full Record in Web of Science")</f>
        <v>View Full Record in Web of Science</v>
      </c>
    </row>
    <row r="228" spans="1:72" x14ac:dyDescent="0.2">
      <c r="A228" t="s">
        <v>72</v>
      </c>
      <c r="B228" t="s">
        <v>4618</v>
      </c>
      <c r="C228" t="s">
        <v>74</v>
      </c>
      <c r="D228" t="s">
        <v>74</v>
      </c>
      <c r="E228" t="s">
        <v>75</v>
      </c>
      <c r="F228" t="s">
        <v>4619</v>
      </c>
      <c r="G228" t="s">
        <v>74</v>
      </c>
      <c r="H228" t="s">
        <v>74</v>
      </c>
      <c r="I228" t="s">
        <v>4620</v>
      </c>
      <c r="J228" t="s">
        <v>4621</v>
      </c>
      <c r="K228" t="s">
        <v>74</v>
      </c>
      <c r="L228" t="s">
        <v>74</v>
      </c>
      <c r="M228" t="s">
        <v>79</v>
      </c>
      <c r="N228" t="s">
        <v>80</v>
      </c>
      <c r="O228" t="s">
        <v>4622</v>
      </c>
      <c r="P228" t="s">
        <v>4623</v>
      </c>
      <c r="Q228" t="s">
        <v>315</v>
      </c>
      <c r="R228" t="s">
        <v>4624</v>
      </c>
      <c r="S228" t="s">
        <v>74</v>
      </c>
      <c r="T228" t="s">
        <v>4625</v>
      </c>
      <c r="U228" t="s">
        <v>74</v>
      </c>
      <c r="V228" t="s">
        <v>4626</v>
      </c>
      <c r="W228" t="s">
        <v>4627</v>
      </c>
      <c r="X228" t="s">
        <v>4628</v>
      </c>
      <c r="Y228" t="s">
        <v>4629</v>
      </c>
      <c r="Z228" t="s">
        <v>4630</v>
      </c>
      <c r="AA228" t="s">
        <v>74</v>
      </c>
      <c r="AB228" t="s">
        <v>4631</v>
      </c>
      <c r="AC228" t="s">
        <v>4632</v>
      </c>
      <c r="AD228" t="s">
        <v>4633</v>
      </c>
      <c r="AE228" t="s">
        <v>4634</v>
      </c>
      <c r="AF228" t="s">
        <v>74</v>
      </c>
      <c r="AG228">
        <v>46</v>
      </c>
      <c r="AH228">
        <v>0</v>
      </c>
      <c r="AI228">
        <v>0</v>
      </c>
      <c r="AJ228">
        <v>1</v>
      </c>
      <c r="AK228">
        <v>1</v>
      </c>
      <c r="AL228" t="s">
        <v>92</v>
      </c>
      <c r="AM228" t="s">
        <v>93</v>
      </c>
      <c r="AN228" t="s">
        <v>94</v>
      </c>
      <c r="AO228" t="s">
        <v>74</v>
      </c>
      <c r="AP228" t="s">
        <v>74</v>
      </c>
      <c r="AQ228" t="s">
        <v>4635</v>
      </c>
      <c r="AR228" t="s">
        <v>74</v>
      </c>
      <c r="AS228" t="s">
        <v>74</v>
      </c>
      <c r="AT228" t="s">
        <v>74</v>
      </c>
      <c r="AU228">
        <v>2023</v>
      </c>
      <c r="AV228" t="s">
        <v>74</v>
      </c>
      <c r="AW228" t="s">
        <v>74</v>
      </c>
      <c r="AX228" t="s">
        <v>74</v>
      </c>
      <c r="AY228" t="s">
        <v>74</v>
      </c>
      <c r="AZ228" t="s">
        <v>74</v>
      </c>
      <c r="BA228" t="s">
        <v>74</v>
      </c>
      <c r="BB228">
        <v>1168</v>
      </c>
      <c r="BC228">
        <v>1181</v>
      </c>
      <c r="BD228" t="s">
        <v>74</v>
      </c>
      <c r="BE228" t="s">
        <v>4636</v>
      </c>
      <c r="BF228" t="str">
        <f>HYPERLINK("http://dx.doi.org/10.1145/3576915.3623189","http://dx.doi.org/10.1145/3576915.3623189")</f>
        <v>http://dx.doi.org/10.1145/3576915.3623189</v>
      </c>
      <c r="BG228" t="s">
        <v>74</v>
      </c>
      <c r="BH228" t="s">
        <v>74</v>
      </c>
      <c r="BI228">
        <v>14</v>
      </c>
      <c r="BJ228" t="s">
        <v>4637</v>
      </c>
      <c r="BK228" t="s">
        <v>98</v>
      </c>
      <c r="BL228" t="s">
        <v>644</v>
      </c>
      <c r="BM228" t="s">
        <v>4638</v>
      </c>
      <c r="BN228" t="s">
        <v>74</v>
      </c>
      <c r="BO228" t="s">
        <v>646</v>
      </c>
      <c r="BP228" t="s">
        <v>74</v>
      </c>
      <c r="BQ228" t="s">
        <v>74</v>
      </c>
      <c r="BR228" t="s">
        <v>101</v>
      </c>
      <c r="BS228" t="s">
        <v>4639</v>
      </c>
      <c r="BT228" t="str">
        <f>HYPERLINK("https%3A%2F%2Fwww.webofscience.com%2Fwos%2Fwoscc%2Ffull-record%2FWOS:001124987201012","View Full Record in Web of Science")</f>
        <v>View Full Record in Web of Science</v>
      </c>
    </row>
    <row r="229" spans="1:72" x14ac:dyDescent="0.2">
      <c r="A229" t="s">
        <v>103</v>
      </c>
      <c r="B229" t="s">
        <v>4640</v>
      </c>
      <c r="C229" t="s">
        <v>74</v>
      </c>
      <c r="D229" t="s">
        <v>74</v>
      </c>
      <c r="E229" t="s">
        <v>74</v>
      </c>
      <c r="F229" t="s">
        <v>4641</v>
      </c>
      <c r="G229" t="s">
        <v>74</v>
      </c>
      <c r="H229" t="s">
        <v>74</v>
      </c>
      <c r="I229" t="s">
        <v>4642</v>
      </c>
      <c r="J229" t="s">
        <v>4643</v>
      </c>
      <c r="K229" t="s">
        <v>74</v>
      </c>
      <c r="L229" t="s">
        <v>74</v>
      </c>
      <c r="M229" t="s">
        <v>79</v>
      </c>
      <c r="N229" t="s">
        <v>138</v>
      </c>
      <c r="O229" t="s">
        <v>74</v>
      </c>
      <c r="P229" t="s">
        <v>74</v>
      </c>
      <c r="Q229" t="s">
        <v>74</v>
      </c>
      <c r="R229" t="s">
        <v>74</v>
      </c>
      <c r="S229" t="s">
        <v>74</v>
      </c>
      <c r="T229" t="s">
        <v>4644</v>
      </c>
      <c r="U229" t="s">
        <v>74</v>
      </c>
      <c r="V229" t="s">
        <v>4645</v>
      </c>
      <c r="W229" t="s">
        <v>4646</v>
      </c>
      <c r="X229" t="s">
        <v>4647</v>
      </c>
      <c r="Y229" t="s">
        <v>4648</v>
      </c>
      <c r="Z229" t="s">
        <v>4649</v>
      </c>
      <c r="AA229" t="s">
        <v>4650</v>
      </c>
      <c r="AB229" t="s">
        <v>4651</v>
      </c>
      <c r="AC229" t="s">
        <v>4652</v>
      </c>
      <c r="AD229" t="s">
        <v>4653</v>
      </c>
      <c r="AE229" t="s">
        <v>4654</v>
      </c>
      <c r="AF229" t="s">
        <v>74</v>
      </c>
      <c r="AG229">
        <v>63</v>
      </c>
      <c r="AH229">
        <v>0</v>
      </c>
      <c r="AI229">
        <v>0</v>
      </c>
      <c r="AJ229">
        <v>6</v>
      </c>
      <c r="AK229">
        <v>6</v>
      </c>
      <c r="AL229" t="s">
        <v>483</v>
      </c>
      <c r="AM229" t="s">
        <v>484</v>
      </c>
      <c r="AN229" t="s">
        <v>485</v>
      </c>
      <c r="AO229" t="s">
        <v>4655</v>
      </c>
      <c r="AP229" t="s">
        <v>74</v>
      </c>
      <c r="AQ229" t="s">
        <v>74</v>
      </c>
      <c r="AR229" t="s">
        <v>4656</v>
      </c>
      <c r="AS229" t="s">
        <v>4657</v>
      </c>
      <c r="AT229" t="s">
        <v>4658</v>
      </c>
      <c r="AU229">
        <v>2023</v>
      </c>
      <c r="AV229" t="s">
        <v>74</v>
      </c>
      <c r="AW229" t="s">
        <v>74</v>
      </c>
      <c r="AX229" t="s">
        <v>74</v>
      </c>
      <c r="AY229" t="s">
        <v>74</v>
      </c>
      <c r="AZ229" t="s">
        <v>74</v>
      </c>
      <c r="BA229" t="s">
        <v>74</v>
      </c>
      <c r="BB229" t="s">
        <v>74</v>
      </c>
      <c r="BC229" t="s">
        <v>74</v>
      </c>
      <c r="BD229" t="s">
        <v>74</v>
      </c>
      <c r="BE229" t="s">
        <v>4659</v>
      </c>
      <c r="BF229" t="str">
        <f>HYPERLINK("http://dx.doi.org/10.1108/JME-10-2023-0102","http://dx.doi.org/10.1108/JME-10-2023-0102")</f>
        <v>http://dx.doi.org/10.1108/JME-10-2023-0102</v>
      </c>
      <c r="BG229" t="s">
        <v>74</v>
      </c>
      <c r="BH229" t="s">
        <v>128</v>
      </c>
      <c r="BI229">
        <v>19</v>
      </c>
      <c r="BJ229" t="s">
        <v>423</v>
      </c>
      <c r="BK229" t="s">
        <v>352</v>
      </c>
      <c r="BL229" t="s">
        <v>423</v>
      </c>
      <c r="BM229" t="s">
        <v>4660</v>
      </c>
      <c r="BN229" t="s">
        <v>74</v>
      </c>
      <c r="BO229" t="s">
        <v>646</v>
      </c>
      <c r="BP229" t="s">
        <v>74</v>
      </c>
      <c r="BQ229" t="s">
        <v>74</v>
      </c>
      <c r="BR229" t="s">
        <v>101</v>
      </c>
      <c r="BS229" t="s">
        <v>4661</v>
      </c>
      <c r="BT229" t="str">
        <f>HYPERLINK("https%3A%2F%2Fwww.webofscience.com%2Fwos%2Fwoscc%2Ffull-record%2FWOS:001131092800001","View Full Record in Web of Science")</f>
        <v>View Full Record in Web of Science</v>
      </c>
    </row>
    <row r="230" spans="1:72" x14ac:dyDescent="0.2">
      <c r="A230" t="s">
        <v>103</v>
      </c>
      <c r="B230" t="s">
        <v>4662</v>
      </c>
      <c r="C230" t="s">
        <v>74</v>
      </c>
      <c r="D230" t="s">
        <v>74</v>
      </c>
      <c r="E230" t="s">
        <v>74</v>
      </c>
      <c r="F230" t="s">
        <v>4663</v>
      </c>
      <c r="G230" t="s">
        <v>74</v>
      </c>
      <c r="H230" t="s">
        <v>74</v>
      </c>
      <c r="I230" t="s">
        <v>4664</v>
      </c>
      <c r="J230" t="s">
        <v>4665</v>
      </c>
      <c r="K230" t="s">
        <v>74</v>
      </c>
      <c r="L230" t="s">
        <v>74</v>
      </c>
      <c r="M230" t="s">
        <v>79</v>
      </c>
      <c r="N230" t="s">
        <v>108</v>
      </c>
      <c r="O230" t="s">
        <v>74</v>
      </c>
      <c r="P230" t="s">
        <v>74</v>
      </c>
      <c r="Q230" t="s">
        <v>74</v>
      </c>
      <c r="R230" t="s">
        <v>74</v>
      </c>
      <c r="S230" t="s">
        <v>74</v>
      </c>
      <c r="T230" t="s">
        <v>4666</v>
      </c>
      <c r="U230" t="s">
        <v>4667</v>
      </c>
      <c r="V230" t="s">
        <v>4668</v>
      </c>
      <c r="W230" t="s">
        <v>4669</v>
      </c>
      <c r="X230" t="s">
        <v>4670</v>
      </c>
      <c r="Y230" t="s">
        <v>4671</v>
      </c>
      <c r="Z230" t="s">
        <v>4672</v>
      </c>
      <c r="AA230" t="s">
        <v>74</v>
      </c>
      <c r="AB230" t="s">
        <v>4673</v>
      </c>
      <c r="AC230" t="s">
        <v>74</v>
      </c>
      <c r="AD230" t="s">
        <v>74</v>
      </c>
      <c r="AE230" t="s">
        <v>74</v>
      </c>
      <c r="AF230" t="s">
        <v>74</v>
      </c>
      <c r="AG230">
        <v>14</v>
      </c>
      <c r="AH230">
        <v>1</v>
      </c>
      <c r="AI230">
        <v>1</v>
      </c>
      <c r="AJ230">
        <v>16</v>
      </c>
      <c r="AK230">
        <v>16</v>
      </c>
      <c r="AL230" t="s">
        <v>438</v>
      </c>
      <c r="AM230" t="s">
        <v>439</v>
      </c>
      <c r="AN230" t="s">
        <v>440</v>
      </c>
      <c r="AO230" t="s">
        <v>4674</v>
      </c>
      <c r="AP230" t="s">
        <v>4675</v>
      </c>
      <c r="AQ230" t="s">
        <v>74</v>
      </c>
      <c r="AR230" t="s">
        <v>4676</v>
      </c>
      <c r="AS230" t="s">
        <v>4677</v>
      </c>
      <c r="AT230" t="s">
        <v>126</v>
      </c>
      <c r="AU230">
        <v>2024</v>
      </c>
      <c r="AV230">
        <v>43</v>
      </c>
      <c r="AW230">
        <v>2</v>
      </c>
      <c r="AX230" t="s">
        <v>74</v>
      </c>
      <c r="AY230" t="s">
        <v>74</v>
      </c>
      <c r="AZ230" t="s">
        <v>74</v>
      </c>
      <c r="BA230" t="s">
        <v>74</v>
      </c>
      <c r="BB230">
        <v>261</v>
      </c>
      <c r="BC230">
        <v>267</v>
      </c>
      <c r="BD230" t="s">
        <v>74</v>
      </c>
      <c r="BE230" t="s">
        <v>4678</v>
      </c>
      <c r="BF230" t="str">
        <f>HYPERLINK("http://dx.doi.org/10.1177/0261927X231220404","http://dx.doi.org/10.1177/0261927X231220404")</f>
        <v>http://dx.doi.org/10.1177/0261927X231220404</v>
      </c>
      <c r="BG230" t="s">
        <v>74</v>
      </c>
      <c r="BH230" t="s">
        <v>128</v>
      </c>
      <c r="BI230">
        <v>7</v>
      </c>
      <c r="BJ230" t="s">
        <v>4679</v>
      </c>
      <c r="BK230" t="s">
        <v>159</v>
      </c>
      <c r="BL230" t="s">
        <v>4680</v>
      </c>
      <c r="BM230" t="s">
        <v>4681</v>
      </c>
      <c r="BN230" t="s">
        <v>74</v>
      </c>
      <c r="BO230" t="s">
        <v>74</v>
      </c>
      <c r="BP230" t="s">
        <v>74</v>
      </c>
      <c r="BQ230" t="s">
        <v>74</v>
      </c>
      <c r="BR230" t="s">
        <v>101</v>
      </c>
      <c r="BS230" t="s">
        <v>4682</v>
      </c>
      <c r="BT230" t="str">
        <f>HYPERLINK("https%3A%2F%2Fwww.webofscience.com%2Fwos%2Fwoscc%2Ffull-record%2FWOS:001127456800001","View Full Record in Web of Science")</f>
        <v>View Full Record in Web of Science</v>
      </c>
    </row>
    <row r="231" spans="1:72" x14ac:dyDescent="0.2">
      <c r="A231" t="s">
        <v>103</v>
      </c>
      <c r="B231" t="s">
        <v>4683</v>
      </c>
      <c r="C231" t="s">
        <v>74</v>
      </c>
      <c r="D231" t="s">
        <v>74</v>
      </c>
      <c r="E231" t="s">
        <v>74</v>
      </c>
      <c r="F231" t="s">
        <v>4684</v>
      </c>
      <c r="G231" t="s">
        <v>74</v>
      </c>
      <c r="H231" t="s">
        <v>74</v>
      </c>
      <c r="I231" t="s">
        <v>4685</v>
      </c>
      <c r="J231" t="s">
        <v>4686</v>
      </c>
      <c r="K231" t="s">
        <v>74</v>
      </c>
      <c r="L231" t="s">
        <v>74</v>
      </c>
      <c r="M231" t="s">
        <v>79</v>
      </c>
      <c r="N231" t="s">
        <v>108</v>
      </c>
      <c r="O231" t="s">
        <v>74</v>
      </c>
      <c r="P231" t="s">
        <v>74</v>
      </c>
      <c r="Q231" t="s">
        <v>74</v>
      </c>
      <c r="R231" t="s">
        <v>74</v>
      </c>
      <c r="S231" t="s">
        <v>74</v>
      </c>
      <c r="T231" t="s">
        <v>4687</v>
      </c>
      <c r="U231" t="s">
        <v>4688</v>
      </c>
      <c r="V231" t="s">
        <v>4689</v>
      </c>
      <c r="W231" t="s">
        <v>4690</v>
      </c>
      <c r="X231" t="s">
        <v>4691</v>
      </c>
      <c r="Y231" t="s">
        <v>4692</v>
      </c>
      <c r="Z231" t="s">
        <v>4693</v>
      </c>
      <c r="AA231" t="s">
        <v>74</v>
      </c>
      <c r="AB231" t="s">
        <v>74</v>
      </c>
      <c r="AC231" t="s">
        <v>74</v>
      </c>
      <c r="AD231" t="s">
        <v>74</v>
      </c>
      <c r="AE231" t="s">
        <v>74</v>
      </c>
      <c r="AF231" t="s">
        <v>74</v>
      </c>
      <c r="AG231">
        <v>20</v>
      </c>
      <c r="AH231">
        <v>0</v>
      </c>
      <c r="AI231">
        <v>0</v>
      </c>
      <c r="AJ231">
        <v>14</v>
      </c>
      <c r="AK231">
        <v>14</v>
      </c>
      <c r="AL231" t="s">
        <v>2032</v>
      </c>
      <c r="AM231" t="s">
        <v>149</v>
      </c>
      <c r="AN231" t="s">
        <v>2033</v>
      </c>
      <c r="AO231" t="s">
        <v>74</v>
      </c>
      <c r="AP231" t="s">
        <v>4694</v>
      </c>
      <c r="AQ231" t="s">
        <v>74</v>
      </c>
      <c r="AR231" t="s">
        <v>4695</v>
      </c>
      <c r="AS231" t="s">
        <v>4696</v>
      </c>
      <c r="AT231" t="s">
        <v>4697</v>
      </c>
      <c r="AU231">
        <v>2023</v>
      </c>
      <c r="AV231">
        <v>15</v>
      </c>
      <c r="AW231">
        <v>12</v>
      </c>
      <c r="AX231" t="s">
        <v>74</v>
      </c>
      <c r="AY231" t="s">
        <v>74</v>
      </c>
      <c r="AZ231" t="s">
        <v>74</v>
      </c>
      <c r="BA231" t="s">
        <v>74</v>
      </c>
      <c r="BB231" t="s">
        <v>74</v>
      </c>
      <c r="BC231" t="s">
        <v>74</v>
      </c>
      <c r="BD231" t="s">
        <v>4698</v>
      </c>
      <c r="BE231" t="s">
        <v>4699</v>
      </c>
      <c r="BF231" t="str">
        <f>HYPERLINK("http://dx.doi.org/10.7759/cureus.49890","http://dx.doi.org/10.7759/cureus.49890")</f>
        <v>http://dx.doi.org/10.7759/cureus.49890</v>
      </c>
      <c r="BG231" t="s">
        <v>74</v>
      </c>
      <c r="BH231" t="s">
        <v>74</v>
      </c>
      <c r="BI231">
        <v>8</v>
      </c>
      <c r="BJ231" t="s">
        <v>3440</v>
      </c>
      <c r="BK231" t="s">
        <v>352</v>
      </c>
      <c r="BL231" t="s">
        <v>3441</v>
      </c>
      <c r="BM231" t="s">
        <v>4700</v>
      </c>
      <c r="BN231">
        <v>38174178</v>
      </c>
      <c r="BO231" t="s">
        <v>4185</v>
      </c>
      <c r="BP231" t="s">
        <v>74</v>
      </c>
      <c r="BQ231" t="s">
        <v>74</v>
      </c>
      <c r="BR231" t="s">
        <v>101</v>
      </c>
      <c r="BS231" t="s">
        <v>4701</v>
      </c>
      <c r="BT231" t="str">
        <f>HYPERLINK("https%3A%2F%2Fwww.webofscience.com%2Fwos%2Fwoscc%2Ffull-record%2FWOS:001122699000011","View Full Record in Web of Science")</f>
        <v>View Full Record in Web of Science</v>
      </c>
    </row>
    <row r="232" spans="1:72" x14ac:dyDescent="0.2">
      <c r="A232" t="s">
        <v>103</v>
      </c>
      <c r="B232" t="s">
        <v>4702</v>
      </c>
      <c r="C232" t="s">
        <v>74</v>
      </c>
      <c r="D232" t="s">
        <v>74</v>
      </c>
      <c r="E232" t="s">
        <v>74</v>
      </c>
      <c r="F232" t="s">
        <v>4703</v>
      </c>
      <c r="G232" t="s">
        <v>74</v>
      </c>
      <c r="H232" t="s">
        <v>74</v>
      </c>
      <c r="I232" t="s">
        <v>4704</v>
      </c>
      <c r="J232" t="s">
        <v>4705</v>
      </c>
      <c r="K232" t="s">
        <v>74</v>
      </c>
      <c r="L232" t="s">
        <v>74</v>
      </c>
      <c r="M232" t="s">
        <v>79</v>
      </c>
      <c r="N232" t="s">
        <v>108</v>
      </c>
      <c r="O232" t="s">
        <v>74</v>
      </c>
      <c r="P232" t="s">
        <v>74</v>
      </c>
      <c r="Q232" t="s">
        <v>74</v>
      </c>
      <c r="R232" t="s">
        <v>74</v>
      </c>
      <c r="S232" t="s">
        <v>74</v>
      </c>
      <c r="T232" t="s">
        <v>4706</v>
      </c>
      <c r="U232" t="s">
        <v>4707</v>
      </c>
      <c r="V232" t="s">
        <v>4708</v>
      </c>
      <c r="W232" t="s">
        <v>4709</v>
      </c>
      <c r="X232" t="s">
        <v>4710</v>
      </c>
      <c r="Y232" t="s">
        <v>4711</v>
      </c>
      <c r="Z232" t="s">
        <v>4712</v>
      </c>
      <c r="AA232" t="s">
        <v>74</v>
      </c>
      <c r="AB232" t="s">
        <v>4713</v>
      </c>
      <c r="AC232" t="s">
        <v>74</v>
      </c>
      <c r="AD232" t="s">
        <v>74</v>
      </c>
      <c r="AE232" t="s">
        <v>74</v>
      </c>
      <c r="AF232" t="s">
        <v>74</v>
      </c>
      <c r="AG232">
        <v>64</v>
      </c>
      <c r="AH232">
        <v>0</v>
      </c>
      <c r="AI232">
        <v>0</v>
      </c>
      <c r="AJ232">
        <v>7</v>
      </c>
      <c r="AK232">
        <v>7</v>
      </c>
      <c r="AL232" t="s">
        <v>764</v>
      </c>
      <c r="AM232" t="s">
        <v>765</v>
      </c>
      <c r="AN232" t="s">
        <v>766</v>
      </c>
      <c r="AO232" t="s">
        <v>4714</v>
      </c>
      <c r="AP232" t="s">
        <v>74</v>
      </c>
      <c r="AQ232" t="s">
        <v>74</v>
      </c>
      <c r="AR232" t="s">
        <v>4715</v>
      </c>
      <c r="AS232" t="s">
        <v>4716</v>
      </c>
      <c r="AT232" t="s">
        <v>527</v>
      </c>
      <c r="AU232">
        <v>2023</v>
      </c>
      <c r="AV232">
        <v>28</v>
      </c>
      <c r="AW232" t="s">
        <v>74</v>
      </c>
      <c r="AX232" t="s">
        <v>74</v>
      </c>
      <c r="AY232" t="s">
        <v>74</v>
      </c>
      <c r="AZ232" t="s">
        <v>74</v>
      </c>
      <c r="BA232" t="s">
        <v>74</v>
      </c>
      <c r="BB232" t="s">
        <v>74</v>
      </c>
      <c r="BC232" t="s">
        <v>74</v>
      </c>
      <c r="BD232">
        <v>100496</v>
      </c>
      <c r="BE232" t="s">
        <v>4717</v>
      </c>
      <c r="BF232" t="str">
        <f>HYPERLINK("http://dx.doi.org/10.1016/j.cobme.2023.100496","http://dx.doi.org/10.1016/j.cobme.2023.100496")</f>
        <v>http://dx.doi.org/10.1016/j.cobme.2023.100496</v>
      </c>
      <c r="BG232" t="s">
        <v>74</v>
      </c>
      <c r="BH232" t="s">
        <v>278</v>
      </c>
      <c r="BI232">
        <v>8</v>
      </c>
      <c r="BJ232" t="s">
        <v>4718</v>
      </c>
      <c r="BK232" t="s">
        <v>130</v>
      </c>
      <c r="BL232" t="s">
        <v>2823</v>
      </c>
      <c r="BM232" t="s">
        <v>4719</v>
      </c>
      <c r="BN232" t="s">
        <v>74</v>
      </c>
      <c r="BO232" t="s">
        <v>74</v>
      </c>
      <c r="BP232" t="s">
        <v>74</v>
      </c>
      <c r="BQ232" t="s">
        <v>74</v>
      </c>
      <c r="BR232" t="s">
        <v>101</v>
      </c>
      <c r="BS232" t="s">
        <v>4720</v>
      </c>
      <c r="BT232" t="str">
        <f>HYPERLINK("https%3A%2F%2Fwww.webofscience.com%2Fwos%2Fwoscc%2Ffull-record%2FWOS:001086242200001","View Full Record in Web of Science")</f>
        <v>View Full Record in Web of Science</v>
      </c>
    </row>
    <row r="233" spans="1:72" x14ac:dyDescent="0.2">
      <c r="A233" t="s">
        <v>72</v>
      </c>
      <c r="B233" t="s">
        <v>4721</v>
      </c>
      <c r="C233" t="s">
        <v>74</v>
      </c>
      <c r="D233" t="s">
        <v>74</v>
      </c>
      <c r="E233" t="s">
        <v>75</v>
      </c>
      <c r="F233" t="s">
        <v>4722</v>
      </c>
      <c r="G233" t="s">
        <v>74</v>
      </c>
      <c r="H233" t="s">
        <v>74</v>
      </c>
      <c r="I233" t="s">
        <v>4723</v>
      </c>
      <c r="J233" t="s">
        <v>1193</v>
      </c>
      <c r="K233" t="s">
        <v>74</v>
      </c>
      <c r="L233" t="s">
        <v>74</v>
      </c>
      <c r="M233" t="s">
        <v>79</v>
      </c>
      <c r="N233" t="s">
        <v>80</v>
      </c>
      <c r="O233" t="s">
        <v>1194</v>
      </c>
      <c r="P233" t="s">
        <v>1195</v>
      </c>
      <c r="Q233" t="s">
        <v>1196</v>
      </c>
      <c r="R233" t="s">
        <v>1197</v>
      </c>
      <c r="S233" t="s">
        <v>74</v>
      </c>
      <c r="T233" t="s">
        <v>4724</v>
      </c>
      <c r="U233" t="s">
        <v>4725</v>
      </c>
      <c r="V233" t="s">
        <v>4726</v>
      </c>
      <c r="W233" t="s">
        <v>4727</v>
      </c>
      <c r="X233" t="s">
        <v>4728</v>
      </c>
      <c r="Y233" t="s">
        <v>4729</v>
      </c>
      <c r="Z233" t="s">
        <v>4730</v>
      </c>
      <c r="AA233" t="s">
        <v>74</v>
      </c>
      <c r="AB233" t="s">
        <v>74</v>
      </c>
      <c r="AC233" t="s">
        <v>74</v>
      </c>
      <c r="AD233" t="s">
        <v>74</v>
      </c>
      <c r="AE233" t="s">
        <v>74</v>
      </c>
      <c r="AF233" t="s">
        <v>74</v>
      </c>
      <c r="AG233">
        <v>80</v>
      </c>
      <c r="AH233">
        <v>1</v>
      </c>
      <c r="AI233">
        <v>1</v>
      </c>
      <c r="AJ233">
        <v>3</v>
      </c>
      <c r="AK233">
        <v>3</v>
      </c>
      <c r="AL233" t="s">
        <v>92</v>
      </c>
      <c r="AM233" t="s">
        <v>93</v>
      </c>
      <c r="AN233" t="s">
        <v>94</v>
      </c>
      <c r="AO233" t="s">
        <v>74</v>
      </c>
      <c r="AP233" t="s">
        <v>74</v>
      </c>
      <c r="AQ233" t="s">
        <v>1209</v>
      </c>
      <c r="AR233" t="s">
        <v>74</v>
      </c>
      <c r="AS233" t="s">
        <v>74</v>
      </c>
      <c r="AT233" t="s">
        <v>74</v>
      </c>
      <c r="AU233">
        <v>2023</v>
      </c>
      <c r="AV233" t="s">
        <v>74</v>
      </c>
      <c r="AW233" t="s">
        <v>74</v>
      </c>
      <c r="AX233" t="s">
        <v>74</v>
      </c>
      <c r="AY233" t="s">
        <v>74</v>
      </c>
      <c r="AZ233" t="s">
        <v>74</v>
      </c>
      <c r="BA233" t="s">
        <v>74</v>
      </c>
      <c r="BB233">
        <v>596</v>
      </c>
      <c r="BC233">
        <v>605</v>
      </c>
      <c r="BD233" t="s">
        <v>74</v>
      </c>
      <c r="BE233" t="s">
        <v>4731</v>
      </c>
      <c r="BF233" t="str">
        <f>HYPERLINK("http://dx.doi.org/10.1145/3600211.3604694","http://dx.doi.org/10.1145/3600211.3604694")</f>
        <v>http://dx.doi.org/10.1145/3600211.3604694</v>
      </c>
      <c r="BG233" t="s">
        <v>74</v>
      </c>
      <c r="BH233" t="s">
        <v>74</v>
      </c>
      <c r="BI233">
        <v>10</v>
      </c>
      <c r="BJ233" t="s">
        <v>1211</v>
      </c>
      <c r="BK233" t="s">
        <v>180</v>
      </c>
      <c r="BL233" t="s">
        <v>1212</v>
      </c>
      <c r="BM233" t="s">
        <v>1213</v>
      </c>
      <c r="BN233" t="s">
        <v>74</v>
      </c>
      <c r="BO233" t="s">
        <v>161</v>
      </c>
      <c r="BP233" t="s">
        <v>74</v>
      </c>
      <c r="BQ233" t="s">
        <v>74</v>
      </c>
      <c r="BR233" t="s">
        <v>101</v>
      </c>
      <c r="BS233" t="s">
        <v>4732</v>
      </c>
      <c r="BT233" t="str">
        <f>HYPERLINK("https%3A%2F%2Fwww.webofscience.com%2Fwos%2Fwoscc%2Ffull-record%2FWOS:001117838100048","View Full Record in Web of Science")</f>
        <v>View Full Record in Web of Science</v>
      </c>
    </row>
    <row r="234" spans="1:72" x14ac:dyDescent="0.2">
      <c r="A234" t="s">
        <v>72</v>
      </c>
      <c r="B234" t="s">
        <v>4733</v>
      </c>
      <c r="C234" t="s">
        <v>74</v>
      </c>
      <c r="D234" t="s">
        <v>74</v>
      </c>
      <c r="E234" t="s">
        <v>75</v>
      </c>
      <c r="F234" t="s">
        <v>4734</v>
      </c>
      <c r="G234" t="s">
        <v>74</v>
      </c>
      <c r="H234" t="s">
        <v>74</v>
      </c>
      <c r="I234" t="s">
        <v>4735</v>
      </c>
      <c r="J234" t="s">
        <v>4736</v>
      </c>
      <c r="K234" t="s">
        <v>74</v>
      </c>
      <c r="L234" t="s">
        <v>74</v>
      </c>
      <c r="M234" t="s">
        <v>79</v>
      </c>
      <c r="N234" t="s">
        <v>80</v>
      </c>
      <c r="O234" t="s">
        <v>4737</v>
      </c>
      <c r="P234" t="s">
        <v>4738</v>
      </c>
      <c r="Q234" t="s">
        <v>4739</v>
      </c>
      <c r="R234" t="s">
        <v>4740</v>
      </c>
      <c r="S234" t="s">
        <v>74</v>
      </c>
      <c r="T234" t="s">
        <v>4741</v>
      </c>
      <c r="U234" t="s">
        <v>4742</v>
      </c>
      <c r="V234" t="s">
        <v>4743</v>
      </c>
      <c r="W234" t="s">
        <v>4744</v>
      </c>
      <c r="X234" t="s">
        <v>4745</v>
      </c>
      <c r="Y234" t="s">
        <v>4746</v>
      </c>
      <c r="Z234" t="s">
        <v>4747</v>
      </c>
      <c r="AA234" t="s">
        <v>4748</v>
      </c>
      <c r="AB234" t="s">
        <v>4749</v>
      </c>
      <c r="AC234" t="s">
        <v>4750</v>
      </c>
      <c r="AD234" t="s">
        <v>4751</v>
      </c>
      <c r="AE234" t="s">
        <v>4752</v>
      </c>
      <c r="AF234" t="s">
        <v>74</v>
      </c>
      <c r="AG234">
        <v>31</v>
      </c>
      <c r="AH234">
        <v>0</v>
      </c>
      <c r="AI234">
        <v>0</v>
      </c>
      <c r="AJ234">
        <v>1</v>
      </c>
      <c r="AK234">
        <v>1</v>
      </c>
      <c r="AL234" t="s">
        <v>92</v>
      </c>
      <c r="AM234" t="s">
        <v>93</v>
      </c>
      <c r="AN234" t="s">
        <v>94</v>
      </c>
      <c r="AO234" t="s">
        <v>74</v>
      </c>
      <c r="AP234" t="s">
        <v>74</v>
      </c>
      <c r="AQ234" t="s">
        <v>4753</v>
      </c>
      <c r="AR234" t="s">
        <v>74</v>
      </c>
      <c r="AS234" t="s">
        <v>74</v>
      </c>
      <c r="AT234" t="s">
        <v>74</v>
      </c>
      <c r="AU234">
        <v>2023</v>
      </c>
      <c r="AV234" t="s">
        <v>74</v>
      </c>
      <c r="AW234" t="s">
        <v>74</v>
      </c>
      <c r="AX234" t="s">
        <v>74</v>
      </c>
      <c r="AY234" t="s">
        <v>74</v>
      </c>
      <c r="AZ234" t="s">
        <v>74</v>
      </c>
      <c r="BA234" t="s">
        <v>74</v>
      </c>
      <c r="BB234">
        <v>21</v>
      </c>
      <c r="BC234">
        <v>32</v>
      </c>
      <c r="BD234" t="s">
        <v>74</v>
      </c>
      <c r="BE234" t="s">
        <v>4754</v>
      </c>
      <c r="BF234" t="str">
        <f>HYPERLINK("http://dx.doi.org/10.1145/3584372.3588656","http://dx.doi.org/10.1145/3584372.3588656")</f>
        <v>http://dx.doi.org/10.1145/3584372.3588656</v>
      </c>
      <c r="BG234" t="s">
        <v>74</v>
      </c>
      <c r="BH234" t="s">
        <v>74</v>
      </c>
      <c r="BI234">
        <v>12</v>
      </c>
      <c r="BJ234" t="s">
        <v>230</v>
      </c>
      <c r="BK234" t="s">
        <v>98</v>
      </c>
      <c r="BL234" t="s">
        <v>99</v>
      </c>
      <c r="BM234" t="s">
        <v>4755</v>
      </c>
      <c r="BN234" t="s">
        <v>74</v>
      </c>
      <c r="BO234" t="s">
        <v>646</v>
      </c>
      <c r="BP234" t="s">
        <v>74</v>
      </c>
      <c r="BQ234" t="s">
        <v>74</v>
      </c>
      <c r="BR234" t="s">
        <v>101</v>
      </c>
      <c r="BS234" t="s">
        <v>4756</v>
      </c>
      <c r="BT234" t="str">
        <f>HYPERLINK("https%3A%2F%2Fwww.webofscience.com%2Fwos%2Fwoscc%2Ffull-record%2FWOS:001119129400005","View Full Record in Web of Science")</f>
        <v>View Full Record in Web of Science</v>
      </c>
    </row>
    <row r="235" spans="1:72" x14ac:dyDescent="0.2">
      <c r="A235" t="s">
        <v>103</v>
      </c>
      <c r="B235" t="s">
        <v>4757</v>
      </c>
      <c r="C235" t="s">
        <v>74</v>
      </c>
      <c r="D235" t="s">
        <v>74</v>
      </c>
      <c r="E235" t="s">
        <v>74</v>
      </c>
      <c r="F235" t="s">
        <v>4758</v>
      </c>
      <c r="G235" t="s">
        <v>74</v>
      </c>
      <c r="H235" t="s">
        <v>74</v>
      </c>
      <c r="I235" t="s">
        <v>4759</v>
      </c>
      <c r="J235" t="s">
        <v>4760</v>
      </c>
      <c r="K235" t="s">
        <v>74</v>
      </c>
      <c r="L235" t="s">
        <v>74</v>
      </c>
      <c r="M235" t="s">
        <v>79</v>
      </c>
      <c r="N235" t="s">
        <v>108</v>
      </c>
      <c r="O235" t="s">
        <v>74</v>
      </c>
      <c r="P235" t="s">
        <v>74</v>
      </c>
      <c r="Q235" t="s">
        <v>74</v>
      </c>
      <c r="R235" t="s">
        <v>74</v>
      </c>
      <c r="S235" t="s">
        <v>74</v>
      </c>
      <c r="T235" t="s">
        <v>4761</v>
      </c>
      <c r="U235" t="s">
        <v>4762</v>
      </c>
      <c r="V235" t="s">
        <v>4763</v>
      </c>
      <c r="W235" t="s">
        <v>4764</v>
      </c>
      <c r="X235" t="s">
        <v>4765</v>
      </c>
      <c r="Y235" t="s">
        <v>4766</v>
      </c>
      <c r="Z235" t="s">
        <v>4767</v>
      </c>
      <c r="AA235" t="s">
        <v>74</v>
      </c>
      <c r="AB235" t="s">
        <v>74</v>
      </c>
      <c r="AC235" t="s">
        <v>74</v>
      </c>
      <c r="AD235" t="s">
        <v>74</v>
      </c>
      <c r="AE235" t="s">
        <v>74</v>
      </c>
      <c r="AF235" t="s">
        <v>74</v>
      </c>
      <c r="AG235">
        <v>38</v>
      </c>
      <c r="AH235">
        <v>0</v>
      </c>
      <c r="AI235">
        <v>0</v>
      </c>
      <c r="AJ235">
        <v>0</v>
      </c>
      <c r="AK235">
        <v>0</v>
      </c>
      <c r="AL235" t="s">
        <v>438</v>
      </c>
      <c r="AM235" t="s">
        <v>439</v>
      </c>
      <c r="AN235" t="s">
        <v>440</v>
      </c>
      <c r="AO235" t="s">
        <v>4768</v>
      </c>
      <c r="AP235" t="s">
        <v>4769</v>
      </c>
      <c r="AQ235" t="s">
        <v>74</v>
      </c>
      <c r="AR235" t="s">
        <v>4770</v>
      </c>
      <c r="AS235" t="s">
        <v>4771</v>
      </c>
      <c r="AT235" t="s">
        <v>791</v>
      </c>
      <c r="AU235">
        <v>2023</v>
      </c>
      <c r="AV235">
        <v>29</v>
      </c>
      <c r="AW235">
        <v>4</v>
      </c>
      <c r="AX235" t="s">
        <v>74</v>
      </c>
      <c r="AY235" t="s">
        <v>74</v>
      </c>
      <c r="AZ235" t="s">
        <v>74</v>
      </c>
      <c r="BA235" t="s">
        <v>74</v>
      </c>
      <c r="BB235">
        <v>1054</v>
      </c>
      <c r="BC235">
        <v>1069</v>
      </c>
      <c r="BD235" t="s">
        <v>74</v>
      </c>
      <c r="BE235" t="s">
        <v>4772</v>
      </c>
      <c r="BF235" t="str">
        <f>HYPERLINK("http://dx.doi.org/10.1177/13548565231187730","http://dx.doi.org/10.1177/13548565231187730")</f>
        <v>http://dx.doi.org/10.1177/13548565231187730</v>
      </c>
      <c r="BG235" t="s">
        <v>74</v>
      </c>
      <c r="BH235" t="s">
        <v>74</v>
      </c>
      <c r="BI235">
        <v>16</v>
      </c>
      <c r="BJ235" t="s">
        <v>158</v>
      </c>
      <c r="BK235" t="s">
        <v>159</v>
      </c>
      <c r="BL235" t="s">
        <v>158</v>
      </c>
      <c r="BM235" t="s">
        <v>4773</v>
      </c>
      <c r="BN235" t="s">
        <v>74</v>
      </c>
      <c r="BO235" t="s">
        <v>161</v>
      </c>
      <c r="BP235" t="s">
        <v>74</v>
      </c>
      <c r="BQ235" t="s">
        <v>74</v>
      </c>
      <c r="BR235" t="s">
        <v>101</v>
      </c>
      <c r="BS235" t="s">
        <v>4774</v>
      </c>
      <c r="BT235" t="str">
        <f>HYPERLINK("https%3A%2F%2Fwww.webofscience.com%2Fwos%2Fwoscc%2Ffull-record%2FWOS:001185830500015","View Full Record in Web of Science")</f>
        <v>View Full Record in Web of Science</v>
      </c>
    </row>
    <row r="236" spans="1:72" x14ac:dyDescent="0.2">
      <c r="A236" t="s">
        <v>103</v>
      </c>
      <c r="B236" t="s">
        <v>4775</v>
      </c>
      <c r="C236" t="s">
        <v>74</v>
      </c>
      <c r="D236" t="s">
        <v>74</v>
      </c>
      <c r="E236" t="s">
        <v>74</v>
      </c>
      <c r="F236" t="s">
        <v>4776</v>
      </c>
      <c r="G236" t="s">
        <v>74</v>
      </c>
      <c r="H236" t="s">
        <v>74</v>
      </c>
      <c r="I236" t="s">
        <v>4777</v>
      </c>
      <c r="J236" t="s">
        <v>4778</v>
      </c>
      <c r="K236" t="s">
        <v>74</v>
      </c>
      <c r="L236" t="s">
        <v>74</v>
      </c>
      <c r="M236" t="s">
        <v>79</v>
      </c>
      <c r="N236" t="s">
        <v>4779</v>
      </c>
      <c r="O236" t="s">
        <v>4780</v>
      </c>
      <c r="P236" t="s">
        <v>914</v>
      </c>
      <c r="Q236" t="s">
        <v>4781</v>
      </c>
      <c r="R236" t="s">
        <v>4782</v>
      </c>
      <c r="S236" t="s">
        <v>74</v>
      </c>
      <c r="T236" t="s">
        <v>4783</v>
      </c>
      <c r="U236" t="s">
        <v>4784</v>
      </c>
      <c r="V236" t="s">
        <v>4785</v>
      </c>
      <c r="W236" t="s">
        <v>4786</v>
      </c>
      <c r="X236" t="s">
        <v>4787</v>
      </c>
      <c r="Y236" t="s">
        <v>4788</v>
      </c>
      <c r="Z236" t="s">
        <v>4789</v>
      </c>
      <c r="AA236" t="s">
        <v>74</v>
      </c>
      <c r="AB236" t="s">
        <v>4790</v>
      </c>
      <c r="AC236" t="s">
        <v>4791</v>
      </c>
      <c r="AD236" t="s">
        <v>4792</v>
      </c>
      <c r="AE236" t="s">
        <v>4793</v>
      </c>
      <c r="AF236" t="s">
        <v>74</v>
      </c>
      <c r="AG236">
        <v>64</v>
      </c>
      <c r="AH236">
        <v>0</v>
      </c>
      <c r="AI236">
        <v>0</v>
      </c>
      <c r="AJ236">
        <v>4</v>
      </c>
      <c r="AK236">
        <v>4</v>
      </c>
      <c r="AL236" t="s">
        <v>92</v>
      </c>
      <c r="AM236" t="s">
        <v>93</v>
      </c>
      <c r="AN236" t="s">
        <v>3186</v>
      </c>
      <c r="AO236" t="s">
        <v>4794</v>
      </c>
      <c r="AP236" t="s">
        <v>4795</v>
      </c>
      <c r="AQ236" t="s">
        <v>74</v>
      </c>
      <c r="AR236" t="s">
        <v>4796</v>
      </c>
      <c r="AS236" t="s">
        <v>4797</v>
      </c>
      <c r="AT236" t="s">
        <v>791</v>
      </c>
      <c r="AU236">
        <v>2023</v>
      </c>
      <c r="AV236">
        <v>42</v>
      </c>
      <c r="AW236">
        <v>4</v>
      </c>
      <c r="AX236" t="s">
        <v>74</v>
      </c>
      <c r="AY236" t="s">
        <v>74</v>
      </c>
      <c r="AZ236" t="s">
        <v>74</v>
      </c>
      <c r="BA236" t="s">
        <v>74</v>
      </c>
      <c r="BB236" t="s">
        <v>74</v>
      </c>
      <c r="BC236" t="s">
        <v>74</v>
      </c>
      <c r="BD236">
        <v>94</v>
      </c>
      <c r="BE236" t="s">
        <v>4798</v>
      </c>
      <c r="BF236" t="str">
        <f>HYPERLINK("http://dx.doi.org/10.1145/3592395","http://dx.doi.org/10.1145/3592395")</f>
        <v>http://dx.doi.org/10.1145/3592395</v>
      </c>
      <c r="BG236" t="s">
        <v>74</v>
      </c>
      <c r="BH236" t="s">
        <v>74</v>
      </c>
      <c r="BI236">
        <v>12</v>
      </c>
      <c r="BJ236" t="s">
        <v>1563</v>
      </c>
      <c r="BK236" t="s">
        <v>4799</v>
      </c>
      <c r="BL236" t="s">
        <v>99</v>
      </c>
      <c r="BM236" t="s">
        <v>4800</v>
      </c>
      <c r="BN236" t="s">
        <v>74</v>
      </c>
      <c r="BO236" t="s">
        <v>74</v>
      </c>
      <c r="BP236" t="s">
        <v>74</v>
      </c>
      <c r="BQ236" t="s">
        <v>74</v>
      </c>
      <c r="BR236" t="s">
        <v>101</v>
      </c>
      <c r="BS236" t="s">
        <v>4801</v>
      </c>
      <c r="BT236" t="str">
        <f>HYPERLINK("https%3A%2F%2Fwww.webofscience.com%2Fwos%2Fwoscc%2Ffull-record%2FWOS:001044671300060","View Full Record in Web of Science")</f>
        <v>View Full Record in Web of Science</v>
      </c>
    </row>
    <row r="237" spans="1:72" x14ac:dyDescent="0.2">
      <c r="A237" t="s">
        <v>103</v>
      </c>
      <c r="B237" t="s">
        <v>4802</v>
      </c>
      <c r="C237" t="s">
        <v>74</v>
      </c>
      <c r="D237" t="s">
        <v>74</v>
      </c>
      <c r="E237" t="s">
        <v>74</v>
      </c>
      <c r="F237" t="s">
        <v>4803</v>
      </c>
      <c r="G237" t="s">
        <v>74</v>
      </c>
      <c r="H237" t="s">
        <v>74</v>
      </c>
      <c r="I237" t="s">
        <v>4804</v>
      </c>
      <c r="J237" t="s">
        <v>4805</v>
      </c>
      <c r="K237" t="s">
        <v>74</v>
      </c>
      <c r="L237" t="s">
        <v>74</v>
      </c>
      <c r="M237" t="s">
        <v>79</v>
      </c>
      <c r="N237" t="s">
        <v>108</v>
      </c>
      <c r="O237" t="s">
        <v>74</v>
      </c>
      <c r="P237" t="s">
        <v>74</v>
      </c>
      <c r="Q237" t="s">
        <v>74</v>
      </c>
      <c r="R237" t="s">
        <v>74</v>
      </c>
      <c r="S237" t="s">
        <v>74</v>
      </c>
      <c r="T237" t="s">
        <v>4806</v>
      </c>
      <c r="U237" t="s">
        <v>74</v>
      </c>
      <c r="V237" t="s">
        <v>4807</v>
      </c>
      <c r="W237" t="s">
        <v>4808</v>
      </c>
      <c r="X237" t="s">
        <v>74</v>
      </c>
      <c r="Y237" t="s">
        <v>4809</v>
      </c>
      <c r="Z237" t="s">
        <v>4810</v>
      </c>
      <c r="AA237" t="s">
        <v>74</v>
      </c>
      <c r="AB237" t="s">
        <v>74</v>
      </c>
      <c r="AC237" t="s">
        <v>74</v>
      </c>
      <c r="AD237" t="s">
        <v>74</v>
      </c>
      <c r="AE237" t="s">
        <v>74</v>
      </c>
      <c r="AF237" t="s">
        <v>74</v>
      </c>
      <c r="AG237">
        <v>28</v>
      </c>
      <c r="AH237">
        <v>0</v>
      </c>
      <c r="AI237">
        <v>0</v>
      </c>
      <c r="AJ237">
        <v>1</v>
      </c>
      <c r="AK237">
        <v>1</v>
      </c>
      <c r="AL237" t="s">
        <v>343</v>
      </c>
      <c r="AM237" t="s">
        <v>93</v>
      </c>
      <c r="AN237" t="s">
        <v>344</v>
      </c>
      <c r="AO237" t="s">
        <v>4811</v>
      </c>
      <c r="AP237" t="s">
        <v>4812</v>
      </c>
      <c r="AQ237" t="s">
        <v>74</v>
      </c>
      <c r="AR237" t="s">
        <v>4813</v>
      </c>
      <c r="AS237" t="s">
        <v>4814</v>
      </c>
      <c r="AT237" t="s">
        <v>251</v>
      </c>
      <c r="AU237">
        <v>2024</v>
      </c>
      <c r="AV237">
        <v>39</v>
      </c>
      <c r="AW237">
        <v>1</v>
      </c>
      <c r="AX237" t="s">
        <v>74</v>
      </c>
      <c r="AY237" t="s">
        <v>74</v>
      </c>
      <c r="AZ237" t="s">
        <v>253</v>
      </c>
      <c r="BA237" t="s">
        <v>74</v>
      </c>
      <c r="BB237">
        <v>43</v>
      </c>
      <c r="BC237">
        <v>51</v>
      </c>
      <c r="BD237" t="s">
        <v>74</v>
      </c>
      <c r="BE237" t="s">
        <v>4815</v>
      </c>
      <c r="BF237" t="str">
        <f>HYPERLINK("http://dx.doi.org/10.1007/s00146-023-01762-6","http://dx.doi.org/10.1007/s00146-023-01762-6")</f>
        <v>http://dx.doi.org/10.1007/s00146-023-01762-6</v>
      </c>
      <c r="BG237" t="s">
        <v>74</v>
      </c>
      <c r="BH237" t="s">
        <v>278</v>
      </c>
      <c r="BI237">
        <v>9</v>
      </c>
      <c r="BJ237" t="s">
        <v>304</v>
      </c>
      <c r="BK237" t="s">
        <v>352</v>
      </c>
      <c r="BL237" t="s">
        <v>99</v>
      </c>
      <c r="BM237" t="s">
        <v>4816</v>
      </c>
      <c r="BN237" t="s">
        <v>74</v>
      </c>
      <c r="BO237" t="s">
        <v>74</v>
      </c>
      <c r="BP237" t="s">
        <v>74</v>
      </c>
      <c r="BQ237" t="s">
        <v>74</v>
      </c>
      <c r="BR237" t="s">
        <v>101</v>
      </c>
      <c r="BS237" t="s">
        <v>4817</v>
      </c>
      <c r="BT237" t="str">
        <f>HYPERLINK("https%3A%2F%2Fwww.webofscience.com%2Fwos%2Fwoscc%2Ffull-record%2FWOS:001069069900001","View Full Record in Web of Science")</f>
        <v>View Full Record in Web of Science</v>
      </c>
    </row>
    <row r="238" spans="1:72" x14ac:dyDescent="0.2">
      <c r="A238" t="s">
        <v>72</v>
      </c>
      <c r="B238" t="s">
        <v>4818</v>
      </c>
      <c r="C238" t="s">
        <v>74</v>
      </c>
      <c r="D238" t="s">
        <v>74</v>
      </c>
      <c r="E238" t="s">
        <v>284</v>
      </c>
      <c r="F238" t="s">
        <v>4819</v>
      </c>
      <c r="G238" t="s">
        <v>74</v>
      </c>
      <c r="H238" t="s">
        <v>74</v>
      </c>
      <c r="I238" t="s">
        <v>4820</v>
      </c>
      <c r="J238" t="s">
        <v>4821</v>
      </c>
      <c r="K238" t="s">
        <v>4822</v>
      </c>
      <c r="L238" t="s">
        <v>74</v>
      </c>
      <c r="M238" t="s">
        <v>79</v>
      </c>
      <c r="N238" t="s">
        <v>80</v>
      </c>
      <c r="O238" t="s">
        <v>4823</v>
      </c>
      <c r="P238" t="s">
        <v>3682</v>
      </c>
      <c r="Q238" t="s">
        <v>4824</v>
      </c>
      <c r="R238" t="s">
        <v>4825</v>
      </c>
      <c r="S238" t="s">
        <v>74</v>
      </c>
      <c r="T238" t="s">
        <v>4826</v>
      </c>
      <c r="U238" t="s">
        <v>74</v>
      </c>
      <c r="V238" t="s">
        <v>4827</v>
      </c>
      <c r="W238" t="s">
        <v>4828</v>
      </c>
      <c r="X238" t="s">
        <v>4829</v>
      </c>
      <c r="Y238" t="s">
        <v>4830</v>
      </c>
      <c r="Z238" t="s">
        <v>4831</v>
      </c>
      <c r="AA238" t="s">
        <v>4832</v>
      </c>
      <c r="AB238" t="s">
        <v>4833</v>
      </c>
      <c r="AC238" t="s">
        <v>74</v>
      </c>
      <c r="AD238" t="s">
        <v>74</v>
      </c>
      <c r="AE238" t="s">
        <v>74</v>
      </c>
      <c r="AF238" t="s">
        <v>74</v>
      </c>
      <c r="AG238">
        <v>16</v>
      </c>
      <c r="AH238">
        <v>0</v>
      </c>
      <c r="AI238">
        <v>0</v>
      </c>
      <c r="AJ238">
        <v>6</v>
      </c>
      <c r="AK238">
        <v>6</v>
      </c>
      <c r="AL238" t="s">
        <v>638</v>
      </c>
      <c r="AM238" t="s">
        <v>639</v>
      </c>
      <c r="AN238" t="s">
        <v>640</v>
      </c>
      <c r="AO238" t="s">
        <v>4834</v>
      </c>
      <c r="AP238" t="s">
        <v>74</v>
      </c>
      <c r="AQ238" t="s">
        <v>4835</v>
      </c>
      <c r="AR238" t="s">
        <v>4836</v>
      </c>
      <c r="AS238" t="s">
        <v>74</v>
      </c>
      <c r="AT238" t="s">
        <v>74</v>
      </c>
      <c r="AU238">
        <v>2023</v>
      </c>
      <c r="AV238" t="s">
        <v>74</v>
      </c>
      <c r="AW238" t="s">
        <v>74</v>
      </c>
      <c r="AX238" t="s">
        <v>74</v>
      </c>
      <c r="AY238" t="s">
        <v>74</v>
      </c>
      <c r="AZ238" t="s">
        <v>74</v>
      </c>
      <c r="BA238" t="s">
        <v>74</v>
      </c>
      <c r="BB238">
        <v>41</v>
      </c>
      <c r="BC238">
        <v>43</v>
      </c>
      <c r="BD238" t="s">
        <v>74</v>
      </c>
      <c r="BE238" t="s">
        <v>4837</v>
      </c>
      <c r="BF238" t="str">
        <f>HYPERLINK("http://dx.doi.org/10.1109/ProComm57838.2023.00006","http://dx.doi.org/10.1109/ProComm57838.2023.00006")</f>
        <v>http://dx.doi.org/10.1109/ProComm57838.2023.00006</v>
      </c>
      <c r="BG238" t="s">
        <v>74</v>
      </c>
      <c r="BH238" t="s">
        <v>74</v>
      </c>
      <c r="BI238">
        <v>3</v>
      </c>
      <c r="BJ238" t="s">
        <v>4838</v>
      </c>
      <c r="BK238" t="s">
        <v>180</v>
      </c>
      <c r="BL238" t="s">
        <v>4839</v>
      </c>
      <c r="BM238" t="s">
        <v>4840</v>
      </c>
      <c r="BN238" t="s">
        <v>74</v>
      </c>
      <c r="BO238" t="s">
        <v>74</v>
      </c>
      <c r="BP238" t="s">
        <v>74</v>
      </c>
      <c r="BQ238" t="s">
        <v>74</v>
      </c>
      <c r="BR238" t="s">
        <v>101</v>
      </c>
      <c r="BS238" t="s">
        <v>4841</v>
      </c>
      <c r="BT238" t="str">
        <f>HYPERLINK("https%3A%2F%2Fwww.webofscience.com%2Fwos%2Fwoscc%2Ffull-record%2FWOS:001062047300008","View Full Record in Web of Science")</f>
        <v>View Full Record in Web of Science</v>
      </c>
    </row>
    <row r="239" spans="1:72" x14ac:dyDescent="0.2">
      <c r="A239" t="s">
        <v>103</v>
      </c>
      <c r="B239" t="s">
        <v>4842</v>
      </c>
      <c r="C239" t="s">
        <v>74</v>
      </c>
      <c r="D239" t="s">
        <v>74</v>
      </c>
      <c r="E239" t="s">
        <v>74</v>
      </c>
      <c r="F239" t="s">
        <v>4843</v>
      </c>
      <c r="G239" t="s">
        <v>74</v>
      </c>
      <c r="H239" t="s">
        <v>74</v>
      </c>
      <c r="I239" t="s">
        <v>4844</v>
      </c>
      <c r="J239" t="s">
        <v>4845</v>
      </c>
      <c r="K239" t="s">
        <v>74</v>
      </c>
      <c r="L239" t="s">
        <v>74</v>
      </c>
      <c r="M239" t="s">
        <v>79</v>
      </c>
      <c r="N239" t="s">
        <v>138</v>
      </c>
      <c r="O239" t="s">
        <v>74</v>
      </c>
      <c r="P239" t="s">
        <v>74</v>
      </c>
      <c r="Q239" t="s">
        <v>74</v>
      </c>
      <c r="R239" t="s">
        <v>74</v>
      </c>
      <c r="S239" t="s">
        <v>74</v>
      </c>
      <c r="T239" t="s">
        <v>4846</v>
      </c>
      <c r="U239" t="s">
        <v>4847</v>
      </c>
      <c r="V239" t="s">
        <v>4848</v>
      </c>
      <c r="W239" t="s">
        <v>4849</v>
      </c>
      <c r="X239" t="s">
        <v>4850</v>
      </c>
      <c r="Y239" t="s">
        <v>4851</v>
      </c>
      <c r="Z239" t="s">
        <v>4852</v>
      </c>
      <c r="AA239" t="s">
        <v>74</v>
      </c>
      <c r="AB239" t="s">
        <v>4853</v>
      </c>
      <c r="AC239" t="s">
        <v>4854</v>
      </c>
      <c r="AD239" t="s">
        <v>4855</v>
      </c>
      <c r="AE239" t="s">
        <v>4856</v>
      </c>
      <c r="AF239" t="s">
        <v>74</v>
      </c>
      <c r="AG239">
        <v>108</v>
      </c>
      <c r="AH239">
        <v>1</v>
      </c>
      <c r="AI239">
        <v>1</v>
      </c>
      <c r="AJ239">
        <v>68</v>
      </c>
      <c r="AK239">
        <v>68</v>
      </c>
      <c r="AL239" t="s">
        <v>343</v>
      </c>
      <c r="AM239" t="s">
        <v>93</v>
      </c>
      <c r="AN239" t="s">
        <v>344</v>
      </c>
      <c r="AO239" t="s">
        <v>4857</v>
      </c>
      <c r="AP239" t="s">
        <v>4858</v>
      </c>
      <c r="AQ239" t="s">
        <v>74</v>
      </c>
      <c r="AR239" t="s">
        <v>4859</v>
      </c>
      <c r="AS239" t="s">
        <v>4860</v>
      </c>
      <c r="AT239" t="s">
        <v>1014</v>
      </c>
      <c r="AU239">
        <v>2023</v>
      </c>
      <c r="AV239" t="s">
        <v>74</v>
      </c>
      <c r="AW239" t="s">
        <v>74</v>
      </c>
      <c r="AX239" t="s">
        <v>74</v>
      </c>
      <c r="AY239" t="s">
        <v>74</v>
      </c>
      <c r="AZ239" t="s">
        <v>74</v>
      </c>
      <c r="BA239" t="s">
        <v>74</v>
      </c>
      <c r="BB239" t="s">
        <v>74</v>
      </c>
      <c r="BC239" t="s">
        <v>74</v>
      </c>
      <c r="BD239" t="s">
        <v>74</v>
      </c>
      <c r="BE239" t="s">
        <v>4861</v>
      </c>
      <c r="BF239" t="str">
        <f>HYPERLINK("http://dx.doi.org/10.1007/s10869-023-09910-x","http://dx.doi.org/10.1007/s10869-023-09910-x")</f>
        <v>http://dx.doi.org/10.1007/s10869-023-09910-x</v>
      </c>
      <c r="BG239" t="s">
        <v>74</v>
      </c>
      <c r="BH239" t="s">
        <v>278</v>
      </c>
      <c r="BI239">
        <v>14</v>
      </c>
      <c r="BJ239" t="s">
        <v>1629</v>
      </c>
      <c r="BK239" t="s">
        <v>159</v>
      </c>
      <c r="BL239" t="s">
        <v>1630</v>
      </c>
      <c r="BM239" t="s">
        <v>4862</v>
      </c>
      <c r="BN239" t="s">
        <v>74</v>
      </c>
      <c r="BO239" t="s">
        <v>4863</v>
      </c>
      <c r="BP239" t="s">
        <v>74</v>
      </c>
      <c r="BQ239" t="s">
        <v>74</v>
      </c>
      <c r="BR239" t="s">
        <v>101</v>
      </c>
      <c r="BS239" t="s">
        <v>4864</v>
      </c>
      <c r="BT239" t="str">
        <f>HYPERLINK("https%3A%2F%2Fwww.webofscience.com%2Fwos%2Fwoscc%2Ffull-record%2FWOS:001065378100001","View Full Record in Web of Science")</f>
        <v>View Full Record in Web of Science</v>
      </c>
    </row>
    <row r="240" spans="1:72" x14ac:dyDescent="0.2">
      <c r="A240" t="s">
        <v>103</v>
      </c>
      <c r="B240" t="s">
        <v>4865</v>
      </c>
      <c r="C240" t="s">
        <v>74</v>
      </c>
      <c r="D240" t="s">
        <v>74</v>
      </c>
      <c r="E240" t="s">
        <v>74</v>
      </c>
      <c r="F240" t="s">
        <v>4866</v>
      </c>
      <c r="G240" t="s">
        <v>74</v>
      </c>
      <c r="H240" t="s">
        <v>74</v>
      </c>
      <c r="I240" t="s">
        <v>4867</v>
      </c>
      <c r="J240" t="s">
        <v>4868</v>
      </c>
      <c r="K240" t="s">
        <v>74</v>
      </c>
      <c r="L240" t="s">
        <v>74</v>
      </c>
      <c r="M240" t="s">
        <v>79</v>
      </c>
      <c r="N240" t="s">
        <v>108</v>
      </c>
      <c r="O240" t="s">
        <v>74</v>
      </c>
      <c r="P240" t="s">
        <v>74</v>
      </c>
      <c r="Q240" t="s">
        <v>74</v>
      </c>
      <c r="R240" t="s">
        <v>74</v>
      </c>
      <c r="S240" t="s">
        <v>74</v>
      </c>
      <c r="T240" t="s">
        <v>4869</v>
      </c>
      <c r="U240" t="s">
        <v>74</v>
      </c>
      <c r="V240" t="s">
        <v>4870</v>
      </c>
      <c r="W240" t="s">
        <v>4871</v>
      </c>
      <c r="X240" t="s">
        <v>4872</v>
      </c>
      <c r="Y240" t="s">
        <v>4873</v>
      </c>
      <c r="Z240" t="s">
        <v>74</v>
      </c>
      <c r="AA240" t="s">
        <v>74</v>
      </c>
      <c r="AB240" t="s">
        <v>4874</v>
      </c>
      <c r="AC240" t="s">
        <v>74</v>
      </c>
      <c r="AD240" t="s">
        <v>74</v>
      </c>
      <c r="AE240" t="s">
        <v>74</v>
      </c>
      <c r="AF240" t="s">
        <v>74</v>
      </c>
      <c r="AG240">
        <v>109</v>
      </c>
      <c r="AH240">
        <v>0</v>
      </c>
      <c r="AI240">
        <v>0</v>
      </c>
      <c r="AJ240">
        <v>29</v>
      </c>
      <c r="AK240">
        <v>29</v>
      </c>
      <c r="AL240" t="s">
        <v>4875</v>
      </c>
      <c r="AM240" t="s">
        <v>4876</v>
      </c>
      <c r="AN240" t="s">
        <v>4877</v>
      </c>
      <c r="AO240" t="s">
        <v>4878</v>
      </c>
      <c r="AP240" t="s">
        <v>4879</v>
      </c>
      <c r="AQ240" t="s">
        <v>74</v>
      </c>
      <c r="AR240" t="s">
        <v>4880</v>
      </c>
      <c r="AS240" t="s">
        <v>4881</v>
      </c>
      <c r="AT240" t="s">
        <v>467</v>
      </c>
      <c r="AU240">
        <v>2023</v>
      </c>
      <c r="AV240">
        <v>17</v>
      </c>
      <c r="AW240">
        <v>2</v>
      </c>
      <c r="AX240" t="s">
        <v>74</v>
      </c>
      <c r="AY240" t="s">
        <v>74</v>
      </c>
      <c r="AZ240" t="s">
        <v>253</v>
      </c>
      <c r="BA240" t="s">
        <v>74</v>
      </c>
      <c r="BB240">
        <v>147</v>
      </c>
      <c r="BC240">
        <v>167</v>
      </c>
      <c r="BD240" t="s">
        <v>74</v>
      </c>
      <c r="BE240" t="s">
        <v>4882</v>
      </c>
      <c r="BF240" t="str">
        <f>HYPERLINK("http://dx.doi.org/10.3366/ijhac.2023.0310","http://dx.doi.org/10.3366/ijhac.2023.0310")</f>
        <v>http://dx.doi.org/10.3366/ijhac.2023.0310</v>
      </c>
      <c r="BG240" t="s">
        <v>74</v>
      </c>
      <c r="BH240" t="s">
        <v>74</v>
      </c>
      <c r="BI240">
        <v>21</v>
      </c>
      <c r="BJ240" t="s">
        <v>4883</v>
      </c>
      <c r="BK240" t="s">
        <v>2649</v>
      </c>
      <c r="BL240" t="s">
        <v>4884</v>
      </c>
      <c r="BM240" t="s">
        <v>4885</v>
      </c>
      <c r="BN240" t="s">
        <v>74</v>
      </c>
      <c r="BO240" t="s">
        <v>74</v>
      </c>
      <c r="BP240" t="s">
        <v>74</v>
      </c>
      <c r="BQ240" t="s">
        <v>74</v>
      </c>
      <c r="BR240" t="s">
        <v>101</v>
      </c>
      <c r="BS240" t="s">
        <v>4886</v>
      </c>
      <c r="BT240" t="str">
        <f>HYPERLINK("https%3A%2F%2Fwww.webofscience.com%2Fwos%2Fwoscc%2Ffull-record%2FWOS:001087046600008","View Full Record in Web of Science")</f>
        <v>View Full Record in Web of Science</v>
      </c>
    </row>
    <row r="241" spans="1:72" x14ac:dyDescent="0.2">
      <c r="A241" t="s">
        <v>103</v>
      </c>
      <c r="B241" t="s">
        <v>4887</v>
      </c>
      <c r="C241" t="s">
        <v>74</v>
      </c>
      <c r="D241" t="s">
        <v>74</v>
      </c>
      <c r="E241" t="s">
        <v>74</v>
      </c>
      <c r="F241" t="s">
        <v>4888</v>
      </c>
      <c r="G241" t="s">
        <v>74</v>
      </c>
      <c r="H241" t="s">
        <v>74</v>
      </c>
      <c r="I241" t="s">
        <v>4889</v>
      </c>
      <c r="J241" t="s">
        <v>4890</v>
      </c>
      <c r="K241" t="s">
        <v>74</v>
      </c>
      <c r="L241" t="s">
        <v>74</v>
      </c>
      <c r="M241" t="s">
        <v>79</v>
      </c>
      <c r="N241" t="s">
        <v>108</v>
      </c>
      <c r="O241" t="s">
        <v>74</v>
      </c>
      <c r="P241" t="s">
        <v>74</v>
      </c>
      <c r="Q241" t="s">
        <v>74</v>
      </c>
      <c r="R241" t="s">
        <v>74</v>
      </c>
      <c r="S241" t="s">
        <v>74</v>
      </c>
      <c r="T241" t="s">
        <v>4891</v>
      </c>
      <c r="U241" t="s">
        <v>74</v>
      </c>
      <c r="V241" t="s">
        <v>4892</v>
      </c>
      <c r="W241" t="s">
        <v>4893</v>
      </c>
      <c r="X241" t="s">
        <v>4894</v>
      </c>
      <c r="Y241" t="s">
        <v>4895</v>
      </c>
      <c r="Z241" t="s">
        <v>4896</v>
      </c>
      <c r="AA241" t="s">
        <v>74</v>
      </c>
      <c r="AB241" t="s">
        <v>74</v>
      </c>
      <c r="AC241" t="s">
        <v>74</v>
      </c>
      <c r="AD241" t="s">
        <v>74</v>
      </c>
      <c r="AE241" t="s">
        <v>74</v>
      </c>
      <c r="AF241" t="s">
        <v>74</v>
      </c>
      <c r="AG241">
        <v>14</v>
      </c>
      <c r="AH241">
        <v>0</v>
      </c>
      <c r="AI241">
        <v>0</v>
      </c>
      <c r="AJ241">
        <v>1</v>
      </c>
      <c r="AK241">
        <v>1</v>
      </c>
      <c r="AL241" t="s">
        <v>4897</v>
      </c>
      <c r="AM241" t="s">
        <v>4898</v>
      </c>
      <c r="AN241" t="s">
        <v>4899</v>
      </c>
      <c r="AO241" t="s">
        <v>4900</v>
      </c>
      <c r="AP241" t="s">
        <v>74</v>
      </c>
      <c r="AQ241" t="s">
        <v>74</v>
      </c>
      <c r="AR241" t="s">
        <v>4890</v>
      </c>
      <c r="AS241" t="s">
        <v>4901</v>
      </c>
      <c r="AT241" t="s">
        <v>74</v>
      </c>
      <c r="AU241">
        <v>2023</v>
      </c>
      <c r="AV241" t="s">
        <v>74</v>
      </c>
      <c r="AW241">
        <v>31</v>
      </c>
      <c r="AX241" t="s">
        <v>74</v>
      </c>
      <c r="AY241" t="s">
        <v>74</v>
      </c>
      <c r="AZ241" t="s">
        <v>74</v>
      </c>
      <c r="BA241" t="s">
        <v>74</v>
      </c>
      <c r="BB241" t="s">
        <v>74</v>
      </c>
      <c r="BC241" t="s">
        <v>74</v>
      </c>
      <c r="BD241" t="s">
        <v>74</v>
      </c>
      <c r="BE241" t="s">
        <v>4902</v>
      </c>
      <c r="BF241" t="str">
        <f>HYPERLINK("http://dx.doi.org/10.7238/artnodes.v0i31.402821","http://dx.doi.org/10.7238/artnodes.v0i31.402821")</f>
        <v>http://dx.doi.org/10.7238/artnodes.v0i31.402821</v>
      </c>
      <c r="BG241" t="s">
        <v>74</v>
      </c>
      <c r="BH241" t="s">
        <v>74</v>
      </c>
      <c r="BI241">
        <v>10</v>
      </c>
      <c r="BJ241" t="s">
        <v>4903</v>
      </c>
      <c r="BK241" t="s">
        <v>352</v>
      </c>
      <c r="BL241" t="s">
        <v>4904</v>
      </c>
      <c r="BM241" t="s">
        <v>4905</v>
      </c>
      <c r="BN241" t="s">
        <v>74</v>
      </c>
      <c r="BO241" t="s">
        <v>425</v>
      </c>
      <c r="BP241" t="s">
        <v>74</v>
      </c>
      <c r="BQ241" t="s">
        <v>74</v>
      </c>
      <c r="BR241" t="s">
        <v>101</v>
      </c>
      <c r="BS241" t="s">
        <v>4906</v>
      </c>
      <c r="BT241" t="str">
        <f>HYPERLINK("https%3A%2F%2Fwww.webofscience.com%2Fwos%2Fwoscc%2Ffull-record%2FWOS:001167131600001","View Full Record in Web of Science")</f>
        <v>View Full Record in Web of Science</v>
      </c>
    </row>
    <row r="242" spans="1:72" x14ac:dyDescent="0.2">
      <c r="A242" t="s">
        <v>72</v>
      </c>
      <c r="B242" t="s">
        <v>4907</v>
      </c>
      <c r="C242" t="s">
        <v>74</v>
      </c>
      <c r="D242" t="s">
        <v>74</v>
      </c>
      <c r="E242" t="s">
        <v>284</v>
      </c>
      <c r="F242" t="s">
        <v>4908</v>
      </c>
      <c r="G242" t="s">
        <v>74</v>
      </c>
      <c r="H242" t="s">
        <v>74</v>
      </c>
      <c r="I242" t="s">
        <v>4909</v>
      </c>
      <c r="J242" t="s">
        <v>4910</v>
      </c>
      <c r="K242" t="s">
        <v>4911</v>
      </c>
      <c r="L242" t="s">
        <v>74</v>
      </c>
      <c r="M242" t="s">
        <v>79</v>
      </c>
      <c r="N242" t="s">
        <v>80</v>
      </c>
      <c r="O242" t="s">
        <v>4912</v>
      </c>
      <c r="P242" t="s">
        <v>4913</v>
      </c>
      <c r="Q242" t="s">
        <v>4914</v>
      </c>
      <c r="R242" t="s">
        <v>4915</v>
      </c>
      <c r="S242" t="s">
        <v>4916</v>
      </c>
      <c r="T242" t="s">
        <v>4917</v>
      </c>
      <c r="U242" t="s">
        <v>1918</v>
      </c>
      <c r="V242" t="s">
        <v>4918</v>
      </c>
      <c r="W242" t="s">
        <v>4919</v>
      </c>
      <c r="X242" t="s">
        <v>74</v>
      </c>
      <c r="Y242" t="s">
        <v>4920</v>
      </c>
      <c r="Z242" t="s">
        <v>4921</v>
      </c>
      <c r="AA242" t="s">
        <v>74</v>
      </c>
      <c r="AB242" t="s">
        <v>74</v>
      </c>
      <c r="AC242" t="s">
        <v>4922</v>
      </c>
      <c r="AD242" t="s">
        <v>4923</v>
      </c>
      <c r="AE242" t="s">
        <v>4924</v>
      </c>
      <c r="AF242" t="s">
        <v>74</v>
      </c>
      <c r="AG242">
        <v>33</v>
      </c>
      <c r="AH242">
        <v>1</v>
      </c>
      <c r="AI242">
        <v>1</v>
      </c>
      <c r="AJ242">
        <v>3</v>
      </c>
      <c r="AK242">
        <v>3</v>
      </c>
      <c r="AL242" t="s">
        <v>284</v>
      </c>
      <c r="AM242" t="s">
        <v>93</v>
      </c>
      <c r="AN242" t="s">
        <v>299</v>
      </c>
      <c r="AO242" t="s">
        <v>4925</v>
      </c>
      <c r="AP242" t="s">
        <v>74</v>
      </c>
      <c r="AQ242" t="s">
        <v>4926</v>
      </c>
      <c r="AR242" t="s">
        <v>4927</v>
      </c>
      <c r="AS242" t="s">
        <v>74</v>
      </c>
      <c r="AT242" t="s">
        <v>74</v>
      </c>
      <c r="AU242">
        <v>2023</v>
      </c>
      <c r="AV242" t="s">
        <v>74</v>
      </c>
      <c r="AW242" t="s">
        <v>74</v>
      </c>
      <c r="AX242" t="s">
        <v>74</v>
      </c>
      <c r="AY242" t="s">
        <v>74</v>
      </c>
      <c r="AZ242" t="s">
        <v>74</v>
      </c>
      <c r="BA242" t="s">
        <v>74</v>
      </c>
      <c r="BB242">
        <v>402</v>
      </c>
      <c r="BC242">
        <v>409</v>
      </c>
      <c r="BD242" t="s">
        <v>74</v>
      </c>
      <c r="BE242" t="s">
        <v>4928</v>
      </c>
      <c r="BF242" t="str">
        <f>HYPERLINK("http://dx.doi.org/10.1145/3566097.3567891","http://dx.doi.org/10.1145/3566097.3567891")</f>
        <v>http://dx.doi.org/10.1145/3566097.3567891</v>
      </c>
      <c r="BG242" t="s">
        <v>74</v>
      </c>
      <c r="BH242" t="s">
        <v>74</v>
      </c>
      <c r="BI242">
        <v>8</v>
      </c>
      <c r="BJ242" t="s">
        <v>4929</v>
      </c>
      <c r="BK242" t="s">
        <v>98</v>
      </c>
      <c r="BL242" t="s">
        <v>131</v>
      </c>
      <c r="BM242" t="s">
        <v>4930</v>
      </c>
      <c r="BN242" t="s">
        <v>74</v>
      </c>
      <c r="BO242" t="s">
        <v>74</v>
      </c>
      <c r="BP242" t="s">
        <v>74</v>
      </c>
      <c r="BQ242" t="s">
        <v>74</v>
      </c>
      <c r="BR242" t="s">
        <v>101</v>
      </c>
      <c r="BS242" t="s">
        <v>4931</v>
      </c>
      <c r="BT242" t="str">
        <f>HYPERLINK("https%3A%2F%2Fwww.webofscience.com%2Fwos%2Fwoscc%2Ffull-record%2FWOS:000981940000069","View Full Record in Web of Science")</f>
        <v>View Full Record in Web of Science</v>
      </c>
    </row>
    <row r="243" spans="1:72" x14ac:dyDescent="0.2">
      <c r="A243" t="s">
        <v>103</v>
      </c>
      <c r="B243" t="s">
        <v>4932</v>
      </c>
      <c r="C243" t="s">
        <v>74</v>
      </c>
      <c r="D243" t="s">
        <v>74</v>
      </c>
      <c r="E243" t="s">
        <v>74</v>
      </c>
      <c r="F243" t="s">
        <v>4933</v>
      </c>
      <c r="G243" t="s">
        <v>74</v>
      </c>
      <c r="H243" t="s">
        <v>74</v>
      </c>
      <c r="I243" t="s">
        <v>4934</v>
      </c>
      <c r="J243" t="s">
        <v>4935</v>
      </c>
      <c r="K243" t="s">
        <v>74</v>
      </c>
      <c r="L243" t="s">
        <v>74</v>
      </c>
      <c r="M243" t="s">
        <v>79</v>
      </c>
      <c r="N243" t="s">
        <v>108</v>
      </c>
      <c r="O243" t="s">
        <v>74</v>
      </c>
      <c r="P243" t="s">
        <v>74</v>
      </c>
      <c r="Q243" t="s">
        <v>74</v>
      </c>
      <c r="R243" t="s">
        <v>74</v>
      </c>
      <c r="S243" t="s">
        <v>74</v>
      </c>
      <c r="T243" t="s">
        <v>74</v>
      </c>
      <c r="U243" t="s">
        <v>74</v>
      </c>
      <c r="V243" t="s">
        <v>4936</v>
      </c>
      <c r="W243" t="s">
        <v>4937</v>
      </c>
      <c r="X243" t="s">
        <v>4938</v>
      </c>
      <c r="Y243" t="s">
        <v>4939</v>
      </c>
      <c r="Z243" t="s">
        <v>4940</v>
      </c>
      <c r="AA243" t="s">
        <v>74</v>
      </c>
      <c r="AB243" t="s">
        <v>4941</v>
      </c>
      <c r="AC243" t="s">
        <v>74</v>
      </c>
      <c r="AD243" t="s">
        <v>74</v>
      </c>
      <c r="AE243" t="s">
        <v>74</v>
      </c>
      <c r="AF243" t="s">
        <v>74</v>
      </c>
      <c r="AG243">
        <v>20</v>
      </c>
      <c r="AH243">
        <v>58</v>
      </c>
      <c r="AI243">
        <v>58</v>
      </c>
      <c r="AJ243">
        <v>91</v>
      </c>
      <c r="AK243">
        <v>103</v>
      </c>
      <c r="AL243" t="s">
        <v>1880</v>
      </c>
      <c r="AM243" t="s">
        <v>369</v>
      </c>
      <c r="AN243" t="s">
        <v>1881</v>
      </c>
      <c r="AO243" t="s">
        <v>4942</v>
      </c>
      <c r="AP243" t="s">
        <v>74</v>
      </c>
      <c r="AQ243" t="s">
        <v>74</v>
      </c>
      <c r="AR243" t="s">
        <v>4943</v>
      </c>
      <c r="AS243" t="s">
        <v>4944</v>
      </c>
      <c r="AT243" t="s">
        <v>4945</v>
      </c>
      <c r="AU243">
        <v>2023</v>
      </c>
      <c r="AV243">
        <v>6</v>
      </c>
      <c r="AW243">
        <v>1</v>
      </c>
      <c r="AX243" t="s">
        <v>74</v>
      </c>
      <c r="AY243" t="s">
        <v>74</v>
      </c>
      <c r="AZ243" t="s">
        <v>74</v>
      </c>
      <c r="BA243" t="s">
        <v>74</v>
      </c>
      <c r="BB243" t="s">
        <v>74</v>
      </c>
      <c r="BC243" t="s">
        <v>74</v>
      </c>
      <c r="BD243">
        <v>120</v>
      </c>
      <c r="BE243" t="s">
        <v>4946</v>
      </c>
      <c r="BF243" t="str">
        <f>HYPERLINK("http://dx.doi.org/10.1038/s41746-023-00873-0","http://dx.doi.org/10.1038/s41746-023-00873-0")</f>
        <v>http://dx.doi.org/10.1038/s41746-023-00873-0</v>
      </c>
      <c r="BG243" t="s">
        <v>74</v>
      </c>
      <c r="BH243" t="s">
        <v>74</v>
      </c>
      <c r="BI243">
        <v>6</v>
      </c>
      <c r="BJ243" t="s">
        <v>4947</v>
      </c>
      <c r="BK243" t="s">
        <v>130</v>
      </c>
      <c r="BL243" t="s">
        <v>4947</v>
      </c>
      <c r="BM243" t="s">
        <v>4948</v>
      </c>
      <c r="BN243">
        <v>37414860</v>
      </c>
      <c r="BO243" t="s">
        <v>4185</v>
      </c>
      <c r="BP243" t="s">
        <v>1434</v>
      </c>
      <c r="BQ243" t="s">
        <v>1434</v>
      </c>
      <c r="BR243" t="s">
        <v>101</v>
      </c>
      <c r="BS243" t="s">
        <v>4949</v>
      </c>
      <c r="BT243" t="str">
        <f>HYPERLINK("https%3A%2F%2Fwww.webofscience.com%2Fwos%2Fwoscc%2Ffull-record%2FWOS:001024995000001","View Full Record in Web of Science")</f>
        <v>View Full Record in Web of Science</v>
      </c>
    </row>
    <row r="244" spans="1:72" x14ac:dyDescent="0.2">
      <c r="A244" t="s">
        <v>72</v>
      </c>
      <c r="B244" t="s">
        <v>4950</v>
      </c>
      <c r="C244" t="s">
        <v>74</v>
      </c>
      <c r="D244" t="s">
        <v>74</v>
      </c>
      <c r="E244" t="s">
        <v>75</v>
      </c>
      <c r="F244" t="s">
        <v>4951</v>
      </c>
      <c r="G244" t="s">
        <v>74</v>
      </c>
      <c r="H244" t="s">
        <v>74</v>
      </c>
      <c r="I244" t="s">
        <v>4952</v>
      </c>
      <c r="J244" t="s">
        <v>1303</v>
      </c>
      <c r="K244" t="s">
        <v>74</v>
      </c>
      <c r="L244" t="s">
        <v>74</v>
      </c>
      <c r="M244" t="s">
        <v>79</v>
      </c>
      <c r="N244" t="s">
        <v>80</v>
      </c>
      <c r="O244" t="s">
        <v>1304</v>
      </c>
      <c r="P244" t="s">
        <v>1305</v>
      </c>
      <c r="Q244" t="s">
        <v>1306</v>
      </c>
      <c r="R244" t="s">
        <v>1223</v>
      </c>
      <c r="S244" t="s">
        <v>1307</v>
      </c>
      <c r="T244" t="s">
        <v>4953</v>
      </c>
      <c r="U244" t="s">
        <v>74</v>
      </c>
      <c r="V244" t="s">
        <v>4954</v>
      </c>
      <c r="W244" t="s">
        <v>4955</v>
      </c>
      <c r="X244" t="s">
        <v>4515</v>
      </c>
      <c r="Y244" t="s">
        <v>4956</v>
      </c>
      <c r="Z244" t="s">
        <v>74</v>
      </c>
      <c r="AA244" t="s">
        <v>74</v>
      </c>
      <c r="AB244" t="s">
        <v>4957</v>
      </c>
      <c r="AC244" t="s">
        <v>74</v>
      </c>
      <c r="AD244" t="s">
        <v>74</v>
      </c>
      <c r="AE244" t="s">
        <v>74</v>
      </c>
      <c r="AF244" t="s">
        <v>74</v>
      </c>
      <c r="AG244">
        <v>52</v>
      </c>
      <c r="AH244">
        <v>0</v>
      </c>
      <c r="AI244">
        <v>0</v>
      </c>
      <c r="AJ244">
        <v>2</v>
      </c>
      <c r="AK244">
        <v>2</v>
      </c>
      <c r="AL244" t="s">
        <v>92</v>
      </c>
      <c r="AM244" t="s">
        <v>93</v>
      </c>
      <c r="AN244" t="s">
        <v>94</v>
      </c>
      <c r="AO244" t="s">
        <v>74</v>
      </c>
      <c r="AP244" t="s">
        <v>74</v>
      </c>
      <c r="AQ244" t="s">
        <v>1317</v>
      </c>
      <c r="AR244" t="s">
        <v>74</v>
      </c>
      <c r="AS244" t="s">
        <v>74</v>
      </c>
      <c r="AT244" t="s">
        <v>74</v>
      </c>
      <c r="AU244">
        <v>2023</v>
      </c>
      <c r="AV244" t="s">
        <v>74</v>
      </c>
      <c r="AW244" t="s">
        <v>74</v>
      </c>
      <c r="AX244" t="s">
        <v>74</v>
      </c>
      <c r="AY244" t="s">
        <v>74</v>
      </c>
      <c r="AZ244" t="s">
        <v>74</v>
      </c>
      <c r="BA244" t="s">
        <v>74</v>
      </c>
      <c r="BB244" t="s">
        <v>74</v>
      </c>
      <c r="BC244" t="s">
        <v>74</v>
      </c>
      <c r="BD244" t="s">
        <v>74</v>
      </c>
      <c r="BE244" t="s">
        <v>4958</v>
      </c>
      <c r="BF244" t="str">
        <f>HYPERLINK("http://dx.doi.org/10.1145/3604930.3605715","http://dx.doi.org/10.1145/3604930.3605715")</f>
        <v>http://dx.doi.org/10.1145/3604930.3605715</v>
      </c>
      <c r="BG244" t="s">
        <v>74</v>
      </c>
      <c r="BH244" t="s">
        <v>74</v>
      </c>
      <c r="BI244">
        <v>7</v>
      </c>
      <c r="BJ244" t="s">
        <v>1319</v>
      </c>
      <c r="BK244" t="s">
        <v>180</v>
      </c>
      <c r="BL244" t="s">
        <v>1320</v>
      </c>
      <c r="BM244" t="s">
        <v>1321</v>
      </c>
      <c r="BN244" t="s">
        <v>74</v>
      </c>
      <c r="BO244" t="s">
        <v>161</v>
      </c>
      <c r="BP244" t="s">
        <v>74</v>
      </c>
      <c r="BQ244" t="s">
        <v>74</v>
      </c>
      <c r="BR244" t="s">
        <v>101</v>
      </c>
      <c r="BS244" t="s">
        <v>4959</v>
      </c>
      <c r="BT244" t="str">
        <f>HYPERLINK("https%3A%2F%2Fwww.webofscience.com%2Fwos%2Fwoscc%2Ffull-record%2FWOS:001124735600013","View Full Record in Web of Science")</f>
        <v>View Full Record in Web of Science</v>
      </c>
    </row>
    <row r="245" spans="1:72" x14ac:dyDescent="0.2">
      <c r="A245" t="s">
        <v>103</v>
      </c>
      <c r="B245" t="s">
        <v>4960</v>
      </c>
      <c r="C245" t="s">
        <v>74</v>
      </c>
      <c r="D245" t="s">
        <v>74</v>
      </c>
      <c r="E245" t="s">
        <v>74</v>
      </c>
      <c r="F245" t="s">
        <v>4961</v>
      </c>
      <c r="G245" t="s">
        <v>74</v>
      </c>
      <c r="H245" t="s">
        <v>74</v>
      </c>
      <c r="I245" t="s">
        <v>4962</v>
      </c>
      <c r="J245" t="s">
        <v>2940</v>
      </c>
      <c r="K245" t="s">
        <v>74</v>
      </c>
      <c r="L245" t="s">
        <v>74</v>
      </c>
      <c r="M245" t="s">
        <v>79</v>
      </c>
      <c r="N245" t="s">
        <v>108</v>
      </c>
      <c r="O245" t="s">
        <v>74</v>
      </c>
      <c r="P245" t="s">
        <v>74</v>
      </c>
      <c r="Q245" t="s">
        <v>74</v>
      </c>
      <c r="R245" t="s">
        <v>74</v>
      </c>
      <c r="S245" t="s">
        <v>74</v>
      </c>
      <c r="T245" t="s">
        <v>4963</v>
      </c>
      <c r="U245" t="s">
        <v>74</v>
      </c>
      <c r="V245" t="s">
        <v>4964</v>
      </c>
      <c r="W245" t="s">
        <v>4965</v>
      </c>
      <c r="X245" t="s">
        <v>4966</v>
      </c>
      <c r="Y245" t="s">
        <v>4967</v>
      </c>
      <c r="Z245" t="s">
        <v>4968</v>
      </c>
      <c r="AA245" t="s">
        <v>74</v>
      </c>
      <c r="AB245" t="s">
        <v>4969</v>
      </c>
      <c r="AC245" t="s">
        <v>74</v>
      </c>
      <c r="AD245" t="s">
        <v>74</v>
      </c>
      <c r="AE245" t="s">
        <v>74</v>
      </c>
      <c r="AF245" t="s">
        <v>74</v>
      </c>
      <c r="AG245">
        <v>29</v>
      </c>
      <c r="AH245">
        <v>5</v>
      </c>
      <c r="AI245">
        <v>5</v>
      </c>
      <c r="AJ245">
        <v>155</v>
      </c>
      <c r="AK245">
        <v>155</v>
      </c>
      <c r="AL245" t="s">
        <v>939</v>
      </c>
      <c r="AM245" t="s">
        <v>940</v>
      </c>
      <c r="AN245" t="s">
        <v>941</v>
      </c>
      <c r="AO245" t="s">
        <v>74</v>
      </c>
      <c r="AP245" t="s">
        <v>2951</v>
      </c>
      <c r="AQ245" t="s">
        <v>74</v>
      </c>
      <c r="AR245" t="s">
        <v>2952</v>
      </c>
      <c r="AS245" t="s">
        <v>2953</v>
      </c>
      <c r="AT245" t="s">
        <v>467</v>
      </c>
      <c r="AU245">
        <v>2023</v>
      </c>
      <c r="AV245">
        <v>13</v>
      </c>
      <c r="AW245">
        <v>10</v>
      </c>
      <c r="AX245" t="s">
        <v>74</v>
      </c>
      <c r="AY245" t="s">
        <v>74</v>
      </c>
      <c r="AZ245" t="s">
        <v>74</v>
      </c>
      <c r="BA245" t="s">
        <v>74</v>
      </c>
      <c r="BB245" t="s">
        <v>74</v>
      </c>
      <c r="BC245" t="s">
        <v>74</v>
      </c>
      <c r="BD245">
        <v>998</v>
      </c>
      <c r="BE245" t="s">
        <v>4970</v>
      </c>
      <c r="BF245" t="str">
        <f>HYPERLINK("http://dx.doi.org/10.3390/educsci13100998","http://dx.doi.org/10.3390/educsci13100998")</f>
        <v>http://dx.doi.org/10.3390/educsci13100998</v>
      </c>
      <c r="BG245" t="s">
        <v>74</v>
      </c>
      <c r="BH245" t="s">
        <v>74</v>
      </c>
      <c r="BI245">
        <v>12</v>
      </c>
      <c r="BJ245" t="s">
        <v>423</v>
      </c>
      <c r="BK245" t="s">
        <v>352</v>
      </c>
      <c r="BL245" t="s">
        <v>423</v>
      </c>
      <c r="BM245" t="s">
        <v>4971</v>
      </c>
      <c r="BN245" t="s">
        <v>74</v>
      </c>
      <c r="BO245" t="s">
        <v>425</v>
      </c>
      <c r="BP245" t="s">
        <v>74</v>
      </c>
      <c r="BQ245" t="s">
        <v>74</v>
      </c>
      <c r="BR245" t="s">
        <v>101</v>
      </c>
      <c r="BS245" t="s">
        <v>4972</v>
      </c>
      <c r="BT245" t="str">
        <f>HYPERLINK("https%3A%2F%2Fwww.webofscience.com%2Fwos%2Fwoscc%2Ffull-record%2FWOS:001093907000001","View Full Record in Web of Science")</f>
        <v>View Full Record in Web of Science</v>
      </c>
    </row>
    <row r="246" spans="1:72" x14ac:dyDescent="0.2">
      <c r="A246" t="s">
        <v>103</v>
      </c>
      <c r="B246" t="s">
        <v>4973</v>
      </c>
      <c r="C246" t="s">
        <v>74</v>
      </c>
      <c r="D246" t="s">
        <v>74</v>
      </c>
      <c r="E246" t="s">
        <v>74</v>
      </c>
      <c r="F246" t="s">
        <v>4974</v>
      </c>
      <c r="G246" t="s">
        <v>74</v>
      </c>
      <c r="H246" t="s">
        <v>74</v>
      </c>
      <c r="I246" t="s">
        <v>4975</v>
      </c>
      <c r="J246" t="s">
        <v>4976</v>
      </c>
      <c r="K246" t="s">
        <v>74</v>
      </c>
      <c r="L246" t="s">
        <v>74</v>
      </c>
      <c r="M246" t="s">
        <v>79</v>
      </c>
      <c r="N246" t="s">
        <v>108</v>
      </c>
      <c r="O246" t="s">
        <v>74</v>
      </c>
      <c r="P246" t="s">
        <v>74</v>
      </c>
      <c r="Q246" t="s">
        <v>74</v>
      </c>
      <c r="R246" t="s">
        <v>74</v>
      </c>
      <c r="S246" t="s">
        <v>74</v>
      </c>
      <c r="T246" t="s">
        <v>4977</v>
      </c>
      <c r="U246" t="s">
        <v>74</v>
      </c>
      <c r="V246" t="s">
        <v>4978</v>
      </c>
      <c r="W246" t="s">
        <v>4979</v>
      </c>
      <c r="X246" t="s">
        <v>4980</v>
      </c>
      <c r="Y246" t="s">
        <v>4981</v>
      </c>
      <c r="Z246" t="s">
        <v>4982</v>
      </c>
      <c r="AA246" t="s">
        <v>4983</v>
      </c>
      <c r="AB246" t="s">
        <v>74</v>
      </c>
      <c r="AC246" t="s">
        <v>4984</v>
      </c>
      <c r="AD246" t="s">
        <v>3400</v>
      </c>
      <c r="AE246" t="s">
        <v>4985</v>
      </c>
      <c r="AF246" t="s">
        <v>74</v>
      </c>
      <c r="AG246">
        <v>52</v>
      </c>
      <c r="AH246">
        <v>0</v>
      </c>
      <c r="AI246">
        <v>0</v>
      </c>
      <c r="AJ246">
        <v>3</v>
      </c>
      <c r="AK246">
        <v>3</v>
      </c>
      <c r="AL246" t="s">
        <v>939</v>
      </c>
      <c r="AM246" t="s">
        <v>940</v>
      </c>
      <c r="AN246" t="s">
        <v>941</v>
      </c>
      <c r="AO246" t="s">
        <v>74</v>
      </c>
      <c r="AP246" t="s">
        <v>4986</v>
      </c>
      <c r="AQ246" t="s">
        <v>74</v>
      </c>
      <c r="AR246" t="s">
        <v>4976</v>
      </c>
      <c r="AS246" t="s">
        <v>4987</v>
      </c>
      <c r="AT246" t="s">
        <v>771</v>
      </c>
      <c r="AU246">
        <v>2023</v>
      </c>
      <c r="AV246">
        <v>10</v>
      </c>
      <c r="AW246">
        <v>9</v>
      </c>
      <c r="AX246" t="s">
        <v>74</v>
      </c>
      <c r="AY246" t="s">
        <v>74</v>
      </c>
      <c r="AZ246" t="s">
        <v>74</v>
      </c>
      <c r="BA246" t="s">
        <v>74</v>
      </c>
      <c r="BB246" t="s">
        <v>74</v>
      </c>
      <c r="BC246" t="s">
        <v>74</v>
      </c>
      <c r="BD246">
        <v>1104</v>
      </c>
      <c r="BE246" t="s">
        <v>4988</v>
      </c>
      <c r="BF246" t="str">
        <f>HYPERLINK("http://dx.doi.org/10.3390/bioengineering10091104","http://dx.doi.org/10.3390/bioengineering10091104")</f>
        <v>http://dx.doi.org/10.3390/bioengineering10091104</v>
      </c>
      <c r="BG246" t="s">
        <v>74</v>
      </c>
      <c r="BH246" t="s">
        <v>74</v>
      </c>
      <c r="BI246">
        <v>17</v>
      </c>
      <c r="BJ246" t="s">
        <v>4989</v>
      </c>
      <c r="BK246" t="s">
        <v>130</v>
      </c>
      <c r="BL246" t="s">
        <v>4990</v>
      </c>
      <c r="BM246" t="s">
        <v>4991</v>
      </c>
      <c r="BN246">
        <v>37760206</v>
      </c>
      <c r="BO246" t="s">
        <v>4185</v>
      </c>
      <c r="BP246" t="s">
        <v>74</v>
      </c>
      <c r="BQ246" t="s">
        <v>74</v>
      </c>
      <c r="BR246" t="s">
        <v>101</v>
      </c>
      <c r="BS246" t="s">
        <v>4992</v>
      </c>
      <c r="BT246" t="str">
        <f>HYPERLINK("https%3A%2F%2Fwww.webofscience.com%2Fwos%2Fwoscc%2Ffull-record%2FWOS:001073358900001","View Full Record in Web of Science")</f>
        <v>View Full Record in Web of Science</v>
      </c>
    </row>
    <row r="247" spans="1:72" x14ac:dyDescent="0.2">
      <c r="A247" t="s">
        <v>72</v>
      </c>
      <c r="B247" t="s">
        <v>4993</v>
      </c>
      <c r="C247" t="s">
        <v>74</v>
      </c>
      <c r="D247" t="s">
        <v>4994</v>
      </c>
      <c r="E247" t="s">
        <v>74</v>
      </c>
      <c r="F247" t="s">
        <v>4995</v>
      </c>
      <c r="G247" t="s">
        <v>74</v>
      </c>
      <c r="H247" t="s">
        <v>74</v>
      </c>
      <c r="I247" t="s">
        <v>4996</v>
      </c>
      <c r="J247" t="s">
        <v>4997</v>
      </c>
      <c r="K247" t="s">
        <v>312</v>
      </c>
      <c r="L247" t="s">
        <v>74</v>
      </c>
      <c r="M247" t="s">
        <v>79</v>
      </c>
      <c r="N247" t="s">
        <v>80</v>
      </c>
      <c r="O247" t="s">
        <v>4998</v>
      </c>
      <c r="P247" t="s">
        <v>4999</v>
      </c>
      <c r="Q247" t="s">
        <v>5000</v>
      </c>
      <c r="R247" t="s">
        <v>5001</v>
      </c>
      <c r="S247" t="s">
        <v>74</v>
      </c>
      <c r="T247" t="s">
        <v>5002</v>
      </c>
      <c r="U247" t="s">
        <v>74</v>
      </c>
      <c r="V247" t="s">
        <v>5003</v>
      </c>
      <c r="W247" t="s">
        <v>5004</v>
      </c>
      <c r="X247" t="s">
        <v>5005</v>
      </c>
      <c r="Y247" t="s">
        <v>5006</v>
      </c>
      <c r="Z247" t="s">
        <v>5007</v>
      </c>
      <c r="AA247" t="s">
        <v>74</v>
      </c>
      <c r="AB247" t="s">
        <v>74</v>
      </c>
      <c r="AC247" t="s">
        <v>5008</v>
      </c>
      <c r="AD247" t="s">
        <v>5009</v>
      </c>
      <c r="AE247" t="s">
        <v>5010</v>
      </c>
      <c r="AF247" t="s">
        <v>74</v>
      </c>
      <c r="AG247">
        <v>35</v>
      </c>
      <c r="AH247">
        <v>0</v>
      </c>
      <c r="AI247">
        <v>0</v>
      </c>
      <c r="AJ247">
        <v>1</v>
      </c>
      <c r="AK247">
        <v>1</v>
      </c>
      <c r="AL247" t="s">
        <v>5011</v>
      </c>
      <c r="AM247" t="s">
        <v>5012</v>
      </c>
      <c r="AN247" t="s">
        <v>5013</v>
      </c>
      <c r="AO247" t="s">
        <v>326</v>
      </c>
      <c r="AP247" t="s">
        <v>327</v>
      </c>
      <c r="AQ247" t="s">
        <v>5014</v>
      </c>
      <c r="AR247" t="s">
        <v>329</v>
      </c>
      <c r="AS247" t="s">
        <v>74</v>
      </c>
      <c r="AT247" t="s">
        <v>74</v>
      </c>
      <c r="AU247">
        <v>2023</v>
      </c>
      <c r="AV247">
        <v>14463</v>
      </c>
      <c r="AW247" t="s">
        <v>74</v>
      </c>
      <c r="AX247" t="s">
        <v>74</v>
      </c>
      <c r="AY247" t="s">
        <v>74</v>
      </c>
      <c r="AZ247" t="s">
        <v>74</v>
      </c>
      <c r="BA247" t="s">
        <v>74</v>
      </c>
      <c r="BB247">
        <v>375</v>
      </c>
      <c r="BC247">
        <v>384</v>
      </c>
      <c r="BD247" t="s">
        <v>74</v>
      </c>
      <c r="BE247" t="s">
        <v>5015</v>
      </c>
      <c r="BF247" t="str">
        <f>HYPERLINK("http://dx.doi.org/10.1007/978-981-99-8565-4_35","http://dx.doi.org/10.1007/978-981-99-8565-4_35")</f>
        <v>http://dx.doi.org/10.1007/978-981-99-8565-4_35</v>
      </c>
      <c r="BG247" t="s">
        <v>74</v>
      </c>
      <c r="BH247" t="s">
        <v>74</v>
      </c>
      <c r="BI247">
        <v>10</v>
      </c>
      <c r="BJ247" t="s">
        <v>5016</v>
      </c>
      <c r="BK247" t="s">
        <v>98</v>
      </c>
      <c r="BL247" t="s">
        <v>5017</v>
      </c>
      <c r="BM247" t="s">
        <v>5018</v>
      </c>
      <c r="BN247" t="s">
        <v>74</v>
      </c>
      <c r="BO247" t="s">
        <v>74</v>
      </c>
      <c r="BP247" t="s">
        <v>74</v>
      </c>
      <c r="BQ247" t="s">
        <v>74</v>
      </c>
      <c r="BR247" t="s">
        <v>101</v>
      </c>
      <c r="BS247" t="s">
        <v>5019</v>
      </c>
      <c r="BT247" t="str">
        <f>HYPERLINK("https%3A%2F%2Fwww.webofscience.com%2Fwos%2Fwoscc%2Ffull-record%2FWOS:001160316100035","View Full Record in Web of Science")</f>
        <v>View Full Record in Web of Science</v>
      </c>
    </row>
    <row r="248" spans="1:72" x14ac:dyDescent="0.2">
      <c r="A248" t="s">
        <v>72</v>
      </c>
      <c r="B248" t="s">
        <v>5020</v>
      </c>
      <c r="C248" t="s">
        <v>74</v>
      </c>
      <c r="D248" t="s">
        <v>74</v>
      </c>
      <c r="E248" t="s">
        <v>284</v>
      </c>
      <c r="F248" t="s">
        <v>5021</v>
      </c>
      <c r="G248" t="s">
        <v>74</v>
      </c>
      <c r="H248" t="s">
        <v>74</v>
      </c>
      <c r="I248" t="s">
        <v>5022</v>
      </c>
      <c r="J248" t="s">
        <v>5023</v>
      </c>
      <c r="K248" t="s">
        <v>5024</v>
      </c>
      <c r="L248" t="s">
        <v>74</v>
      </c>
      <c r="M248" t="s">
        <v>79</v>
      </c>
      <c r="N248" t="s">
        <v>80</v>
      </c>
      <c r="O248" t="s">
        <v>5025</v>
      </c>
      <c r="P248" t="s">
        <v>5026</v>
      </c>
      <c r="Q248" t="s">
        <v>5027</v>
      </c>
      <c r="R248" t="s">
        <v>5028</v>
      </c>
      <c r="S248" t="s">
        <v>74</v>
      </c>
      <c r="T248" t="s">
        <v>5029</v>
      </c>
      <c r="U248" t="s">
        <v>74</v>
      </c>
      <c r="V248" t="s">
        <v>5030</v>
      </c>
      <c r="W248" t="s">
        <v>5031</v>
      </c>
      <c r="X248" t="s">
        <v>5032</v>
      </c>
      <c r="Y248" t="s">
        <v>5033</v>
      </c>
      <c r="Z248" t="s">
        <v>5034</v>
      </c>
      <c r="AA248" t="s">
        <v>74</v>
      </c>
      <c r="AB248" t="s">
        <v>74</v>
      </c>
      <c r="AC248" t="s">
        <v>74</v>
      </c>
      <c r="AD248" t="s">
        <v>74</v>
      </c>
      <c r="AE248" t="s">
        <v>74</v>
      </c>
      <c r="AF248" t="s">
        <v>74</v>
      </c>
      <c r="AG248">
        <v>54</v>
      </c>
      <c r="AH248">
        <v>0</v>
      </c>
      <c r="AI248">
        <v>0</v>
      </c>
      <c r="AJ248">
        <v>6</v>
      </c>
      <c r="AK248">
        <v>6</v>
      </c>
      <c r="AL248" t="s">
        <v>284</v>
      </c>
      <c r="AM248" t="s">
        <v>93</v>
      </c>
      <c r="AN248" t="s">
        <v>299</v>
      </c>
      <c r="AO248" t="s">
        <v>5035</v>
      </c>
      <c r="AP248" t="s">
        <v>74</v>
      </c>
      <c r="AQ248" t="s">
        <v>5036</v>
      </c>
      <c r="AR248" t="s">
        <v>5037</v>
      </c>
      <c r="AS248" t="s">
        <v>74</v>
      </c>
      <c r="AT248" t="s">
        <v>74</v>
      </c>
      <c r="AU248">
        <v>2023</v>
      </c>
      <c r="AV248" t="s">
        <v>74</v>
      </c>
      <c r="AW248" t="s">
        <v>74</v>
      </c>
      <c r="AX248" t="s">
        <v>74</v>
      </c>
      <c r="AY248" t="s">
        <v>74</v>
      </c>
      <c r="AZ248" t="s">
        <v>74</v>
      </c>
      <c r="BA248" t="s">
        <v>74</v>
      </c>
      <c r="BB248" t="s">
        <v>74</v>
      </c>
      <c r="BC248" t="s">
        <v>74</v>
      </c>
      <c r="BD248" t="s">
        <v>74</v>
      </c>
      <c r="BE248" t="s">
        <v>5038</v>
      </c>
      <c r="BF248" t="str">
        <f>HYPERLINK("http://dx.doi.org/10.1109/ISTAS57930.2023.10305995","http://dx.doi.org/10.1109/ISTAS57930.2023.10305995")</f>
        <v>http://dx.doi.org/10.1109/ISTAS57930.2023.10305995</v>
      </c>
      <c r="BG248" t="s">
        <v>74</v>
      </c>
      <c r="BH248" t="s">
        <v>74</v>
      </c>
      <c r="BI248">
        <v>5</v>
      </c>
      <c r="BJ248" t="s">
        <v>5039</v>
      </c>
      <c r="BK248" t="s">
        <v>180</v>
      </c>
      <c r="BL248" t="s">
        <v>5040</v>
      </c>
      <c r="BM248" t="s">
        <v>5041</v>
      </c>
      <c r="BN248" t="s">
        <v>74</v>
      </c>
      <c r="BO248" t="s">
        <v>74</v>
      </c>
      <c r="BP248" t="s">
        <v>74</v>
      </c>
      <c r="BQ248" t="s">
        <v>74</v>
      </c>
      <c r="BR248" t="s">
        <v>101</v>
      </c>
      <c r="BS248" t="s">
        <v>5042</v>
      </c>
      <c r="BT248" t="str">
        <f>HYPERLINK("https%3A%2F%2Fwww.webofscience.com%2Fwos%2Fwoscc%2Ffull-record%2FWOS:001103233000016","View Full Record in Web of Science")</f>
        <v>View Full Record in Web of Science</v>
      </c>
    </row>
    <row r="249" spans="1:72" x14ac:dyDescent="0.2">
      <c r="A249" t="s">
        <v>103</v>
      </c>
      <c r="B249" t="s">
        <v>5043</v>
      </c>
      <c r="C249" t="s">
        <v>74</v>
      </c>
      <c r="D249" t="s">
        <v>74</v>
      </c>
      <c r="E249" t="s">
        <v>74</v>
      </c>
      <c r="F249" t="s">
        <v>5044</v>
      </c>
      <c r="G249" t="s">
        <v>74</v>
      </c>
      <c r="H249" t="s">
        <v>74</v>
      </c>
      <c r="I249" t="s">
        <v>5045</v>
      </c>
      <c r="J249" t="s">
        <v>5046</v>
      </c>
      <c r="K249" t="s">
        <v>74</v>
      </c>
      <c r="L249" t="s">
        <v>74</v>
      </c>
      <c r="M249" t="s">
        <v>79</v>
      </c>
      <c r="N249" t="s">
        <v>108</v>
      </c>
      <c r="O249" t="s">
        <v>74</v>
      </c>
      <c r="P249" t="s">
        <v>74</v>
      </c>
      <c r="Q249" t="s">
        <v>74</v>
      </c>
      <c r="R249" t="s">
        <v>74</v>
      </c>
      <c r="S249" t="s">
        <v>74</v>
      </c>
      <c r="T249" t="s">
        <v>5047</v>
      </c>
      <c r="U249" t="s">
        <v>74</v>
      </c>
      <c r="V249" t="s">
        <v>5048</v>
      </c>
      <c r="W249" t="s">
        <v>5049</v>
      </c>
      <c r="X249" t="s">
        <v>74</v>
      </c>
      <c r="Y249" t="s">
        <v>5050</v>
      </c>
      <c r="Z249" t="s">
        <v>5051</v>
      </c>
      <c r="AA249" t="s">
        <v>74</v>
      </c>
      <c r="AB249" t="s">
        <v>74</v>
      </c>
      <c r="AC249" t="s">
        <v>74</v>
      </c>
      <c r="AD249" t="s">
        <v>74</v>
      </c>
      <c r="AE249" t="s">
        <v>74</v>
      </c>
      <c r="AF249" t="s">
        <v>74</v>
      </c>
      <c r="AG249">
        <v>2</v>
      </c>
      <c r="AH249">
        <v>2</v>
      </c>
      <c r="AI249">
        <v>2</v>
      </c>
      <c r="AJ249">
        <v>105</v>
      </c>
      <c r="AK249">
        <v>140</v>
      </c>
      <c r="AL249" t="s">
        <v>148</v>
      </c>
      <c r="AM249" t="s">
        <v>149</v>
      </c>
      <c r="AN249" t="s">
        <v>150</v>
      </c>
      <c r="AO249" t="s">
        <v>5052</v>
      </c>
      <c r="AP249" t="s">
        <v>5053</v>
      </c>
      <c r="AQ249" t="s">
        <v>74</v>
      </c>
      <c r="AR249" t="s">
        <v>5054</v>
      </c>
      <c r="AS249" t="s">
        <v>5055</v>
      </c>
      <c r="AT249" t="s">
        <v>771</v>
      </c>
      <c r="AU249">
        <v>2023</v>
      </c>
      <c r="AV249">
        <v>48</v>
      </c>
      <c r="AW249">
        <v>8</v>
      </c>
      <c r="AX249" t="s">
        <v>74</v>
      </c>
      <c r="AY249" t="s">
        <v>74</v>
      </c>
      <c r="AZ249" t="s">
        <v>74</v>
      </c>
      <c r="BA249" t="s">
        <v>74</v>
      </c>
      <c r="BB249">
        <v>819</v>
      </c>
      <c r="BC249">
        <v>822</v>
      </c>
      <c r="BD249" t="s">
        <v>74</v>
      </c>
      <c r="BE249" t="s">
        <v>5056</v>
      </c>
      <c r="BF249" t="str">
        <f>HYPERLINK("http://dx.doi.org/10.1177/17531934231185746","http://dx.doi.org/10.1177/17531934231185746")</f>
        <v>http://dx.doi.org/10.1177/17531934231185746</v>
      </c>
      <c r="BG249" t="s">
        <v>74</v>
      </c>
      <c r="BH249" t="s">
        <v>229</v>
      </c>
      <c r="BI249">
        <v>4</v>
      </c>
      <c r="BJ249" t="s">
        <v>5057</v>
      </c>
      <c r="BK249" t="s">
        <v>130</v>
      </c>
      <c r="BL249" t="s">
        <v>5057</v>
      </c>
      <c r="BM249" t="s">
        <v>5058</v>
      </c>
      <c r="BN249">
        <v>37417005</v>
      </c>
      <c r="BO249" t="s">
        <v>74</v>
      </c>
      <c r="BP249" t="s">
        <v>74</v>
      </c>
      <c r="BQ249" t="s">
        <v>74</v>
      </c>
      <c r="BR249" t="s">
        <v>101</v>
      </c>
      <c r="BS249" t="s">
        <v>5059</v>
      </c>
      <c r="BT249" t="str">
        <f>HYPERLINK("https%3A%2F%2Fwww.webofscience.com%2Fwos%2Fwoscc%2Ffull-record%2FWOS:001023812200001","View Full Record in Web of Science")</f>
        <v>View Full Record in Web of Science</v>
      </c>
    </row>
    <row r="250" spans="1:72" x14ac:dyDescent="0.2">
      <c r="A250" t="s">
        <v>103</v>
      </c>
      <c r="B250" t="s">
        <v>5060</v>
      </c>
      <c r="C250" t="s">
        <v>74</v>
      </c>
      <c r="D250" t="s">
        <v>74</v>
      </c>
      <c r="E250" t="s">
        <v>74</v>
      </c>
      <c r="F250" t="s">
        <v>5061</v>
      </c>
      <c r="G250" t="s">
        <v>74</v>
      </c>
      <c r="H250" t="s">
        <v>74</v>
      </c>
      <c r="I250" t="s">
        <v>5062</v>
      </c>
      <c r="J250" t="s">
        <v>1974</v>
      </c>
      <c r="K250" t="s">
        <v>74</v>
      </c>
      <c r="L250" t="s">
        <v>74</v>
      </c>
      <c r="M250" t="s">
        <v>79</v>
      </c>
      <c r="N250" t="s">
        <v>108</v>
      </c>
      <c r="O250" t="s">
        <v>74</v>
      </c>
      <c r="P250" t="s">
        <v>74</v>
      </c>
      <c r="Q250" t="s">
        <v>74</v>
      </c>
      <c r="R250" t="s">
        <v>74</v>
      </c>
      <c r="S250" t="s">
        <v>74</v>
      </c>
      <c r="T250" t="s">
        <v>5063</v>
      </c>
      <c r="U250" t="s">
        <v>5064</v>
      </c>
      <c r="V250" t="s">
        <v>5065</v>
      </c>
      <c r="W250" t="s">
        <v>5066</v>
      </c>
      <c r="X250" t="s">
        <v>5067</v>
      </c>
      <c r="Y250" t="s">
        <v>5068</v>
      </c>
      <c r="Z250" t="s">
        <v>5069</v>
      </c>
      <c r="AA250" t="s">
        <v>5070</v>
      </c>
      <c r="AB250" t="s">
        <v>5071</v>
      </c>
      <c r="AC250" t="s">
        <v>5072</v>
      </c>
      <c r="AD250" t="s">
        <v>5072</v>
      </c>
      <c r="AE250" t="s">
        <v>5072</v>
      </c>
      <c r="AF250" t="s">
        <v>74</v>
      </c>
      <c r="AG250">
        <v>43</v>
      </c>
      <c r="AH250">
        <v>0</v>
      </c>
      <c r="AI250">
        <v>0</v>
      </c>
      <c r="AJ250">
        <v>10</v>
      </c>
      <c r="AK250">
        <v>10</v>
      </c>
      <c r="AL250" t="s">
        <v>1987</v>
      </c>
      <c r="AM250" t="s">
        <v>149</v>
      </c>
      <c r="AN250" t="s">
        <v>1988</v>
      </c>
      <c r="AO250" t="s">
        <v>1989</v>
      </c>
      <c r="AP250" t="s">
        <v>74</v>
      </c>
      <c r="AQ250" t="s">
        <v>74</v>
      </c>
      <c r="AR250" t="s">
        <v>1990</v>
      </c>
      <c r="AS250" t="s">
        <v>1991</v>
      </c>
      <c r="AT250" t="s">
        <v>5073</v>
      </c>
      <c r="AU250">
        <v>2023</v>
      </c>
      <c r="AV250">
        <v>15</v>
      </c>
      <c r="AW250">
        <v>1</v>
      </c>
      <c r="AX250" t="s">
        <v>74</v>
      </c>
      <c r="AY250" t="s">
        <v>74</v>
      </c>
      <c r="AZ250" t="s">
        <v>74</v>
      </c>
      <c r="BA250" t="s">
        <v>74</v>
      </c>
      <c r="BB250" t="s">
        <v>74</v>
      </c>
      <c r="BC250" t="s">
        <v>74</v>
      </c>
      <c r="BD250">
        <v>77</v>
      </c>
      <c r="BE250" t="s">
        <v>5074</v>
      </c>
      <c r="BF250" t="str">
        <f>HYPERLINK("http://dx.doi.org/10.1186/s13321-023-00747-3","http://dx.doi.org/10.1186/s13321-023-00747-3")</f>
        <v>http://dx.doi.org/10.1186/s13321-023-00747-3</v>
      </c>
      <c r="BG250" t="s">
        <v>74</v>
      </c>
      <c r="BH250" t="s">
        <v>74</v>
      </c>
      <c r="BI250">
        <v>18</v>
      </c>
      <c r="BJ250" t="s">
        <v>1994</v>
      </c>
      <c r="BK250" t="s">
        <v>130</v>
      </c>
      <c r="BL250" t="s">
        <v>1995</v>
      </c>
      <c r="BM250" t="s">
        <v>5075</v>
      </c>
      <c r="BN250">
        <v>37674239</v>
      </c>
      <c r="BO250" t="s">
        <v>1728</v>
      </c>
      <c r="BP250" t="s">
        <v>74</v>
      </c>
      <c r="BQ250" t="s">
        <v>74</v>
      </c>
      <c r="BR250" t="s">
        <v>101</v>
      </c>
      <c r="BS250" t="s">
        <v>5076</v>
      </c>
      <c r="BT250" t="str">
        <f>HYPERLINK("https%3A%2F%2Fwww.webofscience.com%2Fwos%2Fwoscc%2Ffull-record%2FWOS:001060882900001","View Full Record in Web of Science")</f>
        <v>View Full Record in Web of Science</v>
      </c>
    </row>
    <row r="251" spans="1:72" x14ac:dyDescent="0.2">
      <c r="A251" t="s">
        <v>72</v>
      </c>
      <c r="B251" t="s">
        <v>5077</v>
      </c>
      <c r="C251" t="s">
        <v>74</v>
      </c>
      <c r="D251" t="s">
        <v>74</v>
      </c>
      <c r="E251" t="s">
        <v>75</v>
      </c>
      <c r="F251" t="s">
        <v>5078</v>
      </c>
      <c r="G251" t="s">
        <v>74</v>
      </c>
      <c r="H251" t="s">
        <v>74</v>
      </c>
      <c r="I251" t="s">
        <v>5079</v>
      </c>
      <c r="J251" t="s">
        <v>5080</v>
      </c>
      <c r="K251" t="s">
        <v>74</v>
      </c>
      <c r="L251" t="s">
        <v>74</v>
      </c>
      <c r="M251" t="s">
        <v>79</v>
      </c>
      <c r="N251" t="s">
        <v>80</v>
      </c>
      <c r="O251" t="s">
        <v>5081</v>
      </c>
      <c r="P251" t="s">
        <v>5082</v>
      </c>
      <c r="Q251" t="s">
        <v>2091</v>
      </c>
      <c r="R251" t="s">
        <v>5083</v>
      </c>
      <c r="S251" t="s">
        <v>74</v>
      </c>
      <c r="T251" t="s">
        <v>5084</v>
      </c>
      <c r="U251" t="s">
        <v>74</v>
      </c>
      <c r="V251" t="s">
        <v>5085</v>
      </c>
      <c r="W251" t="s">
        <v>5086</v>
      </c>
      <c r="X251" t="s">
        <v>5087</v>
      </c>
      <c r="Y251" t="s">
        <v>5088</v>
      </c>
      <c r="Z251" t="s">
        <v>5089</v>
      </c>
      <c r="AA251" t="s">
        <v>74</v>
      </c>
      <c r="AB251" t="s">
        <v>5090</v>
      </c>
      <c r="AC251" t="s">
        <v>5091</v>
      </c>
      <c r="AD251" t="s">
        <v>5092</v>
      </c>
      <c r="AE251" t="s">
        <v>5093</v>
      </c>
      <c r="AF251" t="s">
        <v>74</v>
      </c>
      <c r="AG251">
        <v>48</v>
      </c>
      <c r="AH251">
        <v>0</v>
      </c>
      <c r="AI251">
        <v>0</v>
      </c>
      <c r="AJ251">
        <v>1</v>
      </c>
      <c r="AK251">
        <v>1</v>
      </c>
      <c r="AL251" t="s">
        <v>92</v>
      </c>
      <c r="AM251" t="s">
        <v>93</v>
      </c>
      <c r="AN251" t="s">
        <v>94</v>
      </c>
      <c r="AO251" t="s">
        <v>74</v>
      </c>
      <c r="AP251" t="s">
        <v>74</v>
      </c>
      <c r="AQ251" t="s">
        <v>5094</v>
      </c>
      <c r="AR251" t="s">
        <v>74</v>
      </c>
      <c r="AS251" t="s">
        <v>74</v>
      </c>
      <c r="AT251" t="s">
        <v>74</v>
      </c>
      <c r="AU251">
        <v>2023</v>
      </c>
      <c r="AV251" t="s">
        <v>74</v>
      </c>
      <c r="AW251" t="s">
        <v>74</v>
      </c>
      <c r="AX251" t="s">
        <v>74</v>
      </c>
      <c r="AY251" t="s">
        <v>74</v>
      </c>
      <c r="AZ251" t="s">
        <v>74</v>
      </c>
      <c r="BA251" t="s">
        <v>74</v>
      </c>
      <c r="BB251" t="s">
        <v>74</v>
      </c>
      <c r="BC251" t="s">
        <v>74</v>
      </c>
      <c r="BD251">
        <v>99</v>
      </c>
      <c r="BE251" t="s">
        <v>5095</v>
      </c>
      <c r="BF251" t="str">
        <f>HYPERLINK("http://dx.doi.org/10.1145/3597638.3614548","http://dx.doi.org/10.1145/3597638.3614548")</f>
        <v>http://dx.doi.org/10.1145/3597638.3614548</v>
      </c>
      <c r="BG251" t="s">
        <v>74</v>
      </c>
      <c r="BH251" t="s">
        <v>74</v>
      </c>
      <c r="BI251">
        <v>8</v>
      </c>
      <c r="BJ251" t="s">
        <v>5096</v>
      </c>
      <c r="BK251" t="s">
        <v>98</v>
      </c>
      <c r="BL251" t="s">
        <v>906</v>
      </c>
      <c r="BM251" t="s">
        <v>5097</v>
      </c>
      <c r="BN251" t="s">
        <v>74</v>
      </c>
      <c r="BO251" t="s">
        <v>2722</v>
      </c>
      <c r="BP251" t="s">
        <v>74</v>
      </c>
      <c r="BQ251" t="s">
        <v>74</v>
      </c>
      <c r="BR251" t="s">
        <v>101</v>
      </c>
      <c r="BS251" t="s">
        <v>5098</v>
      </c>
      <c r="BT251" t="str">
        <f>HYPERLINK("https%3A%2F%2Fwww.webofscience.com%2Fwos%2Fwoscc%2Ffull-record%2FWOS:001125956600099","View Full Record in Web of Science")</f>
        <v>View Full Record in Web of Science</v>
      </c>
    </row>
    <row r="252" spans="1:72" x14ac:dyDescent="0.2">
      <c r="A252" t="s">
        <v>103</v>
      </c>
      <c r="B252" t="s">
        <v>5099</v>
      </c>
      <c r="C252" t="s">
        <v>74</v>
      </c>
      <c r="D252" t="s">
        <v>74</v>
      </c>
      <c r="E252" t="s">
        <v>74</v>
      </c>
      <c r="F252" t="s">
        <v>5100</v>
      </c>
      <c r="G252" t="s">
        <v>74</v>
      </c>
      <c r="H252" t="s">
        <v>74</v>
      </c>
      <c r="I252" t="s">
        <v>5101</v>
      </c>
      <c r="J252" t="s">
        <v>5102</v>
      </c>
      <c r="K252" t="s">
        <v>74</v>
      </c>
      <c r="L252" t="s">
        <v>74</v>
      </c>
      <c r="M252" t="s">
        <v>79</v>
      </c>
      <c r="N252" t="s">
        <v>108</v>
      </c>
      <c r="O252" t="s">
        <v>74</v>
      </c>
      <c r="P252" t="s">
        <v>74</v>
      </c>
      <c r="Q252" t="s">
        <v>74</v>
      </c>
      <c r="R252" t="s">
        <v>74</v>
      </c>
      <c r="S252" t="s">
        <v>74</v>
      </c>
      <c r="T252" t="s">
        <v>5103</v>
      </c>
      <c r="U252" t="s">
        <v>74</v>
      </c>
      <c r="V252" t="s">
        <v>5104</v>
      </c>
      <c r="W252" t="s">
        <v>5105</v>
      </c>
      <c r="X252" t="s">
        <v>5106</v>
      </c>
      <c r="Y252" t="s">
        <v>5107</v>
      </c>
      <c r="Z252" t="s">
        <v>5108</v>
      </c>
      <c r="AA252" t="s">
        <v>5109</v>
      </c>
      <c r="AB252" t="s">
        <v>5110</v>
      </c>
      <c r="AC252" t="s">
        <v>74</v>
      </c>
      <c r="AD252" t="s">
        <v>74</v>
      </c>
      <c r="AE252" t="s">
        <v>74</v>
      </c>
      <c r="AF252" t="s">
        <v>74</v>
      </c>
      <c r="AG252">
        <v>23</v>
      </c>
      <c r="AH252">
        <v>0</v>
      </c>
      <c r="AI252">
        <v>0</v>
      </c>
      <c r="AJ252">
        <v>8</v>
      </c>
      <c r="AK252">
        <v>8</v>
      </c>
      <c r="AL252" t="s">
        <v>5111</v>
      </c>
      <c r="AM252" t="s">
        <v>5112</v>
      </c>
      <c r="AN252" t="s">
        <v>5113</v>
      </c>
      <c r="AO252" t="s">
        <v>5114</v>
      </c>
      <c r="AP252" t="s">
        <v>74</v>
      </c>
      <c r="AQ252" t="s">
        <v>74</v>
      </c>
      <c r="AR252" t="s">
        <v>5115</v>
      </c>
      <c r="AS252" t="s">
        <v>5116</v>
      </c>
      <c r="AT252" t="s">
        <v>74</v>
      </c>
      <c r="AU252">
        <v>2023</v>
      </c>
      <c r="AV252">
        <v>98</v>
      </c>
      <c r="AW252">
        <v>6</v>
      </c>
      <c r="AX252" t="s">
        <v>74</v>
      </c>
      <c r="AY252" t="s">
        <v>74</v>
      </c>
      <c r="AZ252" t="s">
        <v>74</v>
      </c>
      <c r="BA252" t="s">
        <v>74</v>
      </c>
      <c r="BB252">
        <v>212</v>
      </c>
      <c r="BC252">
        <v>230</v>
      </c>
      <c r="BD252" t="s">
        <v>74</v>
      </c>
      <c r="BE252" t="s">
        <v>5117</v>
      </c>
      <c r="BF252" t="str">
        <f>HYPERLINK("http://dx.doi.org/10.33407/itlt.v98i6.5494","http://dx.doi.org/10.33407/itlt.v98i6.5494")</f>
        <v>http://dx.doi.org/10.33407/itlt.v98i6.5494</v>
      </c>
      <c r="BG252" t="s">
        <v>74</v>
      </c>
      <c r="BH252" t="s">
        <v>74</v>
      </c>
      <c r="BI252">
        <v>19</v>
      </c>
      <c r="BJ252" t="s">
        <v>423</v>
      </c>
      <c r="BK252" t="s">
        <v>352</v>
      </c>
      <c r="BL252" t="s">
        <v>423</v>
      </c>
      <c r="BM252" t="s">
        <v>5118</v>
      </c>
      <c r="BN252" t="s">
        <v>74</v>
      </c>
      <c r="BO252" t="s">
        <v>425</v>
      </c>
      <c r="BP252" t="s">
        <v>74</v>
      </c>
      <c r="BQ252" t="s">
        <v>74</v>
      </c>
      <c r="BR252" t="s">
        <v>101</v>
      </c>
      <c r="BS252" t="s">
        <v>5119</v>
      </c>
      <c r="BT252" t="str">
        <f>HYPERLINK("https%3A%2F%2Fwww.webofscience.com%2Fwos%2Fwoscc%2Ffull-record%2FWOS:001136895900011","View Full Record in Web of Science")</f>
        <v>View Full Record in Web of Science</v>
      </c>
    </row>
    <row r="253" spans="1:72" x14ac:dyDescent="0.2">
      <c r="A253" t="s">
        <v>72</v>
      </c>
      <c r="B253" t="s">
        <v>5120</v>
      </c>
      <c r="C253" t="s">
        <v>74</v>
      </c>
      <c r="D253" t="s">
        <v>74</v>
      </c>
      <c r="E253" t="s">
        <v>75</v>
      </c>
      <c r="F253" t="s">
        <v>5121</v>
      </c>
      <c r="G253" t="s">
        <v>74</v>
      </c>
      <c r="H253" t="s">
        <v>74</v>
      </c>
      <c r="I253" t="s">
        <v>5122</v>
      </c>
      <c r="J253" t="s">
        <v>5123</v>
      </c>
      <c r="K253" t="s">
        <v>74</v>
      </c>
      <c r="L253" t="s">
        <v>74</v>
      </c>
      <c r="M253" t="s">
        <v>79</v>
      </c>
      <c r="N253" t="s">
        <v>80</v>
      </c>
      <c r="O253" t="s">
        <v>5124</v>
      </c>
      <c r="P253" t="s">
        <v>5125</v>
      </c>
      <c r="Q253" t="s">
        <v>5126</v>
      </c>
      <c r="R253" t="s">
        <v>5127</v>
      </c>
      <c r="S253" t="s">
        <v>74</v>
      </c>
      <c r="T253" t="s">
        <v>5128</v>
      </c>
      <c r="U253" t="s">
        <v>74</v>
      </c>
      <c r="V253" t="s">
        <v>5129</v>
      </c>
      <c r="W253" t="s">
        <v>5130</v>
      </c>
      <c r="X253" t="s">
        <v>5131</v>
      </c>
      <c r="Y253" t="s">
        <v>5132</v>
      </c>
      <c r="Z253" t="s">
        <v>5133</v>
      </c>
      <c r="AA253" t="s">
        <v>74</v>
      </c>
      <c r="AB253" t="s">
        <v>74</v>
      </c>
      <c r="AC253" t="s">
        <v>5134</v>
      </c>
      <c r="AD253" t="s">
        <v>5134</v>
      </c>
      <c r="AE253" t="s">
        <v>5135</v>
      </c>
      <c r="AF253" t="s">
        <v>74</v>
      </c>
      <c r="AG253">
        <v>30</v>
      </c>
      <c r="AH253">
        <v>0</v>
      </c>
      <c r="AI253">
        <v>0</v>
      </c>
      <c r="AJ253">
        <v>1</v>
      </c>
      <c r="AK253">
        <v>1</v>
      </c>
      <c r="AL253" t="s">
        <v>92</v>
      </c>
      <c r="AM253" t="s">
        <v>93</v>
      </c>
      <c r="AN253" t="s">
        <v>94</v>
      </c>
      <c r="AO253" t="s">
        <v>74</v>
      </c>
      <c r="AP253" t="s">
        <v>74</v>
      </c>
      <c r="AQ253" t="s">
        <v>5136</v>
      </c>
      <c r="AR253" t="s">
        <v>74</v>
      </c>
      <c r="AS253" t="s">
        <v>74</v>
      </c>
      <c r="AT253" t="s">
        <v>74</v>
      </c>
      <c r="AU253">
        <v>2023</v>
      </c>
      <c r="AV253" t="s">
        <v>74</v>
      </c>
      <c r="AW253" t="s">
        <v>74</v>
      </c>
      <c r="AX253" t="s">
        <v>74</v>
      </c>
      <c r="AY253" t="s">
        <v>74</v>
      </c>
      <c r="AZ253" t="s">
        <v>74</v>
      </c>
      <c r="BA253" t="s">
        <v>74</v>
      </c>
      <c r="BB253" t="s">
        <v>74</v>
      </c>
      <c r="BC253" t="s">
        <v>74</v>
      </c>
      <c r="BD253">
        <v>6</v>
      </c>
      <c r="BE253" t="s">
        <v>5137</v>
      </c>
      <c r="BF253" t="str">
        <f>HYPERLINK("http://dx.doi.org/10.1145/3565066.3608691","http://dx.doi.org/10.1145/3565066.3608691")</f>
        <v>http://dx.doi.org/10.1145/3565066.3608691</v>
      </c>
      <c r="BG253" t="s">
        <v>74</v>
      </c>
      <c r="BH253" t="s">
        <v>74</v>
      </c>
      <c r="BI253">
        <v>6</v>
      </c>
      <c r="BJ253" t="s">
        <v>5138</v>
      </c>
      <c r="BK253" t="s">
        <v>98</v>
      </c>
      <c r="BL253" t="s">
        <v>99</v>
      </c>
      <c r="BM253" t="s">
        <v>5139</v>
      </c>
      <c r="BN253" t="s">
        <v>74</v>
      </c>
      <c r="BO253" t="s">
        <v>74</v>
      </c>
      <c r="BP253" t="s">
        <v>74</v>
      </c>
      <c r="BQ253" t="s">
        <v>74</v>
      </c>
      <c r="BR253" t="s">
        <v>101</v>
      </c>
      <c r="BS253" t="s">
        <v>5140</v>
      </c>
      <c r="BT253" t="str">
        <f>HYPERLINK("https%3A%2F%2Fwww.webofscience.com%2Fwos%2Fwoscc%2Ffull-record%2FWOS:001143735000006","View Full Record in Web of Science")</f>
        <v>View Full Record in Web of Science</v>
      </c>
    </row>
    <row r="254" spans="1:72" x14ac:dyDescent="0.2">
      <c r="A254" t="s">
        <v>103</v>
      </c>
      <c r="B254" t="s">
        <v>5141</v>
      </c>
      <c r="C254" t="s">
        <v>74</v>
      </c>
      <c r="D254" t="s">
        <v>74</v>
      </c>
      <c r="E254" t="s">
        <v>74</v>
      </c>
      <c r="F254" t="s">
        <v>5142</v>
      </c>
      <c r="G254" t="s">
        <v>74</v>
      </c>
      <c r="H254" t="s">
        <v>74</v>
      </c>
      <c r="I254" t="s">
        <v>5143</v>
      </c>
      <c r="J254" t="s">
        <v>5144</v>
      </c>
      <c r="K254" t="s">
        <v>74</v>
      </c>
      <c r="L254" t="s">
        <v>74</v>
      </c>
      <c r="M254" t="s">
        <v>79</v>
      </c>
      <c r="N254" t="s">
        <v>108</v>
      </c>
      <c r="O254" t="s">
        <v>74</v>
      </c>
      <c r="P254" t="s">
        <v>74</v>
      </c>
      <c r="Q254" t="s">
        <v>74</v>
      </c>
      <c r="R254" t="s">
        <v>74</v>
      </c>
      <c r="S254" t="s">
        <v>74</v>
      </c>
      <c r="T254" t="s">
        <v>5145</v>
      </c>
      <c r="U254" t="s">
        <v>5146</v>
      </c>
      <c r="V254" t="s">
        <v>5147</v>
      </c>
      <c r="W254" t="s">
        <v>5148</v>
      </c>
      <c r="X254" t="s">
        <v>1146</v>
      </c>
      <c r="Y254" t="s">
        <v>5149</v>
      </c>
      <c r="Z254" t="s">
        <v>5150</v>
      </c>
      <c r="AA254" t="s">
        <v>74</v>
      </c>
      <c r="AB254" t="s">
        <v>5151</v>
      </c>
      <c r="AC254" t="s">
        <v>5152</v>
      </c>
      <c r="AD254" t="s">
        <v>5153</v>
      </c>
      <c r="AE254" t="s">
        <v>5154</v>
      </c>
      <c r="AF254" t="s">
        <v>74</v>
      </c>
      <c r="AG254">
        <v>102</v>
      </c>
      <c r="AH254">
        <v>1</v>
      </c>
      <c r="AI254">
        <v>1</v>
      </c>
      <c r="AJ254">
        <v>3</v>
      </c>
      <c r="AK254">
        <v>3</v>
      </c>
      <c r="AL254" t="s">
        <v>270</v>
      </c>
      <c r="AM254" t="s">
        <v>1424</v>
      </c>
      <c r="AN254" t="s">
        <v>1425</v>
      </c>
      <c r="AO254" t="s">
        <v>5155</v>
      </c>
      <c r="AP254" t="s">
        <v>5156</v>
      </c>
      <c r="AQ254" t="s">
        <v>74</v>
      </c>
      <c r="AR254" t="s">
        <v>5157</v>
      </c>
      <c r="AS254" t="s">
        <v>5158</v>
      </c>
      <c r="AT254" t="s">
        <v>527</v>
      </c>
      <c r="AU254">
        <v>2023</v>
      </c>
      <c r="AV254">
        <v>165</v>
      </c>
      <c r="AW254" t="s">
        <v>74</v>
      </c>
      <c r="AX254" t="s">
        <v>74</v>
      </c>
      <c r="AY254" t="s">
        <v>74</v>
      </c>
      <c r="AZ254" t="s">
        <v>74</v>
      </c>
      <c r="BA254" t="s">
        <v>74</v>
      </c>
      <c r="BB254" t="s">
        <v>74</v>
      </c>
      <c r="BC254" t="s">
        <v>74</v>
      </c>
      <c r="BD254">
        <v>103609</v>
      </c>
      <c r="BE254" t="s">
        <v>5159</v>
      </c>
      <c r="BF254" t="str">
        <f>HYPERLINK("http://dx.doi.org/10.1016/j.cad.2023.103609","http://dx.doi.org/10.1016/j.cad.2023.103609")</f>
        <v>http://dx.doi.org/10.1016/j.cad.2023.103609</v>
      </c>
      <c r="BG254" t="s">
        <v>74</v>
      </c>
      <c r="BH254" t="s">
        <v>74</v>
      </c>
      <c r="BI254">
        <v>24</v>
      </c>
      <c r="BJ254" t="s">
        <v>1563</v>
      </c>
      <c r="BK254" t="s">
        <v>130</v>
      </c>
      <c r="BL254" t="s">
        <v>99</v>
      </c>
      <c r="BM254" t="s">
        <v>5160</v>
      </c>
      <c r="BN254" t="s">
        <v>74</v>
      </c>
      <c r="BO254" t="s">
        <v>646</v>
      </c>
      <c r="BP254" t="s">
        <v>74</v>
      </c>
      <c r="BQ254" t="s">
        <v>74</v>
      </c>
      <c r="BR254" t="s">
        <v>101</v>
      </c>
      <c r="BS254" t="s">
        <v>5161</v>
      </c>
      <c r="BT254" t="str">
        <f>HYPERLINK("https%3A%2F%2Fwww.webofscience.com%2Fwos%2Fwoscc%2Ffull-record%2FWOS:001150001800001","View Full Record in Web of Science")</f>
        <v>View Full Record in Web of Science</v>
      </c>
    </row>
    <row r="255" spans="1:72" x14ac:dyDescent="0.2">
      <c r="A255" t="s">
        <v>72</v>
      </c>
      <c r="B255" t="s">
        <v>5162</v>
      </c>
      <c r="C255" t="s">
        <v>74</v>
      </c>
      <c r="D255" t="s">
        <v>74</v>
      </c>
      <c r="E255" t="s">
        <v>75</v>
      </c>
      <c r="F255" t="s">
        <v>5163</v>
      </c>
      <c r="G255" t="s">
        <v>74</v>
      </c>
      <c r="H255" t="s">
        <v>74</v>
      </c>
      <c r="I255" t="s">
        <v>5164</v>
      </c>
      <c r="J255" t="s">
        <v>1636</v>
      </c>
      <c r="K255" t="s">
        <v>74</v>
      </c>
      <c r="L255" t="s">
        <v>74</v>
      </c>
      <c r="M255" t="s">
        <v>79</v>
      </c>
      <c r="N255" t="s">
        <v>80</v>
      </c>
      <c r="O255" t="s">
        <v>1637</v>
      </c>
      <c r="P255" t="s">
        <v>1638</v>
      </c>
      <c r="Q255" t="s">
        <v>1639</v>
      </c>
      <c r="R255" t="s">
        <v>1640</v>
      </c>
      <c r="S255" t="s">
        <v>74</v>
      </c>
      <c r="T255" t="s">
        <v>5165</v>
      </c>
      <c r="U255" t="s">
        <v>74</v>
      </c>
      <c r="V255" t="s">
        <v>5166</v>
      </c>
      <c r="W255" t="s">
        <v>5167</v>
      </c>
      <c r="X255" t="s">
        <v>5168</v>
      </c>
      <c r="Y255" t="s">
        <v>5169</v>
      </c>
      <c r="Z255" t="s">
        <v>5170</v>
      </c>
      <c r="AA255" t="s">
        <v>74</v>
      </c>
      <c r="AB255" t="s">
        <v>74</v>
      </c>
      <c r="AC255" t="s">
        <v>74</v>
      </c>
      <c r="AD255" t="s">
        <v>74</v>
      </c>
      <c r="AE255" t="s">
        <v>74</v>
      </c>
      <c r="AF255" t="s">
        <v>74</v>
      </c>
      <c r="AG255">
        <v>47</v>
      </c>
      <c r="AH255">
        <v>1</v>
      </c>
      <c r="AI255">
        <v>1</v>
      </c>
      <c r="AJ255">
        <v>1</v>
      </c>
      <c r="AK255">
        <v>1</v>
      </c>
      <c r="AL255" t="s">
        <v>92</v>
      </c>
      <c r="AM255" t="s">
        <v>93</v>
      </c>
      <c r="AN255" t="s">
        <v>94</v>
      </c>
      <c r="AO255" t="s">
        <v>74</v>
      </c>
      <c r="AP255" t="s">
        <v>74</v>
      </c>
      <c r="AQ255" t="s">
        <v>1651</v>
      </c>
      <c r="AR255" t="s">
        <v>74</v>
      </c>
      <c r="AS255" t="s">
        <v>74</v>
      </c>
      <c r="AT255" t="s">
        <v>74</v>
      </c>
      <c r="AU255">
        <v>2023</v>
      </c>
      <c r="AV255" t="s">
        <v>74</v>
      </c>
      <c r="AW255" t="s">
        <v>74</v>
      </c>
      <c r="AX255" t="s">
        <v>74</v>
      </c>
      <c r="AY255" t="s">
        <v>74</v>
      </c>
      <c r="AZ255" t="s">
        <v>74</v>
      </c>
      <c r="BA255" t="s">
        <v>74</v>
      </c>
      <c r="BB255" t="s">
        <v>74</v>
      </c>
      <c r="BC255" t="s">
        <v>74</v>
      </c>
      <c r="BD255" t="s">
        <v>74</v>
      </c>
      <c r="BE255" t="s">
        <v>5171</v>
      </c>
      <c r="BF255" t="str">
        <f>HYPERLINK("http://dx.doi.org/10.1145/3544548.3581226","http://dx.doi.org/10.1145/3544548.3581226")</f>
        <v>http://dx.doi.org/10.1145/3544548.3581226</v>
      </c>
      <c r="BG255" t="s">
        <v>74</v>
      </c>
      <c r="BH255" t="s">
        <v>74</v>
      </c>
      <c r="BI255">
        <v>15</v>
      </c>
      <c r="BJ255" t="s">
        <v>1653</v>
      </c>
      <c r="BK255" t="s">
        <v>98</v>
      </c>
      <c r="BL255" t="s">
        <v>1654</v>
      </c>
      <c r="BM255" t="s">
        <v>1655</v>
      </c>
      <c r="BN255" t="s">
        <v>74</v>
      </c>
      <c r="BO255" t="s">
        <v>2568</v>
      </c>
      <c r="BP255" t="s">
        <v>74</v>
      </c>
      <c r="BQ255" t="s">
        <v>74</v>
      </c>
      <c r="BR255" t="s">
        <v>101</v>
      </c>
      <c r="BS255" t="s">
        <v>5172</v>
      </c>
      <c r="BT255" t="str">
        <f>HYPERLINK("https%3A%2F%2Fwww.webofscience.com%2Fwos%2Fwoscc%2Ffull-record%2FWOS:001048393801051","View Full Record in Web of Science")</f>
        <v>View Full Record in Web of Science</v>
      </c>
    </row>
    <row r="256" spans="1:72" x14ac:dyDescent="0.2">
      <c r="A256" t="s">
        <v>72</v>
      </c>
      <c r="B256" t="s">
        <v>5173</v>
      </c>
      <c r="C256" t="s">
        <v>74</v>
      </c>
      <c r="D256" t="s">
        <v>74</v>
      </c>
      <c r="E256" t="s">
        <v>75</v>
      </c>
      <c r="F256" t="s">
        <v>5174</v>
      </c>
      <c r="G256" t="s">
        <v>74</v>
      </c>
      <c r="H256" t="s">
        <v>74</v>
      </c>
      <c r="I256" t="s">
        <v>5175</v>
      </c>
      <c r="J256" t="s">
        <v>1636</v>
      </c>
      <c r="K256" t="s">
        <v>74</v>
      </c>
      <c r="L256" t="s">
        <v>74</v>
      </c>
      <c r="M256" t="s">
        <v>79</v>
      </c>
      <c r="N256" t="s">
        <v>80</v>
      </c>
      <c r="O256" t="s">
        <v>1637</v>
      </c>
      <c r="P256" t="s">
        <v>1638</v>
      </c>
      <c r="Q256" t="s">
        <v>1639</v>
      </c>
      <c r="R256" t="s">
        <v>1640</v>
      </c>
      <c r="S256" t="s">
        <v>74</v>
      </c>
      <c r="T256" t="s">
        <v>5176</v>
      </c>
      <c r="U256" t="s">
        <v>74</v>
      </c>
      <c r="V256" t="s">
        <v>5177</v>
      </c>
      <c r="W256" t="s">
        <v>5178</v>
      </c>
      <c r="X256" t="s">
        <v>5179</v>
      </c>
      <c r="Y256" t="s">
        <v>5180</v>
      </c>
      <c r="Z256" t="s">
        <v>5181</v>
      </c>
      <c r="AA256" t="s">
        <v>74</v>
      </c>
      <c r="AB256" t="s">
        <v>5182</v>
      </c>
      <c r="AC256" t="s">
        <v>5183</v>
      </c>
      <c r="AD256" t="s">
        <v>5184</v>
      </c>
      <c r="AE256" t="s">
        <v>5185</v>
      </c>
      <c r="AF256" t="s">
        <v>74</v>
      </c>
      <c r="AG256">
        <v>86</v>
      </c>
      <c r="AH256">
        <v>0</v>
      </c>
      <c r="AI256">
        <v>0</v>
      </c>
      <c r="AJ256">
        <v>3</v>
      </c>
      <c r="AK256">
        <v>3</v>
      </c>
      <c r="AL256" t="s">
        <v>92</v>
      </c>
      <c r="AM256" t="s">
        <v>93</v>
      </c>
      <c r="AN256" t="s">
        <v>94</v>
      </c>
      <c r="AO256" t="s">
        <v>74</v>
      </c>
      <c r="AP256" t="s">
        <v>74</v>
      </c>
      <c r="AQ256" t="s">
        <v>1651</v>
      </c>
      <c r="AR256" t="s">
        <v>74</v>
      </c>
      <c r="AS256" t="s">
        <v>74</v>
      </c>
      <c r="AT256" t="s">
        <v>74</v>
      </c>
      <c r="AU256">
        <v>2023</v>
      </c>
      <c r="AV256" t="s">
        <v>74</v>
      </c>
      <c r="AW256" t="s">
        <v>74</v>
      </c>
      <c r="AX256" t="s">
        <v>74</v>
      </c>
      <c r="AY256" t="s">
        <v>74</v>
      </c>
      <c r="AZ256" t="s">
        <v>74</v>
      </c>
      <c r="BA256" t="s">
        <v>74</v>
      </c>
      <c r="BB256" t="s">
        <v>74</v>
      </c>
      <c r="BC256" t="s">
        <v>74</v>
      </c>
      <c r="BD256">
        <v>157</v>
      </c>
      <c r="BE256" t="s">
        <v>5186</v>
      </c>
      <c r="BF256" t="str">
        <f>HYPERLINK("http://dx.doi.org/10.1145/3544548.3581133","http://dx.doi.org/10.1145/3544548.3581133")</f>
        <v>http://dx.doi.org/10.1145/3544548.3581133</v>
      </c>
      <c r="BG256" t="s">
        <v>74</v>
      </c>
      <c r="BH256" t="s">
        <v>74</v>
      </c>
      <c r="BI256">
        <v>19</v>
      </c>
      <c r="BJ256" t="s">
        <v>1653</v>
      </c>
      <c r="BK256" t="s">
        <v>98</v>
      </c>
      <c r="BL256" t="s">
        <v>1654</v>
      </c>
      <c r="BM256" t="s">
        <v>1655</v>
      </c>
      <c r="BN256" t="s">
        <v>74</v>
      </c>
      <c r="BO256" t="s">
        <v>2568</v>
      </c>
      <c r="BP256" t="s">
        <v>74</v>
      </c>
      <c r="BQ256" t="s">
        <v>74</v>
      </c>
      <c r="BR256" t="s">
        <v>101</v>
      </c>
      <c r="BS256" t="s">
        <v>5187</v>
      </c>
      <c r="BT256" t="str">
        <f>HYPERLINK("https%3A%2F%2Fwww.webofscience.com%2Fwos%2Fwoscc%2Ffull-record%2FWOS:001048393800008","View Full Record in Web of Science")</f>
        <v>View Full Record in Web of Science</v>
      </c>
    </row>
    <row r="257" spans="1:72" x14ac:dyDescent="0.2">
      <c r="A257" t="s">
        <v>103</v>
      </c>
      <c r="B257" t="s">
        <v>5188</v>
      </c>
      <c r="C257" t="s">
        <v>74</v>
      </c>
      <c r="D257" t="s">
        <v>74</v>
      </c>
      <c r="E257" t="s">
        <v>74</v>
      </c>
      <c r="F257" t="s">
        <v>5189</v>
      </c>
      <c r="G257" t="s">
        <v>74</v>
      </c>
      <c r="H257" t="s">
        <v>74</v>
      </c>
      <c r="I257" t="s">
        <v>5190</v>
      </c>
      <c r="J257" t="s">
        <v>5191</v>
      </c>
      <c r="K257" t="s">
        <v>74</v>
      </c>
      <c r="L257" t="s">
        <v>74</v>
      </c>
      <c r="M257" t="s">
        <v>79</v>
      </c>
      <c r="N257" t="s">
        <v>108</v>
      </c>
      <c r="O257" t="s">
        <v>74</v>
      </c>
      <c r="P257" t="s">
        <v>74</v>
      </c>
      <c r="Q257" t="s">
        <v>74</v>
      </c>
      <c r="R257" t="s">
        <v>74</v>
      </c>
      <c r="S257" t="s">
        <v>74</v>
      </c>
      <c r="T257" t="s">
        <v>5192</v>
      </c>
      <c r="U257" t="s">
        <v>74</v>
      </c>
      <c r="V257" t="s">
        <v>5193</v>
      </c>
      <c r="W257" t="s">
        <v>5194</v>
      </c>
      <c r="X257" t="s">
        <v>5195</v>
      </c>
      <c r="Y257" t="s">
        <v>5196</v>
      </c>
      <c r="Z257" t="s">
        <v>5197</v>
      </c>
      <c r="AA257" t="s">
        <v>74</v>
      </c>
      <c r="AB257" t="s">
        <v>74</v>
      </c>
      <c r="AC257" t="s">
        <v>74</v>
      </c>
      <c r="AD257" t="s">
        <v>74</v>
      </c>
      <c r="AE257" t="s">
        <v>74</v>
      </c>
      <c r="AF257" t="s">
        <v>74</v>
      </c>
      <c r="AG257">
        <v>18</v>
      </c>
      <c r="AH257">
        <v>1</v>
      </c>
      <c r="AI257">
        <v>1</v>
      </c>
      <c r="AJ257">
        <v>20</v>
      </c>
      <c r="AK257">
        <v>20</v>
      </c>
      <c r="AL257" t="s">
        <v>5198</v>
      </c>
      <c r="AM257" t="s">
        <v>5199</v>
      </c>
      <c r="AN257" t="s">
        <v>5200</v>
      </c>
      <c r="AO257" t="s">
        <v>5201</v>
      </c>
      <c r="AP257" t="s">
        <v>74</v>
      </c>
      <c r="AQ257" t="s">
        <v>74</v>
      </c>
      <c r="AR257" t="s">
        <v>5202</v>
      </c>
      <c r="AS257" t="s">
        <v>5203</v>
      </c>
      <c r="AT257" t="s">
        <v>527</v>
      </c>
      <c r="AU257">
        <v>2023</v>
      </c>
      <c r="AV257">
        <v>109</v>
      </c>
      <c r="AW257">
        <v>8</v>
      </c>
      <c r="AX257" t="s">
        <v>74</v>
      </c>
      <c r="AY257" t="s">
        <v>74</v>
      </c>
      <c r="AZ257" t="s">
        <v>74</v>
      </c>
      <c r="BA257" t="s">
        <v>74</v>
      </c>
      <c r="BB257" t="s">
        <v>74</v>
      </c>
      <c r="BC257" t="s">
        <v>74</v>
      </c>
      <c r="BD257">
        <v>103706</v>
      </c>
      <c r="BE257" t="s">
        <v>5204</v>
      </c>
      <c r="BF257" t="str">
        <f>HYPERLINK("http://dx.doi.org/10.1016/j.otsr.2023.103706","http://dx.doi.org/10.1016/j.otsr.2023.103706")</f>
        <v>http://dx.doi.org/10.1016/j.otsr.2023.103706</v>
      </c>
      <c r="BG257" t="s">
        <v>74</v>
      </c>
      <c r="BH257" t="s">
        <v>157</v>
      </c>
      <c r="BI257">
        <v>6</v>
      </c>
      <c r="BJ257" t="s">
        <v>5057</v>
      </c>
      <c r="BK257" t="s">
        <v>130</v>
      </c>
      <c r="BL257" t="s">
        <v>5057</v>
      </c>
      <c r="BM257" t="s">
        <v>5205</v>
      </c>
      <c r="BN257">
        <v>37838021</v>
      </c>
      <c r="BO257" t="s">
        <v>74</v>
      </c>
      <c r="BP257" t="s">
        <v>74</v>
      </c>
      <c r="BQ257" t="s">
        <v>74</v>
      </c>
      <c r="BR257" t="s">
        <v>101</v>
      </c>
      <c r="BS257" t="s">
        <v>5206</v>
      </c>
      <c r="BT257" t="str">
        <f>HYPERLINK("https%3A%2F%2Fwww.webofscience.com%2Fwos%2Fwoscc%2Ffull-record%2FWOS:001127605700001","View Full Record in Web of Science")</f>
        <v>View Full Record in Web of Science</v>
      </c>
    </row>
    <row r="258" spans="1:72" x14ac:dyDescent="0.2">
      <c r="A258" t="s">
        <v>103</v>
      </c>
      <c r="B258" t="s">
        <v>5207</v>
      </c>
      <c r="C258" t="s">
        <v>74</v>
      </c>
      <c r="D258" t="s">
        <v>74</v>
      </c>
      <c r="E258" t="s">
        <v>74</v>
      </c>
      <c r="F258" t="s">
        <v>5208</v>
      </c>
      <c r="G258" t="s">
        <v>74</v>
      </c>
      <c r="H258" t="s">
        <v>74</v>
      </c>
      <c r="I258" t="s">
        <v>5209</v>
      </c>
      <c r="J258" t="s">
        <v>5210</v>
      </c>
      <c r="K258" t="s">
        <v>74</v>
      </c>
      <c r="L258" t="s">
        <v>74</v>
      </c>
      <c r="M258" t="s">
        <v>79</v>
      </c>
      <c r="N258" t="s">
        <v>138</v>
      </c>
      <c r="O258" t="s">
        <v>74</v>
      </c>
      <c r="P258" t="s">
        <v>74</v>
      </c>
      <c r="Q258" t="s">
        <v>74</v>
      </c>
      <c r="R258" t="s">
        <v>74</v>
      </c>
      <c r="S258" t="s">
        <v>74</v>
      </c>
      <c r="T258" t="s">
        <v>5211</v>
      </c>
      <c r="U258" t="s">
        <v>74</v>
      </c>
      <c r="V258" t="s">
        <v>5212</v>
      </c>
      <c r="W258" t="s">
        <v>5213</v>
      </c>
      <c r="X258" t="s">
        <v>5214</v>
      </c>
      <c r="Y258" t="s">
        <v>5215</v>
      </c>
      <c r="Z258" t="s">
        <v>5216</v>
      </c>
      <c r="AA258" t="s">
        <v>5217</v>
      </c>
      <c r="AB258" t="s">
        <v>5218</v>
      </c>
      <c r="AC258" t="s">
        <v>5219</v>
      </c>
      <c r="AD258" t="s">
        <v>5220</v>
      </c>
      <c r="AE258" t="s">
        <v>5221</v>
      </c>
      <c r="AF258" t="s">
        <v>74</v>
      </c>
      <c r="AG258">
        <v>42</v>
      </c>
      <c r="AH258">
        <v>4</v>
      </c>
      <c r="AI258">
        <v>5</v>
      </c>
      <c r="AJ258">
        <v>157</v>
      </c>
      <c r="AK258">
        <v>197</v>
      </c>
      <c r="AL258" t="s">
        <v>737</v>
      </c>
      <c r="AM258" t="s">
        <v>738</v>
      </c>
      <c r="AN258" t="s">
        <v>739</v>
      </c>
      <c r="AO258" t="s">
        <v>5222</v>
      </c>
      <c r="AP258" t="s">
        <v>5223</v>
      </c>
      <c r="AQ258" t="s">
        <v>74</v>
      </c>
      <c r="AR258" t="s">
        <v>5224</v>
      </c>
      <c r="AS258" t="s">
        <v>5225</v>
      </c>
      <c r="AT258" t="s">
        <v>227</v>
      </c>
      <c r="AU258">
        <v>2023</v>
      </c>
      <c r="AV258" t="s">
        <v>74</v>
      </c>
      <c r="AW258" t="s">
        <v>74</v>
      </c>
      <c r="AX258" t="s">
        <v>74</v>
      </c>
      <c r="AY258" t="s">
        <v>74</v>
      </c>
      <c r="AZ258" t="s">
        <v>74</v>
      </c>
      <c r="BA258" t="s">
        <v>74</v>
      </c>
      <c r="BB258" t="s">
        <v>74</v>
      </c>
      <c r="BC258" t="s">
        <v>74</v>
      </c>
      <c r="BD258" t="s">
        <v>74</v>
      </c>
      <c r="BE258" t="s">
        <v>5226</v>
      </c>
      <c r="BF258" t="str">
        <f>HYPERLINK("http://dx.doi.org/10.1080/02602938.2023.2241676","http://dx.doi.org/10.1080/02602938.2023.2241676")</f>
        <v>http://dx.doi.org/10.1080/02602938.2023.2241676</v>
      </c>
      <c r="BG258" t="s">
        <v>74</v>
      </c>
      <c r="BH258" t="s">
        <v>229</v>
      </c>
      <c r="BI258">
        <v>13</v>
      </c>
      <c r="BJ258" t="s">
        <v>423</v>
      </c>
      <c r="BK258" t="s">
        <v>159</v>
      </c>
      <c r="BL258" t="s">
        <v>423</v>
      </c>
      <c r="BM258" t="s">
        <v>5227</v>
      </c>
      <c r="BN258" t="s">
        <v>74</v>
      </c>
      <c r="BO258" t="s">
        <v>161</v>
      </c>
      <c r="BP258" t="s">
        <v>74</v>
      </c>
      <c r="BQ258" t="s">
        <v>74</v>
      </c>
      <c r="BR258" t="s">
        <v>101</v>
      </c>
      <c r="BS258" t="s">
        <v>5228</v>
      </c>
      <c r="BT258" t="str">
        <f>HYPERLINK("https%3A%2F%2Fwww.webofscience.com%2Fwos%2Fwoscc%2Ffull-record%2FWOS:001040685700001","View Full Record in Web of Science")</f>
        <v>View Full Record in Web of Science</v>
      </c>
    </row>
    <row r="259" spans="1:72" x14ac:dyDescent="0.2">
      <c r="A259" t="s">
        <v>103</v>
      </c>
      <c r="B259" t="s">
        <v>5229</v>
      </c>
      <c r="C259" t="s">
        <v>74</v>
      </c>
      <c r="D259" t="s">
        <v>74</v>
      </c>
      <c r="E259" t="s">
        <v>74</v>
      </c>
      <c r="F259" t="s">
        <v>5230</v>
      </c>
      <c r="G259" t="s">
        <v>74</v>
      </c>
      <c r="H259" t="s">
        <v>74</v>
      </c>
      <c r="I259" t="s">
        <v>5231</v>
      </c>
      <c r="J259" t="s">
        <v>5232</v>
      </c>
      <c r="K259" t="s">
        <v>74</v>
      </c>
      <c r="L259" t="s">
        <v>74</v>
      </c>
      <c r="M259" t="s">
        <v>79</v>
      </c>
      <c r="N259" t="s">
        <v>108</v>
      </c>
      <c r="O259" t="s">
        <v>74</v>
      </c>
      <c r="P259" t="s">
        <v>74</v>
      </c>
      <c r="Q259" t="s">
        <v>74</v>
      </c>
      <c r="R259" t="s">
        <v>74</v>
      </c>
      <c r="S259" t="s">
        <v>74</v>
      </c>
      <c r="T259" t="s">
        <v>5233</v>
      </c>
      <c r="U259" t="s">
        <v>74</v>
      </c>
      <c r="V259" t="s">
        <v>5234</v>
      </c>
      <c r="W259" t="s">
        <v>5235</v>
      </c>
      <c r="X259" t="s">
        <v>5236</v>
      </c>
      <c r="Y259" t="s">
        <v>5237</v>
      </c>
      <c r="Z259" t="s">
        <v>5238</v>
      </c>
      <c r="AA259" t="s">
        <v>74</v>
      </c>
      <c r="AB259" t="s">
        <v>74</v>
      </c>
      <c r="AC259" t="s">
        <v>74</v>
      </c>
      <c r="AD259" t="s">
        <v>74</v>
      </c>
      <c r="AE259" t="s">
        <v>74</v>
      </c>
      <c r="AF259" t="s">
        <v>74</v>
      </c>
      <c r="AG259">
        <v>34</v>
      </c>
      <c r="AH259">
        <v>0</v>
      </c>
      <c r="AI259">
        <v>0</v>
      </c>
      <c r="AJ259">
        <v>0</v>
      </c>
      <c r="AK259">
        <v>0</v>
      </c>
      <c r="AL259" t="s">
        <v>939</v>
      </c>
      <c r="AM259" t="s">
        <v>940</v>
      </c>
      <c r="AN259" t="s">
        <v>941</v>
      </c>
      <c r="AO259" t="s">
        <v>74</v>
      </c>
      <c r="AP259" t="s">
        <v>5239</v>
      </c>
      <c r="AQ259" t="s">
        <v>74</v>
      </c>
      <c r="AR259" t="s">
        <v>5232</v>
      </c>
      <c r="AS259" t="s">
        <v>5240</v>
      </c>
      <c r="AT259" t="s">
        <v>527</v>
      </c>
      <c r="AU259">
        <v>2023</v>
      </c>
      <c r="AV259">
        <v>11</v>
      </c>
      <c r="AW259">
        <v>6</v>
      </c>
      <c r="AX259" t="s">
        <v>74</v>
      </c>
      <c r="AY259" t="s">
        <v>74</v>
      </c>
      <c r="AZ259" t="s">
        <v>74</v>
      </c>
      <c r="BA259" t="s">
        <v>74</v>
      </c>
      <c r="BB259" t="s">
        <v>74</v>
      </c>
      <c r="BC259" t="s">
        <v>74</v>
      </c>
      <c r="BD259">
        <v>183</v>
      </c>
      <c r="BE259" t="s">
        <v>5241</v>
      </c>
      <c r="BF259" t="str">
        <f>HYPERLINK("http://dx.doi.org/10.3390/technologies11060183","http://dx.doi.org/10.3390/technologies11060183")</f>
        <v>http://dx.doi.org/10.3390/technologies11060183</v>
      </c>
      <c r="BG259" t="s">
        <v>74</v>
      </c>
      <c r="BH259" t="s">
        <v>74</v>
      </c>
      <c r="BI259">
        <v>22</v>
      </c>
      <c r="BJ259" t="s">
        <v>5242</v>
      </c>
      <c r="BK259" t="s">
        <v>352</v>
      </c>
      <c r="BL259" t="s">
        <v>2823</v>
      </c>
      <c r="BM259" t="s">
        <v>5243</v>
      </c>
      <c r="BN259" t="s">
        <v>74</v>
      </c>
      <c r="BO259" t="s">
        <v>74</v>
      </c>
      <c r="BP259" t="s">
        <v>74</v>
      </c>
      <c r="BQ259" t="s">
        <v>74</v>
      </c>
      <c r="BR259" t="s">
        <v>101</v>
      </c>
      <c r="BS259" t="s">
        <v>5244</v>
      </c>
      <c r="BT259" t="str">
        <f>HYPERLINK("https%3A%2F%2Fwww.webofscience.com%2Fwos%2Fwoscc%2Ffull-record%2FWOS:001130770100001","View Full Record in Web of Science")</f>
        <v>View Full Record in Web of Science</v>
      </c>
    </row>
    <row r="260" spans="1:72" x14ac:dyDescent="0.2">
      <c r="A260" t="s">
        <v>103</v>
      </c>
      <c r="B260" t="s">
        <v>5245</v>
      </c>
      <c r="C260" t="s">
        <v>74</v>
      </c>
      <c r="D260" t="s">
        <v>74</v>
      </c>
      <c r="E260" t="s">
        <v>74</v>
      </c>
      <c r="F260" t="s">
        <v>5246</v>
      </c>
      <c r="G260" t="s">
        <v>74</v>
      </c>
      <c r="H260" t="s">
        <v>74</v>
      </c>
      <c r="I260" t="s">
        <v>5247</v>
      </c>
      <c r="J260" t="s">
        <v>5248</v>
      </c>
      <c r="K260" t="s">
        <v>74</v>
      </c>
      <c r="L260" t="s">
        <v>74</v>
      </c>
      <c r="M260" t="s">
        <v>79</v>
      </c>
      <c r="N260" t="s">
        <v>108</v>
      </c>
      <c r="O260" t="s">
        <v>74</v>
      </c>
      <c r="P260" t="s">
        <v>74</v>
      </c>
      <c r="Q260" t="s">
        <v>74</v>
      </c>
      <c r="R260" t="s">
        <v>74</v>
      </c>
      <c r="S260" t="s">
        <v>74</v>
      </c>
      <c r="T260" t="s">
        <v>5249</v>
      </c>
      <c r="U260" t="s">
        <v>74</v>
      </c>
      <c r="V260" t="s">
        <v>5250</v>
      </c>
      <c r="W260" t="s">
        <v>5251</v>
      </c>
      <c r="X260" t="s">
        <v>5252</v>
      </c>
      <c r="Y260" t="s">
        <v>5253</v>
      </c>
      <c r="Z260" t="s">
        <v>5254</v>
      </c>
      <c r="AA260" t="s">
        <v>5255</v>
      </c>
      <c r="AB260" t="s">
        <v>5256</v>
      </c>
      <c r="AC260" t="s">
        <v>5257</v>
      </c>
      <c r="AD260" t="s">
        <v>5258</v>
      </c>
      <c r="AE260" t="s">
        <v>5259</v>
      </c>
      <c r="AF260" t="s">
        <v>74</v>
      </c>
      <c r="AG260">
        <v>41</v>
      </c>
      <c r="AH260">
        <v>0</v>
      </c>
      <c r="AI260">
        <v>0</v>
      </c>
      <c r="AJ260">
        <v>27</v>
      </c>
      <c r="AK260">
        <v>45</v>
      </c>
      <c r="AL260" t="s">
        <v>343</v>
      </c>
      <c r="AM260" t="s">
        <v>521</v>
      </c>
      <c r="AN260" t="s">
        <v>522</v>
      </c>
      <c r="AO260" t="s">
        <v>5260</v>
      </c>
      <c r="AP260" t="s">
        <v>5261</v>
      </c>
      <c r="AQ260" t="s">
        <v>74</v>
      </c>
      <c r="AR260" t="s">
        <v>5262</v>
      </c>
      <c r="AS260" t="s">
        <v>5263</v>
      </c>
      <c r="AT260" t="s">
        <v>527</v>
      </c>
      <c r="AU260">
        <v>2023</v>
      </c>
      <c r="AV260">
        <v>56</v>
      </c>
      <c r="AW260">
        <v>12</v>
      </c>
      <c r="AX260" t="s">
        <v>74</v>
      </c>
      <c r="AY260" t="s">
        <v>74</v>
      </c>
      <c r="AZ260" t="s">
        <v>74</v>
      </c>
      <c r="BA260" t="s">
        <v>74</v>
      </c>
      <c r="BB260">
        <v>14511</v>
      </c>
      <c r="BC260">
        <v>14533</v>
      </c>
      <c r="BD260" t="s">
        <v>74</v>
      </c>
      <c r="BE260" t="s">
        <v>5264</v>
      </c>
      <c r="BF260" t="str">
        <f>HYPERLINK("http://dx.doi.org/10.1007/s10462-023-10504-5","http://dx.doi.org/10.1007/s10462-023-10504-5")</f>
        <v>http://dx.doi.org/10.1007/s10462-023-10504-5</v>
      </c>
      <c r="BG260" t="s">
        <v>74</v>
      </c>
      <c r="BH260" t="s">
        <v>1910</v>
      </c>
      <c r="BI260">
        <v>23</v>
      </c>
      <c r="BJ260" t="s">
        <v>304</v>
      </c>
      <c r="BK260" t="s">
        <v>130</v>
      </c>
      <c r="BL260" t="s">
        <v>99</v>
      </c>
      <c r="BM260" t="s">
        <v>5265</v>
      </c>
      <c r="BN260" t="s">
        <v>74</v>
      </c>
      <c r="BO260" t="s">
        <v>5266</v>
      </c>
      <c r="BP260" t="s">
        <v>74</v>
      </c>
      <c r="BQ260" t="s">
        <v>74</v>
      </c>
      <c r="BR260" t="s">
        <v>101</v>
      </c>
      <c r="BS260" t="s">
        <v>5267</v>
      </c>
      <c r="BT260" t="str">
        <f>HYPERLINK("https%3A%2F%2Fwww.webofscience.com%2Fwos%2Fwoscc%2Ffull-record%2FWOS:000999767800002","View Full Record in Web of Science")</f>
        <v>View Full Record in Web of Science</v>
      </c>
    </row>
    <row r="261" spans="1:72" x14ac:dyDescent="0.2">
      <c r="A261" t="s">
        <v>103</v>
      </c>
      <c r="B261" t="s">
        <v>5268</v>
      </c>
      <c r="C261" t="s">
        <v>74</v>
      </c>
      <c r="D261" t="s">
        <v>74</v>
      </c>
      <c r="E261" t="s">
        <v>74</v>
      </c>
      <c r="F261" t="s">
        <v>5269</v>
      </c>
      <c r="G261" t="s">
        <v>74</v>
      </c>
      <c r="H261" t="s">
        <v>74</v>
      </c>
      <c r="I261" t="s">
        <v>5270</v>
      </c>
      <c r="J261" t="s">
        <v>5271</v>
      </c>
      <c r="K261" t="s">
        <v>74</v>
      </c>
      <c r="L261" t="s">
        <v>74</v>
      </c>
      <c r="M261" t="s">
        <v>79</v>
      </c>
      <c r="N261" t="s">
        <v>108</v>
      </c>
      <c r="O261" t="s">
        <v>74</v>
      </c>
      <c r="P261" t="s">
        <v>74</v>
      </c>
      <c r="Q261" t="s">
        <v>74</v>
      </c>
      <c r="R261" t="s">
        <v>74</v>
      </c>
      <c r="S261" t="s">
        <v>74</v>
      </c>
      <c r="T261" t="s">
        <v>5272</v>
      </c>
      <c r="U261" t="s">
        <v>74</v>
      </c>
      <c r="V261" t="s">
        <v>5273</v>
      </c>
      <c r="W261" t="s">
        <v>5274</v>
      </c>
      <c r="X261" t="s">
        <v>5275</v>
      </c>
      <c r="Y261" t="s">
        <v>5276</v>
      </c>
      <c r="Z261" t="s">
        <v>5277</v>
      </c>
      <c r="AA261" t="s">
        <v>5278</v>
      </c>
      <c r="AB261" t="s">
        <v>5279</v>
      </c>
      <c r="AC261" t="s">
        <v>3569</v>
      </c>
      <c r="AD261" t="s">
        <v>3569</v>
      </c>
      <c r="AE261" t="s">
        <v>5280</v>
      </c>
      <c r="AF261" t="s">
        <v>74</v>
      </c>
      <c r="AG261">
        <v>0</v>
      </c>
      <c r="AH261">
        <v>1</v>
      </c>
      <c r="AI261">
        <v>1</v>
      </c>
      <c r="AJ261">
        <v>14</v>
      </c>
      <c r="AK261">
        <v>22</v>
      </c>
      <c r="AL261" t="s">
        <v>3165</v>
      </c>
      <c r="AM261" t="s">
        <v>3166</v>
      </c>
      <c r="AN261" t="s">
        <v>3167</v>
      </c>
      <c r="AO261" t="s">
        <v>5281</v>
      </c>
      <c r="AP261" t="s">
        <v>5282</v>
      </c>
      <c r="AQ261" t="s">
        <v>74</v>
      </c>
      <c r="AR261" t="s">
        <v>5283</v>
      </c>
      <c r="AS261" t="s">
        <v>5284</v>
      </c>
      <c r="AT261" t="s">
        <v>126</v>
      </c>
      <c r="AU261">
        <v>2024</v>
      </c>
      <c r="AV261">
        <v>27</v>
      </c>
      <c r="AW261">
        <v>1</v>
      </c>
      <c r="AX261" t="s">
        <v>74</v>
      </c>
      <c r="AY261" t="s">
        <v>74</v>
      </c>
      <c r="AZ261" t="s">
        <v>74</v>
      </c>
      <c r="BA261" t="s">
        <v>74</v>
      </c>
      <c r="BB261">
        <v>44</v>
      </c>
      <c r="BC261">
        <v>68</v>
      </c>
      <c r="BD261" t="s">
        <v>74</v>
      </c>
      <c r="BE261" t="s">
        <v>5285</v>
      </c>
      <c r="BF261" t="str">
        <f>HYPERLINK("http://dx.doi.org/10.1111/jwip.12285","http://dx.doi.org/10.1111/jwip.12285")</f>
        <v>http://dx.doi.org/10.1111/jwip.12285</v>
      </c>
      <c r="BG261" t="s">
        <v>74</v>
      </c>
      <c r="BH261" t="s">
        <v>2889</v>
      </c>
      <c r="BI261">
        <v>25</v>
      </c>
      <c r="BJ261" t="s">
        <v>1135</v>
      </c>
      <c r="BK261" t="s">
        <v>352</v>
      </c>
      <c r="BL261" t="s">
        <v>1136</v>
      </c>
      <c r="BM261" t="s">
        <v>5286</v>
      </c>
      <c r="BN261" t="s">
        <v>74</v>
      </c>
      <c r="BO261" t="s">
        <v>161</v>
      </c>
      <c r="BP261" t="s">
        <v>74</v>
      </c>
      <c r="BQ261" t="s">
        <v>74</v>
      </c>
      <c r="BR261" t="s">
        <v>101</v>
      </c>
      <c r="BS261" t="s">
        <v>5287</v>
      </c>
      <c r="BT261" t="str">
        <f>HYPERLINK("https%3A%2F%2Fwww.webofscience.com%2Fwos%2Fwoscc%2Ffull-record%2FWOS:000995626800001","View Full Record in Web of Science")</f>
        <v>View Full Record in Web of Science</v>
      </c>
    </row>
    <row r="262" spans="1:72" x14ac:dyDescent="0.2">
      <c r="A262" t="s">
        <v>103</v>
      </c>
      <c r="B262" t="s">
        <v>5288</v>
      </c>
      <c r="C262" t="s">
        <v>74</v>
      </c>
      <c r="D262" t="s">
        <v>74</v>
      </c>
      <c r="E262" t="s">
        <v>74</v>
      </c>
      <c r="F262" t="s">
        <v>5289</v>
      </c>
      <c r="G262" t="s">
        <v>74</v>
      </c>
      <c r="H262" t="s">
        <v>74</v>
      </c>
      <c r="I262" t="s">
        <v>5290</v>
      </c>
      <c r="J262" t="s">
        <v>5291</v>
      </c>
      <c r="K262" t="s">
        <v>74</v>
      </c>
      <c r="L262" t="s">
        <v>74</v>
      </c>
      <c r="M262" t="s">
        <v>79</v>
      </c>
      <c r="N262" t="s">
        <v>108</v>
      </c>
      <c r="O262" t="s">
        <v>74</v>
      </c>
      <c r="P262" t="s">
        <v>74</v>
      </c>
      <c r="Q262" t="s">
        <v>74</v>
      </c>
      <c r="R262" t="s">
        <v>74</v>
      </c>
      <c r="S262" t="s">
        <v>74</v>
      </c>
      <c r="T262" t="s">
        <v>5292</v>
      </c>
      <c r="U262" t="s">
        <v>5293</v>
      </c>
      <c r="V262" t="s">
        <v>5294</v>
      </c>
      <c r="W262" t="s">
        <v>5295</v>
      </c>
      <c r="X262" t="s">
        <v>5296</v>
      </c>
      <c r="Y262" t="s">
        <v>5297</v>
      </c>
      <c r="Z262" t="s">
        <v>5298</v>
      </c>
      <c r="AA262" t="s">
        <v>5299</v>
      </c>
      <c r="AB262" t="s">
        <v>5300</v>
      </c>
      <c r="AC262" t="s">
        <v>74</v>
      </c>
      <c r="AD262" t="s">
        <v>74</v>
      </c>
      <c r="AE262" t="s">
        <v>74</v>
      </c>
      <c r="AF262" t="s">
        <v>74</v>
      </c>
      <c r="AG262">
        <v>67</v>
      </c>
      <c r="AH262">
        <v>0</v>
      </c>
      <c r="AI262">
        <v>0</v>
      </c>
      <c r="AJ262">
        <v>50</v>
      </c>
      <c r="AK262">
        <v>50</v>
      </c>
      <c r="AL262" t="s">
        <v>483</v>
      </c>
      <c r="AM262" t="s">
        <v>484</v>
      </c>
      <c r="AN262" t="s">
        <v>485</v>
      </c>
      <c r="AO262" t="s">
        <v>5301</v>
      </c>
      <c r="AP262" t="s">
        <v>5302</v>
      </c>
      <c r="AQ262" t="s">
        <v>74</v>
      </c>
      <c r="AR262" t="s">
        <v>5303</v>
      </c>
      <c r="AS262" t="s">
        <v>5304</v>
      </c>
      <c r="AT262" t="s">
        <v>1908</v>
      </c>
      <c r="AU262">
        <v>2024</v>
      </c>
      <c r="AV262">
        <v>15</v>
      </c>
      <c r="AW262">
        <v>1</v>
      </c>
      <c r="AX262" t="s">
        <v>74</v>
      </c>
      <c r="AY262" t="s">
        <v>74</v>
      </c>
      <c r="AZ262" t="s">
        <v>74</v>
      </c>
      <c r="BA262" t="s">
        <v>74</v>
      </c>
      <c r="BB262">
        <v>96</v>
      </c>
      <c r="BC262">
        <v>118</v>
      </c>
      <c r="BD262" t="s">
        <v>74</v>
      </c>
      <c r="BE262" t="s">
        <v>5305</v>
      </c>
      <c r="BF262" t="str">
        <f>HYPERLINK("http://dx.doi.org/10.1108/SAMPJ-02-2023-0097","http://dx.doi.org/10.1108/SAMPJ-02-2023-0097")</f>
        <v>http://dx.doi.org/10.1108/SAMPJ-02-2023-0097</v>
      </c>
      <c r="BG262" t="s">
        <v>74</v>
      </c>
      <c r="BH262" t="s">
        <v>278</v>
      </c>
      <c r="BI262">
        <v>23</v>
      </c>
      <c r="BJ262" t="s">
        <v>5306</v>
      </c>
      <c r="BK262" t="s">
        <v>159</v>
      </c>
      <c r="BL262" t="s">
        <v>5307</v>
      </c>
      <c r="BM262" t="s">
        <v>5308</v>
      </c>
      <c r="BN262" t="s">
        <v>74</v>
      </c>
      <c r="BO262" t="s">
        <v>208</v>
      </c>
      <c r="BP262" t="s">
        <v>74</v>
      </c>
      <c r="BQ262" t="s">
        <v>74</v>
      </c>
      <c r="BR262" t="s">
        <v>101</v>
      </c>
      <c r="BS262" t="s">
        <v>5309</v>
      </c>
      <c r="BT262" t="str">
        <f>HYPERLINK("https%3A%2F%2Fwww.webofscience.com%2Fwos%2Fwoscc%2Ffull-record%2FWOS:001074868900001","View Full Record in Web of Science")</f>
        <v>View Full Record in Web of Science</v>
      </c>
    </row>
    <row r="263" spans="1:72" x14ac:dyDescent="0.2">
      <c r="A263" t="s">
        <v>103</v>
      </c>
      <c r="B263" t="s">
        <v>5310</v>
      </c>
      <c r="C263" t="s">
        <v>74</v>
      </c>
      <c r="D263" t="s">
        <v>74</v>
      </c>
      <c r="E263" t="s">
        <v>74</v>
      </c>
      <c r="F263" t="s">
        <v>5311</v>
      </c>
      <c r="G263" t="s">
        <v>74</v>
      </c>
      <c r="H263" t="s">
        <v>74</v>
      </c>
      <c r="I263" t="s">
        <v>5312</v>
      </c>
      <c r="J263" t="s">
        <v>1698</v>
      </c>
      <c r="K263" t="s">
        <v>74</v>
      </c>
      <c r="L263" t="s">
        <v>74</v>
      </c>
      <c r="M263" t="s">
        <v>79</v>
      </c>
      <c r="N263" t="s">
        <v>108</v>
      </c>
      <c r="O263" t="s">
        <v>74</v>
      </c>
      <c r="P263" t="s">
        <v>74</v>
      </c>
      <c r="Q263" t="s">
        <v>74</v>
      </c>
      <c r="R263" t="s">
        <v>74</v>
      </c>
      <c r="S263" t="s">
        <v>74</v>
      </c>
      <c r="T263" t="s">
        <v>5313</v>
      </c>
      <c r="U263" t="s">
        <v>391</v>
      </c>
      <c r="V263" t="s">
        <v>5314</v>
      </c>
      <c r="W263" t="s">
        <v>5315</v>
      </c>
      <c r="X263" t="s">
        <v>1702</v>
      </c>
      <c r="Y263" t="s">
        <v>1703</v>
      </c>
      <c r="Z263" t="s">
        <v>1704</v>
      </c>
      <c r="AA263" t="s">
        <v>74</v>
      </c>
      <c r="AB263" t="s">
        <v>74</v>
      </c>
      <c r="AC263" t="s">
        <v>74</v>
      </c>
      <c r="AD263" t="s">
        <v>74</v>
      </c>
      <c r="AE263" t="s">
        <v>74</v>
      </c>
      <c r="AF263" t="s">
        <v>74</v>
      </c>
      <c r="AG263">
        <v>57</v>
      </c>
      <c r="AH263">
        <v>23</v>
      </c>
      <c r="AI263">
        <v>23</v>
      </c>
      <c r="AJ263">
        <v>215</v>
      </c>
      <c r="AK263">
        <v>291</v>
      </c>
      <c r="AL263" t="s">
        <v>343</v>
      </c>
      <c r="AM263" t="s">
        <v>93</v>
      </c>
      <c r="AN263" t="s">
        <v>344</v>
      </c>
      <c r="AO263" t="s">
        <v>1705</v>
      </c>
      <c r="AP263" t="s">
        <v>74</v>
      </c>
      <c r="AQ263" t="s">
        <v>74</v>
      </c>
      <c r="AR263" t="s">
        <v>1706</v>
      </c>
      <c r="AS263" t="s">
        <v>1707</v>
      </c>
      <c r="AT263" t="s">
        <v>5316</v>
      </c>
      <c r="AU263">
        <v>2023</v>
      </c>
      <c r="AV263">
        <v>20</v>
      </c>
      <c r="AW263">
        <v>1</v>
      </c>
      <c r="AX263" t="s">
        <v>74</v>
      </c>
      <c r="AY263" t="s">
        <v>74</v>
      </c>
      <c r="AZ263" t="s">
        <v>74</v>
      </c>
      <c r="BA263" t="s">
        <v>74</v>
      </c>
      <c r="BB263" t="s">
        <v>74</v>
      </c>
      <c r="BC263" t="s">
        <v>74</v>
      </c>
      <c r="BD263">
        <v>38</v>
      </c>
      <c r="BE263" t="s">
        <v>5317</v>
      </c>
      <c r="BF263" t="str">
        <f>HYPERLINK("http://dx.doi.org/10.1186/s41239-023-00408-3","http://dx.doi.org/10.1186/s41239-023-00408-3")</f>
        <v>http://dx.doi.org/10.1186/s41239-023-00408-3</v>
      </c>
      <c r="BG263" t="s">
        <v>74</v>
      </c>
      <c r="BH263" t="s">
        <v>74</v>
      </c>
      <c r="BI263">
        <v>25</v>
      </c>
      <c r="BJ263" t="s">
        <v>423</v>
      </c>
      <c r="BK263" t="s">
        <v>159</v>
      </c>
      <c r="BL263" t="s">
        <v>423</v>
      </c>
      <c r="BM263" t="s">
        <v>5318</v>
      </c>
      <c r="BN263" t="s">
        <v>74</v>
      </c>
      <c r="BO263" t="s">
        <v>1071</v>
      </c>
      <c r="BP263" t="s">
        <v>74</v>
      </c>
      <c r="BQ263" t="s">
        <v>74</v>
      </c>
      <c r="BR263" t="s">
        <v>101</v>
      </c>
      <c r="BS263" t="s">
        <v>5319</v>
      </c>
      <c r="BT263" t="str">
        <f>HYPERLINK("https%3A%2F%2Fwww.webofscience.com%2Fwos%2Fwoscc%2Ffull-record%2FWOS:001022433100001","View Full Record in Web of Science")</f>
        <v>View Full Record in Web of Science</v>
      </c>
    </row>
    <row r="264" spans="1:72" x14ac:dyDescent="0.2">
      <c r="A264" t="s">
        <v>103</v>
      </c>
      <c r="B264" t="s">
        <v>5320</v>
      </c>
      <c r="C264" t="s">
        <v>74</v>
      </c>
      <c r="D264" t="s">
        <v>74</v>
      </c>
      <c r="E264" t="s">
        <v>74</v>
      </c>
      <c r="F264" t="s">
        <v>5321</v>
      </c>
      <c r="G264" t="s">
        <v>74</v>
      </c>
      <c r="H264" t="s">
        <v>74</v>
      </c>
      <c r="I264" t="s">
        <v>5322</v>
      </c>
      <c r="J264" t="s">
        <v>5323</v>
      </c>
      <c r="K264" t="s">
        <v>74</v>
      </c>
      <c r="L264" t="s">
        <v>74</v>
      </c>
      <c r="M264" t="s">
        <v>79</v>
      </c>
      <c r="N264" t="s">
        <v>108</v>
      </c>
      <c r="O264" t="s">
        <v>74</v>
      </c>
      <c r="P264" t="s">
        <v>74</v>
      </c>
      <c r="Q264" t="s">
        <v>74</v>
      </c>
      <c r="R264" t="s">
        <v>74</v>
      </c>
      <c r="S264" t="s">
        <v>74</v>
      </c>
      <c r="T264" t="s">
        <v>5324</v>
      </c>
      <c r="U264" t="s">
        <v>74</v>
      </c>
      <c r="V264" t="s">
        <v>5325</v>
      </c>
      <c r="W264" t="s">
        <v>5326</v>
      </c>
      <c r="X264" t="s">
        <v>5327</v>
      </c>
      <c r="Y264" t="s">
        <v>5328</v>
      </c>
      <c r="Z264" t="s">
        <v>5329</v>
      </c>
      <c r="AA264" t="s">
        <v>5330</v>
      </c>
      <c r="AB264" t="s">
        <v>5331</v>
      </c>
      <c r="AC264" t="s">
        <v>74</v>
      </c>
      <c r="AD264" t="s">
        <v>74</v>
      </c>
      <c r="AE264" t="s">
        <v>74</v>
      </c>
      <c r="AF264" t="s">
        <v>74</v>
      </c>
      <c r="AG264">
        <v>23</v>
      </c>
      <c r="AH264">
        <v>26</v>
      </c>
      <c r="AI264">
        <v>26</v>
      </c>
      <c r="AJ264">
        <v>16</v>
      </c>
      <c r="AK264">
        <v>26</v>
      </c>
      <c r="AL264" t="s">
        <v>2492</v>
      </c>
      <c r="AM264" t="s">
        <v>461</v>
      </c>
      <c r="AN264" t="s">
        <v>2493</v>
      </c>
      <c r="AO264" t="s">
        <v>74</v>
      </c>
      <c r="AP264" t="s">
        <v>5332</v>
      </c>
      <c r="AQ264" t="s">
        <v>74</v>
      </c>
      <c r="AR264" t="s">
        <v>5333</v>
      </c>
      <c r="AS264" t="s">
        <v>5334</v>
      </c>
      <c r="AT264" t="s">
        <v>5335</v>
      </c>
      <c r="AU264">
        <v>2023</v>
      </c>
      <c r="AV264">
        <v>5</v>
      </c>
      <c r="AW264" t="s">
        <v>74</v>
      </c>
      <c r="AX264" t="s">
        <v>74</v>
      </c>
      <c r="AY264" t="s">
        <v>74</v>
      </c>
      <c r="AZ264" t="s">
        <v>74</v>
      </c>
      <c r="BA264" t="s">
        <v>74</v>
      </c>
      <c r="BB264" t="s">
        <v>74</v>
      </c>
      <c r="BC264" t="s">
        <v>74</v>
      </c>
      <c r="BD264">
        <v>1161098</v>
      </c>
      <c r="BE264" t="s">
        <v>5336</v>
      </c>
      <c r="BF264" t="str">
        <f>HYPERLINK("http://dx.doi.org/10.3389/fdgth.2023.1161098","http://dx.doi.org/10.3389/fdgth.2023.1161098")</f>
        <v>http://dx.doi.org/10.3389/fdgth.2023.1161098</v>
      </c>
      <c r="BG264" t="s">
        <v>74</v>
      </c>
      <c r="BH264" t="s">
        <v>74</v>
      </c>
      <c r="BI264">
        <v>5</v>
      </c>
      <c r="BJ264" t="s">
        <v>4947</v>
      </c>
      <c r="BK264" t="s">
        <v>352</v>
      </c>
      <c r="BL264" t="s">
        <v>4947</v>
      </c>
      <c r="BM264" t="s">
        <v>5337</v>
      </c>
      <c r="BN264">
        <v>37122812</v>
      </c>
      <c r="BO264" t="s">
        <v>1711</v>
      </c>
      <c r="BP264" t="s">
        <v>74</v>
      </c>
      <c r="BQ264" t="s">
        <v>74</v>
      </c>
      <c r="BR264" t="s">
        <v>101</v>
      </c>
      <c r="BS264" t="s">
        <v>5338</v>
      </c>
      <c r="BT264" t="str">
        <f>HYPERLINK("https%3A%2F%2Fwww.webofscience.com%2Fwos%2Fwoscc%2Ffull-record%2FWOS:001030174600001","View Full Record in Web of Science")</f>
        <v>View Full Record in Web of Science</v>
      </c>
    </row>
    <row r="265" spans="1:72" x14ac:dyDescent="0.2">
      <c r="A265" t="s">
        <v>103</v>
      </c>
      <c r="B265" t="s">
        <v>5339</v>
      </c>
      <c r="C265" t="s">
        <v>74</v>
      </c>
      <c r="D265" t="s">
        <v>74</v>
      </c>
      <c r="E265" t="s">
        <v>74</v>
      </c>
      <c r="F265" t="s">
        <v>5340</v>
      </c>
      <c r="G265" t="s">
        <v>74</v>
      </c>
      <c r="H265" t="s">
        <v>74</v>
      </c>
      <c r="I265" t="s">
        <v>5341</v>
      </c>
      <c r="J265" t="s">
        <v>5342</v>
      </c>
      <c r="K265" t="s">
        <v>74</v>
      </c>
      <c r="L265" t="s">
        <v>74</v>
      </c>
      <c r="M265" t="s">
        <v>79</v>
      </c>
      <c r="N265" t="s">
        <v>108</v>
      </c>
      <c r="O265" t="s">
        <v>74</v>
      </c>
      <c r="P265" t="s">
        <v>74</v>
      </c>
      <c r="Q265" t="s">
        <v>74</v>
      </c>
      <c r="R265" t="s">
        <v>74</v>
      </c>
      <c r="S265" t="s">
        <v>74</v>
      </c>
      <c r="T265" t="s">
        <v>5343</v>
      </c>
      <c r="U265" t="s">
        <v>5344</v>
      </c>
      <c r="V265" t="s">
        <v>5345</v>
      </c>
      <c r="W265" t="s">
        <v>5346</v>
      </c>
      <c r="X265" t="s">
        <v>5347</v>
      </c>
      <c r="Y265" t="s">
        <v>5348</v>
      </c>
      <c r="Z265" t="s">
        <v>5349</v>
      </c>
      <c r="AA265" t="s">
        <v>5350</v>
      </c>
      <c r="AB265" t="s">
        <v>5351</v>
      </c>
      <c r="AC265" t="s">
        <v>5352</v>
      </c>
      <c r="AD265" t="s">
        <v>5353</v>
      </c>
      <c r="AE265" t="s">
        <v>5354</v>
      </c>
      <c r="AF265" t="s">
        <v>74</v>
      </c>
      <c r="AG265">
        <v>63</v>
      </c>
      <c r="AH265">
        <v>2</v>
      </c>
      <c r="AI265">
        <v>2</v>
      </c>
      <c r="AJ265">
        <v>22</v>
      </c>
      <c r="AK265">
        <v>25</v>
      </c>
      <c r="AL265" t="s">
        <v>2010</v>
      </c>
      <c r="AM265" t="s">
        <v>93</v>
      </c>
      <c r="AN265" t="s">
        <v>2011</v>
      </c>
      <c r="AO265" t="s">
        <v>5355</v>
      </c>
      <c r="AP265" t="s">
        <v>5356</v>
      </c>
      <c r="AQ265" t="s">
        <v>74</v>
      </c>
      <c r="AR265" t="s">
        <v>5357</v>
      </c>
      <c r="AS265" t="s">
        <v>5358</v>
      </c>
      <c r="AT265" t="s">
        <v>771</v>
      </c>
      <c r="AU265">
        <v>2023</v>
      </c>
      <c r="AV265">
        <v>20</v>
      </c>
      <c r="AW265">
        <v>9</v>
      </c>
      <c r="AX265" t="s">
        <v>74</v>
      </c>
      <c r="AY265" t="s">
        <v>74</v>
      </c>
      <c r="AZ265" t="s">
        <v>74</v>
      </c>
      <c r="BA265" t="s">
        <v>74</v>
      </c>
      <c r="BB265">
        <v>877</v>
      </c>
      <c r="BC265">
        <v>885</v>
      </c>
      <c r="BD265" t="s">
        <v>74</v>
      </c>
      <c r="BE265" t="s">
        <v>5359</v>
      </c>
      <c r="BF265" t="str">
        <f>HYPERLINK("http://dx.doi.org/10.1016/j.jacr.2023.07.007","http://dx.doi.org/10.1016/j.jacr.2023.07.007")</f>
        <v>http://dx.doi.org/10.1016/j.jacr.2023.07.007</v>
      </c>
      <c r="BG265" t="s">
        <v>74</v>
      </c>
      <c r="BH265" t="s">
        <v>1886</v>
      </c>
      <c r="BI265">
        <v>9</v>
      </c>
      <c r="BJ265" t="s">
        <v>5360</v>
      </c>
      <c r="BK265" t="s">
        <v>130</v>
      </c>
      <c r="BL265" t="s">
        <v>5360</v>
      </c>
      <c r="BM265" t="s">
        <v>5361</v>
      </c>
      <c r="BN265">
        <v>37467871</v>
      </c>
      <c r="BO265" t="s">
        <v>74</v>
      </c>
      <c r="BP265" t="s">
        <v>74</v>
      </c>
      <c r="BQ265" t="s">
        <v>74</v>
      </c>
      <c r="BR265" t="s">
        <v>101</v>
      </c>
      <c r="BS265" t="s">
        <v>5362</v>
      </c>
      <c r="BT265" t="str">
        <f>HYPERLINK("https%3A%2F%2Fwww.webofscience.com%2Fwos%2Fwoscc%2Ffull-record%2FWOS:001089157200001","View Full Record in Web of Science")</f>
        <v>View Full Record in Web of Science</v>
      </c>
    </row>
    <row r="266" spans="1:72" x14ac:dyDescent="0.2">
      <c r="A266" t="s">
        <v>72</v>
      </c>
      <c r="B266" t="s">
        <v>5363</v>
      </c>
      <c r="C266" t="s">
        <v>74</v>
      </c>
      <c r="D266" t="s">
        <v>74</v>
      </c>
      <c r="E266" t="s">
        <v>75</v>
      </c>
      <c r="F266" t="s">
        <v>5364</v>
      </c>
      <c r="G266" t="s">
        <v>74</v>
      </c>
      <c r="H266" t="s">
        <v>74</v>
      </c>
      <c r="I266" t="s">
        <v>5365</v>
      </c>
      <c r="J266" t="s">
        <v>5366</v>
      </c>
      <c r="K266" t="s">
        <v>74</v>
      </c>
      <c r="L266" t="s">
        <v>74</v>
      </c>
      <c r="M266" t="s">
        <v>79</v>
      </c>
      <c r="N266" t="s">
        <v>80</v>
      </c>
      <c r="O266" t="s">
        <v>5367</v>
      </c>
      <c r="P266" t="s">
        <v>5368</v>
      </c>
      <c r="Q266" t="s">
        <v>1841</v>
      </c>
      <c r="R266" t="s">
        <v>1842</v>
      </c>
      <c r="S266" t="s">
        <v>74</v>
      </c>
      <c r="T266" t="s">
        <v>5369</v>
      </c>
      <c r="U266" t="s">
        <v>74</v>
      </c>
      <c r="V266" t="s">
        <v>5370</v>
      </c>
      <c r="W266" t="s">
        <v>5371</v>
      </c>
      <c r="X266" t="s">
        <v>5372</v>
      </c>
      <c r="Y266" t="s">
        <v>5373</v>
      </c>
      <c r="Z266" t="s">
        <v>5374</v>
      </c>
      <c r="AA266" t="s">
        <v>74</v>
      </c>
      <c r="AB266" t="s">
        <v>5375</v>
      </c>
      <c r="AC266" t="s">
        <v>5376</v>
      </c>
      <c r="AD266" t="s">
        <v>5376</v>
      </c>
      <c r="AE266" t="s">
        <v>5377</v>
      </c>
      <c r="AF266" t="s">
        <v>74</v>
      </c>
      <c r="AG266">
        <v>31</v>
      </c>
      <c r="AH266">
        <v>0</v>
      </c>
      <c r="AI266">
        <v>0</v>
      </c>
      <c r="AJ266">
        <v>6</v>
      </c>
      <c r="AK266">
        <v>6</v>
      </c>
      <c r="AL266" t="s">
        <v>92</v>
      </c>
      <c r="AM266" t="s">
        <v>93</v>
      </c>
      <c r="AN266" t="s">
        <v>94</v>
      </c>
      <c r="AO266" t="s">
        <v>74</v>
      </c>
      <c r="AP266" t="s">
        <v>74</v>
      </c>
      <c r="AQ266" t="s">
        <v>5378</v>
      </c>
      <c r="AR266" t="s">
        <v>74</v>
      </c>
      <c r="AS266" t="s">
        <v>74</v>
      </c>
      <c r="AT266" t="s">
        <v>74</v>
      </c>
      <c r="AU266">
        <v>2023</v>
      </c>
      <c r="AV266" t="s">
        <v>74</v>
      </c>
      <c r="AW266" t="s">
        <v>74</v>
      </c>
      <c r="AX266" t="s">
        <v>74</v>
      </c>
      <c r="AY266" t="s">
        <v>74</v>
      </c>
      <c r="AZ266" t="s">
        <v>74</v>
      </c>
      <c r="BA266" t="s">
        <v>74</v>
      </c>
      <c r="BB266">
        <v>19</v>
      </c>
      <c r="BC266">
        <v>22</v>
      </c>
      <c r="BD266" t="s">
        <v>74</v>
      </c>
      <c r="BE266" t="s">
        <v>5379</v>
      </c>
      <c r="BF266" t="str">
        <f>HYPERLINK("http://dx.doi.org/10.1145/3607541.3616825","http://dx.doi.org/10.1145/3607541.3616825")</f>
        <v>http://dx.doi.org/10.1145/3607541.3616825</v>
      </c>
      <c r="BG266" t="s">
        <v>74</v>
      </c>
      <c r="BH266" t="s">
        <v>74</v>
      </c>
      <c r="BI266">
        <v>4</v>
      </c>
      <c r="BJ266" t="s">
        <v>331</v>
      </c>
      <c r="BK266" t="s">
        <v>98</v>
      </c>
      <c r="BL266" t="s">
        <v>99</v>
      </c>
      <c r="BM266" t="s">
        <v>5380</v>
      </c>
      <c r="BN266" t="s">
        <v>74</v>
      </c>
      <c r="BO266" t="s">
        <v>161</v>
      </c>
      <c r="BP266" t="s">
        <v>74</v>
      </c>
      <c r="BQ266" t="s">
        <v>74</v>
      </c>
      <c r="BR266" t="s">
        <v>101</v>
      </c>
      <c r="BS266" t="s">
        <v>5381</v>
      </c>
      <c r="BT266" t="str">
        <f>HYPERLINK("https%3A%2F%2Fwww.webofscience.com%2Fwos%2Fwoscc%2Ffull-record%2FWOS:001147674900003","View Full Record in Web of Science")</f>
        <v>View Full Record in Web of Science</v>
      </c>
    </row>
    <row r="267" spans="1:72" x14ac:dyDescent="0.2">
      <c r="A267" t="s">
        <v>103</v>
      </c>
      <c r="B267" t="s">
        <v>5382</v>
      </c>
      <c r="C267" t="s">
        <v>74</v>
      </c>
      <c r="D267" t="s">
        <v>74</v>
      </c>
      <c r="E267" t="s">
        <v>74</v>
      </c>
      <c r="F267" t="s">
        <v>5383</v>
      </c>
      <c r="G267" t="s">
        <v>74</v>
      </c>
      <c r="H267" t="s">
        <v>74</v>
      </c>
      <c r="I267" t="s">
        <v>5384</v>
      </c>
      <c r="J267" t="s">
        <v>4805</v>
      </c>
      <c r="K267" t="s">
        <v>74</v>
      </c>
      <c r="L267" t="s">
        <v>74</v>
      </c>
      <c r="M267" t="s">
        <v>79</v>
      </c>
      <c r="N267" t="s">
        <v>108</v>
      </c>
      <c r="O267" t="s">
        <v>74</v>
      </c>
      <c r="P267" t="s">
        <v>74</v>
      </c>
      <c r="Q267" t="s">
        <v>74</v>
      </c>
      <c r="R267" t="s">
        <v>74</v>
      </c>
      <c r="S267" t="s">
        <v>74</v>
      </c>
      <c r="T267" t="s">
        <v>5385</v>
      </c>
      <c r="U267" t="s">
        <v>74</v>
      </c>
      <c r="V267" t="s">
        <v>5386</v>
      </c>
      <c r="W267" t="s">
        <v>5387</v>
      </c>
      <c r="X267" t="s">
        <v>74</v>
      </c>
      <c r="Y267" t="s">
        <v>5388</v>
      </c>
      <c r="Z267" t="s">
        <v>5389</v>
      </c>
      <c r="AA267" t="s">
        <v>74</v>
      </c>
      <c r="AB267" t="s">
        <v>74</v>
      </c>
      <c r="AC267" t="s">
        <v>5390</v>
      </c>
      <c r="AD267" t="s">
        <v>5390</v>
      </c>
      <c r="AE267" t="s">
        <v>5391</v>
      </c>
      <c r="AF267" t="s">
        <v>74</v>
      </c>
      <c r="AG267">
        <v>28</v>
      </c>
      <c r="AH267">
        <v>0</v>
      </c>
      <c r="AI267">
        <v>0</v>
      </c>
      <c r="AJ267">
        <v>7</v>
      </c>
      <c r="AK267">
        <v>7</v>
      </c>
      <c r="AL267" t="s">
        <v>343</v>
      </c>
      <c r="AM267" t="s">
        <v>93</v>
      </c>
      <c r="AN267" t="s">
        <v>344</v>
      </c>
      <c r="AO267" t="s">
        <v>4811</v>
      </c>
      <c r="AP267" t="s">
        <v>4812</v>
      </c>
      <c r="AQ267" t="s">
        <v>74</v>
      </c>
      <c r="AR267" t="s">
        <v>4813</v>
      </c>
      <c r="AS267" t="s">
        <v>4814</v>
      </c>
      <c r="AT267" t="s">
        <v>251</v>
      </c>
      <c r="AU267">
        <v>2024</v>
      </c>
      <c r="AV267">
        <v>39</v>
      </c>
      <c r="AW267">
        <v>1</v>
      </c>
      <c r="AX267" t="s">
        <v>74</v>
      </c>
      <c r="AY267" t="s">
        <v>74</v>
      </c>
      <c r="AZ267" t="s">
        <v>253</v>
      </c>
      <c r="BA267" t="s">
        <v>74</v>
      </c>
      <c r="BB267">
        <v>7</v>
      </c>
      <c r="BC267">
        <v>19</v>
      </c>
      <c r="BD267" t="s">
        <v>74</v>
      </c>
      <c r="BE267" t="s">
        <v>5392</v>
      </c>
      <c r="BF267" t="str">
        <f>HYPERLINK("http://dx.doi.org/10.1007/s00146-023-01771-5","http://dx.doi.org/10.1007/s00146-023-01771-5")</f>
        <v>http://dx.doi.org/10.1007/s00146-023-01771-5</v>
      </c>
      <c r="BG267" t="s">
        <v>74</v>
      </c>
      <c r="BH267" t="s">
        <v>128</v>
      </c>
      <c r="BI267">
        <v>13</v>
      </c>
      <c r="BJ267" t="s">
        <v>304</v>
      </c>
      <c r="BK267" t="s">
        <v>352</v>
      </c>
      <c r="BL267" t="s">
        <v>99</v>
      </c>
      <c r="BM267" t="s">
        <v>4816</v>
      </c>
      <c r="BN267" t="s">
        <v>74</v>
      </c>
      <c r="BO267" t="s">
        <v>74</v>
      </c>
      <c r="BP267" t="s">
        <v>74</v>
      </c>
      <c r="BQ267" t="s">
        <v>74</v>
      </c>
      <c r="BR267" t="s">
        <v>101</v>
      </c>
      <c r="BS267" t="s">
        <v>5393</v>
      </c>
      <c r="BT267" t="str">
        <f>HYPERLINK("https%3A%2F%2Fwww.webofscience.com%2Fwos%2Fwoscc%2Ffull-record%2FWOS:001117675400001","View Full Record in Web of Science")</f>
        <v>View Full Record in Web of Science</v>
      </c>
    </row>
    <row r="268" spans="1:72" x14ac:dyDescent="0.2">
      <c r="A268" t="s">
        <v>103</v>
      </c>
      <c r="B268" t="s">
        <v>5394</v>
      </c>
      <c r="C268" t="s">
        <v>74</v>
      </c>
      <c r="D268" t="s">
        <v>74</v>
      </c>
      <c r="E268" t="s">
        <v>74</v>
      </c>
      <c r="F268" t="s">
        <v>5395</v>
      </c>
      <c r="G268" t="s">
        <v>74</v>
      </c>
      <c r="H268" t="s">
        <v>74</v>
      </c>
      <c r="I268" t="s">
        <v>5396</v>
      </c>
      <c r="J268" t="s">
        <v>5248</v>
      </c>
      <c r="K268" t="s">
        <v>74</v>
      </c>
      <c r="L268" t="s">
        <v>74</v>
      </c>
      <c r="M268" t="s">
        <v>79</v>
      </c>
      <c r="N268" t="s">
        <v>108</v>
      </c>
      <c r="O268" t="s">
        <v>74</v>
      </c>
      <c r="P268" t="s">
        <v>74</v>
      </c>
      <c r="Q268" t="s">
        <v>74</v>
      </c>
      <c r="R268" t="s">
        <v>74</v>
      </c>
      <c r="S268" t="s">
        <v>74</v>
      </c>
      <c r="T268" t="s">
        <v>5397</v>
      </c>
      <c r="U268" t="s">
        <v>74</v>
      </c>
      <c r="V268" t="s">
        <v>5398</v>
      </c>
      <c r="W268" t="s">
        <v>5399</v>
      </c>
      <c r="X268" t="s">
        <v>5400</v>
      </c>
      <c r="Y268" t="s">
        <v>5401</v>
      </c>
      <c r="Z268" t="s">
        <v>5402</v>
      </c>
      <c r="AA268" t="s">
        <v>5403</v>
      </c>
      <c r="AB268" t="s">
        <v>5404</v>
      </c>
      <c r="AC268" t="s">
        <v>74</v>
      </c>
      <c r="AD268" t="s">
        <v>74</v>
      </c>
      <c r="AE268" t="s">
        <v>74</v>
      </c>
      <c r="AF268" t="s">
        <v>74</v>
      </c>
      <c r="AG268">
        <v>90</v>
      </c>
      <c r="AH268">
        <v>3</v>
      </c>
      <c r="AI268">
        <v>3</v>
      </c>
      <c r="AJ268">
        <v>10</v>
      </c>
      <c r="AK268">
        <v>22</v>
      </c>
      <c r="AL268" t="s">
        <v>343</v>
      </c>
      <c r="AM268" t="s">
        <v>521</v>
      </c>
      <c r="AN268" t="s">
        <v>522</v>
      </c>
      <c r="AO268" t="s">
        <v>5260</v>
      </c>
      <c r="AP268" t="s">
        <v>5261</v>
      </c>
      <c r="AQ268" t="s">
        <v>74</v>
      </c>
      <c r="AR268" t="s">
        <v>5262</v>
      </c>
      <c r="AS268" t="s">
        <v>5263</v>
      </c>
      <c r="AT268" t="s">
        <v>771</v>
      </c>
      <c r="AU268">
        <v>2023</v>
      </c>
      <c r="AV268">
        <v>56</v>
      </c>
      <c r="AW268">
        <v>9</v>
      </c>
      <c r="AX268" t="s">
        <v>74</v>
      </c>
      <c r="AY268" t="s">
        <v>74</v>
      </c>
      <c r="AZ268" t="s">
        <v>74</v>
      </c>
      <c r="BA268" t="s">
        <v>74</v>
      </c>
      <c r="BB268">
        <v>9771</v>
      </c>
      <c r="BC268">
        <v>9807</v>
      </c>
      <c r="BD268" t="s">
        <v>74</v>
      </c>
      <c r="BE268" t="s">
        <v>5405</v>
      </c>
      <c r="BF268" t="str">
        <f>HYPERLINK("http://dx.doi.org/10.1007/s10462-023-10395-6","http://dx.doi.org/10.1007/s10462-023-10395-6")</f>
        <v>http://dx.doi.org/10.1007/s10462-023-10395-6</v>
      </c>
      <c r="BG268" t="s">
        <v>74</v>
      </c>
      <c r="BH268" t="s">
        <v>2647</v>
      </c>
      <c r="BI268">
        <v>37</v>
      </c>
      <c r="BJ268" t="s">
        <v>304</v>
      </c>
      <c r="BK268" t="s">
        <v>130</v>
      </c>
      <c r="BL268" t="s">
        <v>99</v>
      </c>
      <c r="BM268" t="s">
        <v>5406</v>
      </c>
      <c r="BN268" t="s">
        <v>74</v>
      </c>
      <c r="BO268" t="s">
        <v>646</v>
      </c>
      <c r="BP268" t="s">
        <v>74</v>
      </c>
      <c r="BQ268" t="s">
        <v>74</v>
      </c>
      <c r="BR268" t="s">
        <v>101</v>
      </c>
      <c r="BS268" t="s">
        <v>5407</v>
      </c>
      <c r="BT268" t="str">
        <f>HYPERLINK("https%3A%2F%2Fwww.webofscience.com%2Fwos%2Fwoscc%2Ffull-record%2FWOS:000930130400001","View Full Record in Web of Science")</f>
        <v>View Full Record in Web of Science</v>
      </c>
    </row>
    <row r="269" spans="1:72" x14ac:dyDescent="0.2">
      <c r="A269" t="s">
        <v>103</v>
      </c>
      <c r="B269" t="s">
        <v>5408</v>
      </c>
      <c r="C269" t="s">
        <v>74</v>
      </c>
      <c r="D269" t="s">
        <v>74</v>
      </c>
      <c r="E269" t="s">
        <v>74</v>
      </c>
      <c r="F269" t="s">
        <v>5409</v>
      </c>
      <c r="G269" t="s">
        <v>74</v>
      </c>
      <c r="H269" t="s">
        <v>74</v>
      </c>
      <c r="I269" t="s">
        <v>5410</v>
      </c>
      <c r="J269" t="s">
        <v>5411</v>
      </c>
      <c r="K269" t="s">
        <v>74</v>
      </c>
      <c r="L269" t="s">
        <v>74</v>
      </c>
      <c r="M269" t="s">
        <v>79</v>
      </c>
      <c r="N269" t="s">
        <v>108</v>
      </c>
      <c r="O269" t="s">
        <v>74</v>
      </c>
      <c r="P269" t="s">
        <v>74</v>
      </c>
      <c r="Q269" t="s">
        <v>74</v>
      </c>
      <c r="R269" t="s">
        <v>74</v>
      </c>
      <c r="S269" t="s">
        <v>74</v>
      </c>
      <c r="T269" t="s">
        <v>5412</v>
      </c>
      <c r="U269" t="s">
        <v>74</v>
      </c>
      <c r="V269" t="s">
        <v>5413</v>
      </c>
      <c r="W269" t="s">
        <v>5414</v>
      </c>
      <c r="X269" t="s">
        <v>5415</v>
      </c>
      <c r="Y269" t="s">
        <v>5416</v>
      </c>
      <c r="Z269" t="s">
        <v>5417</v>
      </c>
      <c r="AA269" t="s">
        <v>5418</v>
      </c>
      <c r="AB269" t="s">
        <v>5419</v>
      </c>
      <c r="AC269" t="s">
        <v>5420</v>
      </c>
      <c r="AD269" t="s">
        <v>5421</v>
      </c>
      <c r="AE269" t="s">
        <v>5422</v>
      </c>
      <c r="AF269" t="s">
        <v>74</v>
      </c>
      <c r="AG269">
        <v>114</v>
      </c>
      <c r="AH269">
        <v>1</v>
      </c>
      <c r="AI269">
        <v>1</v>
      </c>
      <c r="AJ269">
        <v>14</v>
      </c>
      <c r="AK269">
        <v>14</v>
      </c>
      <c r="AL269" t="s">
        <v>939</v>
      </c>
      <c r="AM269" t="s">
        <v>940</v>
      </c>
      <c r="AN269" t="s">
        <v>941</v>
      </c>
      <c r="AO269" t="s">
        <v>5423</v>
      </c>
      <c r="AP269" t="s">
        <v>74</v>
      </c>
      <c r="AQ269" t="s">
        <v>74</v>
      </c>
      <c r="AR269" t="s">
        <v>5411</v>
      </c>
      <c r="AS269" t="s">
        <v>5424</v>
      </c>
      <c r="AT269" t="s">
        <v>467</v>
      </c>
      <c r="AU269">
        <v>2023</v>
      </c>
      <c r="AV269">
        <v>15</v>
      </c>
      <c r="AW269">
        <v>10</v>
      </c>
      <c r="AX269" t="s">
        <v>74</v>
      </c>
      <c r="AY269" t="s">
        <v>74</v>
      </c>
      <c r="AZ269" t="s">
        <v>74</v>
      </c>
      <c r="BA269" t="s">
        <v>74</v>
      </c>
      <c r="BB269" t="s">
        <v>74</v>
      </c>
      <c r="BC269" t="s">
        <v>74</v>
      </c>
      <c r="BD269">
        <v>336</v>
      </c>
      <c r="BE269" t="s">
        <v>5425</v>
      </c>
      <c r="BF269" t="str">
        <f>HYPERLINK("http://dx.doi.org/10.3390/fi15100336","http://dx.doi.org/10.3390/fi15100336")</f>
        <v>http://dx.doi.org/10.3390/fi15100336</v>
      </c>
      <c r="BG269" t="s">
        <v>74</v>
      </c>
      <c r="BH269" t="s">
        <v>74</v>
      </c>
      <c r="BI269">
        <v>26</v>
      </c>
      <c r="BJ269" t="s">
        <v>230</v>
      </c>
      <c r="BK269" t="s">
        <v>352</v>
      </c>
      <c r="BL269" t="s">
        <v>99</v>
      </c>
      <c r="BM269" t="s">
        <v>5426</v>
      </c>
      <c r="BN269" t="s">
        <v>74</v>
      </c>
      <c r="BO269" t="s">
        <v>1711</v>
      </c>
      <c r="BP269" t="s">
        <v>74</v>
      </c>
      <c r="BQ269" t="s">
        <v>74</v>
      </c>
      <c r="BR269" t="s">
        <v>101</v>
      </c>
      <c r="BS269" t="s">
        <v>5427</v>
      </c>
      <c r="BT269" t="str">
        <f>HYPERLINK("https%3A%2F%2Fwww.webofscience.com%2Fwos%2Fwoscc%2Ffull-record%2FWOS:001095748700001","View Full Record in Web of Science")</f>
        <v>View Full Record in Web of Science</v>
      </c>
    </row>
    <row r="270" spans="1:72" x14ac:dyDescent="0.2">
      <c r="A270" t="s">
        <v>103</v>
      </c>
      <c r="B270" t="s">
        <v>5428</v>
      </c>
      <c r="C270" t="s">
        <v>74</v>
      </c>
      <c r="D270" t="s">
        <v>74</v>
      </c>
      <c r="E270" t="s">
        <v>74</v>
      </c>
      <c r="F270" t="s">
        <v>5429</v>
      </c>
      <c r="G270" t="s">
        <v>74</v>
      </c>
      <c r="H270" t="s">
        <v>74</v>
      </c>
      <c r="I270" t="s">
        <v>5430</v>
      </c>
      <c r="J270" t="s">
        <v>5431</v>
      </c>
      <c r="K270" t="s">
        <v>74</v>
      </c>
      <c r="L270" t="s">
        <v>74</v>
      </c>
      <c r="M270" t="s">
        <v>79</v>
      </c>
      <c r="N270" t="s">
        <v>108</v>
      </c>
      <c r="O270" t="s">
        <v>74</v>
      </c>
      <c r="P270" t="s">
        <v>74</v>
      </c>
      <c r="Q270" t="s">
        <v>74</v>
      </c>
      <c r="R270" t="s">
        <v>74</v>
      </c>
      <c r="S270" t="s">
        <v>74</v>
      </c>
      <c r="T270" t="s">
        <v>74</v>
      </c>
      <c r="U270" t="s">
        <v>391</v>
      </c>
      <c r="V270" t="s">
        <v>5432</v>
      </c>
      <c r="W270" t="s">
        <v>5433</v>
      </c>
      <c r="X270" t="s">
        <v>5434</v>
      </c>
      <c r="Y270" t="s">
        <v>5435</v>
      </c>
      <c r="Z270" t="s">
        <v>5436</v>
      </c>
      <c r="AA270" t="s">
        <v>5437</v>
      </c>
      <c r="AB270" t="s">
        <v>5438</v>
      </c>
      <c r="AC270" t="s">
        <v>5439</v>
      </c>
      <c r="AD270" t="s">
        <v>5440</v>
      </c>
      <c r="AE270" t="s">
        <v>5441</v>
      </c>
      <c r="AF270" t="s">
        <v>74</v>
      </c>
      <c r="AG270">
        <v>20</v>
      </c>
      <c r="AH270">
        <v>3</v>
      </c>
      <c r="AI270">
        <v>3</v>
      </c>
      <c r="AJ270">
        <v>14</v>
      </c>
      <c r="AK270">
        <v>25</v>
      </c>
      <c r="AL270" t="s">
        <v>1880</v>
      </c>
      <c r="AM270" t="s">
        <v>369</v>
      </c>
      <c r="AN270" t="s">
        <v>1881</v>
      </c>
      <c r="AO270" t="s">
        <v>5442</v>
      </c>
      <c r="AP270" t="s">
        <v>5443</v>
      </c>
      <c r="AQ270" t="s">
        <v>74</v>
      </c>
      <c r="AR270" t="s">
        <v>5444</v>
      </c>
      <c r="AS270" t="s">
        <v>5445</v>
      </c>
      <c r="AT270" t="s">
        <v>2582</v>
      </c>
      <c r="AU270">
        <v>2023</v>
      </c>
      <c r="AV270">
        <v>13</v>
      </c>
      <c r="AW270">
        <v>6</v>
      </c>
      <c r="AX270" t="s">
        <v>74</v>
      </c>
      <c r="AY270" t="s">
        <v>74</v>
      </c>
      <c r="AZ270" t="s">
        <v>74</v>
      </c>
      <c r="BA270" t="s">
        <v>74</v>
      </c>
      <c r="BB270">
        <v>497</v>
      </c>
      <c r="BC270">
        <v>499</v>
      </c>
      <c r="BD270" t="s">
        <v>74</v>
      </c>
      <c r="BE270" t="s">
        <v>5446</v>
      </c>
      <c r="BF270" t="str">
        <f>HYPERLINK("http://dx.doi.org/10.1038/s41558-023-01686-5","http://dx.doi.org/10.1038/s41558-023-01686-5")</f>
        <v>http://dx.doi.org/10.1038/s41558-023-01686-5</v>
      </c>
      <c r="BG270" t="s">
        <v>74</v>
      </c>
      <c r="BH270" t="s">
        <v>2889</v>
      </c>
      <c r="BI270">
        <v>3</v>
      </c>
      <c r="BJ270" t="s">
        <v>5447</v>
      </c>
      <c r="BK270" t="s">
        <v>947</v>
      </c>
      <c r="BL270" t="s">
        <v>5448</v>
      </c>
      <c r="BM270" t="s">
        <v>5449</v>
      </c>
      <c r="BN270" t="s">
        <v>74</v>
      </c>
      <c r="BO270" t="s">
        <v>74</v>
      </c>
      <c r="BP270" t="s">
        <v>74</v>
      </c>
      <c r="BQ270" t="s">
        <v>74</v>
      </c>
      <c r="BR270" t="s">
        <v>101</v>
      </c>
      <c r="BS270" t="s">
        <v>5450</v>
      </c>
      <c r="BT270" t="str">
        <f>HYPERLINK("https%3A%2F%2Fwww.webofscience.com%2Fwos%2Fwoscc%2Ffull-record%2FWOS:000997023000001","View Full Record in Web of Science")</f>
        <v>View Full Record in Web of Science</v>
      </c>
    </row>
    <row r="271" spans="1:72" x14ac:dyDescent="0.2">
      <c r="A271" t="s">
        <v>72</v>
      </c>
      <c r="B271" t="s">
        <v>5451</v>
      </c>
      <c r="C271" t="s">
        <v>74</v>
      </c>
      <c r="D271" t="s">
        <v>74</v>
      </c>
      <c r="E271" t="s">
        <v>284</v>
      </c>
      <c r="F271" t="s">
        <v>5452</v>
      </c>
      <c r="G271" t="s">
        <v>74</v>
      </c>
      <c r="H271" t="s">
        <v>74</v>
      </c>
      <c r="I271" t="s">
        <v>5453</v>
      </c>
      <c r="J271" t="s">
        <v>5454</v>
      </c>
      <c r="K271" t="s">
        <v>74</v>
      </c>
      <c r="L271" t="s">
        <v>74</v>
      </c>
      <c r="M271" t="s">
        <v>79</v>
      </c>
      <c r="N271" t="s">
        <v>80</v>
      </c>
      <c r="O271" t="s">
        <v>5455</v>
      </c>
      <c r="P271" t="s">
        <v>5456</v>
      </c>
      <c r="Q271" t="s">
        <v>5457</v>
      </c>
      <c r="R271" t="s">
        <v>5458</v>
      </c>
      <c r="S271" t="s">
        <v>74</v>
      </c>
      <c r="T271" t="s">
        <v>5459</v>
      </c>
      <c r="U271" t="s">
        <v>74</v>
      </c>
      <c r="V271" t="s">
        <v>5460</v>
      </c>
      <c r="W271" t="s">
        <v>5461</v>
      </c>
      <c r="X271" t="s">
        <v>5462</v>
      </c>
      <c r="Y271" t="s">
        <v>5463</v>
      </c>
      <c r="Z271" t="s">
        <v>5464</v>
      </c>
      <c r="AA271" t="s">
        <v>74</v>
      </c>
      <c r="AB271" t="s">
        <v>74</v>
      </c>
      <c r="AC271" t="s">
        <v>5465</v>
      </c>
      <c r="AD271" t="s">
        <v>5466</v>
      </c>
      <c r="AE271" t="s">
        <v>5467</v>
      </c>
      <c r="AF271" t="s">
        <v>74</v>
      </c>
      <c r="AG271">
        <v>5</v>
      </c>
      <c r="AH271">
        <v>0</v>
      </c>
      <c r="AI271">
        <v>0</v>
      </c>
      <c r="AJ271">
        <v>0</v>
      </c>
      <c r="AK271">
        <v>0</v>
      </c>
      <c r="AL271" t="s">
        <v>284</v>
      </c>
      <c r="AM271" t="s">
        <v>93</v>
      </c>
      <c r="AN271" t="s">
        <v>299</v>
      </c>
      <c r="AO271" t="s">
        <v>74</v>
      </c>
      <c r="AP271" t="s">
        <v>74</v>
      </c>
      <c r="AQ271" t="s">
        <v>5468</v>
      </c>
      <c r="AR271" t="s">
        <v>74</v>
      </c>
      <c r="AS271" t="s">
        <v>74</v>
      </c>
      <c r="AT271" t="s">
        <v>74</v>
      </c>
      <c r="AU271">
        <v>2023</v>
      </c>
      <c r="AV271" t="s">
        <v>74</v>
      </c>
      <c r="AW271" t="s">
        <v>74</v>
      </c>
      <c r="AX271" t="s">
        <v>74</v>
      </c>
      <c r="AY271" t="s">
        <v>74</v>
      </c>
      <c r="AZ271" t="s">
        <v>74</v>
      </c>
      <c r="BA271" t="s">
        <v>74</v>
      </c>
      <c r="BB271" t="s">
        <v>74</v>
      </c>
      <c r="BC271" t="s">
        <v>74</v>
      </c>
      <c r="BD271" t="s">
        <v>74</v>
      </c>
      <c r="BE271" t="s">
        <v>5469</v>
      </c>
      <c r="BF271" t="str">
        <f>HYPERLINK("http://dx.doi.org/10.1109/WPTCE56855.2023.10216141","http://dx.doi.org/10.1109/WPTCE56855.2023.10216141")</f>
        <v>http://dx.doi.org/10.1109/WPTCE56855.2023.10216141</v>
      </c>
      <c r="BG271" t="s">
        <v>74</v>
      </c>
      <c r="BH271" t="s">
        <v>74</v>
      </c>
      <c r="BI271">
        <v>5</v>
      </c>
      <c r="BJ271" t="s">
        <v>3500</v>
      </c>
      <c r="BK271" t="s">
        <v>98</v>
      </c>
      <c r="BL271" t="s">
        <v>3501</v>
      </c>
      <c r="BM271" t="s">
        <v>5470</v>
      </c>
      <c r="BN271" t="s">
        <v>74</v>
      </c>
      <c r="BO271" t="s">
        <v>74</v>
      </c>
      <c r="BP271" t="s">
        <v>74</v>
      </c>
      <c r="BQ271" t="s">
        <v>74</v>
      </c>
      <c r="BR271" t="s">
        <v>101</v>
      </c>
      <c r="BS271" t="s">
        <v>5471</v>
      </c>
      <c r="BT271" t="str">
        <f>HYPERLINK("https%3A%2F%2Fwww.webofscience.com%2Fwos%2Fwoscc%2Ffull-record%2FWOS:001058651600093","View Full Record in Web of Science")</f>
        <v>View Full Record in Web of Science</v>
      </c>
    </row>
    <row r="272" spans="1:72" x14ac:dyDescent="0.2">
      <c r="A272" t="s">
        <v>103</v>
      </c>
      <c r="B272" t="s">
        <v>5472</v>
      </c>
      <c r="C272" t="s">
        <v>74</v>
      </c>
      <c r="D272" t="s">
        <v>74</v>
      </c>
      <c r="E272" t="s">
        <v>74</v>
      </c>
      <c r="F272" t="s">
        <v>5473</v>
      </c>
      <c r="G272" t="s">
        <v>74</v>
      </c>
      <c r="H272" t="s">
        <v>74</v>
      </c>
      <c r="I272" t="s">
        <v>5474</v>
      </c>
      <c r="J272" t="s">
        <v>5475</v>
      </c>
      <c r="K272" t="s">
        <v>74</v>
      </c>
      <c r="L272" t="s">
        <v>74</v>
      </c>
      <c r="M272" t="s">
        <v>79</v>
      </c>
      <c r="N272" t="s">
        <v>108</v>
      </c>
      <c r="O272" t="s">
        <v>74</v>
      </c>
      <c r="P272" t="s">
        <v>74</v>
      </c>
      <c r="Q272" t="s">
        <v>74</v>
      </c>
      <c r="R272" t="s">
        <v>74</v>
      </c>
      <c r="S272" t="s">
        <v>74</v>
      </c>
      <c r="T272" t="s">
        <v>5476</v>
      </c>
      <c r="U272" t="s">
        <v>74</v>
      </c>
      <c r="V272" t="s">
        <v>5477</v>
      </c>
      <c r="W272" t="s">
        <v>5478</v>
      </c>
      <c r="X272" t="s">
        <v>74</v>
      </c>
      <c r="Y272" t="s">
        <v>5479</v>
      </c>
      <c r="Z272" t="s">
        <v>5480</v>
      </c>
      <c r="AA272" t="s">
        <v>74</v>
      </c>
      <c r="AB272" t="s">
        <v>5481</v>
      </c>
      <c r="AC272" t="s">
        <v>74</v>
      </c>
      <c r="AD272" t="s">
        <v>74</v>
      </c>
      <c r="AE272" t="s">
        <v>74</v>
      </c>
      <c r="AF272" t="s">
        <v>74</v>
      </c>
      <c r="AG272">
        <v>57</v>
      </c>
      <c r="AH272">
        <v>1</v>
      </c>
      <c r="AI272">
        <v>1</v>
      </c>
      <c r="AJ272">
        <v>18</v>
      </c>
      <c r="AK272">
        <v>28</v>
      </c>
      <c r="AL272" t="s">
        <v>460</v>
      </c>
      <c r="AM272" t="s">
        <v>461</v>
      </c>
      <c r="AN272" t="s">
        <v>462</v>
      </c>
      <c r="AO272" t="s">
        <v>5482</v>
      </c>
      <c r="AP272" t="s">
        <v>5483</v>
      </c>
      <c r="AQ272" t="s">
        <v>74</v>
      </c>
      <c r="AR272" t="s">
        <v>5484</v>
      </c>
      <c r="AS272" t="s">
        <v>5485</v>
      </c>
      <c r="AT272" t="s">
        <v>5486</v>
      </c>
      <c r="AU272">
        <v>2023</v>
      </c>
      <c r="AV272">
        <v>466</v>
      </c>
      <c r="AW272" t="s">
        <v>74</v>
      </c>
      <c r="AX272" t="s">
        <v>74</v>
      </c>
      <c r="AY272" t="s">
        <v>74</v>
      </c>
      <c r="AZ272" t="s">
        <v>74</v>
      </c>
      <c r="BA272" t="s">
        <v>74</v>
      </c>
      <c r="BB272" t="s">
        <v>74</v>
      </c>
      <c r="BC272" t="s">
        <v>74</v>
      </c>
      <c r="BD272">
        <v>129680</v>
      </c>
      <c r="BE272" t="s">
        <v>5487</v>
      </c>
      <c r="BF272" t="str">
        <f>HYPERLINK("http://dx.doi.org/10.1016/j.surfcoat.2023.129680","http://dx.doi.org/10.1016/j.surfcoat.2023.129680")</f>
        <v>http://dx.doi.org/10.1016/j.surfcoat.2023.129680</v>
      </c>
      <c r="BG272" t="s">
        <v>74</v>
      </c>
      <c r="BH272" t="s">
        <v>1910</v>
      </c>
      <c r="BI272">
        <v>9</v>
      </c>
      <c r="BJ272" t="s">
        <v>5488</v>
      </c>
      <c r="BK272" t="s">
        <v>130</v>
      </c>
      <c r="BL272" t="s">
        <v>5489</v>
      </c>
      <c r="BM272" t="s">
        <v>5490</v>
      </c>
      <c r="BN272" t="s">
        <v>74</v>
      </c>
      <c r="BO272" t="s">
        <v>74</v>
      </c>
      <c r="BP272" t="s">
        <v>74</v>
      </c>
      <c r="BQ272" t="s">
        <v>74</v>
      </c>
      <c r="BR272" t="s">
        <v>101</v>
      </c>
      <c r="BS272" t="s">
        <v>5491</v>
      </c>
      <c r="BT272" t="str">
        <f>HYPERLINK("https%3A%2F%2Fwww.webofscience.com%2Fwos%2Fwoscc%2Ffull-record%2FWOS:001018231600001","View Full Record in Web of Science")</f>
        <v>View Full Record in Web of Science</v>
      </c>
    </row>
    <row r="273" spans="1:72" x14ac:dyDescent="0.2">
      <c r="A273" t="s">
        <v>72</v>
      </c>
      <c r="B273" t="s">
        <v>5492</v>
      </c>
      <c r="C273" t="s">
        <v>74</v>
      </c>
      <c r="D273" t="s">
        <v>74</v>
      </c>
      <c r="E273" t="s">
        <v>75</v>
      </c>
      <c r="F273" t="s">
        <v>5493</v>
      </c>
      <c r="G273" t="s">
        <v>74</v>
      </c>
      <c r="H273" t="s">
        <v>74</v>
      </c>
      <c r="I273" t="s">
        <v>5494</v>
      </c>
      <c r="J273" t="s">
        <v>5495</v>
      </c>
      <c r="K273" t="s">
        <v>74</v>
      </c>
      <c r="L273" t="s">
        <v>74</v>
      </c>
      <c r="M273" t="s">
        <v>79</v>
      </c>
      <c r="N273" t="s">
        <v>80</v>
      </c>
      <c r="O273" t="s">
        <v>1637</v>
      </c>
      <c r="P273" t="s">
        <v>1638</v>
      </c>
      <c r="Q273" t="s">
        <v>1639</v>
      </c>
      <c r="R273" t="s">
        <v>1640</v>
      </c>
      <c r="S273" t="s">
        <v>74</v>
      </c>
      <c r="T273" t="s">
        <v>5496</v>
      </c>
      <c r="U273" t="s">
        <v>5497</v>
      </c>
      <c r="V273" t="s">
        <v>5498</v>
      </c>
      <c r="W273" t="s">
        <v>5499</v>
      </c>
      <c r="X273" t="s">
        <v>1228</v>
      </c>
      <c r="Y273" t="s">
        <v>5500</v>
      </c>
      <c r="Z273" t="s">
        <v>5501</v>
      </c>
      <c r="AA273" t="s">
        <v>74</v>
      </c>
      <c r="AB273" t="s">
        <v>5502</v>
      </c>
      <c r="AC273" t="s">
        <v>5503</v>
      </c>
      <c r="AD273" t="s">
        <v>5504</v>
      </c>
      <c r="AE273" t="s">
        <v>5505</v>
      </c>
      <c r="AF273" t="s">
        <v>74</v>
      </c>
      <c r="AG273">
        <v>85</v>
      </c>
      <c r="AH273">
        <v>3</v>
      </c>
      <c r="AI273">
        <v>3</v>
      </c>
      <c r="AJ273">
        <v>26</v>
      </c>
      <c r="AK273">
        <v>26</v>
      </c>
      <c r="AL273" t="s">
        <v>92</v>
      </c>
      <c r="AM273" t="s">
        <v>93</v>
      </c>
      <c r="AN273" t="s">
        <v>94</v>
      </c>
      <c r="AO273" t="s">
        <v>74</v>
      </c>
      <c r="AP273" t="s">
        <v>74</v>
      </c>
      <c r="AQ273" t="s">
        <v>1651</v>
      </c>
      <c r="AR273" t="s">
        <v>74</v>
      </c>
      <c r="AS273" t="s">
        <v>74</v>
      </c>
      <c r="AT273" t="s">
        <v>74</v>
      </c>
      <c r="AU273">
        <v>2023</v>
      </c>
      <c r="AV273" t="s">
        <v>74</v>
      </c>
      <c r="AW273" t="s">
        <v>74</v>
      </c>
      <c r="AX273" t="s">
        <v>74</v>
      </c>
      <c r="AY273" t="s">
        <v>74</v>
      </c>
      <c r="AZ273" t="s">
        <v>74</v>
      </c>
      <c r="BA273" t="s">
        <v>74</v>
      </c>
      <c r="BB273" t="s">
        <v>74</v>
      </c>
      <c r="BC273" t="s">
        <v>74</v>
      </c>
      <c r="BD273" t="s">
        <v>74</v>
      </c>
      <c r="BE273" t="s">
        <v>5506</v>
      </c>
      <c r="BF273" t="str">
        <f>HYPERLINK("http://dx.doi.org/10.1145/3544548.3580999","http://dx.doi.org/10.1145/3544548.3580999")</f>
        <v>http://dx.doi.org/10.1145/3544548.3580999</v>
      </c>
      <c r="BG273" t="s">
        <v>74</v>
      </c>
      <c r="BH273" t="s">
        <v>74</v>
      </c>
      <c r="BI273">
        <v>20</v>
      </c>
      <c r="BJ273" t="s">
        <v>1653</v>
      </c>
      <c r="BK273" t="s">
        <v>98</v>
      </c>
      <c r="BL273" t="s">
        <v>1654</v>
      </c>
      <c r="BM273" t="s">
        <v>5507</v>
      </c>
      <c r="BN273" t="s">
        <v>74</v>
      </c>
      <c r="BO273" t="s">
        <v>2568</v>
      </c>
      <c r="BP273" t="s">
        <v>74</v>
      </c>
      <c r="BQ273" t="s">
        <v>74</v>
      </c>
      <c r="BR273" t="s">
        <v>101</v>
      </c>
      <c r="BS273" t="s">
        <v>5508</v>
      </c>
      <c r="BT273" t="str">
        <f>HYPERLINK("https%3A%2F%2Fwww.webofscience.com%2Fwos%2Fwoscc%2Ffull-record%2FWOS:001037809505035","View Full Record in Web of Science")</f>
        <v>View Full Record in Web of Science</v>
      </c>
    </row>
    <row r="274" spans="1:72" x14ac:dyDescent="0.2">
      <c r="A274" t="s">
        <v>103</v>
      </c>
      <c r="B274" t="s">
        <v>5509</v>
      </c>
      <c r="C274" t="s">
        <v>74</v>
      </c>
      <c r="D274" t="s">
        <v>74</v>
      </c>
      <c r="E274" t="s">
        <v>74</v>
      </c>
      <c r="F274" t="s">
        <v>5510</v>
      </c>
      <c r="G274" t="s">
        <v>74</v>
      </c>
      <c r="H274" t="s">
        <v>74</v>
      </c>
      <c r="I274" t="s">
        <v>5511</v>
      </c>
      <c r="J274" t="s">
        <v>5512</v>
      </c>
      <c r="K274" t="s">
        <v>74</v>
      </c>
      <c r="L274" t="s">
        <v>74</v>
      </c>
      <c r="M274" t="s">
        <v>79</v>
      </c>
      <c r="N274" t="s">
        <v>108</v>
      </c>
      <c r="O274" t="s">
        <v>74</v>
      </c>
      <c r="P274" t="s">
        <v>74</v>
      </c>
      <c r="Q274" t="s">
        <v>74</v>
      </c>
      <c r="R274" t="s">
        <v>74</v>
      </c>
      <c r="S274" t="s">
        <v>74</v>
      </c>
      <c r="T274" t="s">
        <v>5513</v>
      </c>
      <c r="U274" t="s">
        <v>74</v>
      </c>
      <c r="V274" t="s">
        <v>5514</v>
      </c>
      <c r="W274" t="s">
        <v>5515</v>
      </c>
      <c r="X274" t="s">
        <v>5516</v>
      </c>
      <c r="Y274" t="s">
        <v>5517</v>
      </c>
      <c r="Z274" t="s">
        <v>5518</v>
      </c>
      <c r="AA274" t="s">
        <v>74</v>
      </c>
      <c r="AB274" t="s">
        <v>74</v>
      </c>
      <c r="AC274" t="s">
        <v>74</v>
      </c>
      <c r="AD274" t="s">
        <v>74</v>
      </c>
      <c r="AE274" t="s">
        <v>74</v>
      </c>
      <c r="AF274" t="s">
        <v>74</v>
      </c>
      <c r="AG274">
        <v>21</v>
      </c>
      <c r="AH274">
        <v>7</v>
      </c>
      <c r="AI274">
        <v>7</v>
      </c>
      <c r="AJ274">
        <v>49</v>
      </c>
      <c r="AK274">
        <v>107</v>
      </c>
      <c r="AL274" t="s">
        <v>483</v>
      </c>
      <c r="AM274" t="s">
        <v>5519</v>
      </c>
      <c r="AN274" t="s">
        <v>5520</v>
      </c>
      <c r="AO274" t="s">
        <v>5521</v>
      </c>
      <c r="AP274" t="s">
        <v>74</v>
      </c>
      <c r="AQ274" t="s">
        <v>74</v>
      </c>
      <c r="AR274" t="s">
        <v>5522</v>
      </c>
      <c r="AS274" t="s">
        <v>5523</v>
      </c>
      <c r="AT274" t="s">
        <v>5524</v>
      </c>
      <c r="AU274">
        <v>2023</v>
      </c>
      <c r="AV274">
        <v>40</v>
      </c>
      <c r="AW274">
        <v>3</v>
      </c>
      <c r="AX274" t="s">
        <v>74</v>
      </c>
      <c r="AY274" t="s">
        <v>74</v>
      </c>
      <c r="AZ274" t="s">
        <v>74</v>
      </c>
      <c r="BA274" t="s">
        <v>74</v>
      </c>
      <c r="BB274">
        <v>259</v>
      </c>
      <c r="BC274">
        <v>268</v>
      </c>
      <c r="BD274" t="s">
        <v>74</v>
      </c>
      <c r="BE274" t="s">
        <v>5525</v>
      </c>
      <c r="BF274" t="str">
        <f>HYPERLINK("http://dx.doi.org/10.1108/IJILT-03-2023-0043","http://dx.doi.org/10.1108/IJILT-03-2023-0043")</f>
        <v>http://dx.doi.org/10.1108/IJILT-03-2023-0043</v>
      </c>
      <c r="BG274" t="s">
        <v>74</v>
      </c>
      <c r="BH274" t="s">
        <v>2889</v>
      </c>
      <c r="BI274">
        <v>10</v>
      </c>
      <c r="BJ274" t="s">
        <v>351</v>
      </c>
      <c r="BK274" t="s">
        <v>352</v>
      </c>
      <c r="BL274" t="s">
        <v>99</v>
      </c>
      <c r="BM274" t="s">
        <v>5526</v>
      </c>
      <c r="BN274" t="s">
        <v>74</v>
      </c>
      <c r="BO274" t="s">
        <v>74</v>
      </c>
      <c r="BP274" t="s">
        <v>74</v>
      </c>
      <c r="BQ274" t="s">
        <v>74</v>
      </c>
      <c r="BR274" t="s">
        <v>101</v>
      </c>
      <c r="BS274" t="s">
        <v>5527</v>
      </c>
      <c r="BT274" t="str">
        <f>HYPERLINK("https%3A%2F%2Fwww.webofscience.com%2Fwos%2Fwoscc%2Ffull-record%2FWOS:000978002500001","View Full Record in Web of Science")</f>
        <v>View Full Record in Web of Science</v>
      </c>
    </row>
    <row r="275" spans="1:72" x14ac:dyDescent="0.2">
      <c r="A275" t="s">
        <v>72</v>
      </c>
      <c r="B275" t="s">
        <v>5528</v>
      </c>
      <c r="C275" t="s">
        <v>74</v>
      </c>
      <c r="D275" t="s">
        <v>4124</v>
      </c>
      <c r="E275" t="s">
        <v>74</v>
      </c>
      <c r="F275" t="s">
        <v>5529</v>
      </c>
      <c r="G275" t="s">
        <v>74</v>
      </c>
      <c r="H275" t="s">
        <v>74</v>
      </c>
      <c r="I275" t="s">
        <v>5530</v>
      </c>
      <c r="J275" t="s">
        <v>4127</v>
      </c>
      <c r="K275" t="s">
        <v>4128</v>
      </c>
      <c r="L275" t="s">
        <v>74</v>
      </c>
      <c r="M275" t="s">
        <v>79</v>
      </c>
      <c r="N275" t="s">
        <v>80</v>
      </c>
      <c r="O275" t="s">
        <v>4129</v>
      </c>
      <c r="P275" t="s">
        <v>4130</v>
      </c>
      <c r="Q275" t="s">
        <v>4131</v>
      </c>
      <c r="R275" t="s">
        <v>4132</v>
      </c>
      <c r="S275" t="s">
        <v>74</v>
      </c>
      <c r="T275" t="s">
        <v>5531</v>
      </c>
      <c r="U275" t="s">
        <v>74</v>
      </c>
      <c r="V275" t="s">
        <v>5532</v>
      </c>
      <c r="W275" t="s">
        <v>5533</v>
      </c>
      <c r="X275" t="s">
        <v>5534</v>
      </c>
      <c r="Y275" t="s">
        <v>5535</v>
      </c>
      <c r="Z275" t="s">
        <v>5536</v>
      </c>
      <c r="AA275" t="s">
        <v>74</v>
      </c>
      <c r="AB275" t="s">
        <v>74</v>
      </c>
      <c r="AC275" t="s">
        <v>5537</v>
      </c>
      <c r="AD275" t="s">
        <v>5538</v>
      </c>
      <c r="AE275" t="s">
        <v>5539</v>
      </c>
      <c r="AF275" t="s">
        <v>74</v>
      </c>
      <c r="AG275">
        <v>19</v>
      </c>
      <c r="AH275">
        <v>0</v>
      </c>
      <c r="AI275">
        <v>0</v>
      </c>
      <c r="AJ275">
        <v>0</v>
      </c>
      <c r="AK275">
        <v>0</v>
      </c>
      <c r="AL275" t="s">
        <v>284</v>
      </c>
      <c r="AM275" t="s">
        <v>93</v>
      </c>
      <c r="AN275" t="s">
        <v>299</v>
      </c>
      <c r="AO275" t="s">
        <v>4144</v>
      </c>
      <c r="AP275" t="s">
        <v>74</v>
      </c>
      <c r="AQ275" t="s">
        <v>4145</v>
      </c>
      <c r="AR275" t="s">
        <v>4146</v>
      </c>
      <c r="AS275" t="s">
        <v>74</v>
      </c>
      <c r="AT275" t="s">
        <v>74</v>
      </c>
      <c r="AU275">
        <v>2023</v>
      </c>
      <c r="AV275" t="s">
        <v>74</v>
      </c>
      <c r="AW275" t="s">
        <v>74</v>
      </c>
      <c r="AX275" t="s">
        <v>74</v>
      </c>
      <c r="AY275" t="s">
        <v>74</v>
      </c>
      <c r="AZ275" t="s">
        <v>74</v>
      </c>
      <c r="BA275" t="s">
        <v>74</v>
      </c>
      <c r="BB275" t="s">
        <v>74</v>
      </c>
      <c r="BC275" t="s">
        <v>74</v>
      </c>
      <c r="BD275" t="s">
        <v>74</v>
      </c>
      <c r="BE275" t="s">
        <v>74</v>
      </c>
      <c r="BF275" t="s">
        <v>74</v>
      </c>
      <c r="BG275" t="s">
        <v>74</v>
      </c>
      <c r="BH275" t="s">
        <v>74</v>
      </c>
      <c r="BI275">
        <v>7</v>
      </c>
      <c r="BJ275" t="s">
        <v>1385</v>
      </c>
      <c r="BK275" t="s">
        <v>98</v>
      </c>
      <c r="BL275" t="s">
        <v>1386</v>
      </c>
      <c r="BM275" t="s">
        <v>4147</v>
      </c>
      <c r="BN275" t="s">
        <v>74</v>
      </c>
      <c r="BO275" t="s">
        <v>74</v>
      </c>
      <c r="BP275" t="s">
        <v>74</v>
      </c>
      <c r="BQ275" t="s">
        <v>74</v>
      </c>
      <c r="BR275" t="s">
        <v>101</v>
      </c>
      <c r="BS275" t="s">
        <v>5540</v>
      </c>
      <c r="BT275" t="str">
        <f>HYPERLINK("https%3A%2F%2Fwww.webofscience.com%2Fwos%2Fwoscc%2Ffull-record%2FWOS:001117985100028","View Full Record in Web of Science")</f>
        <v>View Full Record in Web of Science</v>
      </c>
    </row>
    <row r="276" spans="1:72" x14ac:dyDescent="0.2">
      <c r="A276" t="s">
        <v>72</v>
      </c>
      <c r="B276" t="s">
        <v>5541</v>
      </c>
      <c r="C276" t="s">
        <v>74</v>
      </c>
      <c r="D276" t="s">
        <v>74</v>
      </c>
      <c r="E276" t="s">
        <v>75</v>
      </c>
      <c r="F276" t="s">
        <v>5542</v>
      </c>
      <c r="G276" t="s">
        <v>74</v>
      </c>
      <c r="H276" t="s">
        <v>74</v>
      </c>
      <c r="I276" t="s">
        <v>5543</v>
      </c>
      <c r="J276" t="s">
        <v>78</v>
      </c>
      <c r="K276" t="s">
        <v>74</v>
      </c>
      <c r="L276" t="s">
        <v>74</v>
      </c>
      <c r="M276" t="s">
        <v>79</v>
      </c>
      <c r="N276" t="s">
        <v>80</v>
      </c>
      <c r="O276" t="s">
        <v>81</v>
      </c>
      <c r="P276" t="s">
        <v>82</v>
      </c>
      <c r="Q276" t="s">
        <v>83</v>
      </c>
      <c r="R276" t="s">
        <v>84</v>
      </c>
      <c r="S276" t="s">
        <v>74</v>
      </c>
      <c r="T276" t="s">
        <v>5544</v>
      </c>
      <c r="U276" t="s">
        <v>74</v>
      </c>
      <c r="V276" t="s">
        <v>5545</v>
      </c>
      <c r="W276" t="s">
        <v>5546</v>
      </c>
      <c r="X276" t="s">
        <v>919</v>
      </c>
      <c r="Y276" t="s">
        <v>5547</v>
      </c>
      <c r="Z276" t="s">
        <v>5548</v>
      </c>
      <c r="AA276" t="s">
        <v>74</v>
      </c>
      <c r="AB276" t="s">
        <v>74</v>
      </c>
      <c r="AC276" t="s">
        <v>74</v>
      </c>
      <c r="AD276" t="s">
        <v>74</v>
      </c>
      <c r="AE276" t="s">
        <v>74</v>
      </c>
      <c r="AF276" t="s">
        <v>74</v>
      </c>
      <c r="AG276">
        <v>21</v>
      </c>
      <c r="AH276">
        <v>0</v>
      </c>
      <c r="AI276">
        <v>0</v>
      </c>
      <c r="AJ276">
        <v>5</v>
      </c>
      <c r="AK276">
        <v>5</v>
      </c>
      <c r="AL276" t="s">
        <v>92</v>
      </c>
      <c r="AM276" t="s">
        <v>93</v>
      </c>
      <c r="AN276" t="s">
        <v>94</v>
      </c>
      <c r="AO276" t="s">
        <v>74</v>
      </c>
      <c r="AP276" t="s">
        <v>74</v>
      </c>
      <c r="AQ276" t="s">
        <v>95</v>
      </c>
      <c r="AR276" t="s">
        <v>74</v>
      </c>
      <c r="AS276" t="s">
        <v>74</v>
      </c>
      <c r="AT276" t="s">
        <v>74</v>
      </c>
      <c r="AU276">
        <v>2023</v>
      </c>
      <c r="AV276" t="s">
        <v>74</v>
      </c>
      <c r="AW276" t="s">
        <v>74</v>
      </c>
      <c r="AX276" t="s">
        <v>74</v>
      </c>
      <c r="AY276" t="s">
        <v>74</v>
      </c>
      <c r="AZ276" t="s">
        <v>74</v>
      </c>
      <c r="BA276" t="s">
        <v>74</v>
      </c>
      <c r="BB276" t="s">
        <v>74</v>
      </c>
      <c r="BC276" t="s">
        <v>74</v>
      </c>
      <c r="BD276">
        <v>120</v>
      </c>
      <c r="BE276" t="s">
        <v>5549</v>
      </c>
      <c r="BF276" t="str">
        <f>HYPERLINK("http://dx.doi.org/10.1145/3586182.3625117","http://dx.doi.org/10.1145/3586182.3625117")</f>
        <v>http://dx.doi.org/10.1145/3586182.3625117</v>
      </c>
      <c r="BG276" t="s">
        <v>74</v>
      </c>
      <c r="BH276" t="s">
        <v>74</v>
      </c>
      <c r="BI276">
        <v>3</v>
      </c>
      <c r="BJ276" t="s">
        <v>97</v>
      </c>
      <c r="BK276" t="s">
        <v>98</v>
      </c>
      <c r="BL276" t="s">
        <v>99</v>
      </c>
      <c r="BM276" t="s">
        <v>100</v>
      </c>
      <c r="BN276" t="s">
        <v>74</v>
      </c>
      <c r="BO276" t="s">
        <v>74</v>
      </c>
      <c r="BP276" t="s">
        <v>74</v>
      </c>
      <c r="BQ276" t="s">
        <v>74</v>
      </c>
      <c r="BR276" t="s">
        <v>101</v>
      </c>
      <c r="BS276" t="s">
        <v>5550</v>
      </c>
      <c r="BT276" t="str">
        <f>HYPERLINK("https%3A%2F%2Fwww.webofscience.com%2Fwos%2Fwoscc%2Ffull-record%2FWOS:001125107000119","View Full Record in Web of Science")</f>
        <v>View Full Record in Web of Science</v>
      </c>
    </row>
    <row r="277" spans="1:72" x14ac:dyDescent="0.2">
      <c r="A277" t="s">
        <v>103</v>
      </c>
      <c r="B277" t="s">
        <v>5551</v>
      </c>
      <c r="C277" t="s">
        <v>74</v>
      </c>
      <c r="D277" t="s">
        <v>74</v>
      </c>
      <c r="E277" t="s">
        <v>74</v>
      </c>
      <c r="F277" t="s">
        <v>5552</v>
      </c>
      <c r="G277" t="s">
        <v>74</v>
      </c>
      <c r="H277" t="s">
        <v>74</v>
      </c>
      <c r="I277" t="s">
        <v>5553</v>
      </c>
      <c r="J277" t="s">
        <v>5554</v>
      </c>
      <c r="K277" t="s">
        <v>74</v>
      </c>
      <c r="L277" t="s">
        <v>74</v>
      </c>
      <c r="M277" t="s">
        <v>79</v>
      </c>
      <c r="N277" t="s">
        <v>138</v>
      </c>
      <c r="O277" t="s">
        <v>74</v>
      </c>
      <c r="P277" t="s">
        <v>74</v>
      </c>
      <c r="Q277" t="s">
        <v>74</v>
      </c>
      <c r="R277" t="s">
        <v>74</v>
      </c>
      <c r="S277" t="s">
        <v>74</v>
      </c>
      <c r="T277" t="s">
        <v>5555</v>
      </c>
      <c r="U277" t="s">
        <v>74</v>
      </c>
      <c r="V277" t="s">
        <v>5556</v>
      </c>
      <c r="W277" t="s">
        <v>5557</v>
      </c>
      <c r="X277" t="s">
        <v>5558</v>
      </c>
      <c r="Y277" t="s">
        <v>5559</v>
      </c>
      <c r="Z277" t="s">
        <v>5560</v>
      </c>
      <c r="AA277" t="s">
        <v>5561</v>
      </c>
      <c r="AB277" t="s">
        <v>74</v>
      </c>
      <c r="AC277" t="s">
        <v>5562</v>
      </c>
      <c r="AD277" t="s">
        <v>5563</v>
      </c>
      <c r="AE277" t="s">
        <v>5564</v>
      </c>
      <c r="AF277" t="s">
        <v>74</v>
      </c>
      <c r="AG277">
        <v>53</v>
      </c>
      <c r="AH277">
        <v>1</v>
      </c>
      <c r="AI277">
        <v>1</v>
      </c>
      <c r="AJ277">
        <v>14</v>
      </c>
      <c r="AK277">
        <v>14</v>
      </c>
      <c r="AL277" t="s">
        <v>343</v>
      </c>
      <c r="AM277" t="s">
        <v>521</v>
      </c>
      <c r="AN277" t="s">
        <v>522</v>
      </c>
      <c r="AO277" t="s">
        <v>5565</v>
      </c>
      <c r="AP277" t="s">
        <v>5566</v>
      </c>
      <c r="AQ277" t="s">
        <v>74</v>
      </c>
      <c r="AR277" t="s">
        <v>5567</v>
      </c>
      <c r="AS277" t="s">
        <v>5568</v>
      </c>
      <c r="AT277" t="s">
        <v>5569</v>
      </c>
      <c r="AU277">
        <v>2023</v>
      </c>
      <c r="AV277" t="s">
        <v>74</v>
      </c>
      <c r="AW277" t="s">
        <v>74</v>
      </c>
      <c r="AX277" t="s">
        <v>74</v>
      </c>
      <c r="AY277" t="s">
        <v>74</v>
      </c>
      <c r="AZ277" t="s">
        <v>74</v>
      </c>
      <c r="BA277" t="s">
        <v>74</v>
      </c>
      <c r="BB277" t="s">
        <v>74</v>
      </c>
      <c r="BC277" t="s">
        <v>74</v>
      </c>
      <c r="BD277" t="s">
        <v>74</v>
      </c>
      <c r="BE277" t="s">
        <v>5570</v>
      </c>
      <c r="BF277" t="str">
        <f>HYPERLINK("http://dx.doi.org/10.1007/s10994-023-06367-0","http://dx.doi.org/10.1007/s10994-023-06367-0")</f>
        <v>http://dx.doi.org/10.1007/s10994-023-06367-0</v>
      </c>
      <c r="BG277" t="s">
        <v>74</v>
      </c>
      <c r="BH277" t="s">
        <v>278</v>
      </c>
      <c r="BI277">
        <v>27</v>
      </c>
      <c r="BJ277" t="s">
        <v>304</v>
      </c>
      <c r="BK277" t="s">
        <v>130</v>
      </c>
      <c r="BL277" t="s">
        <v>99</v>
      </c>
      <c r="BM277" t="s">
        <v>5571</v>
      </c>
      <c r="BN277" t="s">
        <v>74</v>
      </c>
      <c r="BO277" t="s">
        <v>646</v>
      </c>
      <c r="BP277" t="s">
        <v>74</v>
      </c>
      <c r="BQ277" t="s">
        <v>74</v>
      </c>
      <c r="BR277" t="s">
        <v>101</v>
      </c>
      <c r="BS277" t="s">
        <v>5572</v>
      </c>
      <c r="BT277" t="str">
        <f>HYPERLINK("https%3A%2F%2Fwww.webofscience.com%2Fwos%2Fwoscc%2Ffull-record%2FWOS:001085133300003","View Full Record in Web of Science")</f>
        <v>View Full Record in Web of Science</v>
      </c>
    </row>
    <row r="278" spans="1:72" x14ac:dyDescent="0.2">
      <c r="A278" t="s">
        <v>103</v>
      </c>
      <c r="B278" t="s">
        <v>5573</v>
      </c>
      <c r="C278" t="s">
        <v>74</v>
      </c>
      <c r="D278" t="s">
        <v>74</v>
      </c>
      <c r="E278" t="s">
        <v>74</v>
      </c>
      <c r="F278" t="s">
        <v>5574</v>
      </c>
      <c r="G278" t="s">
        <v>74</v>
      </c>
      <c r="H278" t="s">
        <v>74</v>
      </c>
      <c r="I278" t="s">
        <v>5575</v>
      </c>
      <c r="J278" t="s">
        <v>5576</v>
      </c>
      <c r="K278" t="s">
        <v>74</v>
      </c>
      <c r="L278" t="s">
        <v>74</v>
      </c>
      <c r="M278" t="s">
        <v>79</v>
      </c>
      <c r="N278" t="s">
        <v>138</v>
      </c>
      <c r="O278" t="s">
        <v>74</v>
      </c>
      <c r="P278" t="s">
        <v>74</v>
      </c>
      <c r="Q278" t="s">
        <v>74</v>
      </c>
      <c r="R278" t="s">
        <v>74</v>
      </c>
      <c r="S278" t="s">
        <v>74</v>
      </c>
      <c r="T278" t="s">
        <v>74</v>
      </c>
      <c r="U278" t="s">
        <v>5577</v>
      </c>
      <c r="V278" t="s">
        <v>5578</v>
      </c>
      <c r="W278" t="s">
        <v>5579</v>
      </c>
      <c r="X278" t="s">
        <v>5580</v>
      </c>
      <c r="Y278" t="s">
        <v>5581</v>
      </c>
      <c r="Z278" t="s">
        <v>5582</v>
      </c>
      <c r="AA278" t="s">
        <v>74</v>
      </c>
      <c r="AB278" t="s">
        <v>5583</v>
      </c>
      <c r="AC278" t="s">
        <v>5584</v>
      </c>
      <c r="AD278" t="s">
        <v>5585</v>
      </c>
      <c r="AE278" t="s">
        <v>5586</v>
      </c>
      <c r="AF278" t="s">
        <v>74</v>
      </c>
      <c r="AG278">
        <v>58</v>
      </c>
      <c r="AH278">
        <v>2</v>
      </c>
      <c r="AI278">
        <v>2</v>
      </c>
      <c r="AJ278">
        <v>13</v>
      </c>
      <c r="AK278">
        <v>13</v>
      </c>
      <c r="AL278" t="s">
        <v>1880</v>
      </c>
      <c r="AM278" t="s">
        <v>369</v>
      </c>
      <c r="AN278" t="s">
        <v>1881</v>
      </c>
      <c r="AO278" t="s">
        <v>5587</v>
      </c>
      <c r="AP278" t="s">
        <v>74</v>
      </c>
      <c r="AQ278" t="s">
        <v>74</v>
      </c>
      <c r="AR278" t="s">
        <v>5588</v>
      </c>
      <c r="AS278" t="s">
        <v>5589</v>
      </c>
      <c r="AT278" t="s">
        <v>5590</v>
      </c>
      <c r="AU278">
        <v>2023</v>
      </c>
      <c r="AV278" t="s">
        <v>74</v>
      </c>
      <c r="AW278" t="s">
        <v>74</v>
      </c>
      <c r="AX278" t="s">
        <v>74</v>
      </c>
      <c r="AY278" t="s">
        <v>74</v>
      </c>
      <c r="AZ278" t="s">
        <v>74</v>
      </c>
      <c r="BA278" t="s">
        <v>74</v>
      </c>
      <c r="BB278" t="s">
        <v>74</v>
      </c>
      <c r="BC278" t="s">
        <v>74</v>
      </c>
      <c r="BD278" t="s">
        <v>74</v>
      </c>
      <c r="BE278" t="s">
        <v>5591</v>
      </c>
      <c r="BF278" t="str">
        <f>HYPERLINK("http://dx.doi.org/10.1038/s41551-023-01160-9","http://dx.doi.org/10.1038/s41551-023-01160-9")</f>
        <v>http://dx.doi.org/10.1038/s41551-023-01160-9</v>
      </c>
      <c r="BG278" t="s">
        <v>74</v>
      </c>
      <c r="BH278" t="s">
        <v>128</v>
      </c>
      <c r="BI278">
        <v>23</v>
      </c>
      <c r="BJ278" t="s">
        <v>4718</v>
      </c>
      <c r="BK278" t="s">
        <v>130</v>
      </c>
      <c r="BL278" t="s">
        <v>2823</v>
      </c>
      <c r="BM278" t="s">
        <v>5592</v>
      </c>
      <c r="BN278">
        <v>38155295</v>
      </c>
      <c r="BO278" t="s">
        <v>1237</v>
      </c>
      <c r="BP278" t="s">
        <v>74</v>
      </c>
      <c r="BQ278" t="s">
        <v>74</v>
      </c>
      <c r="BR278" t="s">
        <v>101</v>
      </c>
      <c r="BS278" t="s">
        <v>5593</v>
      </c>
      <c r="BT278" t="str">
        <f>HYPERLINK("https%3A%2F%2Fwww.webofscience.com%2Fwos%2Fwoscc%2Ffull-record%2FWOS:001133165400001","View Full Record in Web of Science")</f>
        <v>View Full Record in Web of Science</v>
      </c>
    </row>
    <row r="279" spans="1:72" x14ac:dyDescent="0.2">
      <c r="A279" t="s">
        <v>103</v>
      </c>
      <c r="B279" t="s">
        <v>5594</v>
      </c>
      <c r="C279" t="s">
        <v>74</v>
      </c>
      <c r="D279" t="s">
        <v>74</v>
      </c>
      <c r="E279" t="s">
        <v>74</v>
      </c>
      <c r="F279" t="s">
        <v>5595</v>
      </c>
      <c r="G279" t="s">
        <v>74</v>
      </c>
      <c r="H279" t="s">
        <v>74</v>
      </c>
      <c r="I279" t="s">
        <v>5596</v>
      </c>
      <c r="J279" t="s">
        <v>2433</v>
      </c>
      <c r="K279" t="s">
        <v>74</v>
      </c>
      <c r="L279" t="s">
        <v>74</v>
      </c>
      <c r="M279" t="s">
        <v>79</v>
      </c>
      <c r="N279" t="s">
        <v>108</v>
      </c>
      <c r="O279" t="s">
        <v>74</v>
      </c>
      <c r="P279" t="s">
        <v>74</v>
      </c>
      <c r="Q279" t="s">
        <v>74</v>
      </c>
      <c r="R279" t="s">
        <v>74</v>
      </c>
      <c r="S279" t="s">
        <v>74</v>
      </c>
      <c r="T279" t="s">
        <v>5597</v>
      </c>
      <c r="U279" t="s">
        <v>5598</v>
      </c>
      <c r="V279" t="s">
        <v>5599</v>
      </c>
      <c r="W279" t="s">
        <v>5600</v>
      </c>
      <c r="X279" t="s">
        <v>5601</v>
      </c>
      <c r="Y279" t="s">
        <v>5602</v>
      </c>
      <c r="Z279" t="s">
        <v>5603</v>
      </c>
      <c r="AA279" t="s">
        <v>5604</v>
      </c>
      <c r="AB279" t="s">
        <v>5605</v>
      </c>
      <c r="AC279" t="s">
        <v>74</v>
      </c>
      <c r="AD279" t="s">
        <v>74</v>
      </c>
      <c r="AE279" t="s">
        <v>74</v>
      </c>
      <c r="AF279" t="s">
        <v>74</v>
      </c>
      <c r="AG279">
        <v>90</v>
      </c>
      <c r="AH279">
        <v>0</v>
      </c>
      <c r="AI279">
        <v>0</v>
      </c>
      <c r="AJ279">
        <v>11</v>
      </c>
      <c r="AK279">
        <v>11</v>
      </c>
      <c r="AL279" t="s">
        <v>939</v>
      </c>
      <c r="AM279" t="s">
        <v>940</v>
      </c>
      <c r="AN279" t="s">
        <v>941</v>
      </c>
      <c r="AO279" t="s">
        <v>74</v>
      </c>
      <c r="AP279" t="s">
        <v>2444</v>
      </c>
      <c r="AQ279" t="s">
        <v>74</v>
      </c>
      <c r="AR279" t="s">
        <v>2445</v>
      </c>
      <c r="AS279" t="s">
        <v>2446</v>
      </c>
      <c r="AT279" t="s">
        <v>276</v>
      </c>
      <c r="AU279">
        <v>2023</v>
      </c>
      <c r="AV279">
        <v>13</v>
      </c>
      <c r="AW279">
        <v>22</v>
      </c>
      <c r="AX279" t="s">
        <v>74</v>
      </c>
      <c r="AY279" t="s">
        <v>74</v>
      </c>
      <c r="AZ279" t="s">
        <v>74</v>
      </c>
      <c r="BA279" t="s">
        <v>74</v>
      </c>
      <c r="BB279" t="s">
        <v>74</v>
      </c>
      <c r="BC279" t="s">
        <v>74</v>
      </c>
      <c r="BD279">
        <v>12458</v>
      </c>
      <c r="BE279" t="s">
        <v>5606</v>
      </c>
      <c r="BF279" t="str">
        <f>HYPERLINK("http://dx.doi.org/10.3390/app132212458","http://dx.doi.org/10.3390/app132212458")</f>
        <v>http://dx.doi.org/10.3390/app132212458</v>
      </c>
      <c r="BG279" t="s">
        <v>74</v>
      </c>
      <c r="BH279" t="s">
        <v>74</v>
      </c>
      <c r="BI279">
        <v>19</v>
      </c>
      <c r="BJ279" t="s">
        <v>2448</v>
      </c>
      <c r="BK279" t="s">
        <v>130</v>
      </c>
      <c r="BL279" t="s">
        <v>2449</v>
      </c>
      <c r="BM279" t="s">
        <v>5607</v>
      </c>
      <c r="BN279" t="s">
        <v>74</v>
      </c>
      <c r="BO279" t="s">
        <v>425</v>
      </c>
      <c r="BP279" t="s">
        <v>74</v>
      </c>
      <c r="BQ279" t="s">
        <v>74</v>
      </c>
      <c r="BR279" t="s">
        <v>101</v>
      </c>
      <c r="BS279" t="s">
        <v>5608</v>
      </c>
      <c r="BT279" t="str">
        <f>HYPERLINK("https%3A%2F%2Fwww.webofscience.com%2Fwos%2Fwoscc%2Ffull-record%2FWOS:001115172800001","View Full Record in Web of Science")</f>
        <v>View Full Record in Web of Science</v>
      </c>
    </row>
    <row r="280" spans="1:72" x14ac:dyDescent="0.2">
      <c r="A280" t="s">
        <v>103</v>
      </c>
      <c r="B280" t="s">
        <v>5609</v>
      </c>
      <c r="C280" t="s">
        <v>74</v>
      </c>
      <c r="D280" t="s">
        <v>74</v>
      </c>
      <c r="E280" t="s">
        <v>74</v>
      </c>
      <c r="F280" t="s">
        <v>5610</v>
      </c>
      <c r="G280" t="s">
        <v>74</v>
      </c>
      <c r="H280" t="s">
        <v>74</v>
      </c>
      <c r="I280" t="s">
        <v>5611</v>
      </c>
      <c r="J280" t="s">
        <v>5612</v>
      </c>
      <c r="K280" t="s">
        <v>74</v>
      </c>
      <c r="L280" t="s">
        <v>74</v>
      </c>
      <c r="M280" t="s">
        <v>79</v>
      </c>
      <c r="N280" t="s">
        <v>108</v>
      </c>
      <c r="O280" t="s">
        <v>74</v>
      </c>
      <c r="P280" t="s">
        <v>74</v>
      </c>
      <c r="Q280" t="s">
        <v>74</v>
      </c>
      <c r="R280" t="s">
        <v>74</v>
      </c>
      <c r="S280" t="s">
        <v>74</v>
      </c>
      <c r="T280" t="s">
        <v>5613</v>
      </c>
      <c r="U280" t="s">
        <v>5614</v>
      </c>
      <c r="V280" t="s">
        <v>5615</v>
      </c>
      <c r="W280" t="s">
        <v>5616</v>
      </c>
      <c r="X280" t="s">
        <v>5617</v>
      </c>
      <c r="Y280" t="s">
        <v>5618</v>
      </c>
      <c r="Z280" t="s">
        <v>5619</v>
      </c>
      <c r="AA280" t="s">
        <v>74</v>
      </c>
      <c r="AB280" t="s">
        <v>5620</v>
      </c>
      <c r="AC280" t="s">
        <v>5621</v>
      </c>
      <c r="AD280" t="s">
        <v>5622</v>
      </c>
      <c r="AE280" t="s">
        <v>5623</v>
      </c>
      <c r="AF280" t="s">
        <v>74</v>
      </c>
      <c r="AG280">
        <v>68</v>
      </c>
      <c r="AH280">
        <v>0</v>
      </c>
      <c r="AI280">
        <v>0</v>
      </c>
      <c r="AJ280">
        <v>6</v>
      </c>
      <c r="AK280">
        <v>6</v>
      </c>
      <c r="AL280" t="s">
        <v>270</v>
      </c>
      <c r="AM280" t="s">
        <v>1424</v>
      </c>
      <c r="AN280" t="s">
        <v>1425</v>
      </c>
      <c r="AO280" t="s">
        <v>5624</v>
      </c>
      <c r="AP280" t="s">
        <v>5625</v>
      </c>
      <c r="AQ280" t="s">
        <v>74</v>
      </c>
      <c r="AR280" t="s">
        <v>5626</v>
      </c>
      <c r="AS280" t="s">
        <v>5627</v>
      </c>
      <c r="AT280" t="s">
        <v>5628</v>
      </c>
      <c r="AU280">
        <v>2024</v>
      </c>
      <c r="AV280">
        <v>411</v>
      </c>
      <c r="AW280" t="s">
        <v>74</v>
      </c>
      <c r="AX280" t="s">
        <v>74</v>
      </c>
      <c r="AY280" t="s">
        <v>74</v>
      </c>
      <c r="AZ280" t="s">
        <v>74</v>
      </c>
      <c r="BA280" t="s">
        <v>74</v>
      </c>
      <c r="BB280" t="s">
        <v>74</v>
      </c>
      <c r="BC280" t="s">
        <v>74</v>
      </c>
      <c r="BD280">
        <v>134812</v>
      </c>
      <c r="BE280" t="s">
        <v>5629</v>
      </c>
      <c r="BF280" t="str">
        <f>HYPERLINK("http://dx.doi.org/10.1016/j.conbuildmat.2023.134812","http://dx.doi.org/10.1016/j.conbuildmat.2023.134812")</f>
        <v>http://dx.doi.org/10.1016/j.conbuildmat.2023.134812</v>
      </c>
      <c r="BG280" t="s">
        <v>74</v>
      </c>
      <c r="BH280" t="s">
        <v>128</v>
      </c>
      <c r="BI280">
        <v>13</v>
      </c>
      <c r="BJ280" t="s">
        <v>5630</v>
      </c>
      <c r="BK280" t="s">
        <v>130</v>
      </c>
      <c r="BL280" t="s">
        <v>5631</v>
      </c>
      <c r="BM280" t="s">
        <v>5632</v>
      </c>
      <c r="BN280" t="s">
        <v>74</v>
      </c>
      <c r="BO280" t="s">
        <v>74</v>
      </c>
      <c r="BP280" t="s">
        <v>74</v>
      </c>
      <c r="BQ280" t="s">
        <v>74</v>
      </c>
      <c r="BR280" t="s">
        <v>101</v>
      </c>
      <c r="BS280" t="s">
        <v>5633</v>
      </c>
      <c r="BT280" t="str">
        <f>HYPERLINK("https%3A%2F%2Fwww.webofscience.com%2Fwos%2Fwoscc%2Ffull-record%2FWOS:001151663000001","View Full Record in Web of Science")</f>
        <v>View Full Record in Web of Science</v>
      </c>
    </row>
    <row r="281" spans="1:72" x14ac:dyDescent="0.2">
      <c r="A281" t="s">
        <v>103</v>
      </c>
      <c r="B281" t="s">
        <v>5634</v>
      </c>
      <c r="C281" t="s">
        <v>74</v>
      </c>
      <c r="D281" t="s">
        <v>74</v>
      </c>
      <c r="E281" t="s">
        <v>74</v>
      </c>
      <c r="F281" t="s">
        <v>5635</v>
      </c>
      <c r="G281" t="s">
        <v>74</v>
      </c>
      <c r="H281" t="s">
        <v>74</v>
      </c>
      <c r="I281" t="s">
        <v>5636</v>
      </c>
      <c r="J281" t="s">
        <v>5637</v>
      </c>
      <c r="K281" t="s">
        <v>74</v>
      </c>
      <c r="L281" t="s">
        <v>74</v>
      </c>
      <c r="M281" t="s">
        <v>79</v>
      </c>
      <c r="N281" t="s">
        <v>108</v>
      </c>
      <c r="O281" t="s">
        <v>74</v>
      </c>
      <c r="P281" t="s">
        <v>74</v>
      </c>
      <c r="Q281" t="s">
        <v>74</v>
      </c>
      <c r="R281" t="s">
        <v>74</v>
      </c>
      <c r="S281" t="s">
        <v>74</v>
      </c>
      <c r="T281" t="s">
        <v>5638</v>
      </c>
      <c r="U281" t="s">
        <v>5639</v>
      </c>
      <c r="V281" t="s">
        <v>5640</v>
      </c>
      <c r="W281" t="s">
        <v>5641</v>
      </c>
      <c r="X281" t="s">
        <v>5642</v>
      </c>
      <c r="Y281" t="s">
        <v>5643</v>
      </c>
      <c r="Z281" t="s">
        <v>74</v>
      </c>
      <c r="AA281" t="s">
        <v>74</v>
      </c>
      <c r="AB281" t="s">
        <v>74</v>
      </c>
      <c r="AC281" t="s">
        <v>74</v>
      </c>
      <c r="AD281" t="s">
        <v>74</v>
      </c>
      <c r="AE281" t="s">
        <v>74</v>
      </c>
      <c r="AF281" t="s">
        <v>74</v>
      </c>
      <c r="AG281">
        <v>31</v>
      </c>
      <c r="AH281">
        <v>0</v>
      </c>
      <c r="AI281">
        <v>0</v>
      </c>
      <c r="AJ281">
        <v>1</v>
      </c>
      <c r="AK281">
        <v>1</v>
      </c>
      <c r="AL281" t="s">
        <v>5644</v>
      </c>
      <c r="AM281" t="s">
        <v>5645</v>
      </c>
      <c r="AN281" t="s">
        <v>5646</v>
      </c>
      <c r="AO281" t="s">
        <v>5647</v>
      </c>
      <c r="AP281" t="s">
        <v>74</v>
      </c>
      <c r="AQ281" t="s">
        <v>74</v>
      </c>
      <c r="AR281" t="s">
        <v>5648</v>
      </c>
      <c r="AS281" t="s">
        <v>5649</v>
      </c>
      <c r="AT281" t="s">
        <v>74</v>
      </c>
      <c r="AU281">
        <v>2023</v>
      </c>
      <c r="AV281">
        <v>15</v>
      </c>
      <c r="AW281">
        <v>4</v>
      </c>
      <c r="AX281" t="s">
        <v>74</v>
      </c>
      <c r="AY281" t="s">
        <v>74</v>
      </c>
      <c r="AZ281" t="s">
        <v>74</v>
      </c>
      <c r="BA281" t="s">
        <v>74</v>
      </c>
      <c r="BB281" t="s">
        <v>74</v>
      </c>
      <c r="BC281" t="s">
        <v>74</v>
      </c>
      <c r="BD281">
        <v>8</v>
      </c>
      <c r="BE281" t="s">
        <v>5650</v>
      </c>
      <c r="BF281" t="str">
        <f>HYPERLINK("http://dx.doi.org/10.21659/rupkatha.v15n4.08","http://dx.doi.org/10.21659/rupkatha.v15n4.08")</f>
        <v>http://dx.doi.org/10.21659/rupkatha.v15n4.08</v>
      </c>
      <c r="BG281" t="s">
        <v>74</v>
      </c>
      <c r="BH281" t="s">
        <v>74</v>
      </c>
      <c r="BI281">
        <v>11</v>
      </c>
      <c r="BJ281" t="s">
        <v>4903</v>
      </c>
      <c r="BK281" t="s">
        <v>352</v>
      </c>
      <c r="BL281" t="s">
        <v>4904</v>
      </c>
      <c r="BM281" t="s">
        <v>5651</v>
      </c>
      <c r="BN281" t="s">
        <v>74</v>
      </c>
      <c r="BO281" t="s">
        <v>425</v>
      </c>
      <c r="BP281" t="s">
        <v>74</v>
      </c>
      <c r="BQ281" t="s">
        <v>74</v>
      </c>
      <c r="BR281" t="s">
        <v>101</v>
      </c>
      <c r="BS281" t="s">
        <v>5652</v>
      </c>
      <c r="BT281" t="str">
        <f>HYPERLINK("https%3A%2F%2Fwww.webofscience.com%2Fwos%2Fwoscc%2Ffull-record%2FWOS:001158277600008","View Full Record in Web of Science")</f>
        <v>View Full Record in Web of Science</v>
      </c>
    </row>
    <row r="282" spans="1:72" x14ac:dyDescent="0.2">
      <c r="A282" t="s">
        <v>103</v>
      </c>
      <c r="B282" t="s">
        <v>5653</v>
      </c>
      <c r="C282" t="s">
        <v>74</v>
      </c>
      <c r="D282" t="s">
        <v>74</v>
      </c>
      <c r="E282" t="s">
        <v>74</v>
      </c>
      <c r="F282" t="s">
        <v>5654</v>
      </c>
      <c r="G282" t="s">
        <v>74</v>
      </c>
      <c r="H282" t="s">
        <v>74</v>
      </c>
      <c r="I282" t="s">
        <v>5655</v>
      </c>
      <c r="J282" t="s">
        <v>3882</v>
      </c>
      <c r="K282" t="s">
        <v>74</v>
      </c>
      <c r="L282" t="s">
        <v>74</v>
      </c>
      <c r="M282" t="s">
        <v>79</v>
      </c>
      <c r="N282" t="s">
        <v>108</v>
      </c>
      <c r="O282" t="s">
        <v>74</v>
      </c>
      <c r="P282" t="s">
        <v>74</v>
      </c>
      <c r="Q282" t="s">
        <v>74</v>
      </c>
      <c r="R282" t="s">
        <v>74</v>
      </c>
      <c r="S282" t="s">
        <v>74</v>
      </c>
      <c r="T282" t="s">
        <v>5656</v>
      </c>
      <c r="U282" t="s">
        <v>5657</v>
      </c>
      <c r="V282" t="s">
        <v>5658</v>
      </c>
      <c r="W282" t="s">
        <v>5659</v>
      </c>
      <c r="X282" t="s">
        <v>5660</v>
      </c>
      <c r="Y282" t="s">
        <v>5661</v>
      </c>
      <c r="Z282" t="s">
        <v>5662</v>
      </c>
      <c r="AA282" t="s">
        <v>5663</v>
      </c>
      <c r="AB282" t="s">
        <v>5664</v>
      </c>
      <c r="AC282" t="s">
        <v>5665</v>
      </c>
      <c r="AD282" t="s">
        <v>5666</v>
      </c>
      <c r="AE282" t="s">
        <v>5667</v>
      </c>
      <c r="AF282" t="s">
        <v>74</v>
      </c>
      <c r="AG282">
        <v>136</v>
      </c>
      <c r="AH282">
        <v>24</v>
      </c>
      <c r="AI282">
        <v>24</v>
      </c>
      <c r="AJ282">
        <v>191</v>
      </c>
      <c r="AK282">
        <v>225</v>
      </c>
      <c r="AL282" t="s">
        <v>3891</v>
      </c>
      <c r="AM282" t="s">
        <v>3892</v>
      </c>
      <c r="AN282" t="s">
        <v>3893</v>
      </c>
      <c r="AO282" t="s">
        <v>3894</v>
      </c>
      <c r="AP282" t="s">
        <v>3895</v>
      </c>
      <c r="AQ282" t="s">
        <v>74</v>
      </c>
      <c r="AR282" t="s">
        <v>3896</v>
      </c>
      <c r="AS282" t="s">
        <v>3897</v>
      </c>
      <c r="AT282" t="s">
        <v>74</v>
      </c>
      <c r="AU282">
        <v>2023</v>
      </c>
      <c r="AV282">
        <v>11</v>
      </c>
      <c r="AW282">
        <v>2</v>
      </c>
      <c r="AX282" t="s">
        <v>74</v>
      </c>
      <c r="AY282" t="s">
        <v>74</v>
      </c>
      <c r="AZ282" t="s">
        <v>74</v>
      </c>
      <c r="BA282" t="s">
        <v>74</v>
      </c>
      <c r="BB282">
        <v>7</v>
      </c>
      <c r="BC282">
        <v>30</v>
      </c>
      <c r="BD282" t="s">
        <v>74</v>
      </c>
      <c r="BE282" t="s">
        <v>5668</v>
      </c>
      <c r="BF282" t="str">
        <f>HYPERLINK("http://dx.doi.org/10.15678/EBER.2023.110201","http://dx.doi.org/10.15678/EBER.2023.110201")</f>
        <v>http://dx.doi.org/10.15678/EBER.2023.110201</v>
      </c>
      <c r="BG282" t="s">
        <v>74</v>
      </c>
      <c r="BH282" t="s">
        <v>74</v>
      </c>
      <c r="BI282">
        <v>24</v>
      </c>
      <c r="BJ282" t="s">
        <v>469</v>
      </c>
      <c r="BK282" t="s">
        <v>352</v>
      </c>
      <c r="BL282" t="s">
        <v>470</v>
      </c>
      <c r="BM282" t="s">
        <v>5669</v>
      </c>
      <c r="BN282" t="s">
        <v>74</v>
      </c>
      <c r="BO282" t="s">
        <v>425</v>
      </c>
      <c r="BP282" t="s">
        <v>74</v>
      </c>
      <c r="BQ282" t="s">
        <v>74</v>
      </c>
      <c r="BR282" t="s">
        <v>101</v>
      </c>
      <c r="BS282" t="s">
        <v>5670</v>
      </c>
      <c r="BT282" t="str">
        <f>HYPERLINK("https%3A%2F%2Fwww.webofscience.com%2Fwos%2Fwoscc%2Ffull-record%2FWOS:001045130500001","View Full Record in Web of Science")</f>
        <v>View Full Record in Web of Science</v>
      </c>
    </row>
    <row r="283" spans="1:72" x14ac:dyDescent="0.2">
      <c r="A283" t="s">
        <v>103</v>
      </c>
      <c r="B283" t="s">
        <v>5671</v>
      </c>
      <c r="C283" t="s">
        <v>74</v>
      </c>
      <c r="D283" t="s">
        <v>74</v>
      </c>
      <c r="E283" t="s">
        <v>74</v>
      </c>
      <c r="F283" t="s">
        <v>5672</v>
      </c>
      <c r="G283" t="s">
        <v>74</v>
      </c>
      <c r="H283" t="s">
        <v>74</v>
      </c>
      <c r="I283" t="s">
        <v>5673</v>
      </c>
      <c r="J283" t="s">
        <v>5674</v>
      </c>
      <c r="K283" t="s">
        <v>74</v>
      </c>
      <c r="L283" t="s">
        <v>74</v>
      </c>
      <c r="M283" t="s">
        <v>79</v>
      </c>
      <c r="N283" t="s">
        <v>108</v>
      </c>
      <c r="O283" t="s">
        <v>74</v>
      </c>
      <c r="P283" t="s">
        <v>74</v>
      </c>
      <c r="Q283" t="s">
        <v>74</v>
      </c>
      <c r="R283" t="s">
        <v>74</v>
      </c>
      <c r="S283" t="s">
        <v>74</v>
      </c>
      <c r="T283" t="s">
        <v>5675</v>
      </c>
      <c r="U283" t="s">
        <v>74</v>
      </c>
      <c r="V283" t="s">
        <v>5676</v>
      </c>
      <c r="W283" t="s">
        <v>5677</v>
      </c>
      <c r="X283" t="s">
        <v>5678</v>
      </c>
      <c r="Y283" t="s">
        <v>5679</v>
      </c>
      <c r="Z283" t="s">
        <v>5680</v>
      </c>
      <c r="AA283" t="s">
        <v>5681</v>
      </c>
      <c r="AB283" t="s">
        <v>5682</v>
      </c>
      <c r="AC283" t="s">
        <v>74</v>
      </c>
      <c r="AD283" t="s">
        <v>74</v>
      </c>
      <c r="AE283" t="s">
        <v>74</v>
      </c>
      <c r="AF283" t="s">
        <v>74</v>
      </c>
      <c r="AG283">
        <v>18</v>
      </c>
      <c r="AH283">
        <v>0</v>
      </c>
      <c r="AI283">
        <v>0</v>
      </c>
      <c r="AJ283">
        <v>7</v>
      </c>
      <c r="AK283">
        <v>7</v>
      </c>
      <c r="AL283" t="s">
        <v>764</v>
      </c>
      <c r="AM283" t="s">
        <v>765</v>
      </c>
      <c r="AN283" t="s">
        <v>766</v>
      </c>
      <c r="AO283" t="s">
        <v>74</v>
      </c>
      <c r="AP283" t="s">
        <v>5683</v>
      </c>
      <c r="AQ283" t="s">
        <v>74</v>
      </c>
      <c r="AR283" t="s">
        <v>5674</v>
      </c>
      <c r="AS283" t="s">
        <v>5684</v>
      </c>
      <c r="AT283" t="s">
        <v>2582</v>
      </c>
      <c r="AU283">
        <v>2024</v>
      </c>
      <c r="AV283">
        <v>12</v>
      </c>
      <c r="AW283" t="s">
        <v>74</v>
      </c>
      <c r="AX283" t="s">
        <v>74</v>
      </c>
      <c r="AY283" t="s">
        <v>74</v>
      </c>
      <c r="AZ283" t="s">
        <v>74</v>
      </c>
      <c r="BA283" t="s">
        <v>74</v>
      </c>
      <c r="BB283" t="s">
        <v>74</v>
      </c>
      <c r="BC283" t="s">
        <v>74</v>
      </c>
      <c r="BD283">
        <v>102531</v>
      </c>
      <c r="BE283" t="s">
        <v>5685</v>
      </c>
      <c r="BF283" t="str">
        <f>HYPERLINK("http://dx.doi.org/10.1016/j.mex.2023.102531","http://dx.doi.org/10.1016/j.mex.2023.102531")</f>
        <v>http://dx.doi.org/10.1016/j.mex.2023.102531</v>
      </c>
      <c r="BG283" t="s">
        <v>74</v>
      </c>
      <c r="BH283" t="s">
        <v>128</v>
      </c>
      <c r="BI283">
        <v>6</v>
      </c>
      <c r="BJ283" t="s">
        <v>5686</v>
      </c>
      <c r="BK283" t="s">
        <v>352</v>
      </c>
      <c r="BL283" t="s">
        <v>5687</v>
      </c>
      <c r="BM283" t="s">
        <v>5688</v>
      </c>
      <c r="BN283">
        <v>38204981</v>
      </c>
      <c r="BO283" t="s">
        <v>74</v>
      </c>
      <c r="BP283" t="s">
        <v>74</v>
      </c>
      <c r="BQ283" t="s">
        <v>74</v>
      </c>
      <c r="BR283" t="s">
        <v>101</v>
      </c>
      <c r="BS283" t="s">
        <v>5689</v>
      </c>
      <c r="BT283" t="str">
        <f>HYPERLINK("https%3A%2F%2Fwww.webofscience.com%2Fwos%2Fwoscc%2Ffull-record%2FWOS:001147864100001","View Full Record in Web of Science")</f>
        <v>View Full Record in Web of Science</v>
      </c>
    </row>
    <row r="284" spans="1:72" x14ac:dyDescent="0.2">
      <c r="A284" t="s">
        <v>103</v>
      </c>
      <c r="B284" t="s">
        <v>5690</v>
      </c>
      <c r="C284" t="s">
        <v>74</v>
      </c>
      <c r="D284" t="s">
        <v>74</v>
      </c>
      <c r="E284" t="s">
        <v>74</v>
      </c>
      <c r="F284" t="s">
        <v>5691</v>
      </c>
      <c r="G284" t="s">
        <v>74</v>
      </c>
      <c r="H284" t="s">
        <v>74</v>
      </c>
      <c r="I284" t="s">
        <v>5692</v>
      </c>
      <c r="J284" t="s">
        <v>5693</v>
      </c>
      <c r="K284" t="s">
        <v>74</v>
      </c>
      <c r="L284" t="s">
        <v>74</v>
      </c>
      <c r="M284" t="s">
        <v>2614</v>
      </c>
      <c r="N284" t="s">
        <v>108</v>
      </c>
      <c r="O284" t="s">
        <v>74</v>
      </c>
      <c r="P284" t="s">
        <v>74</v>
      </c>
      <c r="Q284" t="s">
        <v>74</v>
      </c>
      <c r="R284" t="s">
        <v>74</v>
      </c>
      <c r="S284" t="s">
        <v>74</v>
      </c>
      <c r="T284" t="s">
        <v>5694</v>
      </c>
      <c r="U284" t="s">
        <v>74</v>
      </c>
      <c r="V284" t="s">
        <v>5695</v>
      </c>
      <c r="W284" t="s">
        <v>5696</v>
      </c>
      <c r="X284" t="s">
        <v>5697</v>
      </c>
      <c r="Y284" t="s">
        <v>5698</v>
      </c>
      <c r="Z284" t="s">
        <v>5699</v>
      </c>
      <c r="AA284" t="s">
        <v>74</v>
      </c>
      <c r="AB284" t="s">
        <v>74</v>
      </c>
      <c r="AC284" t="s">
        <v>74</v>
      </c>
      <c r="AD284" t="s">
        <v>74</v>
      </c>
      <c r="AE284" t="s">
        <v>74</v>
      </c>
      <c r="AF284" t="s">
        <v>74</v>
      </c>
      <c r="AG284">
        <v>59</v>
      </c>
      <c r="AH284">
        <v>0</v>
      </c>
      <c r="AI284">
        <v>0</v>
      </c>
      <c r="AJ284">
        <v>21</v>
      </c>
      <c r="AK284">
        <v>21</v>
      </c>
      <c r="AL284" t="s">
        <v>2621</v>
      </c>
      <c r="AM284" t="s">
        <v>2622</v>
      </c>
      <c r="AN284" t="s">
        <v>2623</v>
      </c>
      <c r="AO284" t="s">
        <v>5700</v>
      </c>
      <c r="AP284" t="s">
        <v>5701</v>
      </c>
      <c r="AQ284" t="s">
        <v>74</v>
      </c>
      <c r="AR284" t="s">
        <v>5702</v>
      </c>
      <c r="AS284" t="s">
        <v>5703</v>
      </c>
      <c r="AT284" t="s">
        <v>771</v>
      </c>
      <c r="AU284">
        <v>2023</v>
      </c>
      <c r="AV284">
        <v>36</v>
      </c>
      <c r="AW284">
        <v>3</v>
      </c>
      <c r="AX284" t="s">
        <v>74</v>
      </c>
      <c r="AY284" t="s">
        <v>74</v>
      </c>
      <c r="AZ284" t="s">
        <v>74</v>
      </c>
      <c r="BA284" t="s">
        <v>74</v>
      </c>
      <c r="BB284">
        <v>164</v>
      </c>
      <c r="BC284">
        <v>175</v>
      </c>
      <c r="BD284" t="s">
        <v>74</v>
      </c>
      <c r="BE284" t="s">
        <v>5704</v>
      </c>
      <c r="BF284" t="str">
        <f>HYPERLINK("http://dx.doi.org/10.1055/a-2142-9527","http://dx.doi.org/10.1055/a-2142-9527")</f>
        <v>http://dx.doi.org/10.1055/a-2142-9527</v>
      </c>
      <c r="BG284" t="s">
        <v>74</v>
      </c>
      <c r="BH284" t="s">
        <v>74</v>
      </c>
      <c r="BI284">
        <v>12</v>
      </c>
      <c r="BJ284" t="s">
        <v>5705</v>
      </c>
      <c r="BK284" t="s">
        <v>159</v>
      </c>
      <c r="BL284" t="s">
        <v>5706</v>
      </c>
      <c r="BM284" t="s">
        <v>5707</v>
      </c>
      <c r="BN284" t="s">
        <v>74</v>
      </c>
      <c r="BO284" t="s">
        <v>74</v>
      </c>
      <c r="BP284" t="s">
        <v>74</v>
      </c>
      <c r="BQ284" t="s">
        <v>74</v>
      </c>
      <c r="BR284" t="s">
        <v>101</v>
      </c>
      <c r="BS284" t="s">
        <v>5708</v>
      </c>
      <c r="BT284" t="str">
        <f>HYPERLINK("https%3A%2F%2Fwww.webofscience.com%2Fwos%2Fwoscc%2Ffull-record%2FWOS:001080544000005","View Full Record in Web of Science")</f>
        <v>View Full Record in Web of Science</v>
      </c>
    </row>
    <row r="285" spans="1:72" x14ac:dyDescent="0.2">
      <c r="A285" t="s">
        <v>72</v>
      </c>
      <c r="B285" t="s">
        <v>5709</v>
      </c>
      <c r="C285" t="s">
        <v>74</v>
      </c>
      <c r="D285" t="s">
        <v>5710</v>
      </c>
      <c r="E285" t="s">
        <v>74</v>
      </c>
      <c r="F285" t="s">
        <v>5711</v>
      </c>
      <c r="G285" t="s">
        <v>74</v>
      </c>
      <c r="H285" t="s">
        <v>74</v>
      </c>
      <c r="I285" t="s">
        <v>5712</v>
      </c>
      <c r="J285" t="s">
        <v>5713</v>
      </c>
      <c r="K285" t="s">
        <v>5714</v>
      </c>
      <c r="L285" t="s">
        <v>74</v>
      </c>
      <c r="M285" t="s">
        <v>79</v>
      </c>
      <c r="N285" t="s">
        <v>80</v>
      </c>
      <c r="O285" t="s">
        <v>5715</v>
      </c>
      <c r="P285" t="s">
        <v>5716</v>
      </c>
      <c r="Q285" t="s">
        <v>5717</v>
      </c>
      <c r="R285" t="s">
        <v>5718</v>
      </c>
      <c r="S285" t="s">
        <v>74</v>
      </c>
      <c r="T285" t="s">
        <v>5719</v>
      </c>
      <c r="U285" t="s">
        <v>74</v>
      </c>
      <c r="V285" t="s">
        <v>5720</v>
      </c>
      <c r="W285" t="s">
        <v>5721</v>
      </c>
      <c r="X285" t="s">
        <v>5722</v>
      </c>
      <c r="Y285" t="s">
        <v>5723</v>
      </c>
      <c r="Z285" t="s">
        <v>5724</v>
      </c>
      <c r="AA285" t="s">
        <v>74</v>
      </c>
      <c r="AB285" t="s">
        <v>74</v>
      </c>
      <c r="AC285" t="s">
        <v>74</v>
      </c>
      <c r="AD285" t="s">
        <v>74</v>
      </c>
      <c r="AE285" t="s">
        <v>74</v>
      </c>
      <c r="AF285" t="s">
        <v>74</v>
      </c>
      <c r="AG285">
        <v>12</v>
      </c>
      <c r="AH285">
        <v>0</v>
      </c>
      <c r="AI285">
        <v>0</v>
      </c>
      <c r="AJ285">
        <v>7</v>
      </c>
      <c r="AK285">
        <v>7</v>
      </c>
      <c r="AL285" t="s">
        <v>5725</v>
      </c>
      <c r="AM285" t="s">
        <v>5726</v>
      </c>
      <c r="AN285" t="s">
        <v>5727</v>
      </c>
      <c r="AO285" t="s">
        <v>5728</v>
      </c>
      <c r="AP285" t="s">
        <v>5729</v>
      </c>
      <c r="AQ285" t="s">
        <v>5730</v>
      </c>
      <c r="AR285" t="s">
        <v>5731</v>
      </c>
      <c r="AS285" t="s">
        <v>74</v>
      </c>
      <c r="AT285" t="s">
        <v>74</v>
      </c>
      <c r="AU285">
        <v>2023</v>
      </c>
      <c r="AV285">
        <v>12542</v>
      </c>
      <c r="AW285" t="s">
        <v>74</v>
      </c>
      <c r="AX285" t="s">
        <v>74</v>
      </c>
      <c r="AY285" t="s">
        <v>74</v>
      </c>
      <c r="AZ285" t="s">
        <v>74</v>
      </c>
      <c r="BA285" t="s">
        <v>74</v>
      </c>
      <c r="BB285" t="s">
        <v>74</v>
      </c>
      <c r="BC285" t="s">
        <v>74</v>
      </c>
      <c r="BD285" t="s">
        <v>5732</v>
      </c>
      <c r="BE285" t="s">
        <v>5733</v>
      </c>
      <c r="BF285" t="str">
        <f>HYPERLINK("http://dx.doi.org/10.1117/12.2664116","http://dx.doi.org/10.1117/12.2664116")</f>
        <v>http://dx.doi.org/10.1117/12.2664116</v>
      </c>
      <c r="BG285" t="s">
        <v>74</v>
      </c>
      <c r="BH285" t="s">
        <v>74</v>
      </c>
      <c r="BI285">
        <v>6</v>
      </c>
      <c r="BJ285" t="s">
        <v>5734</v>
      </c>
      <c r="BK285" t="s">
        <v>98</v>
      </c>
      <c r="BL285" t="s">
        <v>99</v>
      </c>
      <c r="BM285" t="s">
        <v>5735</v>
      </c>
      <c r="BN285" t="s">
        <v>74</v>
      </c>
      <c r="BO285" t="s">
        <v>74</v>
      </c>
      <c r="BP285" t="s">
        <v>74</v>
      </c>
      <c r="BQ285" t="s">
        <v>74</v>
      </c>
      <c r="BR285" t="s">
        <v>101</v>
      </c>
      <c r="BS285" t="s">
        <v>5736</v>
      </c>
      <c r="BT285" t="str">
        <f>HYPERLINK("https%3A%2F%2Fwww.webofscience.com%2Fwos%2Fwoscc%2Ffull-record%2FWOS:001043366600012","View Full Record in Web of Science")</f>
        <v>View Full Record in Web of Science</v>
      </c>
    </row>
    <row r="286" spans="1:72" x14ac:dyDescent="0.2">
      <c r="A286" t="s">
        <v>72</v>
      </c>
      <c r="B286" t="s">
        <v>5737</v>
      </c>
      <c r="C286" t="s">
        <v>74</v>
      </c>
      <c r="D286" t="s">
        <v>74</v>
      </c>
      <c r="E286" t="s">
        <v>75</v>
      </c>
      <c r="F286" t="s">
        <v>5738</v>
      </c>
      <c r="G286" t="s">
        <v>74</v>
      </c>
      <c r="H286" t="s">
        <v>74</v>
      </c>
      <c r="I286" t="s">
        <v>5739</v>
      </c>
      <c r="J286" t="s">
        <v>1193</v>
      </c>
      <c r="K286" t="s">
        <v>74</v>
      </c>
      <c r="L286" t="s">
        <v>74</v>
      </c>
      <c r="M286" t="s">
        <v>79</v>
      </c>
      <c r="N286" t="s">
        <v>80</v>
      </c>
      <c r="O286" t="s">
        <v>1194</v>
      </c>
      <c r="P286" t="s">
        <v>1195</v>
      </c>
      <c r="Q286" t="s">
        <v>1196</v>
      </c>
      <c r="R286" t="s">
        <v>1197</v>
      </c>
      <c r="S286" t="s">
        <v>74</v>
      </c>
      <c r="T286" t="s">
        <v>74</v>
      </c>
      <c r="U286" t="s">
        <v>74</v>
      </c>
      <c r="V286" t="s">
        <v>5740</v>
      </c>
      <c r="W286" t="s">
        <v>5741</v>
      </c>
      <c r="X286" t="s">
        <v>5742</v>
      </c>
      <c r="Y286" t="s">
        <v>5743</v>
      </c>
      <c r="Z286" t="s">
        <v>5744</v>
      </c>
      <c r="AA286" t="s">
        <v>74</v>
      </c>
      <c r="AB286" t="s">
        <v>5745</v>
      </c>
      <c r="AC286" t="s">
        <v>74</v>
      </c>
      <c r="AD286" t="s">
        <v>74</v>
      </c>
      <c r="AE286" t="s">
        <v>74</v>
      </c>
      <c r="AF286" t="s">
        <v>74</v>
      </c>
      <c r="AG286">
        <v>138</v>
      </c>
      <c r="AH286">
        <v>1</v>
      </c>
      <c r="AI286">
        <v>1</v>
      </c>
      <c r="AJ286">
        <v>8</v>
      </c>
      <c r="AK286">
        <v>8</v>
      </c>
      <c r="AL286" t="s">
        <v>92</v>
      </c>
      <c r="AM286" t="s">
        <v>93</v>
      </c>
      <c r="AN286" t="s">
        <v>94</v>
      </c>
      <c r="AO286" t="s">
        <v>74</v>
      </c>
      <c r="AP286" t="s">
        <v>74</v>
      </c>
      <c r="AQ286" t="s">
        <v>1209</v>
      </c>
      <c r="AR286" t="s">
        <v>74</v>
      </c>
      <c r="AS286" t="s">
        <v>74</v>
      </c>
      <c r="AT286" t="s">
        <v>74</v>
      </c>
      <c r="AU286">
        <v>2023</v>
      </c>
      <c r="AV286" t="s">
        <v>74</v>
      </c>
      <c r="AW286" t="s">
        <v>74</v>
      </c>
      <c r="AX286" t="s">
        <v>74</v>
      </c>
      <c r="AY286" t="s">
        <v>74</v>
      </c>
      <c r="AZ286" t="s">
        <v>74</v>
      </c>
      <c r="BA286" t="s">
        <v>74</v>
      </c>
      <c r="BB286">
        <v>363</v>
      </c>
      <c r="BC286">
        <v>374</v>
      </c>
      <c r="BD286" t="s">
        <v>74</v>
      </c>
      <c r="BE286" t="s">
        <v>5746</v>
      </c>
      <c r="BF286" t="str">
        <f>HYPERLINK("http://dx.doi.org/10.1145/3600211.3604681","http://dx.doi.org/10.1145/3600211.3604681")</f>
        <v>http://dx.doi.org/10.1145/3600211.3604681</v>
      </c>
      <c r="BG286" t="s">
        <v>74</v>
      </c>
      <c r="BH286" t="s">
        <v>74</v>
      </c>
      <c r="BI286">
        <v>12</v>
      </c>
      <c r="BJ286" t="s">
        <v>1211</v>
      </c>
      <c r="BK286" t="s">
        <v>180</v>
      </c>
      <c r="BL286" t="s">
        <v>1212</v>
      </c>
      <c r="BM286" t="s">
        <v>1213</v>
      </c>
      <c r="BN286" t="s">
        <v>74</v>
      </c>
      <c r="BO286" t="s">
        <v>161</v>
      </c>
      <c r="BP286" t="s">
        <v>74</v>
      </c>
      <c r="BQ286" t="s">
        <v>74</v>
      </c>
      <c r="BR286" t="s">
        <v>101</v>
      </c>
      <c r="BS286" t="s">
        <v>5747</v>
      </c>
      <c r="BT286" t="str">
        <f>HYPERLINK("https%3A%2F%2Fwww.webofscience.com%2Fwos%2Fwoscc%2Ffull-record%2FWOS:001117838100029","View Full Record in Web of Science")</f>
        <v>View Full Record in Web of Science</v>
      </c>
    </row>
    <row r="287" spans="1:72" x14ac:dyDescent="0.2">
      <c r="A287" t="s">
        <v>103</v>
      </c>
      <c r="B287" t="s">
        <v>5748</v>
      </c>
      <c r="C287" t="s">
        <v>74</v>
      </c>
      <c r="D287" t="s">
        <v>74</v>
      </c>
      <c r="E287" t="s">
        <v>74</v>
      </c>
      <c r="F287" t="s">
        <v>5749</v>
      </c>
      <c r="G287" t="s">
        <v>74</v>
      </c>
      <c r="H287" t="s">
        <v>74</v>
      </c>
      <c r="I287" t="s">
        <v>5750</v>
      </c>
      <c r="J287" t="s">
        <v>5751</v>
      </c>
      <c r="K287" t="s">
        <v>74</v>
      </c>
      <c r="L287" t="s">
        <v>74</v>
      </c>
      <c r="M287" t="s">
        <v>79</v>
      </c>
      <c r="N287" t="s">
        <v>108</v>
      </c>
      <c r="O287" t="s">
        <v>74</v>
      </c>
      <c r="P287" t="s">
        <v>74</v>
      </c>
      <c r="Q287" t="s">
        <v>74</v>
      </c>
      <c r="R287" t="s">
        <v>74</v>
      </c>
      <c r="S287" t="s">
        <v>74</v>
      </c>
      <c r="T287" t="s">
        <v>5752</v>
      </c>
      <c r="U287" t="s">
        <v>74</v>
      </c>
      <c r="V287" t="s">
        <v>5753</v>
      </c>
      <c r="W287" t="s">
        <v>5754</v>
      </c>
      <c r="X287" t="s">
        <v>2536</v>
      </c>
      <c r="Y287" t="s">
        <v>5755</v>
      </c>
      <c r="Z287" t="s">
        <v>5756</v>
      </c>
      <c r="AA287" t="s">
        <v>5757</v>
      </c>
      <c r="AB287" t="s">
        <v>5758</v>
      </c>
      <c r="AC287" t="s">
        <v>5759</v>
      </c>
      <c r="AD287" t="s">
        <v>5759</v>
      </c>
      <c r="AE287" t="s">
        <v>5760</v>
      </c>
      <c r="AF287" t="s">
        <v>74</v>
      </c>
      <c r="AG287">
        <v>30</v>
      </c>
      <c r="AH287">
        <v>98</v>
      </c>
      <c r="AI287">
        <v>99</v>
      </c>
      <c r="AJ287">
        <v>922</v>
      </c>
      <c r="AK287">
        <v>1655</v>
      </c>
      <c r="AL287" t="s">
        <v>343</v>
      </c>
      <c r="AM287" t="s">
        <v>521</v>
      </c>
      <c r="AN287" t="s">
        <v>522</v>
      </c>
      <c r="AO287" t="s">
        <v>5761</v>
      </c>
      <c r="AP287" t="s">
        <v>5762</v>
      </c>
      <c r="AQ287" t="s">
        <v>74</v>
      </c>
      <c r="AR287" t="s">
        <v>5763</v>
      </c>
      <c r="AS287" t="s">
        <v>5764</v>
      </c>
      <c r="AT287" t="s">
        <v>2582</v>
      </c>
      <c r="AU287">
        <v>2023</v>
      </c>
      <c r="AV287">
        <v>32</v>
      </c>
      <c r="AW287">
        <v>3</v>
      </c>
      <c r="AX287" t="s">
        <v>74</v>
      </c>
      <c r="AY287" t="s">
        <v>74</v>
      </c>
      <c r="AZ287" t="s">
        <v>74</v>
      </c>
      <c r="BA287" t="s">
        <v>74</v>
      </c>
      <c r="BB287">
        <v>444</v>
      </c>
      <c r="BC287">
        <v>452</v>
      </c>
      <c r="BD287" t="s">
        <v>74</v>
      </c>
      <c r="BE287" t="s">
        <v>5765</v>
      </c>
      <c r="BF287" t="str">
        <f>HYPERLINK("http://dx.doi.org/10.1007/s10956-023-10039-y","http://dx.doi.org/10.1007/s10956-023-10039-y")</f>
        <v>http://dx.doi.org/10.1007/s10956-023-10039-y</v>
      </c>
      <c r="BG287" t="s">
        <v>74</v>
      </c>
      <c r="BH287" t="s">
        <v>1431</v>
      </c>
      <c r="BI287">
        <v>9</v>
      </c>
      <c r="BJ287" t="s">
        <v>5766</v>
      </c>
      <c r="BK287" t="s">
        <v>947</v>
      </c>
      <c r="BL287" t="s">
        <v>423</v>
      </c>
      <c r="BM287" t="s">
        <v>5767</v>
      </c>
      <c r="BN287" t="s">
        <v>74</v>
      </c>
      <c r="BO287" t="s">
        <v>161</v>
      </c>
      <c r="BP287" t="s">
        <v>1434</v>
      </c>
      <c r="BQ287" t="s">
        <v>1434</v>
      </c>
      <c r="BR287" t="s">
        <v>101</v>
      </c>
      <c r="BS287" t="s">
        <v>5768</v>
      </c>
      <c r="BT287" t="str">
        <f>HYPERLINK("https%3A%2F%2Fwww.webofscience.com%2Fwos%2Fwoscc%2Ffull-record%2FWOS:000954738400001","View Full Record in Web of Science")</f>
        <v>View Full Record in Web of Science</v>
      </c>
    </row>
    <row r="288" spans="1:72" x14ac:dyDescent="0.2">
      <c r="A288" t="s">
        <v>103</v>
      </c>
      <c r="B288" t="s">
        <v>5769</v>
      </c>
      <c r="C288" t="s">
        <v>74</v>
      </c>
      <c r="D288" t="s">
        <v>74</v>
      </c>
      <c r="E288" t="s">
        <v>74</v>
      </c>
      <c r="F288" t="s">
        <v>5770</v>
      </c>
      <c r="G288" t="s">
        <v>74</v>
      </c>
      <c r="H288" t="s">
        <v>74</v>
      </c>
      <c r="I288" t="s">
        <v>5771</v>
      </c>
      <c r="J288" t="s">
        <v>5772</v>
      </c>
      <c r="K288" t="s">
        <v>74</v>
      </c>
      <c r="L288" t="s">
        <v>74</v>
      </c>
      <c r="M288" t="s">
        <v>79</v>
      </c>
      <c r="N288" t="s">
        <v>108</v>
      </c>
      <c r="O288" t="s">
        <v>74</v>
      </c>
      <c r="P288" t="s">
        <v>74</v>
      </c>
      <c r="Q288" t="s">
        <v>74</v>
      </c>
      <c r="R288" t="s">
        <v>74</v>
      </c>
      <c r="S288" t="s">
        <v>74</v>
      </c>
      <c r="T288" t="s">
        <v>5773</v>
      </c>
      <c r="U288" t="s">
        <v>74</v>
      </c>
      <c r="V288" t="s">
        <v>5774</v>
      </c>
      <c r="W288" t="s">
        <v>5775</v>
      </c>
      <c r="X288" t="s">
        <v>5776</v>
      </c>
      <c r="Y288" t="s">
        <v>5777</v>
      </c>
      <c r="Z288" t="s">
        <v>5778</v>
      </c>
      <c r="AA288" t="s">
        <v>5779</v>
      </c>
      <c r="AB288" t="s">
        <v>5780</v>
      </c>
      <c r="AC288" t="s">
        <v>74</v>
      </c>
      <c r="AD288" t="s">
        <v>74</v>
      </c>
      <c r="AE288" t="s">
        <v>74</v>
      </c>
      <c r="AF288" t="s">
        <v>74</v>
      </c>
      <c r="AG288">
        <v>68</v>
      </c>
      <c r="AH288">
        <v>5</v>
      </c>
      <c r="AI288">
        <v>5</v>
      </c>
      <c r="AJ288">
        <v>37</v>
      </c>
      <c r="AK288">
        <v>76</v>
      </c>
      <c r="AL288" t="s">
        <v>5781</v>
      </c>
      <c r="AM288" t="s">
        <v>5782</v>
      </c>
      <c r="AN288" t="s">
        <v>5783</v>
      </c>
      <c r="AO288" t="s">
        <v>5784</v>
      </c>
      <c r="AP288" t="s">
        <v>74</v>
      </c>
      <c r="AQ288" t="s">
        <v>74</v>
      </c>
      <c r="AR288" t="s">
        <v>5785</v>
      </c>
      <c r="AS288" t="s">
        <v>5786</v>
      </c>
      <c r="AT288" t="s">
        <v>74</v>
      </c>
      <c r="AU288">
        <v>2023</v>
      </c>
      <c r="AV288">
        <v>22</v>
      </c>
      <c r="AW288">
        <v>2</v>
      </c>
      <c r="AX288" t="s">
        <v>74</v>
      </c>
      <c r="AY288" t="s">
        <v>74</v>
      </c>
      <c r="AZ288" t="s">
        <v>74</v>
      </c>
      <c r="BA288" t="s">
        <v>74</v>
      </c>
      <c r="BB288" t="s">
        <v>74</v>
      </c>
      <c r="BC288" t="s">
        <v>74</v>
      </c>
      <c r="BD288">
        <v>22020402</v>
      </c>
      <c r="BE288" t="s">
        <v>5787</v>
      </c>
      <c r="BF288" t="str">
        <f>HYPERLINK("http://dx.doi.org/10.22323/2.22020402","http://dx.doi.org/10.22323/2.22020402")</f>
        <v>http://dx.doi.org/10.22323/2.22020402</v>
      </c>
      <c r="BG288" t="s">
        <v>74</v>
      </c>
      <c r="BH288" t="s">
        <v>74</v>
      </c>
      <c r="BI288">
        <v>15</v>
      </c>
      <c r="BJ288" t="s">
        <v>158</v>
      </c>
      <c r="BK288" t="s">
        <v>352</v>
      </c>
      <c r="BL288" t="s">
        <v>158</v>
      </c>
      <c r="BM288" t="s">
        <v>5788</v>
      </c>
      <c r="BN288" t="s">
        <v>74</v>
      </c>
      <c r="BO288" t="s">
        <v>425</v>
      </c>
      <c r="BP288" t="s">
        <v>74</v>
      </c>
      <c r="BQ288" t="s">
        <v>74</v>
      </c>
      <c r="BR288" t="s">
        <v>101</v>
      </c>
      <c r="BS288" t="s">
        <v>5789</v>
      </c>
      <c r="BT288" t="str">
        <f>HYPERLINK("https%3A%2F%2Fwww.webofscience.com%2Fwos%2Fwoscc%2Ffull-record%2FWOS:000985984200001","View Full Record in Web of Science")</f>
        <v>View Full Record in Web of Science</v>
      </c>
    </row>
    <row r="289" spans="1:72" x14ac:dyDescent="0.2">
      <c r="A289" t="s">
        <v>103</v>
      </c>
      <c r="B289" t="s">
        <v>5790</v>
      </c>
      <c r="C289" t="s">
        <v>74</v>
      </c>
      <c r="D289" t="s">
        <v>74</v>
      </c>
      <c r="E289" t="s">
        <v>74</v>
      </c>
      <c r="F289" t="s">
        <v>5791</v>
      </c>
      <c r="G289" t="s">
        <v>74</v>
      </c>
      <c r="H289" t="s">
        <v>74</v>
      </c>
      <c r="I289" t="s">
        <v>5792</v>
      </c>
      <c r="J289" t="s">
        <v>262</v>
      </c>
      <c r="K289" t="s">
        <v>74</v>
      </c>
      <c r="L289" t="s">
        <v>74</v>
      </c>
      <c r="M289" t="s">
        <v>79</v>
      </c>
      <c r="N289" t="s">
        <v>108</v>
      </c>
      <c r="O289" t="s">
        <v>74</v>
      </c>
      <c r="P289" t="s">
        <v>74</v>
      </c>
      <c r="Q289" t="s">
        <v>74</v>
      </c>
      <c r="R289" t="s">
        <v>74</v>
      </c>
      <c r="S289" t="s">
        <v>74</v>
      </c>
      <c r="T289" t="s">
        <v>5793</v>
      </c>
      <c r="U289" t="s">
        <v>5794</v>
      </c>
      <c r="V289" t="s">
        <v>5795</v>
      </c>
      <c r="W289" t="s">
        <v>5796</v>
      </c>
      <c r="X289" t="s">
        <v>5797</v>
      </c>
      <c r="Y289" t="s">
        <v>5798</v>
      </c>
      <c r="Z289" t="s">
        <v>5799</v>
      </c>
      <c r="AA289" t="s">
        <v>74</v>
      </c>
      <c r="AB289" t="s">
        <v>5800</v>
      </c>
      <c r="AC289" t="s">
        <v>74</v>
      </c>
      <c r="AD289" t="s">
        <v>74</v>
      </c>
      <c r="AE289" t="s">
        <v>74</v>
      </c>
      <c r="AF289" t="s">
        <v>74</v>
      </c>
      <c r="AG289">
        <v>71</v>
      </c>
      <c r="AH289">
        <v>1</v>
      </c>
      <c r="AI289">
        <v>1</v>
      </c>
      <c r="AJ289">
        <v>101</v>
      </c>
      <c r="AK289">
        <v>101</v>
      </c>
      <c r="AL289" t="s">
        <v>270</v>
      </c>
      <c r="AM289" t="s">
        <v>1424</v>
      </c>
      <c r="AN289" t="s">
        <v>1425</v>
      </c>
      <c r="AO289" t="s">
        <v>272</v>
      </c>
      <c r="AP289" t="s">
        <v>273</v>
      </c>
      <c r="AQ289" t="s">
        <v>74</v>
      </c>
      <c r="AR289" t="s">
        <v>274</v>
      </c>
      <c r="AS289" t="s">
        <v>275</v>
      </c>
      <c r="AT289" t="s">
        <v>276</v>
      </c>
      <c r="AU289">
        <v>2023</v>
      </c>
      <c r="AV289">
        <v>75</v>
      </c>
      <c r="AW289" t="s">
        <v>74</v>
      </c>
      <c r="AX289" t="s">
        <v>74</v>
      </c>
      <c r="AY289" t="s">
        <v>74</v>
      </c>
      <c r="AZ289" t="s">
        <v>74</v>
      </c>
      <c r="BA289" t="s">
        <v>74</v>
      </c>
      <c r="BB289" t="s">
        <v>74</v>
      </c>
      <c r="BC289" t="s">
        <v>74</v>
      </c>
      <c r="BD289">
        <v>102403</v>
      </c>
      <c r="BE289" t="s">
        <v>5801</v>
      </c>
      <c r="BF289" t="str">
        <f>HYPERLINK("http://dx.doi.org/10.1016/j.techsoc.2023.102403","http://dx.doi.org/10.1016/j.techsoc.2023.102403")</f>
        <v>http://dx.doi.org/10.1016/j.techsoc.2023.102403</v>
      </c>
      <c r="BG289" t="s">
        <v>74</v>
      </c>
      <c r="BH289" t="s">
        <v>1886</v>
      </c>
      <c r="BI289">
        <v>12</v>
      </c>
      <c r="BJ289" t="s">
        <v>279</v>
      </c>
      <c r="BK289" t="s">
        <v>159</v>
      </c>
      <c r="BL289" t="s">
        <v>280</v>
      </c>
      <c r="BM289" t="s">
        <v>5802</v>
      </c>
      <c r="BN289" t="s">
        <v>74</v>
      </c>
      <c r="BO289" t="s">
        <v>74</v>
      </c>
      <c r="BP289" t="s">
        <v>74</v>
      </c>
      <c r="BQ289" t="s">
        <v>74</v>
      </c>
      <c r="BR289" t="s">
        <v>101</v>
      </c>
      <c r="BS289" t="s">
        <v>5803</v>
      </c>
      <c r="BT289" t="str">
        <f>HYPERLINK("https%3A%2F%2Fwww.webofscience.com%2Fwos%2Fwoscc%2Ffull-record%2FWOS:001100405800001","View Full Record in Web of Science")</f>
        <v>View Full Record in Web of Science</v>
      </c>
    </row>
    <row r="290" spans="1:72" x14ac:dyDescent="0.2">
      <c r="A290" t="s">
        <v>103</v>
      </c>
      <c r="B290" t="s">
        <v>5804</v>
      </c>
      <c r="C290" t="s">
        <v>74</v>
      </c>
      <c r="D290" t="s">
        <v>74</v>
      </c>
      <c r="E290" t="s">
        <v>74</v>
      </c>
      <c r="F290" t="s">
        <v>5805</v>
      </c>
      <c r="G290" t="s">
        <v>74</v>
      </c>
      <c r="H290" t="s">
        <v>74</v>
      </c>
      <c r="I290" t="s">
        <v>5806</v>
      </c>
      <c r="J290" t="s">
        <v>5807</v>
      </c>
      <c r="K290" t="s">
        <v>74</v>
      </c>
      <c r="L290" t="s">
        <v>74</v>
      </c>
      <c r="M290" t="s">
        <v>79</v>
      </c>
      <c r="N290" t="s">
        <v>108</v>
      </c>
      <c r="O290" t="s">
        <v>74</v>
      </c>
      <c r="P290" t="s">
        <v>74</v>
      </c>
      <c r="Q290" t="s">
        <v>74</v>
      </c>
      <c r="R290" t="s">
        <v>74</v>
      </c>
      <c r="S290" t="s">
        <v>74</v>
      </c>
      <c r="T290" t="s">
        <v>5808</v>
      </c>
      <c r="U290" t="s">
        <v>74</v>
      </c>
      <c r="V290" t="s">
        <v>5809</v>
      </c>
      <c r="W290" t="s">
        <v>5810</v>
      </c>
      <c r="X290" t="s">
        <v>5811</v>
      </c>
      <c r="Y290" t="s">
        <v>5812</v>
      </c>
      <c r="Z290" t="s">
        <v>5813</v>
      </c>
      <c r="AA290" t="s">
        <v>5814</v>
      </c>
      <c r="AB290" t="s">
        <v>5815</v>
      </c>
      <c r="AC290" t="s">
        <v>74</v>
      </c>
      <c r="AD290" t="s">
        <v>74</v>
      </c>
      <c r="AE290" t="s">
        <v>74</v>
      </c>
      <c r="AF290" t="s">
        <v>74</v>
      </c>
      <c r="AG290">
        <v>15</v>
      </c>
      <c r="AH290">
        <v>1</v>
      </c>
      <c r="AI290">
        <v>1</v>
      </c>
      <c r="AJ290">
        <v>24</v>
      </c>
      <c r="AK290">
        <v>24</v>
      </c>
      <c r="AL290" t="s">
        <v>4176</v>
      </c>
      <c r="AM290" t="s">
        <v>4177</v>
      </c>
      <c r="AN290" t="s">
        <v>4178</v>
      </c>
      <c r="AO290" t="s">
        <v>5816</v>
      </c>
      <c r="AP290" t="s">
        <v>74</v>
      </c>
      <c r="AQ290" t="s">
        <v>74</v>
      </c>
      <c r="AR290" t="s">
        <v>5817</v>
      </c>
      <c r="AS290" t="s">
        <v>5818</v>
      </c>
      <c r="AT290" t="s">
        <v>74</v>
      </c>
      <c r="AU290">
        <v>2023</v>
      </c>
      <c r="AV290">
        <v>10</v>
      </c>
      <c r="AW290" t="s">
        <v>74</v>
      </c>
      <c r="AX290" t="s">
        <v>74</v>
      </c>
      <c r="AY290" t="s">
        <v>74</v>
      </c>
      <c r="AZ290" t="s">
        <v>74</v>
      </c>
      <c r="BA290" t="s">
        <v>74</v>
      </c>
      <c r="BB290" t="s">
        <v>74</v>
      </c>
      <c r="BC290" t="s">
        <v>74</v>
      </c>
      <c r="BD290" t="s">
        <v>5819</v>
      </c>
      <c r="BE290" t="s">
        <v>5820</v>
      </c>
      <c r="BF290" t="str">
        <f>HYPERLINK("http://dx.doi.org/10.2196/49936","http://dx.doi.org/10.2196/49936")</f>
        <v>http://dx.doi.org/10.2196/49936</v>
      </c>
      <c r="BG290" t="s">
        <v>74</v>
      </c>
      <c r="BH290" t="s">
        <v>74</v>
      </c>
      <c r="BI290">
        <v>4</v>
      </c>
      <c r="BJ290" t="s">
        <v>5821</v>
      </c>
      <c r="BK290" t="s">
        <v>130</v>
      </c>
      <c r="BL290" t="s">
        <v>5821</v>
      </c>
      <c r="BM290" t="s">
        <v>5822</v>
      </c>
      <c r="BN290">
        <v>37971803</v>
      </c>
      <c r="BO290" t="s">
        <v>1728</v>
      </c>
      <c r="BP290" t="s">
        <v>74</v>
      </c>
      <c r="BQ290" t="s">
        <v>74</v>
      </c>
      <c r="BR290" t="s">
        <v>101</v>
      </c>
      <c r="BS290" t="s">
        <v>5823</v>
      </c>
      <c r="BT290" t="str">
        <f>HYPERLINK("https%3A%2F%2Fwww.webofscience.com%2Fwos%2Fwoscc%2Ffull-record%2FWOS:001114771900001","View Full Record in Web of Science")</f>
        <v>View Full Record in Web of Science</v>
      </c>
    </row>
    <row r="291" spans="1:72" x14ac:dyDescent="0.2">
      <c r="A291" t="s">
        <v>72</v>
      </c>
      <c r="B291" t="s">
        <v>5824</v>
      </c>
      <c r="C291" t="s">
        <v>74</v>
      </c>
      <c r="D291" t="s">
        <v>308</v>
      </c>
      <c r="E291" t="s">
        <v>74</v>
      </c>
      <c r="F291" t="s">
        <v>5825</v>
      </c>
      <c r="G291" t="s">
        <v>74</v>
      </c>
      <c r="H291" t="s">
        <v>74</v>
      </c>
      <c r="I291" t="s">
        <v>5826</v>
      </c>
      <c r="J291" t="s">
        <v>311</v>
      </c>
      <c r="K291" t="s">
        <v>312</v>
      </c>
      <c r="L291" t="s">
        <v>74</v>
      </c>
      <c r="M291" t="s">
        <v>79</v>
      </c>
      <c r="N291" t="s">
        <v>80</v>
      </c>
      <c r="O291" t="s">
        <v>313</v>
      </c>
      <c r="P291" t="s">
        <v>314</v>
      </c>
      <c r="Q291" t="s">
        <v>315</v>
      </c>
      <c r="R291" t="s">
        <v>74</v>
      </c>
      <c r="S291" t="s">
        <v>74</v>
      </c>
      <c r="T291" t="s">
        <v>5827</v>
      </c>
      <c r="U291" t="s">
        <v>74</v>
      </c>
      <c r="V291" t="s">
        <v>5828</v>
      </c>
      <c r="W291" t="s">
        <v>5829</v>
      </c>
      <c r="X291" t="s">
        <v>5830</v>
      </c>
      <c r="Y291" t="s">
        <v>5831</v>
      </c>
      <c r="Z291" t="s">
        <v>5832</v>
      </c>
      <c r="AA291" t="s">
        <v>74</v>
      </c>
      <c r="AB291" t="s">
        <v>74</v>
      </c>
      <c r="AC291" t="s">
        <v>74</v>
      </c>
      <c r="AD291" t="s">
        <v>74</v>
      </c>
      <c r="AE291" t="s">
        <v>74</v>
      </c>
      <c r="AF291" t="s">
        <v>74</v>
      </c>
      <c r="AG291">
        <v>36</v>
      </c>
      <c r="AH291">
        <v>0</v>
      </c>
      <c r="AI291">
        <v>0</v>
      </c>
      <c r="AJ291">
        <v>3</v>
      </c>
      <c r="AK291">
        <v>3</v>
      </c>
      <c r="AL291" t="s">
        <v>325</v>
      </c>
      <c r="AM291" t="s">
        <v>245</v>
      </c>
      <c r="AN291" t="s">
        <v>246</v>
      </c>
      <c r="AO291" t="s">
        <v>326</v>
      </c>
      <c r="AP291" t="s">
        <v>327</v>
      </c>
      <c r="AQ291" t="s">
        <v>328</v>
      </c>
      <c r="AR291" t="s">
        <v>329</v>
      </c>
      <c r="AS291" t="s">
        <v>74</v>
      </c>
      <c r="AT291" t="s">
        <v>74</v>
      </c>
      <c r="AU291">
        <v>2023</v>
      </c>
      <c r="AV291">
        <v>14059</v>
      </c>
      <c r="AW291" t="s">
        <v>74</v>
      </c>
      <c r="AX291" t="s">
        <v>74</v>
      </c>
      <c r="AY291" t="s">
        <v>74</v>
      </c>
      <c r="AZ291" t="s">
        <v>74</v>
      </c>
      <c r="BA291" t="s">
        <v>74</v>
      </c>
      <c r="BB291">
        <v>39</v>
      </c>
      <c r="BC291">
        <v>57</v>
      </c>
      <c r="BD291" t="s">
        <v>74</v>
      </c>
      <c r="BE291" t="s">
        <v>5833</v>
      </c>
      <c r="BF291" t="str">
        <f>HYPERLINK("http://dx.doi.org/10.1007/978-3-031-48057-7_3","http://dx.doi.org/10.1007/978-3-031-48057-7_3")</f>
        <v>http://dx.doi.org/10.1007/978-3-031-48057-7_3</v>
      </c>
      <c r="BG291" t="s">
        <v>74</v>
      </c>
      <c r="BH291" t="s">
        <v>74</v>
      </c>
      <c r="BI291">
        <v>19</v>
      </c>
      <c r="BJ291" t="s">
        <v>331</v>
      </c>
      <c r="BK291" t="s">
        <v>98</v>
      </c>
      <c r="BL291" t="s">
        <v>99</v>
      </c>
      <c r="BM291" t="s">
        <v>332</v>
      </c>
      <c r="BN291" t="s">
        <v>74</v>
      </c>
      <c r="BO291" t="s">
        <v>74</v>
      </c>
      <c r="BP291" t="s">
        <v>74</v>
      </c>
      <c r="BQ291" t="s">
        <v>74</v>
      </c>
      <c r="BR291" t="s">
        <v>101</v>
      </c>
      <c r="BS291" t="s">
        <v>5834</v>
      </c>
      <c r="BT291" t="str">
        <f>HYPERLINK("https%3A%2F%2Fwww.webofscience.com%2Fwos%2Fwoscc%2Ffull-record%2FWOS:001159622900003","View Full Record in Web of Science")</f>
        <v>View Full Record in Web of Science</v>
      </c>
    </row>
    <row r="292" spans="1:72" x14ac:dyDescent="0.2">
      <c r="A292" t="s">
        <v>103</v>
      </c>
      <c r="B292" t="s">
        <v>5835</v>
      </c>
      <c r="C292" t="s">
        <v>74</v>
      </c>
      <c r="D292" t="s">
        <v>74</v>
      </c>
      <c r="E292" t="s">
        <v>74</v>
      </c>
      <c r="F292" t="s">
        <v>5836</v>
      </c>
      <c r="G292" t="s">
        <v>74</v>
      </c>
      <c r="H292" t="s">
        <v>74</v>
      </c>
      <c r="I292" t="s">
        <v>5837</v>
      </c>
      <c r="J292" t="s">
        <v>5838</v>
      </c>
      <c r="K292" t="s">
        <v>74</v>
      </c>
      <c r="L292" t="s">
        <v>74</v>
      </c>
      <c r="M292" t="s">
        <v>79</v>
      </c>
      <c r="N292" t="s">
        <v>108</v>
      </c>
      <c r="O292" t="s">
        <v>74</v>
      </c>
      <c r="P292" t="s">
        <v>74</v>
      </c>
      <c r="Q292" t="s">
        <v>74</v>
      </c>
      <c r="R292" t="s">
        <v>74</v>
      </c>
      <c r="S292" t="s">
        <v>74</v>
      </c>
      <c r="T292" t="s">
        <v>5839</v>
      </c>
      <c r="U292" t="s">
        <v>5840</v>
      </c>
      <c r="V292" t="s">
        <v>5841</v>
      </c>
      <c r="W292" t="s">
        <v>5842</v>
      </c>
      <c r="X292" t="s">
        <v>5843</v>
      </c>
      <c r="Y292" t="s">
        <v>5844</v>
      </c>
      <c r="Z292" t="s">
        <v>5845</v>
      </c>
      <c r="AA292" t="s">
        <v>5846</v>
      </c>
      <c r="AB292" t="s">
        <v>5847</v>
      </c>
      <c r="AC292" t="s">
        <v>5848</v>
      </c>
      <c r="AD292" t="s">
        <v>5849</v>
      </c>
      <c r="AE292" t="s">
        <v>5850</v>
      </c>
      <c r="AF292" t="s">
        <v>74</v>
      </c>
      <c r="AG292">
        <v>75</v>
      </c>
      <c r="AH292">
        <v>0</v>
      </c>
      <c r="AI292">
        <v>0</v>
      </c>
      <c r="AJ292">
        <v>5</v>
      </c>
      <c r="AK292">
        <v>8</v>
      </c>
      <c r="AL292" t="s">
        <v>5851</v>
      </c>
      <c r="AM292" t="s">
        <v>221</v>
      </c>
      <c r="AN292" t="s">
        <v>5852</v>
      </c>
      <c r="AO292" t="s">
        <v>74</v>
      </c>
      <c r="AP292" t="s">
        <v>5853</v>
      </c>
      <c r="AQ292" t="s">
        <v>74</v>
      </c>
      <c r="AR292" t="s">
        <v>5854</v>
      </c>
      <c r="AS292" t="s">
        <v>5855</v>
      </c>
      <c r="AT292" t="s">
        <v>74</v>
      </c>
      <c r="AU292">
        <v>2023</v>
      </c>
      <c r="AV292">
        <v>5</v>
      </c>
      <c r="AW292">
        <v>1</v>
      </c>
      <c r="AX292" t="s">
        <v>74</v>
      </c>
      <c r="AY292" t="s">
        <v>74</v>
      </c>
      <c r="AZ292" t="s">
        <v>74</v>
      </c>
      <c r="BA292" t="s">
        <v>74</v>
      </c>
      <c r="BB292">
        <v>122</v>
      </c>
      <c r="BC292">
        <v>146</v>
      </c>
      <c r="BD292" t="s">
        <v>74</v>
      </c>
      <c r="BE292" t="s">
        <v>5856</v>
      </c>
      <c r="BF292" t="str">
        <f>HYPERLINK("http://dx.doi.org/10.1137/21M1445831","http://dx.doi.org/10.1137/21M1445831")</f>
        <v>http://dx.doi.org/10.1137/21M1445831</v>
      </c>
      <c r="BG292" t="s">
        <v>74</v>
      </c>
      <c r="BH292" t="s">
        <v>74</v>
      </c>
      <c r="BI292">
        <v>25</v>
      </c>
      <c r="BJ292" t="s">
        <v>5857</v>
      </c>
      <c r="BK292" t="s">
        <v>130</v>
      </c>
      <c r="BL292" t="s">
        <v>5858</v>
      </c>
      <c r="BM292" t="s">
        <v>5859</v>
      </c>
      <c r="BN292" t="s">
        <v>74</v>
      </c>
      <c r="BO292" t="s">
        <v>1071</v>
      </c>
      <c r="BP292" t="s">
        <v>74</v>
      </c>
      <c r="BQ292" t="s">
        <v>74</v>
      </c>
      <c r="BR292" t="s">
        <v>101</v>
      </c>
      <c r="BS292" t="s">
        <v>5860</v>
      </c>
      <c r="BT292" t="str">
        <f>HYPERLINK("https%3A%2F%2Fwww.webofscience.com%2Fwos%2Fwoscc%2Ffull-record%2FWOS:000990553700002","View Full Record in Web of Science")</f>
        <v>View Full Record in Web of Science</v>
      </c>
    </row>
    <row r="293" spans="1:72" x14ac:dyDescent="0.2">
      <c r="A293" t="s">
        <v>103</v>
      </c>
      <c r="B293" t="s">
        <v>5861</v>
      </c>
      <c r="C293" t="s">
        <v>74</v>
      </c>
      <c r="D293" t="s">
        <v>74</v>
      </c>
      <c r="E293" t="s">
        <v>74</v>
      </c>
      <c r="F293" t="s">
        <v>5862</v>
      </c>
      <c r="G293" t="s">
        <v>74</v>
      </c>
      <c r="H293" t="s">
        <v>74</v>
      </c>
      <c r="I293" t="s">
        <v>5863</v>
      </c>
      <c r="J293" t="s">
        <v>5864</v>
      </c>
      <c r="K293" t="s">
        <v>74</v>
      </c>
      <c r="L293" t="s">
        <v>74</v>
      </c>
      <c r="M293" t="s">
        <v>79</v>
      </c>
      <c r="N293" t="s">
        <v>108</v>
      </c>
      <c r="O293" t="s">
        <v>74</v>
      </c>
      <c r="P293" t="s">
        <v>74</v>
      </c>
      <c r="Q293" t="s">
        <v>74</v>
      </c>
      <c r="R293" t="s">
        <v>74</v>
      </c>
      <c r="S293" t="s">
        <v>74</v>
      </c>
      <c r="T293" t="s">
        <v>5865</v>
      </c>
      <c r="U293" t="s">
        <v>5866</v>
      </c>
      <c r="V293" t="s">
        <v>5867</v>
      </c>
      <c r="W293" t="s">
        <v>5868</v>
      </c>
      <c r="X293" t="s">
        <v>5869</v>
      </c>
      <c r="Y293" t="s">
        <v>5870</v>
      </c>
      <c r="Z293" t="s">
        <v>5871</v>
      </c>
      <c r="AA293" t="s">
        <v>5872</v>
      </c>
      <c r="AB293" t="s">
        <v>5873</v>
      </c>
      <c r="AC293" t="s">
        <v>5874</v>
      </c>
      <c r="AD293" t="s">
        <v>5875</v>
      </c>
      <c r="AE293" t="s">
        <v>5876</v>
      </c>
      <c r="AF293" t="s">
        <v>74</v>
      </c>
      <c r="AG293">
        <v>41</v>
      </c>
      <c r="AH293">
        <v>0</v>
      </c>
      <c r="AI293">
        <v>0</v>
      </c>
      <c r="AJ293">
        <v>5</v>
      </c>
      <c r="AK293">
        <v>6</v>
      </c>
      <c r="AL293" t="s">
        <v>343</v>
      </c>
      <c r="AM293" t="s">
        <v>521</v>
      </c>
      <c r="AN293" t="s">
        <v>522</v>
      </c>
      <c r="AO293" t="s">
        <v>5877</v>
      </c>
      <c r="AP293" t="s">
        <v>5878</v>
      </c>
      <c r="AQ293" t="s">
        <v>74</v>
      </c>
      <c r="AR293" t="s">
        <v>5879</v>
      </c>
      <c r="AS293" t="s">
        <v>5880</v>
      </c>
      <c r="AT293" t="s">
        <v>771</v>
      </c>
      <c r="AU293">
        <v>2023</v>
      </c>
      <c r="AV293">
        <v>53</v>
      </c>
      <c r="AW293">
        <v>18</v>
      </c>
      <c r="AX293" t="s">
        <v>74</v>
      </c>
      <c r="AY293" t="s">
        <v>74</v>
      </c>
      <c r="AZ293" t="s">
        <v>74</v>
      </c>
      <c r="BA293" t="s">
        <v>74</v>
      </c>
      <c r="BB293">
        <v>20675</v>
      </c>
      <c r="BC293">
        <v>20689</v>
      </c>
      <c r="BD293" t="s">
        <v>74</v>
      </c>
      <c r="BE293" t="s">
        <v>5881</v>
      </c>
      <c r="BF293" t="str">
        <f>HYPERLINK("http://dx.doi.org/10.1007/s10489-023-04578-5","http://dx.doi.org/10.1007/s10489-023-04578-5")</f>
        <v>http://dx.doi.org/10.1007/s10489-023-04578-5</v>
      </c>
      <c r="BG293" t="s">
        <v>74</v>
      </c>
      <c r="BH293" t="s">
        <v>793</v>
      </c>
      <c r="BI293">
        <v>15</v>
      </c>
      <c r="BJ293" t="s">
        <v>304</v>
      </c>
      <c r="BK293" t="s">
        <v>130</v>
      </c>
      <c r="BL293" t="s">
        <v>99</v>
      </c>
      <c r="BM293" t="s">
        <v>5882</v>
      </c>
      <c r="BN293" t="s">
        <v>74</v>
      </c>
      <c r="BO293" t="s">
        <v>74</v>
      </c>
      <c r="BP293" t="s">
        <v>74</v>
      </c>
      <c r="BQ293" t="s">
        <v>74</v>
      </c>
      <c r="BR293" t="s">
        <v>101</v>
      </c>
      <c r="BS293" t="s">
        <v>5883</v>
      </c>
      <c r="BT293" t="str">
        <f>HYPERLINK("https%3A%2F%2Fwww.webofscience.com%2Fwos%2Fwoscc%2Ffull-record%2FWOS:000975570200003","View Full Record in Web of Science")</f>
        <v>View Full Record in Web of Science</v>
      </c>
    </row>
    <row r="294" spans="1:72" x14ac:dyDescent="0.2">
      <c r="A294" t="s">
        <v>103</v>
      </c>
      <c r="B294" t="s">
        <v>5884</v>
      </c>
      <c r="C294" t="s">
        <v>74</v>
      </c>
      <c r="D294" t="s">
        <v>74</v>
      </c>
      <c r="E294" t="s">
        <v>74</v>
      </c>
      <c r="F294" t="s">
        <v>5885</v>
      </c>
      <c r="G294" t="s">
        <v>74</v>
      </c>
      <c r="H294" t="s">
        <v>74</v>
      </c>
      <c r="I294" t="s">
        <v>5886</v>
      </c>
      <c r="J294" t="s">
        <v>5887</v>
      </c>
      <c r="K294" t="s">
        <v>74</v>
      </c>
      <c r="L294" t="s">
        <v>74</v>
      </c>
      <c r="M294" t="s">
        <v>79</v>
      </c>
      <c r="N294" t="s">
        <v>108</v>
      </c>
      <c r="O294" t="s">
        <v>74</v>
      </c>
      <c r="P294" t="s">
        <v>74</v>
      </c>
      <c r="Q294" t="s">
        <v>74</v>
      </c>
      <c r="R294" t="s">
        <v>74</v>
      </c>
      <c r="S294" t="s">
        <v>74</v>
      </c>
      <c r="T294" t="s">
        <v>74</v>
      </c>
      <c r="U294" t="s">
        <v>5888</v>
      </c>
      <c r="V294" t="s">
        <v>5889</v>
      </c>
      <c r="W294" t="s">
        <v>5890</v>
      </c>
      <c r="X294" t="s">
        <v>5891</v>
      </c>
      <c r="Y294" t="s">
        <v>5892</v>
      </c>
      <c r="Z294" t="s">
        <v>5893</v>
      </c>
      <c r="AA294" t="s">
        <v>5894</v>
      </c>
      <c r="AB294" t="s">
        <v>5895</v>
      </c>
      <c r="AC294" t="s">
        <v>5896</v>
      </c>
      <c r="AD294" t="s">
        <v>5897</v>
      </c>
      <c r="AE294" t="s">
        <v>5898</v>
      </c>
      <c r="AF294" t="s">
        <v>74</v>
      </c>
      <c r="AG294">
        <v>63</v>
      </c>
      <c r="AH294">
        <v>0</v>
      </c>
      <c r="AI294">
        <v>0</v>
      </c>
      <c r="AJ294">
        <v>8</v>
      </c>
      <c r="AK294">
        <v>8</v>
      </c>
      <c r="AL294" t="s">
        <v>5899</v>
      </c>
      <c r="AM294" t="s">
        <v>548</v>
      </c>
      <c r="AN294" t="s">
        <v>5900</v>
      </c>
      <c r="AO294" t="s">
        <v>5901</v>
      </c>
      <c r="AP294" t="s">
        <v>5902</v>
      </c>
      <c r="AQ294" t="s">
        <v>74</v>
      </c>
      <c r="AR294" t="s">
        <v>5903</v>
      </c>
      <c r="AS294" t="s">
        <v>5904</v>
      </c>
      <c r="AT294" t="s">
        <v>5905</v>
      </c>
      <c r="AU294">
        <v>2023</v>
      </c>
      <c r="AV294">
        <v>50</v>
      </c>
      <c r="AW294">
        <v>21</v>
      </c>
      <c r="AX294" t="s">
        <v>74</v>
      </c>
      <c r="AY294" t="s">
        <v>74</v>
      </c>
      <c r="AZ294" t="s">
        <v>74</v>
      </c>
      <c r="BA294" t="s">
        <v>74</v>
      </c>
      <c r="BB294" t="s">
        <v>74</v>
      </c>
      <c r="BC294" t="s">
        <v>74</v>
      </c>
      <c r="BD294" t="s">
        <v>5906</v>
      </c>
      <c r="BE294" t="s">
        <v>5907</v>
      </c>
      <c r="BF294" t="str">
        <f>HYPERLINK("http://dx.doi.org/10.1029/2023GL106084","http://dx.doi.org/10.1029/2023GL106084")</f>
        <v>http://dx.doi.org/10.1029/2023GL106084</v>
      </c>
      <c r="BG294" t="s">
        <v>74</v>
      </c>
      <c r="BH294" t="s">
        <v>74</v>
      </c>
      <c r="BI294">
        <v>10</v>
      </c>
      <c r="BJ294" t="s">
        <v>5908</v>
      </c>
      <c r="BK294" t="s">
        <v>130</v>
      </c>
      <c r="BL294" t="s">
        <v>5909</v>
      </c>
      <c r="BM294" t="s">
        <v>5910</v>
      </c>
      <c r="BN294" t="s">
        <v>74</v>
      </c>
      <c r="BO294" t="s">
        <v>161</v>
      </c>
      <c r="BP294" t="s">
        <v>74</v>
      </c>
      <c r="BQ294" t="s">
        <v>74</v>
      </c>
      <c r="BR294" t="s">
        <v>101</v>
      </c>
      <c r="BS294" t="s">
        <v>5911</v>
      </c>
      <c r="BT294" t="str">
        <f>HYPERLINK("https%3A%2F%2Fwww.webofscience.com%2Fwos%2Fwoscc%2Ffull-record%2FWOS:001090697900001","View Full Record in Web of Science")</f>
        <v>View Full Record in Web of Science</v>
      </c>
    </row>
    <row r="295" spans="1:72" x14ac:dyDescent="0.2">
      <c r="A295" t="s">
        <v>103</v>
      </c>
      <c r="B295" t="s">
        <v>5912</v>
      </c>
      <c r="C295" t="s">
        <v>74</v>
      </c>
      <c r="D295" t="s">
        <v>74</v>
      </c>
      <c r="E295" t="s">
        <v>74</v>
      </c>
      <c r="F295" t="s">
        <v>5913</v>
      </c>
      <c r="G295" t="s">
        <v>74</v>
      </c>
      <c r="H295" t="s">
        <v>74</v>
      </c>
      <c r="I295" t="s">
        <v>5914</v>
      </c>
      <c r="J295" t="s">
        <v>930</v>
      </c>
      <c r="K295" t="s">
        <v>74</v>
      </c>
      <c r="L295" t="s">
        <v>74</v>
      </c>
      <c r="M295" t="s">
        <v>79</v>
      </c>
      <c r="N295" t="s">
        <v>108</v>
      </c>
      <c r="O295" t="s">
        <v>74</v>
      </c>
      <c r="P295" t="s">
        <v>74</v>
      </c>
      <c r="Q295" t="s">
        <v>74</v>
      </c>
      <c r="R295" t="s">
        <v>74</v>
      </c>
      <c r="S295" t="s">
        <v>74</v>
      </c>
      <c r="T295" t="s">
        <v>5915</v>
      </c>
      <c r="U295" t="s">
        <v>74</v>
      </c>
      <c r="V295" t="s">
        <v>5916</v>
      </c>
      <c r="W295" t="s">
        <v>5917</v>
      </c>
      <c r="X295" t="s">
        <v>5918</v>
      </c>
      <c r="Y295" t="s">
        <v>5919</v>
      </c>
      <c r="Z295" t="s">
        <v>5920</v>
      </c>
      <c r="AA295" t="s">
        <v>5921</v>
      </c>
      <c r="AB295" t="s">
        <v>5922</v>
      </c>
      <c r="AC295" t="s">
        <v>5923</v>
      </c>
      <c r="AD295" t="s">
        <v>5924</v>
      </c>
      <c r="AE295" t="s">
        <v>5925</v>
      </c>
      <c r="AF295" t="s">
        <v>74</v>
      </c>
      <c r="AG295">
        <v>28</v>
      </c>
      <c r="AH295">
        <v>1</v>
      </c>
      <c r="AI295">
        <v>1</v>
      </c>
      <c r="AJ295">
        <v>44</v>
      </c>
      <c r="AK295">
        <v>86</v>
      </c>
      <c r="AL295" t="s">
        <v>939</v>
      </c>
      <c r="AM295" t="s">
        <v>940</v>
      </c>
      <c r="AN295" t="s">
        <v>941</v>
      </c>
      <c r="AO295" t="s">
        <v>74</v>
      </c>
      <c r="AP295" t="s">
        <v>942</v>
      </c>
      <c r="AQ295" t="s">
        <v>74</v>
      </c>
      <c r="AR295" t="s">
        <v>943</v>
      </c>
      <c r="AS295" t="s">
        <v>944</v>
      </c>
      <c r="AT295" t="s">
        <v>2582</v>
      </c>
      <c r="AU295">
        <v>2023</v>
      </c>
      <c r="AV295">
        <v>15</v>
      </c>
      <c r="AW295">
        <v>12</v>
      </c>
      <c r="AX295" t="s">
        <v>74</v>
      </c>
      <c r="AY295" t="s">
        <v>74</v>
      </c>
      <c r="AZ295" t="s">
        <v>74</v>
      </c>
      <c r="BA295" t="s">
        <v>74</v>
      </c>
      <c r="BB295" t="s">
        <v>74</v>
      </c>
      <c r="BC295" t="s">
        <v>74</v>
      </c>
      <c r="BD295">
        <v>9355</v>
      </c>
      <c r="BE295" t="s">
        <v>5926</v>
      </c>
      <c r="BF295" t="str">
        <f>HYPERLINK("http://dx.doi.org/10.3390/su15129355","http://dx.doi.org/10.3390/su15129355")</f>
        <v>http://dx.doi.org/10.3390/su15129355</v>
      </c>
      <c r="BG295" t="s">
        <v>74</v>
      </c>
      <c r="BH295" t="s">
        <v>74</v>
      </c>
      <c r="BI295">
        <v>12</v>
      </c>
      <c r="BJ295" t="s">
        <v>946</v>
      </c>
      <c r="BK295" t="s">
        <v>947</v>
      </c>
      <c r="BL295" t="s">
        <v>948</v>
      </c>
      <c r="BM295" t="s">
        <v>5927</v>
      </c>
      <c r="BN295" t="s">
        <v>74</v>
      </c>
      <c r="BO295" t="s">
        <v>425</v>
      </c>
      <c r="BP295" t="s">
        <v>74</v>
      </c>
      <c r="BQ295" t="s">
        <v>74</v>
      </c>
      <c r="BR295" t="s">
        <v>101</v>
      </c>
      <c r="BS295" t="s">
        <v>5928</v>
      </c>
      <c r="BT295" t="str">
        <f>HYPERLINK("https%3A%2F%2Fwww.webofscience.com%2Fwos%2Fwoscc%2Ffull-record%2FWOS:001017945200001","View Full Record in Web of Science")</f>
        <v>View Full Record in Web of Science</v>
      </c>
    </row>
    <row r="296" spans="1:72" x14ac:dyDescent="0.2">
      <c r="A296" t="s">
        <v>103</v>
      </c>
      <c r="B296" t="s">
        <v>5929</v>
      </c>
      <c r="C296" t="s">
        <v>74</v>
      </c>
      <c r="D296" t="s">
        <v>74</v>
      </c>
      <c r="E296" t="s">
        <v>74</v>
      </c>
      <c r="F296" t="s">
        <v>5930</v>
      </c>
      <c r="G296" t="s">
        <v>74</v>
      </c>
      <c r="H296" t="s">
        <v>74</v>
      </c>
      <c r="I296" t="s">
        <v>5931</v>
      </c>
      <c r="J296" t="s">
        <v>5932</v>
      </c>
      <c r="K296" t="s">
        <v>74</v>
      </c>
      <c r="L296" t="s">
        <v>74</v>
      </c>
      <c r="M296" t="s">
        <v>79</v>
      </c>
      <c r="N296" t="s">
        <v>108</v>
      </c>
      <c r="O296" t="s">
        <v>74</v>
      </c>
      <c r="P296" t="s">
        <v>74</v>
      </c>
      <c r="Q296" t="s">
        <v>74</v>
      </c>
      <c r="R296" t="s">
        <v>74</v>
      </c>
      <c r="S296" t="s">
        <v>74</v>
      </c>
      <c r="T296" t="s">
        <v>5933</v>
      </c>
      <c r="U296" t="s">
        <v>5934</v>
      </c>
      <c r="V296" t="s">
        <v>5935</v>
      </c>
      <c r="W296" t="s">
        <v>5936</v>
      </c>
      <c r="X296" t="s">
        <v>5937</v>
      </c>
      <c r="Y296" t="s">
        <v>5938</v>
      </c>
      <c r="Z296" t="s">
        <v>5939</v>
      </c>
      <c r="AA296" t="s">
        <v>5940</v>
      </c>
      <c r="AB296" t="s">
        <v>5941</v>
      </c>
      <c r="AC296" t="s">
        <v>5942</v>
      </c>
      <c r="AD296" t="s">
        <v>5942</v>
      </c>
      <c r="AE296" t="s">
        <v>5072</v>
      </c>
      <c r="AF296" t="s">
        <v>74</v>
      </c>
      <c r="AG296">
        <v>24</v>
      </c>
      <c r="AH296">
        <v>1</v>
      </c>
      <c r="AI296">
        <v>1</v>
      </c>
      <c r="AJ296">
        <v>18</v>
      </c>
      <c r="AK296">
        <v>18</v>
      </c>
      <c r="AL296" t="s">
        <v>343</v>
      </c>
      <c r="AM296" t="s">
        <v>93</v>
      </c>
      <c r="AN296" t="s">
        <v>344</v>
      </c>
      <c r="AO296" t="s">
        <v>5943</v>
      </c>
      <c r="AP296" t="s">
        <v>5944</v>
      </c>
      <c r="AQ296" t="s">
        <v>74</v>
      </c>
      <c r="AR296" t="s">
        <v>5945</v>
      </c>
      <c r="AS296" t="s">
        <v>5946</v>
      </c>
      <c r="AT296" t="s">
        <v>1158</v>
      </c>
      <c r="AU296">
        <v>2023</v>
      </c>
      <c r="AV296">
        <v>24</v>
      </c>
      <c r="AW296">
        <v>1</v>
      </c>
      <c r="AX296" t="s">
        <v>74</v>
      </c>
      <c r="AY296" t="s">
        <v>74</v>
      </c>
      <c r="AZ296" t="s">
        <v>74</v>
      </c>
      <c r="BA296" t="s">
        <v>74</v>
      </c>
      <c r="BB296" t="s">
        <v>74</v>
      </c>
      <c r="BC296" t="s">
        <v>74</v>
      </c>
      <c r="BD296">
        <v>61</v>
      </c>
      <c r="BE296" t="s">
        <v>5947</v>
      </c>
      <c r="BF296" t="str">
        <f>HYPERLINK("http://dx.doi.org/10.1186/s10195-023-00740-4","http://dx.doi.org/10.1186/s10195-023-00740-4")</f>
        <v>http://dx.doi.org/10.1186/s10195-023-00740-4</v>
      </c>
      <c r="BG296" t="s">
        <v>74</v>
      </c>
      <c r="BH296" t="s">
        <v>74</v>
      </c>
      <c r="BI296">
        <v>11</v>
      </c>
      <c r="BJ296" t="s">
        <v>5948</v>
      </c>
      <c r="BK296" t="s">
        <v>130</v>
      </c>
      <c r="BL296" t="s">
        <v>5948</v>
      </c>
      <c r="BM296" t="s">
        <v>5949</v>
      </c>
      <c r="BN296">
        <v>38015298</v>
      </c>
      <c r="BO296" t="s">
        <v>425</v>
      </c>
      <c r="BP296" t="s">
        <v>74</v>
      </c>
      <c r="BQ296" t="s">
        <v>74</v>
      </c>
      <c r="BR296" t="s">
        <v>101</v>
      </c>
      <c r="BS296" t="s">
        <v>5950</v>
      </c>
      <c r="BT296" t="str">
        <f>HYPERLINK("https%3A%2F%2Fwww.webofscience.com%2Fwos%2Fwoscc%2Ffull-record%2FWOS:001110492100001","View Full Record in Web of Science")</f>
        <v>View Full Record in Web of Science</v>
      </c>
    </row>
    <row r="297" spans="1:72" x14ac:dyDescent="0.2">
      <c r="A297" t="s">
        <v>103</v>
      </c>
      <c r="B297" t="s">
        <v>5951</v>
      </c>
      <c r="C297" t="s">
        <v>74</v>
      </c>
      <c r="D297" t="s">
        <v>74</v>
      </c>
      <c r="E297" t="s">
        <v>74</v>
      </c>
      <c r="F297" t="s">
        <v>5952</v>
      </c>
      <c r="G297" t="s">
        <v>74</v>
      </c>
      <c r="H297" t="s">
        <v>74</v>
      </c>
      <c r="I297" t="s">
        <v>5953</v>
      </c>
      <c r="J297" t="s">
        <v>5954</v>
      </c>
      <c r="K297" t="s">
        <v>74</v>
      </c>
      <c r="L297" t="s">
        <v>74</v>
      </c>
      <c r="M297" t="s">
        <v>79</v>
      </c>
      <c r="N297" t="s">
        <v>108</v>
      </c>
      <c r="O297" t="s">
        <v>74</v>
      </c>
      <c r="P297" t="s">
        <v>74</v>
      </c>
      <c r="Q297" t="s">
        <v>74</v>
      </c>
      <c r="R297" t="s">
        <v>74</v>
      </c>
      <c r="S297" t="s">
        <v>74</v>
      </c>
      <c r="T297" t="s">
        <v>5955</v>
      </c>
      <c r="U297" t="s">
        <v>74</v>
      </c>
      <c r="V297" t="s">
        <v>5956</v>
      </c>
      <c r="W297" t="s">
        <v>5957</v>
      </c>
      <c r="X297" t="s">
        <v>5958</v>
      </c>
      <c r="Y297" t="s">
        <v>5959</v>
      </c>
      <c r="Z297" t="s">
        <v>5960</v>
      </c>
      <c r="AA297" t="s">
        <v>74</v>
      </c>
      <c r="AB297" t="s">
        <v>5961</v>
      </c>
      <c r="AC297" t="s">
        <v>5962</v>
      </c>
      <c r="AD297" t="s">
        <v>5963</v>
      </c>
      <c r="AE297" t="s">
        <v>5964</v>
      </c>
      <c r="AF297" t="s">
        <v>74</v>
      </c>
      <c r="AG297">
        <v>39</v>
      </c>
      <c r="AH297">
        <v>0</v>
      </c>
      <c r="AI297">
        <v>0</v>
      </c>
      <c r="AJ297">
        <v>31</v>
      </c>
      <c r="AK297">
        <v>31</v>
      </c>
      <c r="AL297" t="s">
        <v>2492</v>
      </c>
      <c r="AM297" t="s">
        <v>461</v>
      </c>
      <c r="AN297" t="s">
        <v>2493</v>
      </c>
      <c r="AO297" t="s">
        <v>74</v>
      </c>
      <c r="AP297" t="s">
        <v>5965</v>
      </c>
      <c r="AQ297" t="s">
        <v>74</v>
      </c>
      <c r="AR297" t="s">
        <v>5966</v>
      </c>
      <c r="AS297" t="s">
        <v>5967</v>
      </c>
      <c r="AT297" t="s">
        <v>5968</v>
      </c>
      <c r="AU297">
        <v>2023</v>
      </c>
      <c r="AV297">
        <v>4</v>
      </c>
      <c r="AW297" t="s">
        <v>74</v>
      </c>
      <c r="AX297" t="s">
        <v>74</v>
      </c>
      <c r="AY297" t="s">
        <v>74</v>
      </c>
      <c r="AZ297" t="s">
        <v>74</v>
      </c>
      <c r="BA297" t="s">
        <v>74</v>
      </c>
      <c r="BB297" t="s">
        <v>74</v>
      </c>
      <c r="BC297" t="s">
        <v>74</v>
      </c>
      <c r="BD297">
        <v>1220243</v>
      </c>
      <c r="BE297" t="s">
        <v>5969</v>
      </c>
      <c r="BF297" t="str">
        <f>HYPERLINK("http://dx.doi.org/10.3389/frcmn.2023.1220243","http://dx.doi.org/10.3389/frcmn.2023.1220243")</f>
        <v>http://dx.doi.org/10.3389/frcmn.2023.1220243</v>
      </c>
      <c r="BG297" t="s">
        <v>74</v>
      </c>
      <c r="BH297" t="s">
        <v>74</v>
      </c>
      <c r="BI297">
        <v>19</v>
      </c>
      <c r="BJ297" t="s">
        <v>256</v>
      </c>
      <c r="BK297" t="s">
        <v>352</v>
      </c>
      <c r="BL297" t="s">
        <v>256</v>
      </c>
      <c r="BM297" t="s">
        <v>5970</v>
      </c>
      <c r="BN297" t="s">
        <v>74</v>
      </c>
      <c r="BO297" t="s">
        <v>425</v>
      </c>
      <c r="BP297" t="s">
        <v>74</v>
      </c>
      <c r="BQ297" t="s">
        <v>74</v>
      </c>
      <c r="BR297" t="s">
        <v>101</v>
      </c>
      <c r="BS297" t="s">
        <v>5971</v>
      </c>
      <c r="BT297" t="str">
        <f>HYPERLINK("https%3A%2F%2Fwww.webofscience.com%2Fwos%2Fwoscc%2Ffull-record%2FWOS:001066938900001","View Full Record in Web of Science")</f>
        <v>View Full Record in Web of Science</v>
      </c>
    </row>
    <row r="298" spans="1:72" x14ac:dyDescent="0.2">
      <c r="A298" t="s">
        <v>103</v>
      </c>
      <c r="B298" t="s">
        <v>5972</v>
      </c>
      <c r="C298" t="s">
        <v>74</v>
      </c>
      <c r="D298" t="s">
        <v>74</v>
      </c>
      <c r="E298" t="s">
        <v>74</v>
      </c>
      <c r="F298" t="s">
        <v>5973</v>
      </c>
      <c r="G298" t="s">
        <v>74</v>
      </c>
      <c r="H298" t="s">
        <v>74</v>
      </c>
      <c r="I298" t="s">
        <v>5974</v>
      </c>
      <c r="J298" t="s">
        <v>5975</v>
      </c>
      <c r="K298" t="s">
        <v>74</v>
      </c>
      <c r="L298" t="s">
        <v>74</v>
      </c>
      <c r="M298" t="s">
        <v>79</v>
      </c>
      <c r="N298" t="s">
        <v>108</v>
      </c>
      <c r="O298" t="s">
        <v>74</v>
      </c>
      <c r="P298" t="s">
        <v>74</v>
      </c>
      <c r="Q298" t="s">
        <v>74</v>
      </c>
      <c r="R298" t="s">
        <v>74</v>
      </c>
      <c r="S298" t="s">
        <v>74</v>
      </c>
      <c r="T298" t="s">
        <v>5976</v>
      </c>
      <c r="U298" t="s">
        <v>74</v>
      </c>
      <c r="V298" t="s">
        <v>5977</v>
      </c>
      <c r="W298" t="s">
        <v>5978</v>
      </c>
      <c r="X298" t="s">
        <v>5979</v>
      </c>
      <c r="Y298" t="s">
        <v>5980</v>
      </c>
      <c r="Z298" t="s">
        <v>5981</v>
      </c>
      <c r="AA298" t="s">
        <v>74</v>
      </c>
      <c r="AB298" t="s">
        <v>74</v>
      </c>
      <c r="AC298" t="s">
        <v>5982</v>
      </c>
      <c r="AD298" t="s">
        <v>5983</v>
      </c>
      <c r="AE298" t="s">
        <v>5984</v>
      </c>
      <c r="AF298" t="s">
        <v>74</v>
      </c>
      <c r="AG298">
        <v>15</v>
      </c>
      <c r="AH298">
        <v>1</v>
      </c>
      <c r="AI298">
        <v>1</v>
      </c>
      <c r="AJ298">
        <v>1</v>
      </c>
      <c r="AK298">
        <v>1</v>
      </c>
      <c r="AL298" t="s">
        <v>5985</v>
      </c>
      <c r="AM298" t="s">
        <v>1451</v>
      </c>
      <c r="AN298" t="s">
        <v>5986</v>
      </c>
      <c r="AO298" t="s">
        <v>5987</v>
      </c>
      <c r="AP298" t="s">
        <v>74</v>
      </c>
      <c r="AQ298" t="s">
        <v>74</v>
      </c>
      <c r="AR298" t="s">
        <v>5988</v>
      </c>
      <c r="AS298" t="s">
        <v>5989</v>
      </c>
      <c r="AT298" t="s">
        <v>1457</v>
      </c>
      <c r="AU298">
        <v>2023</v>
      </c>
      <c r="AV298">
        <v>2023</v>
      </c>
      <c r="AW298">
        <v>9</v>
      </c>
      <c r="AX298" t="s">
        <v>74</v>
      </c>
      <c r="AY298" t="s">
        <v>74</v>
      </c>
      <c r="AZ298" t="s">
        <v>74</v>
      </c>
      <c r="BA298" t="s">
        <v>74</v>
      </c>
      <c r="BB298" t="s">
        <v>74</v>
      </c>
      <c r="BC298" t="s">
        <v>74</v>
      </c>
      <c r="BD298">
        <v>93402</v>
      </c>
      <c r="BE298" t="s">
        <v>5990</v>
      </c>
      <c r="BF298" t="str">
        <f>HYPERLINK("http://dx.doi.org/10.1088/1742-5468/acf8ba","http://dx.doi.org/10.1088/1742-5468/acf8ba")</f>
        <v>http://dx.doi.org/10.1088/1742-5468/acf8ba</v>
      </c>
      <c r="BG298" t="s">
        <v>74</v>
      </c>
      <c r="BH298" t="s">
        <v>74</v>
      </c>
      <c r="BI298">
        <v>13</v>
      </c>
      <c r="BJ298" t="s">
        <v>5991</v>
      </c>
      <c r="BK298" t="s">
        <v>130</v>
      </c>
      <c r="BL298" t="s">
        <v>5992</v>
      </c>
      <c r="BM298" t="s">
        <v>5993</v>
      </c>
      <c r="BN298" t="s">
        <v>74</v>
      </c>
      <c r="BO298" t="s">
        <v>646</v>
      </c>
      <c r="BP298" t="s">
        <v>74</v>
      </c>
      <c r="BQ298" t="s">
        <v>74</v>
      </c>
      <c r="BR298" t="s">
        <v>101</v>
      </c>
      <c r="BS298" t="s">
        <v>5994</v>
      </c>
      <c r="BT298" t="str">
        <f>HYPERLINK("https%3A%2F%2Fwww.webofscience.com%2Fwos%2Fwoscc%2Ffull-record%2FWOS:001080743000001","View Full Record in Web of Science")</f>
        <v>View Full Record in Web of Science</v>
      </c>
    </row>
    <row r="299" spans="1:72" x14ac:dyDescent="0.2">
      <c r="A299" t="s">
        <v>72</v>
      </c>
      <c r="B299" t="s">
        <v>5995</v>
      </c>
      <c r="C299" t="s">
        <v>74</v>
      </c>
      <c r="D299" t="s">
        <v>74</v>
      </c>
      <c r="E299" t="s">
        <v>75</v>
      </c>
      <c r="F299" t="s">
        <v>5996</v>
      </c>
      <c r="G299" t="s">
        <v>74</v>
      </c>
      <c r="H299" t="s">
        <v>74</v>
      </c>
      <c r="I299" t="s">
        <v>5997</v>
      </c>
      <c r="J299" t="s">
        <v>5495</v>
      </c>
      <c r="K299" t="s">
        <v>74</v>
      </c>
      <c r="L299" t="s">
        <v>74</v>
      </c>
      <c r="M299" t="s">
        <v>79</v>
      </c>
      <c r="N299" t="s">
        <v>80</v>
      </c>
      <c r="O299" t="s">
        <v>1637</v>
      </c>
      <c r="P299" t="s">
        <v>1638</v>
      </c>
      <c r="Q299" t="s">
        <v>1639</v>
      </c>
      <c r="R299" t="s">
        <v>1640</v>
      </c>
      <c r="S299" t="s">
        <v>74</v>
      </c>
      <c r="T299" t="s">
        <v>5998</v>
      </c>
      <c r="U299" t="s">
        <v>5999</v>
      </c>
      <c r="V299" t="s">
        <v>6000</v>
      </c>
      <c r="W299" t="s">
        <v>6001</v>
      </c>
      <c r="X299" t="s">
        <v>480</v>
      </c>
      <c r="Y299" t="s">
        <v>6002</v>
      </c>
      <c r="Z299" t="s">
        <v>6003</v>
      </c>
      <c r="AA299" t="s">
        <v>74</v>
      </c>
      <c r="AB299" t="s">
        <v>6004</v>
      </c>
      <c r="AC299" t="s">
        <v>6005</v>
      </c>
      <c r="AD299" t="s">
        <v>6006</v>
      </c>
      <c r="AE299" t="s">
        <v>6007</v>
      </c>
      <c r="AF299" t="s">
        <v>74</v>
      </c>
      <c r="AG299">
        <v>42</v>
      </c>
      <c r="AH299">
        <v>1</v>
      </c>
      <c r="AI299">
        <v>1</v>
      </c>
      <c r="AJ299">
        <v>6</v>
      </c>
      <c r="AK299">
        <v>6</v>
      </c>
      <c r="AL299" t="s">
        <v>92</v>
      </c>
      <c r="AM299" t="s">
        <v>93</v>
      </c>
      <c r="AN299" t="s">
        <v>94</v>
      </c>
      <c r="AO299" t="s">
        <v>74</v>
      </c>
      <c r="AP299" t="s">
        <v>74</v>
      </c>
      <c r="AQ299" t="s">
        <v>1651</v>
      </c>
      <c r="AR299" t="s">
        <v>74</v>
      </c>
      <c r="AS299" t="s">
        <v>74</v>
      </c>
      <c r="AT299" t="s">
        <v>74</v>
      </c>
      <c r="AU299">
        <v>2023</v>
      </c>
      <c r="AV299" t="s">
        <v>74</v>
      </c>
      <c r="AW299" t="s">
        <v>74</v>
      </c>
      <c r="AX299" t="s">
        <v>74</v>
      </c>
      <c r="AY299" t="s">
        <v>74</v>
      </c>
      <c r="AZ299" t="s">
        <v>74</v>
      </c>
      <c r="BA299" t="s">
        <v>74</v>
      </c>
      <c r="BB299" t="s">
        <v>74</v>
      </c>
      <c r="BC299" t="s">
        <v>74</v>
      </c>
      <c r="BD299" t="s">
        <v>74</v>
      </c>
      <c r="BE299" t="s">
        <v>6008</v>
      </c>
      <c r="BF299" t="str">
        <f>HYPERLINK("http://dx.doi.org/10.1145/3544548.3580782","http://dx.doi.org/10.1145/3544548.3580782")</f>
        <v>http://dx.doi.org/10.1145/3544548.3580782</v>
      </c>
      <c r="BG299" t="s">
        <v>74</v>
      </c>
      <c r="BH299" t="s">
        <v>74</v>
      </c>
      <c r="BI299">
        <v>15</v>
      </c>
      <c r="BJ299" t="s">
        <v>1653</v>
      </c>
      <c r="BK299" t="s">
        <v>98</v>
      </c>
      <c r="BL299" t="s">
        <v>1654</v>
      </c>
      <c r="BM299" t="s">
        <v>5507</v>
      </c>
      <c r="BN299" t="s">
        <v>74</v>
      </c>
      <c r="BO299" t="s">
        <v>74</v>
      </c>
      <c r="BP299" t="s">
        <v>74</v>
      </c>
      <c r="BQ299" t="s">
        <v>74</v>
      </c>
      <c r="BR299" t="s">
        <v>101</v>
      </c>
      <c r="BS299" t="s">
        <v>6009</v>
      </c>
      <c r="BT299" t="str">
        <f>HYPERLINK("https%3A%2F%2Fwww.webofscience.com%2Fwos%2Fwoscc%2Ffull-record%2FWOS:001037809502056","View Full Record in Web of Science")</f>
        <v>View Full Record in Web of Science</v>
      </c>
    </row>
    <row r="300" spans="1:72" x14ac:dyDescent="0.2">
      <c r="A300" t="s">
        <v>72</v>
      </c>
      <c r="B300" t="s">
        <v>6010</v>
      </c>
      <c r="C300" t="s">
        <v>74</v>
      </c>
      <c r="D300" t="s">
        <v>6011</v>
      </c>
      <c r="E300" t="s">
        <v>74</v>
      </c>
      <c r="F300" t="s">
        <v>6012</v>
      </c>
      <c r="G300" t="s">
        <v>74</v>
      </c>
      <c r="H300" t="s">
        <v>74</v>
      </c>
      <c r="I300" t="s">
        <v>6013</v>
      </c>
      <c r="J300" t="s">
        <v>6014</v>
      </c>
      <c r="K300" t="s">
        <v>312</v>
      </c>
      <c r="L300" t="s">
        <v>74</v>
      </c>
      <c r="M300" t="s">
        <v>79</v>
      </c>
      <c r="N300" t="s">
        <v>80</v>
      </c>
      <c r="O300" t="s">
        <v>6015</v>
      </c>
      <c r="P300" t="s">
        <v>6016</v>
      </c>
      <c r="Q300" t="s">
        <v>6017</v>
      </c>
      <c r="R300" t="s">
        <v>74</v>
      </c>
      <c r="S300" t="s">
        <v>74</v>
      </c>
      <c r="T300" t="s">
        <v>6018</v>
      </c>
      <c r="U300" t="s">
        <v>74</v>
      </c>
      <c r="V300" t="s">
        <v>6019</v>
      </c>
      <c r="W300" t="s">
        <v>6020</v>
      </c>
      <c r="X300" t="s">
        <v>6021</v>
      </c>
      <c r="Y300" t="s">
        <v>6022</v>
      </c>
      <c r="Z300" t="s">
        <v>6023</v>
      </c>
      <c r="AA300" t="s">
        <v>6024</v>
      </c>
      <c r="AB300" t="s">
        <v>74</v>
      </c>
      <c r="AC300" t="s">
        <v>6025</v>
      </c>
      <c r="AD300" t="s">
        <v>6025</v>
      </c>
      <c r="AE300" t="s">
        <v>6026</v>
      </c>
      <c r="AF300" t="s">
        <v>74</v>
      </c>
      <c r="AG300">
        <v>30</v>
      </c>
      <c r="AH300">
        <v>0</v>
      </c>
      <c r="AI300">
        <v>0</v>
      </c>
      <c r="AJ300">
        <v>1</v>
      </c>
      <c r="AK300">
        <v>1</v>
      </c>
      <c r="AL300" t="s">
        <v>325</v>
      </c>
      <c r="AM300" t="s">
        <v>245</v>
      </c>
      <c r="AN300" t="s">
        <v>246</v>
      </c>
      <c r="AO300" t="s">
        <v>326</v>
      </c>
      <c r="AP300" t="s">
        <v>327</v>
      </c>
      <c r="AQ300" t="s">
        <v>6027</v>
      </c>
      <c r="AR300" t="s">
        <v>329</v>
      </c>
      <c r="AS300" t="s">
        <v>74</v>
      </c>
      <c r="AT300" t="s">
        <v>74</v>
      </c>
      <c r="AU300">
        <v>2023</v>
      </c>
      <c r="AV300">
        <v>14224</v>
      </c>
      <c r="AW300" t="s">
        <v>74</v>
      </c>
      <c r="AX300" t="s">
        <v>74</v>
      </c>
      <c r="AY300" t="s">
        <v>74</v>
      </c>
      <c r="AZ300" t="s">
        <v>74</v>
      </c>
      <c r="BA300" t="s">
        <v>74</v>
      </c>
      <c r="BB300">
        <v>293</v>
      </c>
      <c r="BC300">
        <v>303</v>
      </c>
      <c r="BD300" t="s">
        <v>74</v>
      </c>
      <c r="BE300" t="s">
        <v>6028</v>
      </c>
      <c r="BF300" t="str">
        <f>HYPERLINK("http://dx.doi.org/10.1007/978-3-031-43904-9_29","http://dx.doi.org/10.1007/978-3-031-43904-9_29")</f>
        <v>http://dx.doi.org/10.1007/978-3-031-43904-9_29</v>
      </c>
      <c r="BG300" t="s">
        <v>74</v>
      </c>
      <c r="BH300" t="s">
        <v>74</v>
      </c>
      <c r="BI300">
        <v>11</v>
      </c>
      <c r="BJ300" t="s">
        <v>6029</v>
      </c>
      <c r="BK300" t="s">
        <v>98</v>
      </c>
      <c r="BL300" t="s">
        <v>6030</v>
      </c>
      <c r="BM300" t="s">
        <v>6031</v>
      </c>
      <c r="BN300" t="s">
        <v>74</v>
      </c>
      <c r="BO300" t="s">
        <v>646</v>
      </c>
      <c r="BP300" t="s">
        <v>74</v>
      </c>
      <c r="BQ300" t="s">
        <v>74</v>
      </c>
      <c r="BR300" t="s">
        <v>101</v>
      </c>
      <c r="BS300" t="s">
        <v>6032</v>
      </c>
      <c r="BT300" t="str">
        <f>HYPERLINK("https%3A%2F%2Fwww.webofscience.com%2Fwos%2Fwoscc%2Ffull-record%2FWOS:001109633700029","View Full Record in Web of Science")</f>
        <v>View Full Record in Web of Science</v>
      </c>
    </row>
    <row r="301" spans="1:72" x14ac:dyDescent="0.2">
      <c r="A301" t="s">
        <v>103</v>
      </c>
      <c r="B301" t="s">
        <v>6033</v>
      </c>
      <c r="C301" t="s">
        <v>74</v>
      </c>
      <c r="D301" t="s">
        <v>74</v>
      </c>
      <c r="E301" t="s">
        <v>74</v>
      </c>
      <c r="F301" t="s">
        <v>6034</v>
      </c>
      <c r="G301" t="s">
        <v>74</v>
      </c>
      <c r="H301" t="s">
        <v>74</v>
      </c>
      <c r="I301" t="s">
        <v>6035</v>
      </c>
      <c r="J301" t="s">
        <v>6036</v>
      </c>
      <c r="K301" t="s">
        <v>74</v>
      </c>
      <c r="L301" t="s">
        <v>74</v>
      </c>
      <c r="M301" t="s">
        <v>79</v>
      </c>
      <c r="N301" t="s">
        <v>108</v>
      </c>
      <c r="O301" t="s">
        <v>74</v>
      </c>
      <c r="P301" t="s">
        <v>74</v>
      </c>
      <c r="Q301" t="s">
        <v>74</v>
      </c>
      <c r="R301" t="s">
        <v>74</v>
      </c>
      <c r="S301" t="s">
        <v>74</v>
      </c>
      <c r="T301" t="s">
        <v>6037</v>
      </c>
      <c r="U301" t="s">
        <v>74</v>
      </c>
      <c r="V301" t="s">
        <v>6038</v>
      </c>
      <c r="W301" t="s">
        <v>6039</v>
      </c>
      <c r="X301" t="s">
        <v>6040</v>
      </c>
      <c r="Y301" t="s">
        <v>6041</v>
      </c>
      <c r="Z301" t="s">
        <v>6042</v>
      </c>
      <c r="AA301" t="s">
        <v>74</v>
      </c>
      <c r="AB301" t="s">
        <v>6043</v>
      </c>
      <c r="AC301" t="s">
        <v>74</v>
      </c>
      <c r="AD301" t="s">
        <v>74</v>
      </c>
      <c r="AE301" t="s">
        <v>74</v>
      </c>
      <c r="AF301" t="s">
        <v>74</v>
      </c>
      <c r="AG301">
        <v>9</v>
      </c>
      <c r="AH301">
        <v>14</v>
      </c>
      <c r="AI301">
        <v>14</v>
      </c>
      <c r="AJ301">
        <v>15</v>
      </c>
      <c r="AK301">
        <v>36</v>
      </c>
      <c r="AL301" t="s">
        <v>3165</v>
      </c>
      <c r="AM301" t="s">
        <v>3166</v>
      </c>
      <c r="AN301" t="s">
        <v>3167</v>
      </c>
      <c r="AO301" t="s">
        <v>6044</v>
      </c>
      <c r="AP301" t="s">
        <v>6045</v>
      </c>
      <c r="AQ301" t="s">
        <v>74</v>
      </c>
      <c r="AR301" t="s">
        <v>6046</v>
      </c>
      <c r="AS301" t="s">
        <v>6047</v>
      </c>
      <c r="AT301" t="s">
        <v>6048</v>
      </c>
      <c r="AU301">
        <v>2023</v>
      </c>
      <c r="AV301">
        <v>129</v>
      </c>
      <c r="AW301">
        <v>15</v>
      </c>
      <c r="AX301" t="s">
        <v>74</v>
      </c>
      <c r="AY301" t="s">
        <v>74</v>
      </c>
      <c r="AZ301" t="s">
        <v>74</v>
      </c>
      <c r="BA301" t="s">
        <v>74</v>
      </c>
      <c r="BB301">
        <v>2284</v>
      </c>
      <c r="BC301">
        <v>2289</v>
      </c>
      <c r="BD301" t="s">
        <v>74</v>
      </c>
      <c r="BE301" t="s">
        <v>6049</v>
      </c>
      <c r="BF301" t="str">
        <f>HYPERLINK("http://dx.doi.org/10.1002/cncr.34827","http://dx.doi.org/10.1002/cncr.34827")</f>
        <v>http://dx.doi.org/10.1002/cncr.34827</v>
      </c>
      <c r="BG301" t="s">
        <v>74</v>
      </c>
      <c r="BH301" t="s">
        <v>2889</v>
      </c>
      <c r="BI301">
        <v>6</v>
      </c>
      <c r="BJ301" t="s">
        <v>6050</v>
      </c>
      <c r="BK301" t="s">
        <v>130</v>
      </c>
      <c r="BL301" t="s">
        <v>6050</v>
      </c>
      <c r="BM301" t="s">
        <v>6051</v>
      </c>
      <c r="BN301">
        <v>37183438</v>
      </c>
      <c r="BO301" t="s">
        <v>74</v>
      </c>
      <c r="BP301" t="s">
        <v>74</v>
      </c>
      <c r="BQ301" t="s">
        <v>74</v>
      </c>
      <c r="BR301" t="s">
        <v>101</v>
      </c>
      <c r="BS301" t="s">
        <v>6052</v>
      </c>
      <c r="BT301" t="str">
        <f>HYPERLINK("https%3A%2F%2Fwww.webofscience.com%2Fwos%2Fwoscc%2Ffull-record%2FWOS:000988601900001","View Full Record in Web of Science")</f>
        <v>View Full Record in Web of Science</v>
      </c>
    </row>
    <row r="302" spans="1:72" x14ac:dyDescent="0.2">
      <c r="A302" t="s">
        <v>103</v>
      </c>
      <c r="B302" t="s">
        <v>6053</v>
      </c>
      <c r="C302" t="s">
        <v>74</v>
      </c>
      <c r="D302" t="s">
        <v>74</v>
      </c>
      <c r="E302" t="s">
        <v>74</v>
      </c>
      <c r="F302" t="s">
        <v>6054</v>
      </c>
      <c r="G302" t="s">
        <v>74</v>
      </c>
      <c r="H302" t="s">
        <v>74</v>
      </c>
      <c r="I302" t="s">
        <v>6055</v>
      </c>
      <c r="J302" t="s">
        <v>6056</v>
      </c>
      <c r="K302" t="s">
        <v>74</v>
      </c>
      <c r="L302" t="s">
        <v>74</v>
      </c>
      <c r="M302" t="s">
        <v>79</v>
      </c>
      <c r="N302" t="s">
        <v>108</v>
      </c>
      <c r="O302" t="s">
        <v>74</v>
      </c>
      <c r="P302" t="s">
        <v>74</v>
      </c>
      <c r="Q302" t="s">
        <v>74</v>
      </c>
      <c r="R302" t="s">
        <v>74</v>
      </c>
      <c r="S302" t="s">
        <v>74</v>
      </c>
      <c r="T302" t="s">
        <v>6057</v>
      </c>
      <c r="U302" t="s">
        <v>74</v>
      </c>
      <c r="V302" t="s">
        <v>6058</v>
      </c>
      <c r="W302" t="s">
        <v>6059</v>
      </c>
      <c r="X302" t="s">
        <v>6060</v>
      </c>
      <c r="Y302" t="s">
        <v>6061</v>
      </c>
      <c r="Z302" t="s">
        <v>6062</v>
      </c>
      <c r="AA302" t="s">
        <v>74</v>
      </c>
      <c r="AB302" t="s">
        <v>6063</v>
      </c>
      <c r="AC302" t="s">
        <v>6064</v>
      </c>
      <c r="AD302" t="s">
        <v>6065</v>
      </c>
      <c r="AE302" t="s">
        <v>6066</v>
      </c>
      <c r="AF302" t="s">
        <v>74</v>
      </c>
      <c r="AG302">
        <v>29</v>
      </c>
      <c r="AH302">
        <v>2</v>
      </c>
      <c r="AI302">
        <v>2</v>
      </c>
      <c r="AJ302">
        <v>33</v>
      </c>
      <c r="AK302">
        <v>33</v>
      </c>
      <c r="AL302" t="s">
        <v>4176</v>
      </c>
      <c r="AM302" t="s">
        <v>4177</v>
      </c>
      <c r="AN302" t="s">
        <v>4178</v>
      </c>
      <c r="AO302" t="s">
        <v>6067</v>
      </c>
      <c r="AP302" t="s">
        <v>74</v>
      </c>
      <c r="AQ302" t="s">
        <v>74</v>
      </c>
      <c r="AR302" t="s">
        <v>6068</v>
      </c>
      <c r="AS302" t="s">
        <v>6069</v>
      </c>
      <c r="AT302" t="s">
        <v>6070</v>
      </c>
      <c r="AU302">
        <v>2023</v>
      </c>
      <c r="AV302">
        <v>25</v>
      </c>
      <c r="AW302" t="s">
        <v>74</v>
      </c>
      <c r="AX302" t="s">
        <v>74</v>
      </c>
      <c r="AY302" t="s">
        <v>74</v>
      </c>
      <c r="AZ302" t="s">
        <v>74</v>
      </c>
      <c r="BA302" t="s">
        <v>74</v>
      </c>
      <c r="BB302" t="s">
        <v>74</v>
      </c>
      <c r="BC302" t="s">
        <v>74</v>
      </c>
      <c r="BD302" t="s">
        <v>6071</v>
      </c>
      <c r="BE302" t="s">
        <v>6072</v>
      </c>
      <c r="BF302" t="str">
        <f>HYPERLINK("http://dx.doi.org/10.2196/49963","http://dx.doi.org/10.2196/49963")</f>
        <v>http://dx.doi.org/10.2196/49963</v>
      </c>
      <c r="BG302" t="s">
        <v>74</v>
      </c>
      <c r="BH302" t="s">
        <v>74</v>
      </c>
      <c r="BI302">
        <v>5</v>
      </c>
      <c r="BJ302" t="s">
        <v>4947</v>
      </c>
      <c r="BK302" t="s">
        <v>130</v>
      </c>
      <c r="BL302" t="s">
        <v>4947</v>
      </c>
      <c r="BM302" t="s">
        <v>6073</v>
      </c>
      <c r="BN302">
        <v>37751243</v>
      </c>
      <c r="BO302" t="s">
        <v>4185</v>
      </c>
      <c r="BP302" t="s">
        <v>74</v>
      </c>
      <c r="BQ302" t="s">
        <v>74</v>
      </c>
      <c r="BR302" t="s">
        <v>101</v>
      </c>
      <c r="BS302" t="s">
        <v>6074</v>
      </c>
      <c r="BT302" t="str">
        <f>HYPERLINK("https%3A%2F%2Fwww.webofscience.com%2Fwos%2Fwoscc%2Ffull-record%2FWOS:001085827000006","View Full Record in Web of Science")</f>
        <v>View Full Record in Web of Science</v>
      </c>
    </row>
    <row r="303" spans="1:72" x14ac:dyDescent="0.2">
      <c r="A303" t="s">
        <v>103</v>
      </c>
      <c r="B303" t="s">
        <v>6075</v>
      </c>
      <c r="C303" t="s">
        <v>74</v>
      </c>
      <c r="D303" t="s">
        <v>74</v>
      </c>
      <c r="E303" t="s">
        <v>74</v>
      </c>
      <c r="F303" t="s">
        <v>6076</v>
      </c>
      <c r="G303" t="s">
        <v>74</v>
      </c>
      <c r="H303" t="s">
        <v>74</v>
      </c>
      <c r="I303" t="s">
        <v>6077</v>
      </c>
      <c r="J303" t="s">
        <v>6078</v>
      </c>
      <c r="K303" t="s">
        <v>74</v>
      </c>
      <c r="L303" t="s">
        <v>74</v>
      </c>
      <c r="M303" t="s">
        <v>79</v>
      </c>
      <c r="N303" t="s">
        <v>108</v>
      </c>
      <c r="O303" t="s">
        <v>74</v>
      </c>
      <c r="P303" t="s">
        <v>74</v>
      </c>
      <c r="Q303" t="s">
        <v>74</v>
      </c>
      <c r="R303" t="s">
        <v>74</v>
      </c>
      <c r="S303" t="s">
        <v>74</v>
      </c>
      <c r="T303" t="s">
        <v>6079</v>
      </c>
      <c r="U303" t="s">
        <v>6080</v>
      </c>
      <c r="V303" t="s">
        <v>6081</v>
      </c>
      <c r="W303" t="s">
        <v>6082</v>
      </c>
      <c r="X303" t="s">
        <v>6083</v>
      </c>
      <c r="Y303" t="s">
        <v>6084</v>
      </c>
      <c r="Z303" t="s">
        <v>6085</v>
      </c>
      <c r="AA303" t="s">
        <v>74</v>
      </c>
      <c r="AB303" t="s">
        <v>74</v>
      </c>
      <c r="AC303" t="s">
        <v>6086</v>
      </c>
      <c r="AD303" t="s">
        <v>6087</v>
      </c>
      <c r="AE303" t="s">
        <v>6088</v>
      </c>
      <c r="AF303" t="s">
        <v>74</v>
      </c>
      <c r="AG303">
        <v>92</v>
      </c>
      <c r="AH303">
        <v>0</v>
      </c>
      <c r="AI303">
        <v>0</v>
      </c>
      <c r="AJ303">
        <v>91</v>
      </c>
      <c r="AK303">
        <v>91</v>
      </c>
      <c r="AL303" t="s">
        <v>6089</v>
      </c>
      <c r="AM303" t="s">
        <v>149</v>
      </c>
      <c r="AN303" t="s">
        <v>6090</v>
      </c>
      <c r="AO303" t="s">
        <v>6091</v>
      </c>
      <c r="AP303" t="s">
        <v>6092</v>
      </c>
      <c r="AQ303" t="s">
        <v>74</v>
      </c>
      <c r="AR303" t="s">
        <v>6093</v>
      </c>
      <c r="AS303" t="s">
        <v>6094</v>
      </c>
      <c r="AT303" t="s">
        <v>2016</v>
      </c>
      <c r="AU303">
        <v>2024</v>
      </c>
      <c r="AV303">
        <v>181</v>
      </c>
      <c r="AW303" t="s">
        <v>74</v>
      </c>
      <c r="AX303" t="s">
        <v>74</v>
      </c>
      <c r="AY303" t="s">
        <v>74</v>
      </c>
      <c r="AZ303" t="s">
        <v>74</v>
      </c>
      <c r="BA303" t="s">
        <v>74</v>
      </c>
      <c r="BB303" t="s">
        <v>74</v>
      </c>
      <c r="BC303" t="s">
        <v>74</v>
      </c>
      <c r="BD303">
        <v>103139</v>
      </c>
      <c r="BE303" t="s">
        <v>6095</v>
      </c>
      <c r="BF303" t="str">
        <f>HYPERLINK("http://dx.doi.org/10.1016/j.ijhcs.2023.103139","http://dx.doi.org/10.1016/j.ijhcs.2023.103139")</f>
        <v>http://dx.doi.org/10.1016/j.ijhcs.2023.103139</v>
      </c>
      <c r="BG303" t="s">
        <v>74</v>
      </c>
      <c r="BH303" t="s">
        <v>278</v>
      </c>
      <c r="BI303">
        <v>17</v>
      </c>
      <c r="BJ303" t="s">
        <v>6096</v>
      </c>
      <c r="BK303" t="s">
        <v>947</v>
      </c>
      <c r="BL303" t="s">
        <v>6097</v>
      </c>
      <c r="BM303" t="s">
        <v>6098</v>
      </c>
      <c r="BN303" t="s">
        <v>74</v>
      </c>
      <c r="BO303" t="s">
        <v>74</v>
      </c>
      <c r="BP303" t="s">
        <v>74</v>
      </c>
      <c r="BQ303" t="s">
        <v>74</v>
      </c>
      <c r="BR303" t="s">
        <v>101</v>
      </c>
      <c r="BS303" t="s">
        <v>6099</v>
      </c>
      <c r="BT303" t="str">
        <f>HYPERLINK("https%3A%2F%2Fwww.webofscience.com%2Fwos%2Fwoscc%2Ffull-record%2FWOS:001080604100001","View Full Record in Web of Science")</f>
        <v>View Full Record in Web of Science</v>
      </c>
    </row>
    <row r="304" spans="1:72" x14ac:dyDescent="0.2">
      <c r="A304" t="s">
        <v>72</v>
      </c>
      <c r="B304" t="s">
        <v>6100</v>
      </c>
      <c r="C304" t="s">
        <v>74</v>
      </c>
      <c r="D304" t="s">
        <v>74</v>
      </c>
      <c r="E304" t="s">
        <v>75</v>
      </c>
      <c r="F304" t="s">
        <v>6101</v>
      </c>
      <c r="G304" t="s">
        <v>74</v>
      </c>
      <c r="H304" t="s">
        <v>74</v>
      </c>
      <c r="I304" t="s">
        <v>6102</v>
      </c>
      <c r="J304" t="s">
        <v>6103</v>
      </c>
      <c r="K304" t="s">
        <v>74</v>
      </c>
      <c r="L304" t="s">
        <v>74</v>
      </c>
      <c r="M304" t="s">
        <v>79</v>
      </c>
      <c r="N304" t="s">
        <v>80</v>
      </c>
      <c r="O304" t="s">
        <v>6104</v>
      </c>
      <c r="P304" t="s">
        <v>6105</v>
      </c>
      <c r="Q304" t="s">
        <v>2295</v>
      </c>
      <c r="R304" t="s">
        <v>6106</v>
      </c>
      <c r="S304" t="s">
        <v>2297</v>
      </c>
      <c r="T304" t="s">
        <v>6107</v>
      </c>
      <c r="U304" t="s">
        <v>74</v>
      </c>
      <c r="V304" t="s">
        <v>6108</v>
      </c>
      <c r="W304" t="s">
        <v>6109</v>
      </c>
      <c r="X304" t="s">
        <v>6110</v>
      </c>
      <c r="Y304" t="s">
        <v>6111</v>
      </c>
      <c r="Z304" t="s">
        <v>6112</v>
      </c>
      <c r="AA304" t="s">
        <v>74</v>
      </c>
      <c r="AB304" t="s">
        <v>6113</v>
      </c>
      <c r="AC304" t="s">
        <v>74</v>
      </c>
      <c r="AD304" t="s">
        <v>74</v>
      </c>
      <c r="AE304" t="s">
        <v>74</v>
      </c>
      <c r="AF304" t="s">
        <v>74</v>
      </c>
      <c r="AG304">
        <v>35</v>
      </c>
      <c r="AH304">
        <v>3</v>
      </c>
      <c r="AI304">
        <v>3</v>
      </c>
      <c r="AJ304">
        <v>56</v>
      </c>
      <c r="AK304">
        <v>59</v>
      </c>
      <c r="AL304" t="s">
        <v>92</v>
      </c>
      <c r="AM304" t="s">
        <v>93</v>
      </c>
      <c r="AN304" t="s">
        <v>94</v>
      </c>
      <c r="AO304" t="s">
        <v>74</v>
      </c>
      <c r="AP304" t="s">
        <v>74</v>
      </c>
      <c r="AQ304" t="s">
        <v>6114</v>
      </c>
      <c r="AR304" t="s">
        <v>74</v>
      </c>
      <c r="AS304" t="s">
        <v>74</v>
      </c>
      <c r="AT304" t="s">
        <v>74</v>
      </c>
      <c r="AU304">
        <v>2023</v>
      </c>
      <c r="AV304" t="s">
        <v>74</v>
      </c>
      <c r="AW304" t="s">
        <v>74</v>
      </c>
      <c r="AX304" t="s">
        <v>74</v>
      </c>
      <c r="AY304" t="s">
        <v>74</v>
      </c>
      <c r="AZ304" t="s">
        <v>74</v>
      </c>
      <c r="BA304" t="s">
        <v>74</v>
      </c>
      <c r="BB304">
        <v>110</v>
      </c>
      <c r="BC304">
        <v>116</v>
      </c>
      <c r="BD304" t="s">
        <v>74</v>
      </c>
      <c r="BE304" t="s">
        <v>6115</v>
      </c>
      <c r="BF304" t="str">
        <f>HYPERLINK("http://dx.doi.org/10.1145/3587102.3588815","http://dx.doi.org/10.1145/3587102.3588815")</f>
        <v>http://dx.doi.org/10.1145/3587102.3588815</v>
      </c>
      <c r="BG304" t="s">
        <v>74</v>
      </c>
      <c r="BH304" t="s">
        <v>74</v>
      </c>
      <c r="BI304">
        <v>7</v>
      </c>
      <c r="BJ304" t="s">
        <v>5766</v>
      </c>
      <c r="BK304" t="s">
        <v>180</v>
      </c>
      <c r="BL304" t="s">
        <v>423</v>
      </c>
      <c r="BM304" t="s">
        <v>6116</v>
      </c>
      <c r="BN304" t="s">
        <v>74</v>
      </c>
      <c r="BO304" t="s">
        <v>74</v>
      </c>
      <c r="BP304" t="s">
        <v>74</v>
      </c>
      <c r="BQ304" t="s">
        <v>74</v>
      </c>
      <c r="BR304" t="s">
        <v>101</v>
      </c>
      <c r="BS304" t="s">
        <v>6117</v>
      </c>
      <c r="BT304" t="str">
        <f>HYPERLINK("https%3A%2F%2Fwww.webofscience.com%2Fwos%2Fwoscc%2Ffull-record%2FWOS:001051691300018","View Full Record in Web of Science")</f>
        <v>View Full Record in Web of Science</v>
      </c>
    </row>
    <row r="305" spans="1:72" x14ac:dyDescent="0.2">
      <c r="A305" t="s">
        <v>103</v>
      </c>
      <c r="B305" t="s">
        <v>6118</v>
      </c>
      <c r="C305" t="s">
        <v>74</v>
      </c>
      <c r="D305" t="s">
        <v>74</v>
      </c>
      <c r="E305" t="s">
        <v>74</v>
      </c>
      <c r="F305" t="s">
        <v>6119</v>
      </c>
      <c r="G305" t="s">
        <v>74</v>
      </c>
      <c r="H305" t="s">
        <v>74</v>
      </c>
      <c r="I305" t="s">
        <v>6120</v>
      </c>
      <c r="J305" t="s">
        <v>6121</v>
      </c>
      <c r="K305" t="s">
        <v>74</v>
      </c>
      <c r="L305" t="s">
        <v>74</v>
      </c>
      <c r="M305" t="s">
        <v>79</v>
      </c>
      <c r="N305" t="s">
        <v>138</v>
      </c>
      <c r="O305" t="s">
        <v>74</v>
      </c>
      <c r="P305" t="s">
        <v>74</v>
      </c>
      <c r="Q305" t="s">
        <v>74</v>
      </c>
      <c r="R305" t="s">
        <v>74</v>
      </c>
      <c r="S305" t="s">
        <v>74</v>
      </c>
      <c r="T305" t="s">
        <v>6122</v>
      </c>
      <c r="U305" t="s">
        <v>6123</v>
      </c>
      <c r="V305" t="s">
        <v>6124</v>
      </c>
      <c r="W305" t="s">
        <v>6125</v>
      </c>
      <c r="X305" t="s">
        <v>6126</v>
      </c>
      <c r="Y305" t="s">
        <v>6127</v>
      </c>
      <c r="Z305" t="s">
        <v>6128</v>
      </c>
      <c r="AA305" t="s">
        <v>6129</v>
      </c>
      <c r="AB305" t="s">
        <v>6130</v>
      </c>
      <c r="AC305" t="s">
        <v>6131</v>
      </c>
      <c r="AD305" t="s">
        <v>6131</v>
      </c>
      <c r="AE305" t="s">
        <v>6132</v>
      </c>
      <c r="AF305" t="s">
        <v>74</v>
      </c>
      <c r="AG305">
        <v>63</v>
      </c>
      <c r="AH305">
        <v>2</v>
      </c>
      <c r="AI305">
        <v>2</v>
      </c>
      <c r="AJ305">
        <v>40</v>
      </c>
      <c r="AK305">
        <v>63</v>
      </c>
      <c r="AL305" t="s">
        <v>1379</v>
      </c>
      <c r="AM305" t="s">
        <v>1380</v>
      </c>
      <c r="AN305" t="s">
        <v>1381</v>
      </c>
      <c r="AO305" t="s">
        <v>6133</v>
      </c>
      <c r="AP305" t="s">
        <v>6134</v>
      </c>
      <c r="AQ305" t="s">
        <v>74</v>
      </c>
      <c r="AR305" t="s">
        <v>6135</v>
      </c>
      <c r="AS305" t="s">
        <v>6136</v>
      </c>
      <c r="AT305" t="s">
        <v>6137</v>
      </c>
      <c r="AU305">
        <v>2023</v>
      </c>
      <c r="AV305" t="s">
        <v>74</v>
      </c>
      <c r="AW305" t="s">
        <v>74</v>
      </c>
      <c r="AX305" t="s">
        <v>74</v>
      </c>
      <c r="AY305" t="s">
        <v>74</v>
      </c>
      <c r="AZ305" t="s">
        <v>74</v>
      </c>
      <c r="BA305" t="s">
        <v>74</v>
      </c>
      <c r="BB305" t="s">
        <v>74</v>
      </c>
      <c r="BC305" t="s">
        <v>74</v>
      </c>
      <c r="BD305" t="s">
        <v>74</v>
      </c>
      <c r="BE305" t="s">
        <v>6138</v>
      </c>
      <c r="BF305" t="str">
        <f>HYPERLINK("http://dx.doi.org/10.1109/TEM.2023.3268340","http://dx.doi.org/10.1109/TEM.2023.3268340")</f>
        <v>http://dx.doi.org/10.1109/TEM.2023.3268340</v>
      </c>
      <c r="BG305" t="s">
        <v>74</v>
      </c>
      <c r="BH305" t="s">
        <v>2889</v>
      </c>
      <c r="BI305">
        <v>14</v>
      </c>
      <c r="BJ305" t="s">
        <v>6139</v>
      </c>
      <c r="BK305" t="s">
        <v>947</v>
      </c>
      <c r="BL305" t="s">
        <v>6140</v>
      </c>
      <c r="BM305" t="s">
        <v>6141</v>
      </c>
      <c r="BN305" t="s">
        <v>74</v>
      </c>
      <c r="BO305" t="s">
        <v>2310</v>
      </c>
      <c r="BP305" t="s">
        <v>74</v>
      </c>
      <c r="BQ305" t="s">
        <v>74</v>
      </c>
      <c r="BR305" t="s">
        <v>101</v>
      </c>
      <c r="BS305" t="s">
        <v>6142</v>
      </c>
      <c r="BT305" t="str">
        <f>HYPERLINK("https%3A%2F%2Fwww.webofscience.com%2Fwos%2Fwoscc%2Ffull-record%2FWOS:000982501600001","View Full Record in Web of Science")</f>
        <v>View Full Record in Web of Science</v>
      </c>
    </row>
    <row r="306" spans="1:72" x14ac:dyDescent="0.2">
      <c r="A306" t="s">
        <v>103</v>
      </c>
      <c r="B306" t="s">
        <v>6143</v>
      </c>
      <c r="C306" t="s">
        <v>74</v>
      </c>
      <c r="D306" t="s">
        <v>74</v>
      </c>
      <c r="E306" t="s">
        <v>74</v>
      </c>
      <c r="F306" t="s">
        <v>6144</v>
      </c>
      <c r="G306" t="s">
        <v>74</v>
      </c>
      <c r="H306" t="s">
        <v>74</v>
      </c>
      <c r="I306" t="s">
        <v>6145</v>
      </c>
      <c r="J306" t="s">
        <v>6146</v>
      </c>
      <c r="K306" t="s">
        <v>74</v>
      </c>
      <c r="L306" t="s">
        <v>74</v>
      </c>
      <c r="M306" t="s">
        <v>79</v>
      </c>
      <c r="N306" t="s">
        <v>108</v>
      </c>
      <c r="O306" t="s">
        <v>74</v>
      </c>
      <c r="P306" t="s">
        <v>74</v>
      </c>
      <c r="Q306" t="s">
        <v>74</v>
      </c>
      <c r="R306" t="s">
        <v>74</v>
      </c>
      <c r="S306" t="s">
        <v>74</v>
      </c>
      <c r="T306" t="s">
        <v>6147</v>
      </c>
      <c r="U306" t="s">
        <v>6148</v>
      </c>
      <c r="V306" t="s">
        <v>6149</v>
      </c>
      <c r="W306" t="s">
        <v>6150</v>
      </c>
      <c r="X306" t="s">
        <v>5678</v>
      </c>
      <c r="Y306" t="s">
        <v>6151</v>
      </c>
      <c r="Z306" t="s">
        <v>6152</v>
      </c>
      <c r="AA306" t="s">
        <v>74</v>
      </c>
      <c r="AB306" t="s">
        <v>6153</v>
      </c>
      <c r="AC306" t="s">
        <v>74</v>
      </c>
      <c r="AD306" t="s">
        <v>74</v>
      </c>
      <c r="AE306" t="s">
        <v>74</v>
      </c>
      <c r="AF306" t="s">
        <v>74</v>
      </c>
      <c r="AG306">
        <v>73</v>
      </c>
      <c r="AH306">
        <v>3</v>
      </c>
      <c r="AI306">
        <v>3</v>
      </c>
      <c r="AJ306">
        <v>0</v>
      </c>
      <c r="AK306">
        <v>0</v>
      </c>
      <c r="AL306" t="s">
        <v>764</v>
      </c>
      <c r="AM306" t="s">
        <v>765</v>
      </c>
      <c r="AN306" t="s">
        <v>766</v>
      </c>
      <c r="AO306" t="s">
        <v>6154</v>
      </c>
      <c r="AP306" t="s">
        <v>74</v>
      </c>
      <c r="AQ306" t="s">
        <v>74</v>
      </c>
      <c r="AR306" t="s">
        <v>6155</v>
      </c>
      <c r="AS306" t="s">
        <v>6156</v>
      </c>
      <c r="AT306" t="s">
        <v>445</v>
      </c>
      <c r="AU306">
        <v>2023</v>
      </c>
      <c r="AV306">
        <v>12</v>
      </c>
      <c r="AW306" t="s">
        <v>74</v>
      </c>
      <c r="AX306" t="s">
        <v>74</v>
      </c>
      <c r="AY306" t="s">
        <v>74</v>
      </c>
      <c r="AZ306" t="s">
        <v>74</v>
      </c>
      <c r="BA306" t="s">
        <v>74</v>
      </c>
      <c r="BB306" t="s">
        <v>74</v>
      </c>
      <c r="BC306" t="s">
        <v>74</v>
      </c>
      <c r="BD306">
        <v>100223</v>
      </c>
      <c r="BE306" t="s">
        <v>6157</v>
      </c>
      <c r="BF306" t="str">
        <f>HYPERLINK("http://dx.doi.org/10.1016/j.egyai.2022.100223","http://dx.doi.org/10.1016/j.egyai.2022.100223")</f>
        <v>http://dx.doi.org/10.1016/j.egyai.2022.100223</v>
      </c>
      <c r="BG306" t="s">
        <v>74</v>
      </c>
      <c r="BH306" t="s">
        <v>74</v>
      </c>
      <c r="BI306">
        <v>21</v>
      </c>
      <c r="BJ306" t="s">
        <v>6158</v>
      </c>
      <c r="BK306" t="s">
        <v>352</v>
      </c>
      <c r="BL306" t="s">
        <v>6159</v>
      </c>
      <c r="BM306" t="s">
        <v>6160</v>
      </c>
      <c r="BN306" t="s">
        <v>74</v>
      </c>
      <c r="BO306" t="s">
        <v>4337</v>
      </c>
      <c r="BP306" t="s">
        <v>74</v>
      </c>
      <c r="BQ306" t="s">
        <v>74</v>
      </c>
      <c r="BR306" t="s">
        <v>101</v>
      </c>
      <c r="BS306" t="s">
        <v>6161</v>
      </c>
      <c r="BT306" t="str">
        <f>HYPERLINK("https%3A%2F%2Fwww.webofscience.com%2Fwos%2Fwoscc%2Ffull-record%2FWOS:001106746100001","View Full Record in Web of Science")</f>
        <v>View Full Record in Web of Science</v>
      </c>
    </row>
    <row r="307" spans="1:72" x14ac:dyDescent="0.2">
      <c r="A307" t="s">
        <v>103</v>
      </c>
      <c r="B307" t="s">
        <v>6162</v>
      </c>
      <c r="C307" t="s">
        <v>74</v>
      </c>
      <c r="D307" t="s">
        <v>74</v>
      </c>
      <c r="E307" t="s">
        <v>74</v>
      </c>
      <c r="F307" t="s">
        <v>6163</v>
      </c>
      <c r="G307" t="s">
        <v>74</v>
      </c>
      <c r="H307" t="s">
        <v>74</v>
      </c>
      <c r="I307" t="s">
        <v>6164</v>
      </c>
      <c r="J307" t="s">
        <v>6165</v>
      </c>
      <c r="K307" t="s">
        <v>74</v>
      </c>
      <c r="L307" t="s">
        <v>74</v>
      </c>
      <c r="M307" t="s">
        <v>79</v>
      </c>
      <c r="N307" t="s">
        <v>108</v>
      </c>
      <c r="O307" t="s">
        <v>74</v>
      </c>
      <c r="P307" t="s">
        <v>74</v>
      </c>
      <c r="Q307" t="s">
        <v>74</v>
      </c>
      <c r="R307" t="s">
        <v>74</v>
      </c>
      <c r="S307" t="s">
        <v>74</v>
      </c>
      <c r="T307" t="s">
        <v>6166</v>
      </c>
      <c r="U307" t="s">
        <v>6167</v>
      </c>
      <c r="V307" t="s">
        <v>6168</v>
      </c>
      <c r="W307" t="s">
        <v>6169</v>
      </c>
      <c r="X307" t="s">
        <v>6170</v>
      </c>
      <c r="Y307" t="s">
        <v>6171</v>
      </c>
      <c r="Z307" t="s">
        <v>6172</v>
      </c>
      <c r="AA307" t="s">
        <v>74</v>
      </c>
      <c r="AB307" t="s">
        <v>6173</v>
      </c>
      <c r="AC307" t="s">
        <v>6174</v>
      </c>
      <c r="AD307" t="s">
        <v>6175</v>
      </c>
      <c r="AE307" t="s">
        <v>6176</v>
      </c>
      <c r="AF307" t="s">
        <v>74</v>
      </c>
      <c r="AG307">
        <v>60</v>
      </c>
      <c r="AH307">
        <v>0</v>
      </c>
      <c r="AI307">
        <v>0</v>
      </c>
      <c r="AJ307">
        <v>4</v>
      </c>
      <c r="AK307">
        <v>4</v>
      </c>
      <c r="AL307" t="s">
        <v>6089</v>
      </c>
      <c r="AM307" t="s">
        <v>149</v>
      </c>
      <c r="AN307" t="s">
        <v>6090</v>
      </c>
      <c r="AO307" t="s">
        <v>6177</v>
      </c>
      <c r="AP307" t="s">
        <v>6178</v>
      </c>
      <c r="AQ307" t="s">
        <v>74</v>
      </c>
      <c r="AR307" t="s">
        <v>6179</v>
      </c>
      <c r="AS307" t="s">
        <v>6180</v>
      </c>
      <c r="AT307" t="s">
        <v>251</v>
      </c>
      <c r="AU307">
        <v>2024</v>
      </c>
      <c r="AV307">
        <v>222</v>
      </c>
      <c r="AW307" t="s">
        <v>74</v>
      </c>
      <c r="AX307" t="s">
        <v>74</v>
      </c>
      <c r="AY307" t="s">
        <v>74</v>
      </c>
      <c r="AZ307" t="s">
        <v>74</v>
      </c>
      <c r="BA307" t="s">
        <v>74</v>
      </c>
      <c r="BB307" t="s">
        <v>74</v>
      </c>
      <c r="BC307" t="s">
        <v>74</v>
      </c>
      <c r="BD307">
        <v>103812</v>
      </c>
      <c r="BE307" t="s">
        <v>6181</v>
      </c>
      <c r="BF307" t="str">
        <f>HYPERLINK("http://dx.doi.org/10.1016/j.jnca.2023.103812","http://dx.doi.org/10.1016/j.jnca.2023.103812")</f>
        <v>http://dx.doi.org/10.1016/j.jnca.2023.103812</v>
      </c>
      <c r="BG307" t="s">
        <v>74</v>
      </c>
      <c r="BH307" t="s">
        <v>128</v>
      </c>
      <c r="BI307">
        <v>11</v>
      </c>
      <c r="BJ307" t="s">
        <v>6182</v>
      </c>
      <c r="BK307" t="s">
        <v>130</v>
      </c>
      <c r="BL307" t="s">
        <v>99</v>
      </c>
      <c r="BM307" t="s">
        <v>6183</v>
      </c>
      <c r="BN307" t="s">
        <v>74</v>
      </c>
      <c r="BO307" t="s">
        <v>74</v>
      </c>
      <c r="BP307" t="s">
        <v>74</v>
      </c>
      <c r="BQ307" t="s">
        <v>74</v>
      </c>
      <c r="BR307" t="s">
        <v>101</v>
      </c>
      <c r="BS307" t="s">
        <v>6184</v>
      </c>
      <c r="BT307" t="str">
        <f>HYPERLINK("https%3A%2F%2Fwww.webofscience.com%2Fwos%2Fwoscc%2Ffull-record%2FWOS:001160047600001","View Full Record in Web of Science")</f>
        <v>View Full Record in Web of Science</v>
      </c>
    </row>
    <row r="308" spans="1:72" x14ac:dyDescent="0.2">
      <c r="A308" t="s">
        <v>103</v>
      </c>
      <c r="B308" t="s">
        <v>6185</v>
      </c>
      <c r="C308" t="s">
        <v>74</v>
      </c>
      <c r="D308" t="s">
        <v>74</v>
      </c>
      <c r="E308" t="s">
        <v>74</v>
      </c>
      <c r="F308" t="s">
        <v>6186</v>
      </c>
      <c r="G308" t="s">
        <v>74</v>
      </c>
      <c r="H308" t="s">
        <v>74</v>
      </c>
      <c r="I308" t="s">
        <v>6187</v>
      </c>
      <c r="J308" t="s">
        <v>6188</v>
      </c>
      <c r="K308" t="s">
        <v>74</v>
      </c>
      <c r="L308" t="s">
        <v>74</v>
      </c>
      <c r="M308" t="s">
        <v>79</v>
      </c>
      <c r="N308" t="s">
        <v>108</v>
      </c>
      <c r="O308" t="s">
        <v>74</v>
      </c>
      <c r="P308" t="s">
        <v>74</v>
      </c>
      <c r="Q308" t="s">
        <v>74</v>
      </c>
      <c r="R308" t="s">
        <v>74</v>
      </c>
      <c r="S308" t="s">
        <v>74</v>
      </c>
      <c r="T308" t="s">
        <v>6189</v>
      </c>
      <c r="U308" t="s">
        <v>74</v>
      </c>
      <c r="V308" t="s">
        <v>6190</v>
      </c>
      <c r="W308" t="s">
        <v>6191</v>
      </c>
      <c r="X308" t="s">
        <v>6192</v>
      </c>
      <c r="Y308" t="s">
        <v>6193</v>
      </c>
      <c r="Z308" t="s">
        <v>6194</v>
      </c>
      <c r="AA308" t="s">
        <v>6195</v>
      </c>
      <c r="AB308" t="s">
        <v>6196</v>
      </c>
      <c r="AC308" t="s">
        <v>6197</v>
      </c>
      <c r="AD308" t="s">
        <v>6198</v>
      </c>
      <c r="AE308" t="s">
        <v>6199</v>
      </c>
      <c r="AF308" t="s">
        <v>74</v>
      </c>
      <c r="AG308">
        <v>20</v>
      </c>
      <c r="AH308">
        <v>9</v>
      </c>
      <c r="AI308">
        <v>9</v>
      </c>
      <c r="AJ308">
        <v>24</v>
      </c>
      <c r="AK308">
        <v>44</v>
      </c>
      <c r="AL308" t="s">
        <v>1961</v>
      </c>
      <c r="AM308" t="s">
        <v>1962</v>
      </c>
      <c r="AN308" t="s">
        <v>1963</v>
      </c>
      <c r="AO308" t="s">
        <v>6200</v>
      </c>
      <c r="AP308" t="s">
        <v>6201</v>
      </c>
      <c r="AQ308" t="s">
        <v>74</v>
      </c>
      <c r="AR308" t="s">
        <v>6202</v>
      </c>
      <c r="AS308" t="s">
        <v>6203</v>
      </c>
      <c r="AT308" t="s">
        <v>2582</v>
      </c>
      <c r="AU308">
        <v>2023</v>
      </c>
      <c r="AV308">
        <v>22</v>
      </c>
      <c r="AW308">
        <v>3</v>
      </c>
      <c r="AX308" t="s">
        <v>74</v>
      </c>
      <c r="AY308" t="s">
        <v>74</v>
      </c>
      <c r="AZ308" t="s">
        <v>74</v>
      </c>
      <c r="BA308" t="s">
        <v>74</v>
      </c>
      <c r="BB308">
        <v>781</v>
      </c>
      <c r="BC308">
        <v>793</v>
      </c>
      <c r="BD308" t="s">
        <v>74</v>
      </c>
      <c r="BE308" t="s">
        <v>6204</v>
      </c>
      <c r="BF308" t="str">
        <f>HYPERLINK("http://dx.doi.org/10.1007/s10270-023-01105-5","http://dx.doi.org/10.1007/s10270-023-01105-5")</f>
        <v>http://dx.doi.org/10.1007/s10270-023-01105-5</v>
      </c>
      <c r="BG308" t="s">
        <v>74</v>
      </c>
      <c r="BH308" t="s">
        <v>2889</v>
      </c>
      <c r="BI308">
        <v>13</v>
      </c>
      <c r="BJ308" t="s">
        <v>1563</v>
      </c>
      <c r="BK308" t="s">
        <v>130</v>
      </c>
      <c r="BL308" t="s">
        <v>99</v>
      </c>
      <c r="BM308" t="s">
        <v>6205</v>
      </c>
      <c r="BN308" t="s">
        <v>74</v>
      </c>
      <c r="BO308" t="s">
        <v>1214</v>
      </c>
      <c r="BP308" t="s">
        <v>74</v>
      </c>
      <c r="BQ308" t="s">
        <v>74</v>
      </c>
      <c r="BR308" t="s">
        <v>101</v>
      </c>
      <c r="BS308" t="s">
        <v>6206</v>
      </c>
      <c r="BT308" t="str">
        <f>HYPERLINK("https%3A%2F%2Fwww.webofscience.com%2Fwos%2Fwoscc%2Ffull-record%2FWOS:000992393200001","View Full Record in Web of Science")</f>
        <v>View Full Record in Web of Science</v>
      </c>
    </row>
    <row r="309" spans="1:72" x14ac:dyDescent="0.2">
      <c r="A309" t="s">
        <v>72</v>
      </c>
      <c r="B309" t="s">
        <v>6207</v>
      </c>
      <c r="C309" t="s">
        <v>74</v>
      </c>
      <c r="D309" t="s">
        <v>3598</v>
      </c>
      <c r="E309" t="s">
        <v>74</v>
      </c>
      <c r="F309" t="s">
        <v>6208</v>
      </c>
      <c r="G309" t="s">
        <v>74</v>
      </c>
      <c r="H309" t="s">
        <v>74</v>
      </c>
      <c r="I309" t="s">
        <v>6209</v>
      </c>
      <c r="J309" t="s">
        <v>3601</v>
      </c>
      <c r="K309" t="s">
        <v>312</v>
      </c>
      <c r="L309" t="s">
        <v>74</v>
      </c>
      <c r="M309" t="s">
        <v>79</v>
      </c>
      <c r="N309" t="s">
        <v>80</v>
      </c>
      <c r="O309" t="s">
        <v>3602</v>
      </c>
      <c r="P309" t="s">
        <v>3603</v>
      </c>
      <c r="Q309" t="s">
        <v>3604</v>
      </c>
      <c r="R309" t="s">
        <v>74</v>
      </c>
      <c r="S309" t="s">
        <v>74</v>
      </c>
      <c r="T309" t="s">
        <v>6210</v>
      </c>
      <c r="U309" t="s">
        <v>74</v>
      </c>
      <c r="V309" t="s">
        <v>6211</v>
      </c>
      <c r="W309" t="s">
        <v>6212</v>
      </c>
      <c r="X309" t="s">
        <v>3608</v>
      </c>
      <c r="Y309" t="s">
        <v>6213</v>
      </c>
      <c r="Z309" t="s">
        <v>6214</v>
      </c>
      <c r="AA309" t="s">
        <v>74</v>
      </c>
      <c r="AB309" t="s">
        <v>74</v>
      </c>
      <c r="AC309" t="s">
        <v>6215</v>
      </c>
      <c r="AD309" t="s">
        <v>6216</v>
      </c>
      <c r="AE309" t="s">
        <v>6217</v>
      </c>
      <c r="AF309" t="s">
        <v>74</v>
      </c>
      <c r="AG309">
        <v>15</v>
      </c>
      <c r="AH309">
        <v>0</v>
      </c>
      <c r="AI309">
        <v>0</v>
      </c>
      <c r="AJ309">
        <v>0</v>
      </c>
      <c r="AK309">
        <v>0</v>
      </c>
      <c r="AL309" t="s">
        <v>325</v>
      </c>
      <c r="AM309" t="s">
        <v>245</v>
      </c>
      <c r="AN309" t="s">
        <v>246</v>
      </c>
      <c r="AO309" t="s">
        <v>326</v>
      </c>
      <c r="AP309" t="s">
        <v>327</v>
      </c>
      <c r="AQ309" t="s">
        <v>3614</v>
      </c>
      <c r="AR309" t="s">
        <v>329</v>
      </c>
      <c r="AS309" t="s">
        <v>74</v>
      </c>
      <c r="AT309" t="s">
        <v>74</v>
      </c>
      <c r="AU309">
        <v>2023</v>
      </c>
      <c r="AV309">
        <v>13988</v>
      </c>
      <c r="AW309" t="s">
        <v>74</v>
      </c>
      <c r="AX309" t="s">
        <v>74</v>
      </c>
      <c r="AY309" t="s">
        <v>74</v>
      </c>
      <c r="AZ309" t="s">
        <v>74</v>
      </c>
      <c r="BA309" t="s">
        <v>74</v>
      </c>
      <c r="BB309">
        <v>67</v>
      </c>
      <c r="BC309">
        <v>83</v>
      </c>
      <c r="BD309" t="s">
        <v>74</v>
      </c>
      <c r="BE309" t="s">
        <v>6218</v>
      </c>
      <c r="BF309" t="str">
        <f>HYPERLINK("http://dx.doi.org/10.1007/978-3-031-29956-8_5","http://dx.doi.org/10.1007/978-3-031-29956-8_5")</f>
        <v>http://dx.doi.org/10.1007/978-3-031-29956-8_5</v>
      </c>
      <c r="BG309" t="s">
        <v>74</v>
      </c>
      <c r="BH309" t="s">
        <v>74</v>
      </c>
      <c r="BI309">
        <v>17</v>
      </c>
      <c r="BJ309" t="s">
        <v>1851</v>
      </c>
      <c r="BK309" t="s">
        <v>98</v>
      </c>
      <c r="BL309" t="s">
        <v>99</v>
      </c>
      <c r="BM309" t="s">
        <v>3616</v>
      </c>
      <c r="BN309" t="s">
        <v>74</v>
      </c>
      <c r="BO309" t="s">
        <v>74</v>
      </c>
      <c r="BP309" t="s">
        <v>74</v>
      </c>
      <c r="BQ309" t="s">
        <v>74</v>
      </c>
      <c r="BR309" t="s">
        <v>101</v>
      </c>
      <c r="BS309" t="s">
        <v>6219</v>
      </c>
      <c r="BT309" t="str">
        <f>HYPERLINK("https%3A%2F%2Fwww.webofscience.com%2Fwos%2Fwoscc%2Ffull-record%2FWOS:000999872400005","View Full Record in Web of Science")</f>
        <v>View Full Record in Web of Science</v>
      </c>
    </row>
    <row r="310" spans="1:72" x14ac:dyDescent="0.2">
      <c r="A310" t="s">
        <v>103</v>
      </c>
      <c r="B310" t="s">
        <v>6220</v>
      </c>
      <c r="C310" t="s">
        <v>74</v>
      </c>
      <c r="D310" t="s">
        <v>74</v>
      </c>
      <c r="E310" t="s">
        <v>74</v>
      </c>
      <c r="F310" t="s">
        <v>6221</v>
      </c>
      <c r="G310" t="s">
        <v>74</v>
      </c>
      <c r="H310" t="s">
        <v>74</v>
      </c>
      <c r="I310" t="s">
        <v>6222</v>
      </c>
      <c r="J310" t="s">
        <v>6223</v>
      </c>
      <c r="K310" t="s">
        <v>74</v>
      </c>
      <c r="L310" t="s">
        <v>74</v>
      </c>
      <c r="M310" t="s">
        <v>79</v>
      </c>
      <c r="N310" t="s">
        <v>108</v>
      </c>
      <c r="O310" t="s">
        <v>74</v>
      </c>
      <c r="P310" t="s">
        <v>74</v>
      </c>
      <c r="Q310" t="s">
        <v>74</v>
      </c>
      <c r="R310" t="s">
        <v>74</v>
      </c>
      <c r="S310" t="s">
        <v>74</v>
      </c>
      <c r="T310" t="s">
        <v>6224</v>
      </c>
      <c r="U310" t="s">
        <v>6225</v>
      </c>
      <c r="V310" t="s">
        <v>6226</v>
      </c>
      <c r="W310" t="s">
        <v>6227</v>
      </c>
      <c r="X310" t="s">
        <v>74</v>
      </c>
      <c r="Y310" t="s">
        <v>6228</v>
      </c>
      <c r="Z310" t="s">
        <v>6229</v>
      </c>
      <c r="AA310" t="s">
        <v>74</v>
      </c>
      <c r="AB310" t="s">
        <v>74</v>
      </c>
      <c r="AC310" t="s">
        <v>74</v>
      </c>
      <c r="AD310" t="s">
        <v>74</v>
      </c>
      <c r="AE310" t="s">
        <v>74</v>
      </c>
      <c r="AF310" t="s">
        <v>74</v>
      </c>
      <c r="AG310">
        <v>53</v>
      </c>
      <c r="AH310">
        <v>3</v>
      </c>
      <c r="AI310">
        <v>3</v>
      </c>
      <c r="AJ310">
        <v>5</v>
      </c>
      <c r="AK310">
        <v>15</v>
      </c>
      <c r="AL310" t="s">
        <v>119</v>
      </c>
      <c r="AM310" t="s">
        <v>120</v>
      </c>
      <c r="AN310" t="s">
        <v>121</v>
      </c>
      <c r="AO310" t="s">
        <v>6230</v>
      </c>
      <c r="AP310" t="s">
        <v>6231</v>
      </c>
      <c r="AQ310" t="s">
        <v>74</v>
      </c>
      <c r="AR310" t="s">
        <v>6232</v>
      </c>
      <c r="AS310" t="s">
        <v>6233</v>
      </c>
      <c r="AT310" t="s">
        <v>5486</v>
      </c>
      <c r="AU310">
        <v>2023</v>
      </c>
      <c r="AV310">
        <v>91</v>
      </c>
      <c r="AW310" t="s">
        <v>74</v>
      </c>
      <c r="AX310" t="s">
        <v>74</v>
      </c>
      <c r="AY310" t="s">
        <v>74</v>
      </c>
      <c r="AZ310" t="s">
        <v>74</v>
      </c>
      <c r="BA310" t="s">
        <v>74</v>
      </c>
      <c r="BB310" t="s">
        <v>74</v>
      </c>
      <c r="BC310" t="s">
        <v>74</v>
      </c>
      <c r="BD310">
        <v>117414</v>
      </c>
      <c r="BE310" t="s">
        <v>6234</v>
      </c>
      <c r="BF310" t="str">
        <f>HYPERLINK("http://dx.doi.org/10.1016/j.bmc.2023.117414","http://dx.doi.org/10.1016/j.bmc.2023.117414")</f>
        <v>http://dx.doi.org/10.1016/j.bmc.2023.117414</v>
      </c>
      <c r="BG310" t="s">
        <v>74</v>
      </c>
      <c r="BH310" t="s">
        <v>229</v>
      </c>
      <c r="BI310">
        <v>13</v>
      </c>
      <c r="BJ310" t="s">
        <v>6235</v>
      </c>
      <c r="BK310" t="s">
        <v>6236</v>
      </c>
      <c r="BL310" t="s">
        <v>6237</v>
      </c>
      <c r="BM310" t="s">
        <v>6238</v>
      </c>
      <c r="BN310">
        <v>37467565</v>
      </c>
      <c r="BO310" t="s">
        <v>74</v>
      </c>
      <c r="BP310" t="s">
        <v>74</v>
      </c>
      <c r="BQ310" t="s">
        <v>74</v>
      </c>
      <c r="BR310" t="s">
        <v>101</v>
      </c>
      <c r="BS310" t="s">
        <v>6239</v>
      </c>
      <c r="BT310" t="str">
        <f>HYPERLINK("https%3A%2F%2Fwww.webofscience.com%2Fwos%2Fwoscc%2Ffull-record%2FWOS:001042740600001","View Full Record in Web of Science")</f>
        <v>View Full Record in Web of Science</v>
      </c>
    </row>
    <row r="311" spans="1:72" x14ac:dyDescent="0.2">
      <c r="A311" t="s">
        <v>103</v>
      </c>
      <c r="B311" t="s">
        <v>6240</v>
      </c>
      <c r="C311" t="s">
        <v>74</v>
      </c>
      <c r="D311" t="s">
        <v>74</v>
      </c>
      <c r="E311" t="s">
        <v>74</v>
      </c>
      <c r="F311" t="s">
        <v>6241</v>
      </c>
      <c r="G311" t="s">
        <v>74</v>
      </c>
      <c r="H311" t="s">
        <v>74</v>
      </c>
      <c r="I311" t="s">
        <v>6242</v>
      </c>
      <c r="J311" t="s">
        <v>6243</v>
      </c>
      <c r="K311" t="s">
        <v>74</v>
      </c>
      <c r="L311" t="s">
        <v>74</v>
      </c>
      <c r="M311" t="s">
        <v>79</v>
      </c>
      <c r="N311" t="s">
        <v>138</v>
      </c>
      <c r="O311" t="s">
        <v>74</v>
      </c>
      <c r="P311" t="s">
        <v>74</v>
      </c>
      <c r="Q311" t="s">
        <v>74</v>
      </c>
      <c r="R311" t="s">
        <v>74</v>
      </c>
      <c r="S311" t="s">
        <v>74</v>
      </c>
      <c r="T311" t="s">
        <v>6244</v>
      </c>
      <c r="U311" t="s">
        <v>6245</v>
      </c>
      <c r="V311" t="s">
        <v>6246</v>
      </c>
      <c r="W311" t="s">
        <v>6247</v>
      </c>
      <c r="X311" t="s">
        <v>6248</v>
      </c>
      <c r="Y311" t="s">
        <v>6249</v>
      </c>
      <c r="Z311" t="s">
        <v>6250</v>
      </c>
      <c r="AA311" t="s">
        <v>6251</v>
      </c>
      <c r="AB311" t="s">
        <v>6252</v>
      </c>
      <c r="AC311" t="s">
        <v>6253</v>
      </c>
      <c r="AD311" t="s">
        <v>6253</v>
      </c>
      <c r="AE311" t="s">
        <v>6253</v>
      </c>
      <c r="AF311" t="s">
        <v>74</v>
      </c>
      <c r="AG311">
        <v>86</v>
      </c>
      <c r="AH311">
        <v>0</v>
      </c>
      <c r="AI311">
        <v>0</v>
      </c>
      <c r="AJ311">
        <v>16</v>
      </c>
      <c r="AK311">
        <v>16</v>
      </c>
      <c r="AL311" t="s">
        <v>3165</v>
      </c>
      <c r="AM311" t="s">
        <v>3166</v>
      </c>
      <c r="AN311" t="s">
        <v>3167</v>
      </c>
      <c r="AO311" t="s">
        <v>6254</v>
      </c>
      <c r="AP311" t="s">
        <v>6255</v>
      </c>
      <c r="AQ311" t="s">
        <v>74</v>
      </c>
      <c r="AR311" t="s">
        <v>6256</v>
      </c>
      <c r="AS311" t="s">
        <v>6257</v>
      </c>
      <c r="AT311" t="s">
        <v>6258</v>
      </c>
      <c r="AU311">
        <v>2023</v>
      </c>
      <c r="AV311" t="s">
        <v>74</v>
      </c>
      <c r="AW311" t="s">
        <v>74</v>
      </c>
      <c r="AX311" t="s">
        <v>74</v>
      </c>
      <c r="AY311" t="s">
        <v>74</v>
      </c>
      <c r="AZ311" t="s">
        <v>74</v>
      </c>
      <c r="BA311" t="s">
        <v>74</v>
      </c>
      <c r="BB311" t="s">
        <v>74</v>
      </c>
      <c r="BC311" t="s">
        <v>74</v>
      </c>
      <c r="BD311" t="s">
        <v>74</v>
      </c>
      <c r="BE311" t="s">
        <v>6259</v>
      </c>
      <c r="BF311" t="str">
        <f>HYPERLINK("http://dx.doi.org/10.1111/deci.12619","http://dx.doi.org/10.1111/deci.12619")</f>
        <v>http://dx.doi.org/10.1111/deci.12619</v>
      </c>
      <c r="BG311" t="s">
        <v>74</v>
      </c>
      <c r="BH311" t="s">
        <v>1886</v>
      </c>
      <c r="BI311">
        <v>21</v>
      </c>
      <c r="BJ311" t="s">
        <v>3464</v>
      </c>
      <c r="BK311" t="s">
        <v>159</v>
      </c>
      <c r="BL311" t="s">
        <v>470</v>
      </c>
      <c r="BM311" t="s">
        <v>6260</v>
      </c>
      <c r="BN311" t="s">
        <v>74</v>
      </c>
      <c r="BO311" t="s">
        <v>161</v>
      </c>
      <c r="BP311" t="s">
        <v>74</v>
      </c>
      <c r="BQ311" t="s">
        <v>74</v>
      </c>
      <c r="BR311" t="s">
        <v>101</v>
      </c>
      <c r="BS311" t="s">
        <v>6261</v>
      </c>
      <c r="BT311" t="str">
        <f>HYPERLINK("https%3A%2F%2Fwww.webofscience.com%2Fwos%2Fwoscc%2Ffull-record%2FWOS:001090779300001","View Full Record in Web of Science")</f>
        <v>View Full Record in Web of Science</v>
      </c>
    </row>
    <row r="312" spans="1:72" x14ac:dyDescent="0.2">
      <c r="A312" t="s">
        <v>103</v>
      </c>
      <c r="B312" t="s">
        <v>6262</v>
      </c>
      <c r="C312" t="s">
        <v>74</v>
      </c>
      <c r="D312" t="s">
        <v>74</v>
      </c>
      <c r="E312" t="s">
        <v>74</v>
      </c>
      <c r="F312" t="s">
        <v>6263</v>
      </c>
      <c r="G312" t="s">
        <v>74</v>
      </c>
      <c r="H312" t="s">
        <v>74</v>
      </c>
      <c r="I312" t="s">
        <v>6264</v>
      </c>
      <c r="J312" t="s">
        <v>6265</v>
      </c>
      <c r="K312" t="s">
        <v>74</v>
      </c>
      <c r="L312" t="s">
        <v>74</v>
      </c>
      <c r="M312" t="s">
        <v>79</v>
      </c>
      <c r="N312" t="s">
        <v>108</v>
      </c>
      <c r="O312" t="s">
        <v>74</v>
      </c>
      <c r="P312" t="s">
        <v>74</v>
      </c>
      <c r="Q312" t="s">
        <v>74</v>
      </c>
      <c r="R312" t="s">
        <v>74</v>
      </c>
      <c r="S312" t="s">
        <v>74</v>
      </c>
      <c r="T312" t="s">
        <v>6266</v>
      </c>
      <c r="U312" t="s">
        <v>498</v>
      </c>
      <c r="V312" t="s">
        <v>6267</v>
      </c>
      <c r="W312" t="s">
        <v>6268</v>
      </c>
      <c r="X312" t="s">
        <v>1146</v>
      </c>
      <c r="Y312" t="s">
        <v>6269</v>
      </c>
      <c r="Z312" t="s">
        <v>6270</v>
      </c>
      <c r="AA312" t="s">
        <v>74</v>
      </c>
      <c r="AB312" t="s">
        <v>74</v>
      </c>
      <c r="AC312" t="s">
        <v>6271</v>
      </c>
      <c r="AD312" t="s">
        <v>6272</v>
      </c>
      <c r="AE312" t="s">
        <v>6273</v>
      </c>
      <c r="AF312" t="s">
        <v>74</v>
      </c>
      <c r="AG312">
        <v>42</v>
      </c>
      <c r="AH312">
        <v>5</v>
      </c>
      <c r="AI312">
        <v>5</v>
      </c>
      <c r="AJ312">
        <v>64</v>
      </c>
      <c r="AK312">
        <v>121</v>
      </c>
      <c r="AL312" t="s">
        <v>6274</v>
      </c>
      <c r="AM312" t="s">
        <v>93</v>
      </c>
      <c r="AN312" t="s">
        <v>6275</v>
      </c>
      <c r="AO312" t="s">
        <v>6276</v>
      </c>
      <c r="AP312" t="s">
        <v>6277</v>
      </c>
      <c r="AQ312" t="s">
        <v>74</v>
      </c>
      <c r="AR312" t="s">
        <v>6278</v>
      </c>
      <c r="AS312" t="s">
        <v>6279</v>
      </c>
      <c r="AT312" t="s">
        <v>816</v>
      </c>
      <c r="AU312">
        <v>2023</v>
      </c>
      <c r="AV312">
        <v>145</v>
      </c>
      <c r="AW312">
        <v>4</v>
      </c>
      <c r="AX312" t="s">
        <v>74</v>
      </c>
      <c r="AY312" t="s">
        <v>74</v>
      </c>
      <c r="AZ312" t="s">
        <v>74</v>
      </c>
      <c r="BA312" t="s">
        <v>74</v>
      </c>
      <c r="BB312" t="s">
        <v>74</v>
      </c>
      <c r="BC312" t="s">
        <v>74</v>
      </c>
      <c r="BD312">
        <v>41411</v>
      </c>
      <c r="BE312" t="s">
        <v>6280</v>
      </c>
      <c r="BF312" t="str">
        <f>HYPERLINK("http://dx.doi.org/10.1115/1.4056799","http://dx.doi.org/10.1115/1.4056799")</f>
        <v>http://dx.doi.org/10.1115/1.4056799</v>
      </c>
      <c r="BG312" t="s">
        <v>74</v>
      </c>
      <c r="BH312" t="s">
        <v>74</v>
      </c>
      <c r="BI312">
        <v>11</v>
      </c>
      <c r="BJ312" t="s">
        <v>6281</v>
      </c>
      <c r="BK312" t="s">
        <v>130</v>
      </c>
      <c r="BL312" t="s">
        <v>2823</v>
      </c>
      <c r="BM312" t="s">
        <v>6282</v>
      </c>
      <c r="BN312" t="s">
        <v>74</v>
      </c>
      <c r="BO312" t="s">
        <v>74</v>
      </c>
      <c r="BP312" t="s">
        <v>74</v>
      </c>
      <c r="BQ312" t="s">
        <v>74</v>
      </c>
      <c r="BR312" t="s">
        <v>101</v>
      </c>
      <c r="BS312" t="s">
        <v>6283</v>
      </c>
      <c r="BT312" t="str">
        <f>HYPERLINK("https%3A%2F%2Fwww.webofscience.com%2Fwos%2Fwoscc%2Ffull-record%2FWOS:000949997800003","View Full Record in Web of Science")</f>
        <v>View Full Record in Web of Science</v>
      </c>
    </row>
    <row r="313" spans="1:72" x14ac:dyDescent="0.2">
      <c r="A313" t="s">
        <v>72</v>
      </c>
      <c r="B313" t="s">
        <v>6284</v>
      </c>
      <c r="C313" t="s">
        <v>74</v>
      </c>
      <c r="D313" t="s">
        <v>6285</v>
      </c>
      <c r="E313" t="s">
        <v>74</v>
      </c>
      <c r="F313" t="s">
        <v>6286</v>
      </c>
      <c r="G313" t="s">
        <v>74</v>
      </c>
      <c r="H313" t="s">
        <v>74</v>
      </c>
      <c r="I313" t="s">
        <v>6287</v>
      </c>
      <c r="J313" t="s">
        <v>6288</v>
      </c>
      <c r="K313" t="s">
        <v>312</v>
      </c>
      <c r="L313" t="s">
        <v>74</v>
      </c>
      <c r="M313" t="s">
        <v>79</v>
      </c>
      <c r="N313" t="s">
        <v>80</v>
      </c>
      <c r="O313" t="s">
        <v>6289</v>
      </c>
      <c r="P313" t="s">
        <v>6290</v>
      </c>
      <c r="Q313" t="s">
        <v>6291</v>
      </c>
      <c r="R313" t="s">
        <v>6292</v>
      </c>
      <c r="S313" t="s">
        <v>6293</v>
      </c>
      <c r="T313" t="s">
        <v>6294</v>
      </c>
      <c r="U313" t="s">
        <v>74</v>
      </c>
      <c r="V313" t="s">
        <v>6295</v>
      </c>
      <c r="W313" t="s">
        <v>6296</v>
      </c>
      <c r="X313" t="s">
        <v>6297</v>
      </c>
      <c r="Y313" t="s">
        <v>6298</v>
      </c>
      <c r="Z313" t="s">
        <v>6299</v>
      </c>
      <c r="AA313" t="s">
        <v>6300</v>
      </c>
      <c r="AB313" t="s">
        <v>6301</v>
      </c>
      <c r="AC313" t="s">
        <v>74</v>
      </c>
      <c r="AD313" t="s">
        <v>74</v>
      </c>
      <c r="AE313" t="s">
        <v>74</v>
      </c>
      <c r="AF313" t="s">
        <v>74</v>
      </c>
      <c r="AG313">
        <v>5</v>
      </c>
      <c r="AH313">
        <v>0</v>
      </c>
      <c r="AI313">
        <v>0</v>
      </c>
      <c r="AJ313">
        <v>0</v>
      </c>
      <c r="AK313">
        <v>0</v>
      </c>
      <c r="AL313" t="s">
        <v>5011</v>
      </c>
      <c r="AM313" t="s">
        <v>5012</v>
      </c>
      <c r="AN313" t="s">
        <v>5013</v>
      </c>
      <c r="AO313" t="s">
        <v>326</v>
      </c>
      <c r="AP313" t="s">
        <v>327</v>
      </c>
      <c r="AQ313" t="s">
        <v>6302</v>
      </c>
      <c r="AR313" t="s">
        <v>329</v>
      </c>
      <c r="AS313" t="s">
        <v>74</v>
      </c>
      <c r="AT313" t="s">
        <v>74</v>
      </c>
      <c r="AU313">
        <v>2023</v>
      </c>
      <c r="AV313">
        <v>14455</v>
      </c>
      <c r="AW313" t="s">
        <v>74</v>
      </c>
      <c r="AX313" t="s">
        <v>74</v>
      </c>
      <c r="AY313" t="s">
        <v>74</v>
      </c>
      <c r="AZ313" t="s">
        <v>74</v>
      </c>
      <c r="BA313" t="s">
        <v>74</v>
      </c>
      <c r="BB313">
        <v>524</v>
      </c>
      <c r="BC313">
        <v>526</v>
      </c>
      <c r="BD313" t="s">
        <v>74</v>
      </c>
      <c r="BE313" t="s">
        <v>74</v>
      </c>
      <c r="BF313" t="s">
        <v>74</v>
      </c>
      <c r="BG313" t="s">
        <v>74</v>
      </c>
      <c r="BH313" t="s">
        <v>74</v>
      </c>
      <c r="BI313">
        <v>3</v>
      </c>
      <c r="BJ313" t="s">
        <v>400</v>
      </c>
      <c r="BK313" t="s">
        <v>98</v>
      </c>
      <c r="BL313" t="s">
        <v>99</v>
      </c>
      <c r="BM313" t="s">
        <v>6303</v>
      </c>
      <c r="BN313" t="s">
        <v>74</v>
      </c>
      <c r="BO313" t="s">
        <v>74</v>
      </c>
      <c r="BP313" t="s">
        <v>74</v>
      </c>
      <c r="BQ313" t="s">
        <v>74</v>
      </c>
      <c r="BR313" t="s">
        <v>101</v>
      </c>
      <c r="BS313" t="s">
        <v>6304</v>
      </c>
      <c r="BT313" t="str">
        <f>HYPERLINK("https%3A%2F%2Fwww.webofscience.com%2Fwos%2Fwoscc%2Ffull-record%2FWOS:001160614300050","View Full Record in Web of Science")</f>
        <v>View Full Record in Web of Science</v>
      </c>
    </row>
    <row r="314" spans="1:72" x14ac:dyDescent="0.2">
      <c r="A314" t="s">
        <v>103</v>
      </c>
      <c r="B314" t="s">
        <v>6305</v>
      </c>
      <c r="C314" t="s">
        <v>74</v>
      </c>
      <c r="D314" t="s">
        <v>74</v>
      </c>
      <c r="E314" t="s">
        <v>74</v>
      </c>
      <c r="F314" t="s">
        <v>6306</v>
      </c>
      <c r="G314" t="s">
        <v>74</v>
      </c>
      <c r="H314" t="s">
        <v>74</v>
      </c>
      <c r="I314" t="s">
        <v>6307</v>
      </c>
      <c r="J314" t="s">
        <v>2433</v>
      </c>
      <c r="K314" t="s">
        <v>74</v>
      </c>
      <c r="L314" t="s">
        <v>74</v>
      </c>
      <c r="M314" t="s">
        <v>79</v>
      </c>
      <c r="N314" t="s">
        <v>108</v>
      </c>
      <c r="O314" t="s">
        <v>74</v>
      </c>
      <c r="P314" t="s">
        <v>74</v>
      </c>
      <c r="Q314" t="s">
        <v>74</v>
      </c>
      <c r="R314" t="s">
        <v>74</v>
      </c>
      <c r="S314" t="s">
        <v>74</v>
      </c>
      <c r="T314" t="s">
        <v>6308</v>
      </c>
      <c r="U314" t="s">
        <v>74</v>
      </c>
      <c r="V314" t="s">
        <v>6309</v>
      </c>
      <c r="W314" t="s">
        <v>6310</v>
      </c>
      <c r="X314" t="s">
        <v>6311</v>
      </c>
      <c r="Y314" t="s">
        <v>6312</v>
      </c>
      <c r="Z314" t="s">
        <v>6313</v>
      </c>
      <c r="AA314" t="s">
        <v>6314</v>
      </c>
      <c r="AB314" t="s">
        <v>6315</v>
      </c>
      <c r="AC314" t="s">
        <v>6316</v>
      </c>
      <c r="AD314" t="s">
        <v>6317</v>
      </c>
      <c r="AE314" t="s">
        <v>6318</v>
      </c>
      <c r="AF314" t="s">
        <v>74</v>
      </c>
      <c r="AG314">
        <v>19</v>
      </c>
      <c r="AH314">
        <v>1</v>
      </c>
      <c r="AI314">
        <v>1</v>
      </c>
      <c r="AJ314">
        <v>1</v>
      </c>
      <c r="AK314">
        <v>1</v>
      </c>
      <c r="AL314" t="s">
        <v>939</v>
      </c>
      <c r="AM314" t="s">
        <v>940</v>
      </c>
      <c r="AN314" t="s">
        <v>941</v>
      </c>
      <c r="AO314" t="s">
        <v>74</v>
      </c>
      <c r="AP314" t="s">
        <v>2444</v>
      </c>
      <c r="AQ314" t="s">
        <v>74</v>
      </c>
      <c r="AR314" t="s">
        <v>2445</v>
      </c>
      <c r="AS314" t="s">
        <v>2446</v>
      </c>
      <c r="AT314" t="s">
        <v>771</v>
      </c>
      <c r="AU314">
        <v>2023</v>
      </c>
      <c r="AV314">
        <v>13</v>
      </c>
      <c r="AW314">
        <v>18</v>
      </c>
      <c r="AX314" t="s">
        <v>74</v>
      </c>
      <c r="AY314" t="s">
        <v>74</v>
      </c>
      <c r="AZ314" t="s">
        <v>74</v>
      </c>
      <c r="BA314" t="s">
        <v>74</v>
      </c>
      <c r="BB314" t="s">
        <v>74</v>
      </c>
      <c r="BC314" t="s">
        <v>74</v>
      </c>
      <c r="BD314">
        <v>10132</v>
      </c>
      <c r="BE314" t="s">
        <v>6319</v>
      </c>
      <c r="BF314" t="str">
        <f>HYPERLINK("http://dx.doi.org/10.3390/app131810132","http://dx.doi.org/10.3390/app131810132")</f>
        <v>http://dx.doi.org/10.3390/app131810132</v>
      </c>
      <c r="BG314" t="s">
        <v>74</v>
      </c>
      <c r="BH314" t="s">
        <v>74</v>
      </c>
      <c r="BI314">
        <v>14</v>
      </c>
      <c r="BJ314" t="s">
        <v>2448</v>
      </c>
      <c r="BK314" t="s">
        <v>130</v>
      </c>
      <c r="BL314" t="s">
        <v>2449</v>
      </c>
      <c r="BM314" t="s">
        <v>6320</v>
      </c>
      <c r="BN314" t="s">
        <v>74</v>
      </c>
      <c r="BO314" t="s">
        <v>1711</v>
      </c>
      <c r="BP314" t="s">
        <v>74</v>
      </c>
      <c r="BQ314" t="s">
        <v>74</v>
      </c>
      <c r="BR314" t="s">
        <v>101</v>
      </c>
      <c r="BS314" t="s">
        <v>6321</v>
      </c>
      <c r="BT314" t="str">
        <f>HYPERLINK("https%3A%2F%2Fwww.webofscience.com%2Fwos%2Fwoscc%2Ffull-record%2FWOS:001119190900001","View Full Record in Web of Science")</f>
        <v>View Full Record in Web of Science</v>
      </c>
    </row>
    <row r="315" spans="1:72" x14ac:dyDescent="0.2">
      <c r="A315" t="s">
        <v>103</v>
      </c>
      <c r="B315" t="s">
        <v>6322</v>
      </c>
      <c r="C315" t="s">
        <v>74</v>
      </c>
      <c r="D315" t="s">
        <v>74</v>
      </c>
      <c r="E315" t="s">
        <v>74</v>
      </c>
      <c r="F315" t="s">
        <v>6323</v>
      </c>
      <c r="G315" t="s">
        <v>74</v>
      </c>
      <c r="H315" t="s">
        <v>74</v>
      </c>
      <c r="I315" t="s">
        <v>6324</v>
      </c>
      <c r="J315" t="s">
        <v>4568</v>
      </c>
      <c r="K315" t="s">
        <v>74</v>
      </c>
      <c r="L315" t="s">
        <v>74</v>
      </c>
      <c r="M315" t="s">
        <v>79</v>
      </c>
      <c r="N315" t="s">
        <v>108</v>
      </c>
      <c r="O315" t="s">
        <v>74</v>
      </c>
      <c r="P315" t="s">
        <v>74</v>
      </c>
      <c r="Q315" t="s">
        <v>74</v>
      </c>
      <c r="R315" t="s">
        <v>74</v>
      </c>
      <c r="S315" t="s">
        <v>74</v>
      </c>
      <c r="T315" t="s">
        <v>6325</v>
      </c>
      <c r="U315" t="s">
        <v>6326</v>
      </c>
      <c r="V315" t="s">
        <v>6327</v>
      </c>
      <c r="W315" t="s">
        <v>6328</v>
      </c>
      <c r="X315" t="s">
        <v>6329</v>
      </c>
      <c r="Y315" t="s">
        <v>6330</v>
      </c>
      <c r="Z315" t="s">
        <v>6331</v>
      </c>
      <c r="AA315" t="s">
        <v>74</v>
      </c>
      <c r="AB315" t="s">
        <v>6332</v>
      </c>
      <c r="AC315" t="s">
        <v>6333</v>
      </c>
      <c r="AD315" t="s">
        <v>6334</v>
      </c>
      <c r="AE315" t="s">
        <v>6335</v>
      </c>
      <c r="AF315" t="s">
        <v>74</v>
      </c>
      <c r="AG315">
        <v>41</v>
      </c>
      <c r="AH315">
        <v>0</v>
      </c>
      <c r="AI315">
        <v>0</v>
      </c>
      <c r="AJ315">
        <v>8</v>
      </c>
      <c r="AK315">
        <v>8</v>
      </c>
      <c r="AL315" t="s">
        <v>119</v>
      </c>
      <c r="AM315" t="s">
        <v>120</v>
      </c>
      <c r="AN315" t="s">
        <v>121</v>
      </c>
      <c r="AO315" t="s">
        <v>4581</v>
      </c>
      <c r="AP315" t="s">
        <v>4582</v>
      </c>
      <c r="AQ315" t="s">
        <v>74</v>
      </c>
      <c r="AR315" t="s">
        <v>4583</v>
      </c>
      <c r="AS315" t="s">
        <v>4584</v>
      </c>
      <c r="AT315" t="s">
        <v>2016</v>
      </c>
      <c r="AU315">
        <v>2024</v>
      </c>
      <c r="AV315">
        <v>168</v>
      </c>
      <c r="AW315" t="s">
        <v>74</v>
      </c>
      <c r="AX315" t="s">
        <v>74</v>
      </c>
      <c r="AY315" t="s">
        <v>74</v>
      </c>
      <c r="AZ315" t="s">
        <v>74</v>
      </c>
      <c r="BA315" t="s">
        <v>74</v>
      </c>
      <c r="BB315" t="s">
        <v>74</v>
      </c>
      <c r="BC315" t="s">
        <v>74</v>
      </c>
      <c r="BD315">
        <v>107738</v>
      </c>
      <c r="BE315" t="s">
        <v>6336</v>
      </c>
      <c r="BF315" t="str">
        <f>HYPERLINK("http://dx.doi.org/10.1016/j.compbiomed.2023.107738","http://dx.doi.org/10.1016/j.compbiomed.2023.107738")</f>
        <v>http://dx.doi.org/10.1016/j.compbiomed.2023.107738</v>
      </c>
      <c r="BG315" t="s">
        <v>74</v>
      </c>
      <c r="BH315" t="s">
        <v>157</v>
      </c>
      <c r="BI315">
        <v>16</v>
      </c>
      <c r="BJ315" t="s">
        <v>4586</v>
      </c>
      <c r="BK315" t="s">
        <v>130</v>
      </c>
      <c r="BL315" t="s">
        <v>4587</v>
      </c>
      <c r="BM315" t="s">
        <v>6337</v>
      </c>
      <c r="BN315">
        <v>37995536</v>
      </c>
      <c r="BO315" t="s">
        <v>74</v>
      </c>
      <c r="BP315" t="s">
        <v>74</v>
      </c>
      <c r="BQ315" t="s">
        <v>74</v>
      </c>
      <c r="BR315" t="s">
        <v>101</v>
      </c>
      <c r="BS315" t="s">
        <v>6338</v>
      </c>
      <c r="BT315" t="str">
        <f>HYPERLINK("https%3A%2F%2Fwww.webofscience.com%2Fwos%2Fwoscc%2Ffull-record%2FWOS:001125105300001","View Full Record in Web of Science")</f>
        <v>View Full Record in Web of Science</v>
      </c>
    </row>
    <row r="316" spans="1:72" x14ac:dyDescent="0.2">
      <c r="A316" t="s">
        <v>103</v>
      </c>
      <c r="B316" t="s">
        <v>6339</v>
      </c>
      <c r="C316" t="s">
        <v>74</v>
      </c>
      <c r="D316" t="s">
        <v>74</v>
      </c>
      <c r="E316" t="s">
        <v>74</v>
      </c>
      <c r="F316" t="s">
        <v>6340</v>
      </c>
      <c r="G316" t="s">
        <v>74</v>
      </c>
      <c r="H316" t="s">
        <v>74</v>
      </c>
      <c r="I316" t="s">
        <v>6341</v>
      </c>
      <c r="J316" t="s">
        <v>4291</v>
      </c>
      <c r="K316" t="s">
        <v>74</v>
      </c>
      <c r="L316" t="s">
        <v>74</v>
      </c>
      <c r="M316" t="s">
        <v>79</v>
      </c>
      <c r="N316" t="s">
        <v>138</v>
      </c>
      <c r="O316" t="s">
        <v>74</v>
      </c>
      <c r="P316" t="s">
        <v>74</v>
      </c>
      <c r="Q316" t="s">
        <v>74</v>
      </c>
      <c r="R316" t="s">
        <v>74</v>
      </c>
      <c r="S316" t="s">
        <v>74</v>
      </c>
      <c r="T316" t="s">
        <v>6342</v>
      </c>
      <c r="U316" t="s">
        <v>6343</v>
      </c>
      <c r="V316" t="s">
        <v>6344</v>
      </c>
      <c r="W316" t="s">
        <v>6345</v>
      </c>
      <c r="X316" t="s">
        <v>6346</v>
      </c>
      <c r="Y316" t="s">
        <v>6347</v>
      </c>
      <c r="Z316" t="s">
        <v>6348</v>
      </c>
      <c r="AA316" t="s">
        <v>6349</v>
      </c>
      <c r="AB316" t="s">
        <v>6350</v>
      </c>
      <c r="AC316" t="s">
        <v>74</v>
      </c>
      <c r="AD316" t="s">
        <v>74</v>
      </c>
      <c r="AE316" t="s">
        <v>74</v>
      </c>
      <c r="AF316" t="s">
        <v>74</v>
      </c>
      <c r="AG316">
        <v>149</v>
      </c>
      <c r="AH316">
        <v>4</v>
      </c>
      <c r="AI316">
        <v>4</v>
      </c>
      <c r="AJ316">
        <v>103</v>
      </c>
      <c r="AK316">
        <v>138</v>
      </c>
      <c r="AL316" t="s">
        <v>220</v>
      </c>
      <c r="AM316" t="s">
        <v>221</v>
      </c>
      <c r="AN316" t="s">
        <v>222</v>
      </c>
      <c r="AO316" t="s">
        <v>4299</v>
      </c>
      <c r="AP316" t="s">
        <v>4300</v>
      </c>
      <c r="AQ316" t="s">
        <v>74</v>
      </c>
      <c r="AR316" t="s">
        <v>4301</v>
      </c>
      <c r="AS316" t="s">
        <v>4302</v>
      </c>
      <c r="AT316" t="s">
        <v>6351</v>
      </c>
      <c r="AU316">
        <v>2023</v>
      </c>
      <c r="AV316" t="s">
        <v>74</v>
      </c>
      <c r="AW316" t="s">
        <v>74</v>
      </c>
      <c r="AX316" t="s">
        <v>74</v>
      </c>
      <c r="AY316" t="s">
        <v>74</v>
      </c>
      <c r="AZ316" t="s">
        <v>74</v>
      </c>
      <c r="BA316" t="s">
        <v>74</v>
      </c>
      <c r="BB316" t="s">
        <v>74</v>
      </c>
      <c r="BC316" t="s">
        <v>74</v>
      </c>
      <c r="BD316" t="s">
        <v>74</v>
      </c>
      <c r="BE316" t="s">
        <v>6352</v>
      </c>
      <c r="BF316" t="str">
        <f>HYPERLINK("http://dx.doi.org/10.1080/10447318.2023.2225931","http://dx.doi.org/10.1080/10447318.2023.2225931")</f>
        <v>http://dx.doi.org/10.1080/10447318.2023.2225931</v>
      </c>
      <c r="BG316" t="s">
        <v>74</v>
      </c>
      <c r="BH316" t="s">
        <v>1910</v>
      </c>
      <c r="BI316">
        <v>20</v>
      </c>
      <c r="BJ316" t="s">
        <v>4305</v>
      </c>
      <c r="BK316" t="s">
        <v>947</v>
      </c>
      <c r="BL316" t="s">
        <v>906</v>
      </c>
      <c r="BM316" t="s">
        <v>6353</v>
      </c>
      <c r="BN316" t="s">
        <v>74</v>
      </c>
      <c r="BO316" t="s">
        <v>646</v>
      </c>
      <c r="BP316" t="s">
        <v>74</v>
      </c>
      <c r="BQ316" t="s">
        <v>74</v>
      </c>
      <c r="BR316" t="s">
        <v>101</v>
      </c>
      <c r="BS316" t="s">
        <v>6354</v>
      </c>
      <c r="BT316" t="str">
        <f>HYPERLINK("https%3A%2F%2Fwww.webofscience.com%2Fwos%2Fwoscc%2Ffull-record%2FWOS:001017757000001","View Full Record in Web of Science")</f>
        <v>View Full Record in Web of Science</v>
      </c>
    </row>
    <row r="317" spans="1:72" x14ac:dyDescent="0.2">
      <c r="A317" t="s">
        <v>72</v>
      </c>
      <c r="B317" t="s">
        <v>6355</v>
      </c>
      <c r="C317" t="s">
        <v>74</v>
      </c>
      <c r="D317" t="s">
        <v>6356</v>
      </c>
      <c r="E317" t="s">
        <v>74</v>
      </c>
      <c r="F317" t="s">
        <v>6357</v>
      </c>
      <c r="G317" t="s">
        <v>74</v>
      </c>
      <c r="H317" t="s">
        <v>74</v>
      </c>
      <c r="I317" t="s">
        <v>6358</v>
      </c>
      <c r="J317" t="s">
        <v>6359</v>
      </c>
      <c r="K317" t="s">
        <v>312</v>
      </c>
      <c r="L317" t="s">
        <v>74</v>
      </c>
      <c r="M317" t="s">
        <v>79</v>
      </c>
      <c r="N317" t="s">
        <v>80</v>
      </c>
      <c r="O317" t="s">
        <v>6360</v>
      </c>
      <c r="P317" t="s">
        <v>6361</v>
      </c>
      <c r="Q317" t="s">
        <v>5126</v>
      </c>
      <c r="R317" t="s">
        <v>6362</v>
      </c>
      <c r="S317" t="s">
        <v>74</v>
      </c>
      <c r="T317" t="s">
        <v>6363</v>
      </c>
      <c r="U317" t="s">
        <v>6364</v>
      </c>
      <c r="V317" t="s">
        <v>6365</v>
      </c>
      <c r="W317" t="s">
        <v>6366</v>
      </c>
      <c r="X317" t="s">
        <v>74</v>
      </c>
      <c r="Y317" t="s">
        <v>6367</v>
      </c>
      <c r="Z317" t="s">
        <v>6368</v>
      </c>
      <c r="AA317" t="s">
        <v>74</v>
      </c>
      <c r="AB317" t="s">
        <v>74</v>
      </c>
      <c r="AC317" t="s">
        <v>6369</v>
      </c>
      <c r="AD317" t="s">
        <v>6370</v>
      </c>
      <c r="AE317" t="s">
        <v>6371</v>
      </c>
      <c r="AF317" t="s">
        <v>74</v>
      </c>
      <c r="AG317">
        <v>48</v>
      </c>
      <c r="AH317">
        <v>0</v>
      </c>
      <c r="AI317">
        <v>0</v>
      </c>
      <c r="AJ317">
        <v>0</v>
      </c>
      <c r="AK317">
        <v>0</v>
      </c>
      <c r="AL317" t="s">
        <v>325</v>
      </c>
      <c r="AM317" t="s">
        <v>245</v>
      </c>
      <c r="AN317" t="s">
        <v>246</v>
      </c>
      <c r="AO317" t="s">
        <v>326</v>
      </c>
      <c r="AP317" t="s">
        <v>327</v>
      </c>
      <c r="AQ317" t="s">
        <v>6372</v>
      </c>
      <c r="AR317" t="s">
        <v>329</v>
      </c>
      <c r="AS317" t="s">
        <v>74</v>
      </c>
      <c r="AT317" t="s">
        <v>74</v>
      </c>
      <c r="AU317">
        <v>2023</v>
      </c>
      <c r="AV317">
        <v>14265</v>
      </c>
      <c r="AW317" t="s">
        <v>74</v>
      </c>
      <c r="AX317" t="s">
        <v>74</v>
      </c>
      <c r="AY317" t="s">
        <v>74</v>
      </c>
      <c r="AZ317" t="s">
        <v>74</v>
      </c>
      <c r="BA317" t="s">
        <v>74</v>
      </c>
      <c r="BB317">
        <v>368</v>
      </c>
      <c r="BC317">
        <v>387</v>
      </c>
      <c r="BD317" t="s">
        <v>74</v>
      </c>
      <c r="BE317" t="s">
        <v>6373</v>
      </c>
      <c r="BF317" t="str">
        <f>HYPERLINK("http://dx.doi.org/10.1007/978-3-031-47240-4_20","http://dx.doi.org/10.1007/978-3-031-47240-4_20")</f>
        <v>http://dx.doi.org/10.1007/978-3-031-47240-4_20</v>
      </c>
      <c r="BG317" t="s">
        <v>74</v>
      </c>
      <c r="BH317" t="s">
        <v>74</v>
      </c>
      <c r="BI317">
        <v>20</v>
      </c>
      <c r="BJ317" t="s">
        <v>6374</v>
      </c>
      <c r="BK317" t="s">
        <v>98</v>
      </c>
      <c r="BL317" t="s">
        <v>99</v>
      </c>
      <c r="BM317" t="s">
        <v>6375</v>
      </c>
      <c r="BN317" t="s">
        <v>74</v>
      </c>
      <c r="BO317" t="s">
        <v>646</v>
      </c>
      <c r="BP317" t="s">
        <v>74</v>
      </c>
      <c r="BQ317" t="s">
        <v>74</v>
      </c>
      <c r="BR317" t="s">
        <v>101</v>
      </c>
      <c r="BS317" t="s">
        <v>6376</v>
      </c>
      <c r="BT317" t="str">
        <f>HYPERLINK("https%3A%2F%2Fwww.webofscience.com%2Fwos%2Fwoscc%2Ffull-record%2FWOS:001160736700020","View Full Record in Web of Science")</f>
        <v>View Full Record in Web of Science</v>
      </c>
    </row>
    <row r="318" spans="1:72" x14ac:dyDescent="0.2">
      <c r="A318" t="s">
        <v>103</v>
      </c>
      <c r="B318" t="s">
        <v>6377</v>
      </c>
      <c r="C318" t="s">
        <v>74</v>
      </c>
      <c r="D318" t="s">
        <v>74</v>
      </c>
      <c r="E318" t="s">
        <v>74</v>
      </c>
      <c r="F318" t="s">
        <v>6378</v>
      </c>
      <c r="G318" t="s">
        <v>74</v>
      </c>
      <c r="H318" t="s">
        <v>74</v>
      </c>
      <c r="I318" t="s">
        <v>6379</v>
      </c>
      <c r="J318" t="s">
        <v>213</v>
      </c>
      <c r="K318" t="s">
        <v>74</v>
      </c>
      <c r="L318" t="s">
        <v>74</v>
      </c>
      <c r="M318" t="s">
        <v>79</v>
      </c>
      <c r="N318" t="s">
        <v>138</v>
      </c>
      <c r="O318" t="s">
        <v>74</v>
      </c>
      <c r="P318" t="s">
        <v>74</v>
      </c>
      <c r="Q318" t="s">
        <v>74</v>
      </c>
      <c r="R318" t="s">
        <v>74</v>
      </c>
      <c r="S318" t="s">
        <v>74</v>
      </c>
      <c r="T318" t="s">
        <v>6380</v>
      </c>
      <c r="U318" t="s">
        <v>6381</v>
      </c>
      <c r="V318" t="s">
        <v>6382</v>
      </c>
      <c r="W318" t="s">
        <v>6383</v>
      </c>
      <c r="X318" t="s">
        <v>6384</v>
      </c>
      <c r="Y318" t="s">
        <v>6385</v>
      </c>
      <c r="Z318" t="s">
        <v>6386</v>
      </c>
      <c r="AA318" t="s">
        <v>74</v>
      </c>
      <c r="AB318" t="s">
        <v>74</v>
      </c>
      <c r="AC318" t="s">
        <v>74</v>
      </c>
      <c r="AD318" t="s">
        <v>74</v>
      </c>
      <c r="AE318" t="s">
        <v>74</v>
      </c>
      <c r="AF318" t="s">
        <v>74</v>
      </c>
      <c r="AG318">
        <v>39</v>
      </c>
      <c r="AH318">
        <v>0</v>
      </c>
      <c r="AI318">
        <v>0</v>
      </c>
      <c r="AJ318">
        <v>50</v>
      </c>
      <c r="AK318">
        <v>50</v>
      </c>
      <c r="AL318" t="s">
        <v>220</v>
      </c>
      <c r="AM318" t="s">
        <v>221</v>
      </c>
      <c r="AN318" t="s">
        <v>222</v>
      </c>
      <c r="AO318" t="s">
        <v>223</v>
      </c>
      <c r="AP318" t="s">
        <v>224</v>
      </c>
      <c r="AQ318" t="s">
        <v>74</v>
      </c>
      <c r="AR318" t="s">
        <v>225</v>
      </c>
      <c r="AS318" t="s">
        <v>226</v>
      </c>
      <c r="AT318" t="s">
        <v>3248</v>
      </c>
      <c r="AU318">
        <v>2023</v>
      </c>
      <c r="AV318" t="s">
        <v>74</v>
      </c>
      <c r="AW318" t="s">
        <v>74</v>
      </c>
      <c r="AX318" t="s">
        <v>74</v>
      </c>
      <c r="AY318" t="s">
        <v>74</v>
      </c>
      <c r="AZ318" t="s">
        <v>74</v>
      </c>
      <c r="BA318" t="s">
        <v>74</v>
      </c>
      <c r="BB318" t="s">
        <v>74</v>
      </c>
      <c r="BC318" t="s">
        <v>74</v>
      </c>
      <c r="BD318" t="s">
        <v>74</v>
      </c>
      <c r="BE318" t="s">
        <v>6387</v>
      </c>
      <c r="BF318" t="str">
        <f>HYPERLINK("http://dx.doi.org/10.1080/08874417.2023.2280918","http://dx.doi.org/10.1080/08874417.2023.2280918")</f>
        <v>http://dx.doi.org/10.1080/08874417.2023.2280918</v>
      </c>
      <c r="BG318" t="s">
        <v>74</v>
      </c>
      <c r="BH318" t="s">
        <v>157</v>
      </c>
      <c r="BI318">
        <v>10</v>
      </c>
      <c r="BJ318" t="s">
        <v>230</v>
      </c>
      <c r="BK318" t="s">
        <v>130</v>
      </c>
      <c r="BL318" t="s">
        <v>99</v>
      </c>
      <c r="BM318" t="s">
        <v>6388</v>
      </c>
      <c r="BN318" t="s">
        <v>74</v>
      </c>
      <c r="BO318" t="s">
        <v>74</v>
      </c>
      <c r="BP318" t="s">
        <v>74</v>
      </c>
      <c r="BQ318" t="s">
        <v>74</v>
      </c>
      <c r="BR318" t="s">
        <v>101</v>
      </c>
      <c r="BS318" t="s">
        <v>6389</v>
      </c>
      <c r="BT318" t="str">
        <f>HYPERLINK("https%3A%2F%2Fwww.webofscience.com%2Fwos%2Fwoscc%2Ffull-record%2FWOS:001107734400001","View Full Record in Web of Science")</f>
        <v>View Full Record in Web of Science</v>
      </c>
    </row>
    <row r="319" spans="1:72" x14ac:dyDescent="0.2">
      <c r="A319" t="s">
        <v>103</v>
      </c>
      <c r="B319" t="s">
        <v>6390</v>
      </c>
      <c r="C319" t="s">
        <v>74</v>
      </c>
      <c r="D319" t="s">
        <v>74</v>
      </c>
      <c r="E319" t="s">
        <v>74</v>
      </c>
      <c r="F319" t="s">
        <v>6391</v>
      </c>
      <c r="G319" t="s">
        <v>74</v>
      </c>
      <c r="H319" t="s">
        <v>74</v>
      </c>
      <c r="I319" t="s">
        <v>6392</v>
      </c>
      <c r="J319" t="s">
        <v>6393</v>
      </c>
      <c r="K319" t="s">
        <v>74</v>
      </c>
      <c r="L319" t="s">
        <v>74</v>
      </c>
      <c r="M319" t="s">
        <v>79</v>
      </c>
      <c r="N319" t="s">
        <v>108</v>
      </c>
      <c r="O319" t="s">
        <v>74</v>
      </c>
      <c r="P319" t="s">
        <v>74</v>
      </c>
      <c r="Q319" t="s">
        <v>74</v>
      </c>
      <c r="R319" t="s">
        <v>74</v>
      </c>
      <c r="S319" t="s">
        <v>74</v>
      </c>
      <c r="T319" t="s">
        <v>6394</v>
      </c>
      <c r="U319" t="s">
        <v>74</v>
      </c>
      <c r="V319" t="s">
        <v>6395</v>
      </c>
      <c r="W319" t="s">
        <v>6396</v>
      </c>
      <c r="X319" t="s">
        <v>6397</v>
      </c>
      <c r="Y319" t="s">
        <v>6398</v>
      </c>
      <c r="Z319" t="s">
        <v>6399</v>
      </c>
      <c r="AA319" t="s">
        <v>6400</v>
      </c>
      <c r="AB319" t="s">
        <v>6401</v>
      </c>
      <c r="AC319" t="s">
        <v>74</v>
      </c>
      <c r="AD319" t="s">
        <v>74</v>
      </c>
      <c r="AE319" t="s">
        <v>74</v>
      </c>
      <c r="AF319" t="s">
        <v>74</v>
      </c>
      <c r="AG319">
        <v>45</v>
      </c>
      <c r="AH319">
        <v>0</v>
      </c>
      <c r="AI319">
        <v>0</v>
      </c>
      <c r="AJ319">
        <v>2</v>
      </c>
      <c r="AK319">
        <v>4</v>
      </c>
      <c r="AL319" t="s">
        <v>343</v>
      </c>
      <c r="AM319" t="s">
        <v>521</v>
      </c>
      <c r="AN319" t="s">
        <v>522</v>
      </c>
      <c r="AO319" t="s">
        <v>6402</v>
      </c>
      <c r="AP319" t="s">
        <v>6403</v>
      </c>
      <c r="AQ319" t="s">
        <v>74</v>
      </c>
      <c r="AR319" t="s">
        <v>6404</v>
      </c>
      <c r="AS319" t="s">
        <v>6405</v>
      </c>
      <c r="AT319" t="s">
        <v>791</v>
      </c>
      <c r="AU319">
        <v>2023</v>
      </c>
      <c r="AV319">
        <v>79</v>
      </c>
      <c r="AW319">
        <v>12</v>
      </c>
      <c r="AX319" t="s">
        <v>74</v>
      </c>
      <c r="AY319" t="s">
        <v>74</v>
      </c>
      <c r="AZ319" t="s">
        <v>74</v>
      </c>
      <c r="BA319" t="s">
        <v>74</v>
      </c>
      <c r="BB319">
        <v>13620</v>
      </c>
      <c r="BC319">
        <v>13640</v>
      </c>
      <c r="BD319" t="s">
        <v>74</v>
      </c>
      <c r="BE319" t="s">
        <v>6406</v>
      </c>
      <c r="BF319" t="str">
        <f>HYPERLINK("http://dx.doi.org/10.1007/s11227-023-05182-7","http://dx.doi.org/10.1007/s11227-023-05182-7")</f>
        <v>http://dx.doi.org/10.1007/s11227-023-05182-7</v>
      </c>
      <c r="BG319" t="s">
        <v>74</v>
      </c>
      <c r="BH319" t="s">
        <v>1431</v>
      </c>
      <c r="BI319">
        <v>21</v>
      </c>
      <c r="BJ319" t="s">
        <v>6407</v>
      </c>
      <c r="BK319" t="s">
        <v>130</v>
      </c>
      <c r="BL319" t="s">
        <v>906</v>
      </c>
      <c r="BM319" t="s">
        <v>6408</v>
      </c>
      <c r="BN319" t="s">
        <v>74</v>
      </c>
      <c r="BO319" t="s">
        <v>74</v>
      </c>
      <c r="BP319" t="s">
        <v>74</v>
      </c>
      <c r="BQ319" t="s">
        <v>74</v>
      </c>
      <c r="BR319" t="s">
        <v>101</v>
      </c>
      <c r="BS319" t="s">
        <v>6409</v>
      </c>
      <c r="BT319" t="str">
        <f>HYPERLINK("https%3A%2F%2Fwww.webofscience.com%2Fwos%2Fwoscc%2Ffull-record%2FWOS:000961860500002","View Full Record in Web of Science")</f>
        <v>View Full Record in Web of Science</v>
      </c>
    </row>
    <row r="320" spans="1:72" x14ac:dyDescent="0.2">
      <c r="A320" t="s">
        <v>72</v>
      </c>
      <c r="B320" t="s">
        <v>6410</v>
      </c>
      <c r="C320" t="s">
        <v>74</v>
      </c>
      <c r="D320" t="s">
        <v>74</v>
      </c>
      <c r="E320" t="s">
        <v>75</v>
      </c>
      <c r="F320" t="s">
        <v>6411</v>
      </c>
      <c r="G320" t="s">
        <v>74</v>
      </c>
      <c r="H320" t="s">
        <v>74</v>
      </c>
      <c r="I320" t="s">
        <v>6412</v>
      </c>
      <c r="J320" t="s">
        <v>6413</v>
      </c>
      <c r="K320" t="s">
        <v>74</v>
      </c>
      <c r="L320" t="s">
        <v>74</v>
      </c>
      <c r="M320" t="s">
        <v>79</v>
      </c>
      <c r="N320" t="s">
        <v>80</v>
      </c>
      <c r="O320" t="s">
        <v>6414</v>
      </c>
      <c r="P320" t="s">
        <v>6415</v>
      </c>
      <c r="Q320" t="s">
        <v>6416</v>
      </c>
      <c r="R320" t="s">
        <v>6417</v>
      </c>
      <c r="S320" t="s">
        <v>74</v>
      </c>
      <c r="T320" t="s">
        <v>6418</v>
      </c>
      <c r="U320" t="s">
        <v>74</v>
      </c>
      <c r="V320" t="s">
        <v>6419</v>
      </c>
      <c r="W320" t="s">
        <v>6420</v>
      </c>
      <c r="X320" t="s">
        <v>6421</v>
      </c>
      <c r="Y320" t="s">
        <v>6422</v>
      </c>
      <c r="Z320" t="s">
        <v>6423</v>
      </c>
      <c r="AA320" t="s">
        <v>6424</v>
      </c>
      <c r="AB320" t="s">
        <v>6425</v>
      </c>
      <c r="AC320" t="s">
        <v>6426</v>
      </c>
      <c r="AD320" t="s">
        <v>6427</v>
      </c>
      <c r="AE320" t="s">
        <v>6428</v>
      </c>
      <c r="AF320" t="s">
        <v>74</v>
      </c>
      <c r="AG320">
        <v>8</v>
      </c>
      <c r="AH320">
        <v>0</v>
      </c>
      <c r="AI320">
        <v>0</v>
      </c>
      <c r="AJ320">
        <v>0</v>
      </c>
      <c r="AK320">
        <v>0</v>
      </c>
      <c r="AL320" t="s">
        <v>92</v>
      </c>
      <c r="AM320" t="s">
        <v>93</v>
      </c>
      <c r="AN320" t="s">
        <v>94</v>
      </c>
      <c r="AO320" t="s">
        <v>74</v>
      </c>
      <c r="AP320" t="s">
        <v>74</v>
      </c>
      <c r="AQ320" t="s">
        <v>6429</v>
      </c>
      <c r="AR320" t="s">
        <v>74</v>
      </c>
      <c r="AS320" t="s">
        <v>74</v>
      </c>
      <c r="AT320" t="s">
        <v>74</v>
      </c>
      <c r="AU320">
        <v>2023</v>
      </c>
      <c r="AV320" t="s">
        <v>74</v>
      </c>
      <c r="AW320" t="s">
        <v>74</v>
      </c>
      <c r="AX320" t="s">
        <v>74</v>
      </c>
      <c r="AY320" t="s">
        <v>74</v>
      </c>
      <c r="AZ320" t="s">
        <v>74</v>
      </c>
      <c r="BA320" t="s">
        <v>74</v>
      </c>
      <c r="BB320">
        <v>271</v>
      </c>
      <c r="BC320">
        <v>274</v>
      </c>
      <c r="BD320" t="s">
        <v>74</v>
      </c>
      <c r="BE320" t="s">
        <v>6430</v>
      </c>
      <c r="BF320" t="str">
        <f>HYPERLINK("http://dx.doi.org/10.1145/3583133.3590549","http://dx.doi.org/10.1145/3583133.3590549")</f>
        <v>http://dx.doi.org/10.1145/3583133.3590549</v>
      </c>
      <c r="BG320" t="s">
        <v>74</v>
      </c>
      <c r="BH320" t="s">
        <v>74</v>
      </c>
      <c r="BI320">
        <v>4</v>
      </c>
      <c r="BJ320" t="s">
        <v>883</v>
      </c>
      <c r="BK320" t="s">
        <v>98</v>
      </c>
      <c r="BL320" t="s">
        <v>99</v>
      </c>
      <c r="BM320" t="s">
        <v>6431</v>
      </c>
      <c r="BN320" t="s">
        <v>74</v>
      </c>
      <c r="BO320" t="s">
        <v>74</v>
      </c>
      <c r="BP320" t="s">
        <v>74</v>
      </c>
      <c r="BQ320" t="s">
        <v>74</v>
      </c>
      <c r="BR320" t="s">
        <v>101</v>
      </c>
      <c r="BS320" t="s">
        <v>6432</v>
      </c>
      <c r="BT320" t="str">
        <f>HYPERLINK("https%3A%2F%2Fwww.webofscience.com%2Fwos%2Fwoscc%2Ffull-record%2FWOS:001117972600090","View Full Record in Web of Science")</f>
        <v>View Full Record in Web of Science</v>
      </c>
    </row>
    <row r="321" spans="1:72" x14ac:dyDescent="0.2">
      <c r="A321" t="s">
        <v>103</v>
      </c>
      <c r="B321" t="s">
        <v>6433</v>
      </c>
      <c r="C321" t="s">
        <v>74</v>
      </c>
      <c r="D321" t="s">
        <v>74</v>
      </c>
      <c r="E321" t="s">
        <v>74</v>
      </c>
      <c r="F321" t="s">
        <v>6434</v>
      </c>
      <c r="G321" t="s">
        <v>74</v>
      </c>
      <c r="H321" t="s">
        <v>6435</v>
      </c>
      <c r="I321" t="s">
        <v>6436</v>
      </c>
      <c r="J321" t="s">
        <v>6437</v>
      </c>
      <c r="K321" t="s">
        <v>74</v>
      </c>
      <c r="L321" t="s">
        <v>74</v>
      </c>
      <c r="M321" t="s">
        <v>79</v>
      </c>
      <c r="N321" t="s">
        <v>108</v>
      </c>
      <c r="O321" t="s">
        <v>74</v>
      </c>
      <c r="P321" t="s">
        <v>74</v>
      </c>
      <c r="Q321" t="s">
        <v>74</v>
      </c>
      <c r="R321" t="s">
        <v>74</v>
      </c>
      <c r="S321" t="s">
        <v>74</v>
      </c>
      <c r="T321" t="s">
        <v>6438</v>
      </c>
      <c r="U321" t="s">
        <v>6439</v>
      </c>
      <c r="V321" t="s">
        <v>6440</v>
      </c>
      <c r="W321" t="s">
        <v>6441</v>
      </c>
      <c r="X321" t="s">
        <v>6442</v>
      </c>
      <c r="Y321" t="s">
        <v>6443</v>
      </c>
      <c r="Z321" t="s">
        <v>6444</v>
      </c>
      <c r="AA321" t="s">
        <v>74</v>
      </c>
      <c r="AB321" t="s">
        <v>6445</v>
      </c>
      <c r="AC321" t="s">
        <v>6446</v>
      </c>
      <c r="AD321" t="s">
        <v>6447</v>
      </c>
      <c r="AE321" t="s">
        <v>6448</v>
      </c>
      <c r="AF321" t="s">
        <v>74</v>
      </c>
      <c r="AG321">
        <v>76</v>
      </c>
      <c r="AH321">
        <v>0</v>
      </c>
      <c r="AI321">
        <v>0</v>
      </c>
      <c r="AJ321">
        <v>5</v>
      </c>
      <c r="AK321">
        <v>5</v>
      </c>
      <c r="AL321" t="s">
        <v>764</v>
      </c>
      <c r="AM321" t="s">
        <v>765</v>
      </c>
      <c r="AN321" t="s">
        <v>766</v>
      </c>
      <c r="AO321" t="s">
        <v>6449</v>
      </c>
      <c r="AP321" t="s">
        <v>6450</v>
      </c>
      <c r="AQ321" t="s">
        <v>74</v>
      </c>
      <c r="AR321" t="s">
        <v>6451</v>
      </c>
      <c r="AS321" t="s">
        <v>6452</v>
      </c>
      <c r="AT321" t="s">
        <v>467</v>
      </c>
      <c r="AU321">
        <v>2023</v>
      </c>
      <c r="AV321">
        <v>144</v>
      </c>
      <c r="AW321" t="s">
        <v>74</v>
      </c>
      <c r="AX321" t="s">
        <v>74</v>
      </c>
      <c r="AY321" t="s">
        <v>74</v>
      </c>
      <c r="AZ321" t="s">
        <v>74</v>
      </c>
      <c r="BA321" t="s">
        <v>74</v>
      </c>
      <c r="BB321" t="s">
        <v>74</v>
      </c>
      <c r="BC321" t="s">
        <v>74</v>
      </c>
      <c r="BD321">
        <v>102654</v>
      </c>
      <c r="BE321" t="s">
        <v>6453</v>
      </c>
      <c r="BF321" t="str">
        <f>HYPERLINK("http://dx.doi.org/10.1016/j.artmed.2023.102654","http://dx.doi.org/10.1016/j.artmed.2023.102654")</f>
        <v>http://dx.doi.org/10.1016/j.artmed.2023.102654</v>
      </c>
      <c r="BG321" t="s">
        <v>74</v>
      </c>
      <c r="BH321" t="s">
        <v>278</v>
      </c>
      <c r="BI321">
        <v>16</v>
      </c>
      <c r="BJ321" t="s">
        <v>6454</v>
      </c>
      <c r="BK321" t="s">
        <v>130</v>
      </c>
      <c r="BL321" t="s">
        <v>6455</v>
      </c>
      <c r="BM321" t="s">
        <v>6456</v>
      </c>
      <c r="BN321">
        <v>37783547</v>
      </c>
      <c r="BO321" t="s">
        <v>161</v>
      </c>
      <c r="BP321" t="s">
        <v>74</v>
      </c>
      <c r="BQ321" t="s">
        <v>74</v>
      </c>
      <c r="BR321" t="s">
        <v>101</v>
      </c>
      <c r="BS321" t="s">
        <v>6457</v>
      </c>
      <c r="BT321" t="str">
        <f>HYPERLINK("https%3A%2F%2Fwww.webofscience.com%2Fwos%2Fwoscc%2Ffull-record%2FWOS:001083768800001","View Full Record in Web of Science")</f>
        <v>View Full Record in Web of Science</v>
      </c>
    </row>
    <row r="322" spans="1:72" x14ac:dyDescent="0.2">
      <c r="A322" t="s">
        <v>103</v>
      </c>
      <c r="B322" t="s">
        <v>6458</v>
      </c>
      <c r="C322" t="s">
        <v>74</v>
      </c>
      <c r="D322" t="s">
        <v>74</v>
      </c>
      <c r="E322" t="s">
        <v>74</v>
      </c>
      <c r="F322" t="s">
        <v>6459</v>
      </c>
      <c r="G322" t="s">
        <v>74</v>
      </c>
      <c r="H322" t="s">
        <v>74</v>
      </c>
      <c r="I322" t="s">
        <v>6460</v>
      </c>
      <c r="J322" t="s">
        <v>6461</v>
      </c>
      <c r="K322" t="s">
        <v>74</v>
      </c>
      <c r="L322" t="s">
        <v>74</v>
      </c>
      <c r="M322" t="s">
        <v>79</v>
      </c>
      <c r="N322" t="s">
        <v>108</v>
      </c>
      <c r="O322" t="s">
        <v>74</v>
      </c>
      <c r="P322" t="s">
        <v>74</v>
      </c>
      <c r="Q322" t="s">
        <v>74</v>
      </c>
      <c r="R322" t="s">
        <v>74</v>
      </c>
      <c r="S322" t="s">
        <v>74</v>
      </c>
      <c r="T322" t="s">
        <v>6462</v>
      </c>
      <c r="U322" t="s">
        <v>74</v>
      </c>
      <c r="V322" t="s">
        <v>6463</v>
      </c>
      <c r="W322" t="s">
        <v>6464</v>
      </c>
      <c r="X322" t="s">
        <v>6465</v>
      </c>
      <c r="Y322" t="s">
        <v>6466</v>
      </c>
      <c r="Z322" t="s">
        <v>6467</v>
      </c>
      <c r="AA322" t="s">
        <v>6468</v>
      </c>
      <c r="AB322" t="s">
        <v>6469</v>
      </c>
      <c r="AC322" t="s">
        <v>74</v>
      </c>
      <c r="AD322" t="s">
        <v>74</v>
      </c>
      <c r="AE322" t="s">
        <v>74</v>
      </c>
      <c r="AF322" t="s">
        <v>74</v>
      </c>
      <c r="AG322">
        <v>8</v>
      </c>
      <c r="AH322">
        <v>14</v>
      </c>
      <c r="AI322">
        <v>14</v>
      </c>
      <c r="AJ322">
        <v>81</v>
      </c>
      <c r="AK322">
        <v>103</v>
      </c>
      <c r="AL322" t="s">
        <v>6470</v>
      </c>
      <c r="AM322" t="s">
        <v>4876</v>
      </c>
      <c r="AN322" t="s">
        <v>6471</v>
      </c>
      <c r="AO322" t="s">
        <v>6472</v>
      </c>
      <c r="AP322" t="s">
        <v>6473</v>
      </c>
      <c r="AQ322" t="s">
        <v>74</v>
      </c>
      <c r="AR322" t="s">
        <v>6474</v>
      </c>
      <c r="AS322" t="s">
        <v>6475</v>
      </c>
      <c r="AT322" t="s">
        <v>467</v>
      </c>
      <c r="AU322">
        <v>2023</v>
      </c>
      <c r="AV322">
        <v>129</v>
      </c>
      <c r="AW322" t="s">
        <v>74</v>
      </c>
      <c r="AX322" t="s">
        <v>74</v>
      </c>
      <c r="AY322" t="s">
        <v>74</v>
      </c>
      <c r="AZ322" t="s">
        <v>74</v>
      </c>
      <c r="BA322" t="s">
        <v>74</v>
      </c>
      <c r="BB322" t="s">
        <v>74</v>
      </c>
      <c r="BC322" t="s">
        <v>74</v>
      </c>
      <c r="BD322">
        <v>105917</v>
      </c>
      <c r="BE322" t="s">
        <v>6476</v>
      </c>
      <c r="BF322" t="str">
        <f>HYPERLINK("http://dx.doi.org/10.1016/j.nedt.2023.105917","http://dx.doi.org/10.1016/j.nedt.2023.105917")</f>
        <v>http://dx.doi.org/10.1016/j.nedt.2023.105917</v>
      </c>
      <c r="BG322" t="s">
        <v>74</v>
      </c>
      <c r="BH322" t="s">
        <v>229</v>
      </c>
      <c r="BI322">
        <v>4</v>
      </c>
      <c r="BJ322" t="s">
        <v>6477</v>
      </c>
      <c r="BK322" t="s">
        <v>947</v>
      </c>
      <c r="BL322" t="s">
        <v>6478</v>
      </c>
      <c r="BM322" t="s">
        <v>6479</v>
      </c>
      <c r="BN322">
        <v>37506622</v>
      </c>
      <c r="BO322" t="s">
        <v>161</v>
      </c>
      <c r="BP322" t="s">
        <v>74</v>
      </c>
      <c r="BQ322" t="s">
        <v>74</v>
      </c>
      <c r="BR322" t="s">
        <v>101</v>
      </c>
      <c r="BS322" t="s">
        <v>6480</v>
      </c>
      <c r="BT322" t="str">
        <f>HYPERLINK("https%3A%2F%2Fwww.webofscience.com%2Fwos%2Fwoscc%2Ffull-record%2FWOS:001050869000001","View Full Record in Web of Science")</f>
        <v>View Full Record in Web of Science</v>
      </c>
    </row>
    <row r="323" spans="1:72" x14ac:dyDescent="0.2">
      <c r="A323" t="s">
        <v>72</v>
      </c>
      <c r="B323" t="s">
        <v>6481</v>
      </c>
      <c r="C323" t="s">
        <v>74</v>
      </c>
      <c r="D323" t="s">
        <v>74</v>
      </c>
      <c r="E323" t="s">
        <v>284</v>
      </c>
      <c r="F323" t="s">
        <v>6482</v>
      </c>
      <c r="G323" t="s">
        <v>74</v>
      </c>
      <c r="H323" t="s">
        <v>74</v>
      </c>
      <c r="I323" t="s">
        <v>6483</v>
      </c>
      <c r="J323" t="s">
        <v>6484</v>
      </c>
      <c r="K323" t="s">
        <v>6485</v>
      </c>
      <c r="L323" t="s">
        <v>74</v>
      </c>
      <c r="M323" t="s">
        <v>79</v>
      </c>
      <c r="N323" t="s">
        <v>80</v>
      </c>
      <c r="O323" t="s">
        <v>6486</v>
      </c>
      <c r="P323" t="s">
        <v>6487</v>
      </c>
      <c r="Q323" t="s">
        <v>6488</v>
      </c>
      <c r="R323" t="s">
        <v>6489</v>
      </c>
      <c r="S323" t="s">
        <v>74</v>
      </c>
      <c r="T323" t="s">
        <v>6490</v>
      </c>
      <c r="U323" t="s">
        <v>74</v>
      </c>
      <c r="V323" t="s">
        <v>6491</v>
      </c>
      <c r="W323" t="s">
        <v>6492</v>
      </c>
      <c r="X323" t="s">
        <v>3750</v>
      </c>
      <c r="Y323" t="s">
        <v>6493</v>
      </c>
      <c r="Z323" t="s">
        <v>6494</v>
      </c>
      <c r="AA323" t="s">
        <v>74</v>
      </c>
      <c r="AB323" t="s">
        <v>6495</v>
      </c>
      <c r="AC323" t="s">
        <v>74</v>
      </c>
      <c r="AD323" t="s">
        <v>74</v>
      </c>
      <c r="AE323" t="s">
        <v>74</v>
      </c>
      <c r="AF323" t="s">
        <v>74</v>
      </c>
      <c r="AG323">
        <v>20</v>
      </c>
      <c r="AH323">
        <v>0</v>
      </c>
      <c r="AI323">
        <v>0</v>
      </c>
      <c r="AJ323">
        <v>1</v>
      </c>
      <c r="AK323">
        <v>2</v>
      </c>
      <c r="AL323" t="s">
        <v>284</v>
      </c>
      <c r="AM323" t="s">
        <v>93</v>
      </c>
      <c r="AN323" t="s">
        <v>299</v>
      </c>
      <c r="AO323" t="s">
        <v>6496</v>
      </c>
      <c r="AP323" t="s">
        <v>6497</v>
      </c>
      <c r="AQ323" t="s">
        <v>6498</v>
      </c>
      <c r="AR323" t="s">
        <v>6499</v>
      </c>
      <c r="AS323" t="s">
        <v>74</v>
      </c>
      <c r="AT323" t="s">
        <v>74</v>
      </c>
      <c r="AU323">
        <v>2023</v>
      </c>
      <c r="AV323" t="s">
        <v>74</v>
      </c>
      <c r="AW323" t="s">
        <v>74</v>
      </c>
      <c r="AX323" t="s">
        <v>74</v>
      </c>
      <c r="AY323" t="s">
        <v>74</v>
      </c>
      <c r="AZ323" t="s">
        <v>74</v>
      </c>
      <c r="BA323" t="s">
        <v>74</v>
      </c>
      <c r="BB323" t="s">
        <v>74</v>
      </c>
      <c r="BC323" t="s">
        <v>74</v>
      </c>
      <c r="BD323" t="s">
        <v>74</v>
      </c>
      <c r="BE323" t="s">
        <v>6500</v>
      </c>
      <c r="BF323" t="str">
        <f>HYPERLINK("http://dx.doi.org/10.1109/ISSC59246.2023.10162094","http://dx.doi.org/10.1109/ISSC59246.2023.10162094")</f>
        <v>http://dx.doi.org/10.1109/ISSC59246.2023.10162094</v>
      </c>
      <c r="BG323" t="s">
        <v>74</v>
      </c>
      <c r="BH323" t="s">
        <v>74</v>
      </c>
      <c r="BI323">
        <v>5</v>
      </c>
      <c r="BJ323" t="s">
        <v>2822</v>
      </c>
      <c r="BK323" t="s">
        <v>98</v>
      </c>
      <c r="BL323" t="s">
        <v>2823</v>
      </c>
      <c r="BM323" t="s">
        <v>6501</v>
      </c>
      <c r="BN323" t="s">
        <v>74</v>
      </c>
      <c r="BO323" t="s">
        <v>74</v>
      </c>
      <c r="BP323" t="s">
        <v>74</v>
      </c>
      <c r="BQ323" t="s">
        <v>74</v>
      </c>
      <c r="BR323" t="s">
        <v>101</v>
      </c>
      <c r="BS323" t="s">
        <v>6502</v>
      </c>
      <c r="BT323" t="str">
        <f>HYPERLINK("https%3A%2F%2Fwww.webofscience.com%2Fwos%2Fwoscc%2Ffull-record%2FWOS:001027141000040","View Full Record in Web of Science")</f>
        <v>View Full Record in Web of Science</v>
      </c>
    </row>
    <row r="324" spans="1:72" x14ac:dyDescent="0.2">
      <c r="A324" t="s">
        <v>103</v>
      </c>
      <c r="B324" t="s">
        <v>6503</v>
      </c>
      <c r="C324" t="s">
        <v>74</v>
      </c>
      <c r="D324" t="s">
        <v>74</v>
      </c>
      <c r="E324" t="s">
        <v>74</v>
      </c>
      <c r="F324" t="s">
        <v>6504</v>
      </c>
      <c r="G324" t="s">
        <v>74</v>
      </c>
      <c r="H324" t="s">
        <v>74</v>
      </c>
      <c r="I324" t="s">
        <v>6505</v>
      </c>
      <c r="J324" t="s">
        <v>6506</v>
      </c>
      <c r="K324" t="s">
        <v>74</v>
      </c>
      <c r="L324" t="s">
        <v>74</v>
      </c>
      <c r="M324" t="s">
        <v>79</v>
      </c>
      <c r="N324" t="s">
        <v>108</v>
      </c>
      <c r="O324" t="s">
        <v>74</v>
      </c>
      <c r="P324" t="s">
        <v>74</v>
      </c>
      <c r="Q324" t="s">
        <v>74</v>
      </c>
      <c r="R324" t="s">
        <v>74</v>
      </c>
      <c r="S324" t="s">
        <v>74</v>
      </c>
      <c r="T324" t="s">
        <v>6507</v>
      </c>
      <c r="U324" t="s">
        <v>6508</v>
      </c>
      <c r="V324" t="s">
        <v>6509</v>
      </c>
      <c r="W324" t="s">
        <v>6510</v>
      </c>
      <c r="X324" t="s">
        <v>3908</v>
      </c>
      <c r="Y324" t="s">
        <v>6511</v>
      </c>
      <c r="Z324" t="s">
        <v>74</v>
      </c>
      <c r="AA324" t="s">
        <v>6512</v>
      </c>
      <c r="AB324" t="s">
        <v>6513</v>
      </c>
      <c r="AC324" t="s">
        <v>74</v>
      </c>
      <c r="AD324" t="s">
        <v>74</v>
      </c>
      <c r="AE324" t="s">
        <v>74</v>
      </c>
      <c r="AF324" t="s">
        <v>74</v>
      </c>
      <c r="AG324">
        <v>34</v>
      </c>
      <c r="AH324">
        <v>0</v>
      </c>
      <c r="AI324">
        <v>0</v>
      </c>
      <c r="AJ324">
        <v>0</v>
      </c>
      <c r="AK324">
        <v>0</v>
      </c>
      <c r="AL324" t="s">
        <v>6514</v>
      </c>
      <c r="AM324" t="s">
        <v>6515</v>
      </c>
      <c r="AN324" t="s">
        <v>6516</v>
      </c>
      <c r="AO324" t="s">
        <v>6517</v>
      </c>
      <c r="AP324" t="s">
        <v>6518</v>
      </c>
      <c r="AQ324" t="s">
        <v>74</v>
      </c>
      <c r="AR324" t="s">
        <v>6519</v>
      </c>
      <c r="AS324" t="s">
        <v>6520</v>
      </c>
      <c r="AT324" t="s">
        <v>74</v>
      </c>
      <c r="AU324">
        <v>2023</v>
      </c>
      <c r="AV324">
        <v>7</v>
      </c>
      <c r="AW324">
        <v>4</v>
      </c>
      <c r="AX324" t="s">
        <v>74</v>
      </c>
      <c r="AY324" t="s">
        <v>74</v>
      </c>
      <c r="AZ324" t="s">
        <v>74</v>
      </c>
      <c r="BA324" t="s">
        <v>74</v>
      </c>
      <c r="BB324">
        <v>31</v>
      </c>
      <c r="BC324">
        <v>46</v>
      </c>
      <c r="BD324" t="s">
        <v>74</v>
      </c>
      <c r="BE324" t="s">
        <v>6521</v>
      </c>
      <c r="BF324" t="str">
        <f>HYPERLINK("http://dx.doi.org/10.15826/csp.2023.7.4.250","http://dx.doi.org/10.15826/csp.2023.7.4.250")</f>
        <v>http://dx.doi.org/10.15826/csp.2023.7.4.250</v>
      </c>
      <c r="BG324" t="s">
        <v>74</v>
      </c>
      <c r="BH324" t="s">
        <v>74</v>
      </c>
      <c r="BI324">
        <v>16</v>
      </c>
      <c r="BJ324" t="s">
        <v>4022</v>
      </c>
      <c r="BK324" t="s">
        <v>352</v>
      </c>
      <c r="BL324" t="s">
        <v>4022</v>
      </c>
      <c r="BM324" t="s">
        <v>6522</v>
      </c>
      <c r="BN324" t="s">
        <v>74</v>
      </c>
      <c r="BO324" t="s">
        <v>425</v>
      </c>
      <c r="BP324" t="s">
        <v>74</v>
      </c>
      <c r="BQ324" t="s">
        <v>74</v>
      </c>
      <c r="BR324" t="s">
        <v>101</v>
      </c>
      <c r="BS324" t="s">
        <v>6523</v>
      </c>
      <c r="BT324" t="str">
        <f>HYPERLINK("https%3A%2F%2Fwww.webofscience.com%2Fwos%2Fwoscc%2Ffull-record%2FWOS:001183189300004","View Full Record in Web of Science")</f>
        <v>View Full Record in Web of Science</v>
      </c>
    </row>
    <row r="325" spans="1:72" x14ac:dyDescent="0.2">
      <c r="A325" t="s">
        <v>103</v>
      </c>
      <c r="B325" t="s">
        <v>6524</v>
      </c>
      <c r="C325" t="s">
        <v>74</v>
      </c>
      <c r="D325" t="s">
        <v>74</v>
      </c>
      <c r="E325" t="s">
        <v>74</v>
      </c>
      <c r="F325" t="s">
        <v>6525</v>
      </c>
      <c r="G325" t="s">
        <v>74</v>
      </c>
      <c r="H325" t="s">
        <v>74</v>
      </c>
      <c r="I325" t="s">
        <v>6526</v>
      </c>
      <c r="J325" t="s">
        <v>6527</v>
      </c>
      <c r="K325" t="s">
        <v>74</v>
      </c>
      <c r="L325" t="s">
        <v>74</v>
      </c>
      <c r="M325" t="s">
        <v>79</v>
      </c>
      <c r="N325" t="s">
        <v>108</v>
      </c>
      <c r="O325" t="s">
        <v>74</v>
      </c>
      <c r="P325" t="s">
        <v>74</v>
      </c>
      <c r="Q325" t="s">
        <v>74</v>
      </c>
      <c r="R325" t="s">
        <v>74</v>
      </c>
      <c r="S325" t="s">
        <v>74</v>
      </c>
      <c r="T325" t="s">
        <v>6528</v>
      </c>
      <c r="U325" t="s">
        <v>6529</v>
      </c>
      <c r="V325" t="s">
        <v>6530</v>
      </c>
      <c r="W325" t="s">
        <v>6531</v>
      </c>
      <c r="X325" t="s">
        <v>6532</v>
      </c>
      <c r="Y325" t="s">
        <v>6533</v>
      </c>
      <c r="Z325" t="s">
        <v>6534</v>
      </c>
      <c r="AA325" t="s">
        <v>6535</v>
      </c>
      <c r="AB325" t="s">
        <v>6536</v>
      </c>
      <c r="AC325" t="s">
        <v>6537</v>
      </c>
      <c r="AD325" t="s">
        <v>6537</v>
      </c>
      <c r="AE325" t="s">
        <v>6537</v>
      </c>
      <c r="AF325" t="s">
        <v>74</v>
      </c>
      <c r="AG325">
        <v>44</v>
      </c>
      <c r="AH325">
        <v>1</v>
      </c>
      <c r="AI325">
        <v>1</v>
      </c>
      <c r="AJ325">
        <v>33</v>
      </c>
      <c r="AK325">
        <v>33</v>
      </c>
      <c r="AL325" t="s">
        <v>438</v>
      </c>
      <c r="AM325" t="s">
        <v>439</v>
      </c>
      <c r="AN325" t="s">
        <v>440</v>
      </c>
      <c r="AO325" t="s">
        <v>6538</v>
      </c>
      <c r="AP325" t="s">
        <v>6539</v>
      </c>
      <c r="AQ325" t="s">
        <v>74</v>
      </c>
      <c r="AR325" t="s">
        <v>6540</v>
      </c>
      <c r="AS325" t="s">
        <v>6541</v>
      </c>
      <c r="AT325" t="s">
        <v>527</v>
      </c>
      <c r="AU325">
        <v>2023</v>
      </c>
      <c r="AV325">
        <v>34</v>
      </c>
      <c r="AW325">
        <v>12</v>
      </c>
      <c r="AX325" t="s">
        <v>74</v>
      </c>
      <c r="AY325" t="s">
        <v>74</v>
      </c>
      <c r="AZ325" t="s">
        <v>74</v>
      </c>
      <c r="BA325" t="s">
        <v>74</v>
      </c>
      <c r="BB325">
        <v>1390</v>
      </c>
      <c r="BC325">
        <v>1403</v>
      </c>
      <c r="BD325" t="s">
        <v>74</v>
      </c>
      <c r="BE325" t="s">
        <v>6542</v>
      </c>
      <c r="BF325" t="str">
        <f>HYPERLINK("http://dx.doi.org/10.1177/09567976231207095","http://dx.doi.org/10.1177/09567976231207095")</f>
        <v>http://dx.doi.org/10.1177/09567976231207095</v>
      </c>
      <c r="BG325" t="s">
        <v>74</v>
      </c>
      <c r="BH325" t="s">
        <v>157</v>
      </c>
      <c r="BI325">
        <v>14</v>
      </c>
      <c r="BJ325" t="s">
        <v>1161</v>
      </c>
      <c r="BK325" t="s">
        <v>159</v>
      </c>
      <c r="BL325" t="s">
        <v>1162</v>
      </c>
      <c r="BM325" t="s">
        <v>6543</v>
      </c>
      <c r="BN325">
        <v>37955384</v>
      </c>
      <c r="BO325" t="s">
        <v>161</v>
      </c>
      <c r="BP325" t="s">
        <v>74</v>
      </c>
      <c r="BQ325" t="s">
        <v>74</v>
      </c>
      <c r="BR325" t="s">
        <v>101</v>
      </c>
      <c r="BS325" t="s">
        <v>6544</v>
      </c>
      <c r="BT325" t="str">
        <f>HYPERLINK("https%3A%2F%2Fwww.webofscience.com%2Fwos%2Fwoscc%2Ffull-record%2FWOS:001100739100001","View Full Record in Web of Science")</f>
        <v>View Full Record in Web of Science</v>
      </c>
    </row>
    <row r="326" spans="1:72" x14ac:dyDescent="0.2">
      <c r="A326" t="s">
        <v>103</v>
      </c>
      <c r="B326" t="s">
        <v>6545</v>
      </c>
      <c r="C326" t="s">
        <v>74</v>
      </c>
      <c r="D326" t="s">
        <v>74</v>
      </c>
      <c r="E326" t="s">
        <v>74</v>
      </c>
      <c r="F326" t="s">
        <v>6546</v>
      </c>
      <c r="G326" t="s">
        <v>74</v>
      </c>
      <c r="H326" t="s">
        <v>74</v>
      </c>
      <c r="I326" t="s">
        <v>6547</v>
      </c>
      <c r="J326" t="s">
        <v>6548</v>
      </c>
      <c r="K326" t="s">
        <v>74</v>
      </c>
      <c r="L326" t="s">
        <v>74</v>
      </c>
      <c r="M326" t="s">
        <v>79</v>
      </c>
      <c r="N326" t="s">
        <v>108</v>
      </c>
      <c r="O326" t="s">
        <v>74</v>
      </c>
      <c r="P326" t="s">
        <v>74</v>
      </c>
      <c r="Q326" t="s">
        <v>74</v>
      </c>
      <c r="R326" t="s">
        <v>74</v>
      </c>
      <c r="S326" t="s">
        <v>74</v>
      </c>
      <c r="T326" t="s">
        <v>6549</v>
      </c>
      <c r="U326" t="s">
        <v>6550</v>
      </c>
      <c r="V326" t="s">
        <v>6551</v>
      </c>
      <c r="W326" t="s">
        <v>6552</v>
      </c>
      <c r="X326" t="s">
        <v>6553</v>
      </c>
      <c r="Y326" t="s">
        <v>6554</v>
      </c>
      <c r="Z326" t="s">
        <v>6555</v>
      </c>
      <c r="AA326" t="s">
        <v>74</v>
      </c>
      <c r="AB326" t="s">
        <v>6556</v>
      </c>
      <c r="AC326" t="s">
        <v>6557</v>
      </c>
      <c r="AD326" t="s">
        <v>6558</v>
      </c>
      <c r="AE326" t="s">
        <v>6559</v>
      </c>
      <c r="AF326" t="s">
        <v>74</v>
      </c>
      <c r="AG326">
        <v>42</v>
      </c>
      <c r="AH326">
        <v>2</v>
      </c>
      <c r="AI326">
        <v>2</v>
      </c>
      <c r="AJ326">
        <v>18</v>
      </c>
      <c r="AK326">
        <v>18</v>
      </c>
      <c r="AL326" t="s">
        <v>6560</v>
      </c>
      <c r="AM326" t="s">
        <v>548</v>
      </c>
      <c r="AN326" t="s">
        <v>6561</v>
      </c>
      <c r="AO326" t="s">
        <v>6562</v>
      </c>
      <c r="AP326" t="s">
        <v>6563</v>
      </c>
      <c r="AQ326" t="s">
        <v>74</v>
      </c>
      <c r="AR326" t="s">
        <v>6564</v>
      </c>
      <c r="AS326" t="s">
        <v>6565</v>
      </c>
      <c r="AT326" t="s">
        <v>1158</v>
      </c>
      <c r="AU326">
        <v>2023</v>
      </c>
      <c r="AV326">
        <v>120</v>
      </c>
      <c r="AW326">
        <v>48</v>
      </c>
      <c r="AX326" t="s">
        <v>74</v>
      </c>
      <c r="AY326" t="s">
        <v>74</v>
      </c>
      <c r="AZ326" t="s">
        <v>74</v>
      </c>
      <c r="BA326" t="s">
        <v>74</v>
      </c>
      <c r="BB326" t="s">
        <v>74</v>
      </c>
      <c r="BC326" t="s">
        <v>74</v>
      </c>
      <c r="BD326" t="s">
        <v>6566</v>
      </c>
      <c r="BE326" t="s">
        <v>6567</v>
      </c>
      <c r="BF326" t="str">
        <f>HYPERLINK("http://dx.doi.org/10.1073/pnas.2312848120","http://dx.doi.org/10.1073/pnas.2312848120")</f>
        <v>http://dx.doi.org/10.1073/pnas.2312848120</v>
      </c>
      <c r="BG326" t="s">
        <v>74</v>
      </c>
      <c r="BH326" t="s">
        <v>74</v>
      </c>
      <c r="BI326">
        <v>7</v>
      </c>
      <c r="BJ326" t="s">
        <v>5686</v>
      </c>
      <c r="BK326" t="s">
        <v>130</v>
      </c>
      <c r="BL326" t="s">
        <v>5687</v>
      </c>
      <c r="BM326" t="s">
        <v>6568</v>
      </c>
      <c r="BN326">
        <v>37983512</v>
      </c>
      <c r="BO326" t="s">
        <v>2722</v>
      </c>
      <c r="BP326" t="s">
        <v>74</v>
      </c>
      <c r="BQ326" t="s">
        <v>74</v>
      </c>
      <c r="BR326" t="s">
        <v>101</v>
      </c>
      <c r="BS326" t="s">
        <v>6569</v>
      </c>
      <c r="BT326" t="str">
        <f>HYPERLINK("https%3A%2F%2Fwww.webofscience.com%2Fwos%2Fwoscc%2Ffull-record%2FWOS:001128154400012","View Full Record in Web of Science")</f>
        <v>View Full Record in Web of Science</v>
      </c>
    </row>
    <row r="327" spans="1:72" x14ac:dyDescent="0.2">
      <c r="A327" t="s">
        <v>103</v>
      </c>
      <c r="B327" t="s">
        <v>6570</v>
      </c>
      <c r="C327" t="s">
        <v>74</v>
      </c>
      <c r="D327" t="s">
        <v>74</v>
      </c>
      <c r="E327" t="s">
        <v>74</v>
      </c>
      <c r="F327" t="s">
        <v>6571</v>
      </c>
      <c r="G327" t="s">
        <v>74</v>
      </c>
      <c r="H327" t="s">
        <v>74</v>
      </c>
      <c r="I327" t="s">
        <v>6572</v>
      </c>
      <c r="J327" t="s">
        <v>6573</v>
      </c>
      <c r="K327" t="s">
        <v>74</v>
      </c>
      <c r="L327" t="s">
        <v>74</v>
      </c>
      <c r="M327" t="s">
        <v>79</v>
      </c>
      <c r="N327" t="s">
        <v>138</v>
      </c>
      <c r="O327" t="s">
        <v>74</v>
      </c>
      <c r="P327" t="s">
        <v>74</v>
      </c>
      <c r="Q327" t="s">
        <v>74</v>
      </c>
      <c r="R327" t="s">
        <v>74</v>
      </c>
      <c r="S327" t="s">
        <v>74</v>
      </c>
      <c r="T327" t="s">
        <v>6574</v>
      </c>
      <c r="U327" t="s">
        <v>6575</v>
      </c>
      <c r="V327" t="s">
        <v>6576</v>
      </c>
      <c r="W327" t="s">
        <v>6577</v>
      </c>
      <c r="X327" t="s">
        <v>6578</v>
      </c>
      <c r="Y327" t="s">
        <v>6579</v>
      </c>
      <c r="Z327" t="s">
        <v>6580</v>
      </c>
      <c r="AA327" t="s">
        <v>74</v>
      </c>
      <c r="AB327" t="s">
        <v>74</v>
      </c>
      <c r="AC327" t="s">
        <v>6581</v>
      </c>
      <c r="AD327" t="s">
        <v>6582</v>
      </c>
      <c r="AE327" t="s">
        <v>6583</v>
      </c>
      <c r="AF327" t="s">
        <v>74</v>
      </c>
      <c r="AG327">
        <v>48</v>
      </c>
      <c r="AH327">
        <v>0</v>
      </c>
      <c r="AI327">
        <v>0</v>
      </c>
      <c r="AJ327">
        <v>1</v>
      </c>
      <c r="AK327">
        <v>1</v>
      </c>
      <c r="AL327" t="s">
        <v>6584</v>
      </c>
      <c r="AM327" t="s">
        <v>149</v>
      </c>
      <c r="AN327" t="s">
        <v>6585</v>
      </c>
      <c r="AO327" t="s">
        <v>6586</v>
      </c>
      <c r="AP327" t="s">
        <v>6587</v>
      </c>
      <c r="AQ327" t="s">
        <v>74</v>
      </c>
      <c r="AR327" t="s">
        <v>6588</v>
      </c>
      <c r="AS327" t="s">
        <v>6589</v>
      </c>
      <c r="AT327" t="s">
        <v>6590</v>
      </c>
      <c r="AU327">
        <v>2023</v>
      </c>
      <c r="AV327" t="s">
        <v>74</v>
      </c>
      <c r="AW327" t="s">
        <v>74</v>
      </c>
      <c r="AX327" t="s">
        <v>74</v>
      </c>
      <c r="AY327" t="s">
        <v>74</v>
      </c>
      <c r="AZ327" t="s">
        <v>74</v>
      </c>
      <c r="BA327" t="s">
        <v>74</v>
      </c>
      <c r="BB327" t="s">
        <v>74</v>
      </c>
      <c r="BC327" t="s">
        <v>74</v>
      </c>
      <c r="BD327" t="s">
        <v>74</v>
      </c>
      <c r="BE327" t="s">
        <v>6591</v>
      </c>
      <c r="BF327" t="str">
        <f>HYPERLINK("http://dx.doi.org/10.1007/s00521-023-09307-0","http://dx.doi.org/10.1007/s00521-023-09307-0")</f>
        <v>http://dx.doi.org/10.1007/s00521-023-09307-0</v>
      </c>
      <c r="BG327" t="s">
        <v>74</v>
      </c>
      <c r="BH327" t="s">
        <v>128</v>
      </c>
      <c r="BI327">
        <v>15</v>
      </c>
      <c r="BJ327" t="s">
        <v>304</v>
      </c>
      <c r="BK327" t="s">
        <v>130</v>
      </c>
      <c r="BL327" t="s">
        <v>99</v>
      </c>
      <c r="BM327" t="s">
        <v>6592</v>
      </c>
      <c r="BN327" t="s">
        <v>74</v>
      </c>
      <c r="BO327" t="s">
        <v>74</v>
      </c>
      <c r="BP327" t="s">
        <v>74</v>
      </c>
      <c r="BQ327" t="s">
        <v>74</v>
      </c>
      <c r="BR327" t="s">
        <v>101</v>
      </c>
      <c r="BS327" t="s">
        <v>6593</v>
      </c>
      <c r="BT327" t="str">
        <f>HYPERLINK("https%3A%2F%2Fwww.webofscience.com%2Fwos%2Fwoscc%2Ffull-record%2FWOS:001129226900001","View Full Record in Web of Science")</f>
        <v>View Full Record in Web of Science</v>
      </c>
    </row>
    <row r="328" spans="1:72" x14ac:dyDescent="0.2">
      <c r="A328" t="s">
        <v>72</v>
      </c>
      <c r="B328" t="s">
        <v>6594</v>
      </c>
      <c r="C328" t="s">
        <v>74</v>
      </c>
      <c r="D328" t="s">
        <v>74</v>
      </c>
      <c r="E328" t="s">
        <v>92</v>
      </c>
      <c r="F328" t="s">
        <v>6595</v>
      </c>
      <c r="G328" t="s">
        <v>74</v>
      </c>
      <c r="H328" t="s">
        <v>74</v>
      </c>
      <c r="I328" t="s">
        <v>6596</v>
      </c>
      <c r="J328" t="s">
        <v>2504</v>
      </c>
      <c r="K328" t="s">
        <v>74</v>
      </c>
      <c r="L328" t="s">
        <v>74</v>
      </c>
      <c r="M328" t="s">
        <v>79</v>
      </c>
      <c r="N328" t="s">
        <v>80</v>
      </c>
      <c r="O328" t="s">
        <v>2505</v>
      </c>
      <c r="P328" t="s">
        <v>2506</v>
      </c>
      <c r="Q328" t="s">
        <v>2507</v>
      </c>
      <c r="R328" t="s">
        <v>1223</v>
      </c>
      <c r="S328" t="s">
        <v>74</v>
      </c>
      <c r="T328" t="s">
        <v>6597</v>
      </c>
      <c r="U328" t="s">
        <v>6598</v>
      </c>
      <c r="V328" t="s">
        <v>6599</v>
      </c>
      <c r="W328" t="s">
        <v>6600</v>
      </c>
      <c r="X328" t="s">
        <v>2245</v>
      </c>
      <c r="Y328" t="s">
        <v>6601</v>
      </c>
      <c r="Z328" t="s">
        <v>6602</v>
      </c>
      <c r="AA328" t="s">
        <v>74</v>
      </c>
      <c r="AB328" t="s">
        <v>74</v>
      </c>
      <c r="AC328" t="s">
        <v>6603</v>
      </c>
      <c r="AD328" t="s">
        <v>6604</v>
      </c>
      <c r="AE328" t="s">
        <v>6605</v>
      </c>
      <c r="AF328" t="s">
        <v>74</v>
      </c>
      <c r="AG328">
        <v>84</v>
      </c>
      <c r="AH328">
        <v>1</v>
      </c>
      <c r="AI328">
        <v>1</v>
      </c>
      <c r="AJ328">
        <v>3</v>
      </c>
      <c r="AK328">
        <v>3</v>
      </c>
      <c r="AL328" t="s">
        <v>92</v>
      </c>
      <c r="AM328" t="s">
        <v>93</v>
      </c>
      <c r="AN328" t="s">
        <v>94</v>
      </c>
      <c r="AO328" t="s">
        <v>74</v>
      </c>
      <c r="AP328" t="s">
        <v>74</v>
      </c>
      <c r="AQ328" t="s">
        <v>2515</v>
      </c>
      <c r="AR328" t="s">
        <v>74</v>
      </c>
      <c r="AS328" t="s">
        <v>74</v>
      </c>
      <c r="AT328" t="s">
        <v>74</v>
      </c>
      <c r="AU328">
        <v>2023</v>
      </c>
      <c r="AV328" t="s">
        <v>74</v>
      </c>
      <c r="AW328" t="s">
        <v>74</v>
      </c>
      <c r="AX328" t="s">
        <v>74</v>
      </c>
      <c r="AY328" t="s">
        <v>74</v>
      </c>
      <c r="AZ328" t="s">
        <v>74</v>
      </c>
      <c r="BA328" t="s">
        <v>74</v>
      </c>
      <c r="BB328">
        <v>1174</v>
      </c>
      <c r="BC328">
        <v>1185</v>
      </c>
      <c r="BD328" t="s">
        <v>74</v>
      </c>
      <c r="BE328" t="s">
        <v>6606</v>
      </c>
      <c r="BF328" t="str">
        <f>HYPERLINK("http://dx.doi.org/10.1145/3593013.3594072","http://dx.doi.org/10.1145/3593013.3594072")</f>
        <v>http://dx.doi.org/10.1145/3593013.3594072</v>
      </c>
      <c r="BG328" t="s">
        <v>74</v>
      </c>
      <c r="BH328" t="s">
        <v>74</v>
      </c>
      <c r="BI328">
        <v>12</v>
      </c>
      <c r="BJ328" t="s">
        <v>2517</v>
      </c>
      <c r="BK328" t="s">
        <v>180</v>
      </c>
      <c r="BL328" t="s">
        <v>1212</v>
      </c>
      <c r="BM328" t="s">
        <v>2518</v>
      </c>
      <c r="BN328" t="s">
        <v>74</v>
      </c>
      <c r="BO328" t="s">
        <v>2568</v>
      </c>
      <c r="BP328" t="s">
        <v>74</v>
      </c>
      <c r="BQ328" t="s">
        <v>74</v>
      </c>
      <c r="BR328" t="s">
        <v>101</v>
      </c>
      <c r="BS328" t="s">
        <v>6607</v>
      </c>
      <c r="BT328" t="str">
        <f>HYPERLINK("https%3A%2F%2Fwww.webofscience.com%2Fwos%2Fwoscc%2Ffull-record%2FWOS:001062819300101","View Full Record in Web of Science")</f>
        <v>View Full Record in Web of Science</v>
      </c>
    </row>
    <row r="329" spans="1:72" x14ac:dyDescent="0.2">
      <c r="A329" t="s">
        <v>103</v>
      </c>
      <c r="B329" t="s">
        <v>6608</v>
      </c>
      <c r="C329" t="s">
        <v>74</v>
      </c>
      <c r="D329" t="s">
        <v>74</v>
      </c>
      <c r="E329" t="s">
        <v>74</v>
      </c>
      <c r="F329" t="s">
        <v>6609</v>
      </c>
      <c r="G329" t="s">
        <v>74</v>
      </c>
      <c r="H329" t="s">
        <v>74</v>
      </c>
      <c r="I329" t="s">
        <v>6610</v>
      </c>
      <c r="J329" t="s">
        <v>6611</v>
      </c>
      <c r="K329" t="s">
        <v>74</v>
      </c>
      <c r="L329" t="s">
        <v>74</v>
      </c>
      <c r="M329" t="s">
        <v>79</v>
      </c>
      <c r="N329" t="s">
        <v>108</v>
      </c>
      <c r="O329" t="s">
        <v>74</v>
      </c>
      <c r="P329" t="s">
        <v>74</v>
      </c>
      <c r="Q329" t="s">
        <v>74</v>
      </c>
      <c r="R329" t="s">
        <v>74</v>
      </c>
      <c r="S329" t="s">
        <v>74</v>
      </c>
      <c r="T329" t="s">
        <v>6612</v>
      </c>
      <c r="U329" t="s">
        <v>74</v>
      </c>
      <c r="V329" t="s">
        <v>6613</v>
      </c>
      <c r="W329" t="s">
        <v>6614</v>
      </c>
      <c r="X329" t="s">
        <v>6615</v>
      </c>
      <c r="Y329" t="s">
        <v>6616</v>
      </c>
      <c r="Z329" t="s">
        <v>6617</v>
      </c>
      <c r="AA329" t="s">
        <v>74</v>
      </c>
      <c r="AB329" t="s">
        <v>6618</v>
      </c>
      <c r="AC329" t="s">
        <v>6619</v>
      </c>
      <c r="AD329" t="s">
        <v>6619</v>
      </c>
      <c r="AE329" t="s">
        <v>6620</v>
      </c>
      <c r="AF329" t="s">
        <v>74</v>
      </c>
      <c r="AG329">
        <v>72</v>
      </c>
      <c r="AH329">
        <v>1</v>
      </c>
      <c r="AI329">
        <v>1</v>
      </c>
      <c r="AJ329">
        <v>5</v>
      </c>
      <c r="AK329">
        <v>13</v>
      </c>
      <c r="AL329" t="s">
        <v>638</v>
      </c>
      <c r="AM329" t="s">
        <v>639</v>
      </c>
      <c r="AN329" t="s">
        <v>1557</v>
      </c>
      <c r="AO329" t="s">
        <v>6621</v>
      </c>
      <c r="AP329" t="s">
        <v>6622</v>
      </c>
      <c r="AQ329" t="s">
        <v>74</v>
      </c>
      <c r="AR329" t="s">
        <v>6623</v>
      </c>
      <c r="AS329" t="s">
        <v>6624</v>
      </c>
      <c r="AT329" t="s">
        <v>6625</v>
      </c>
      <c r="AU329">
        <v>2023</v>
      </c>
      <c r="AV329">
        <v>45</v>
      </c>
      <c r="AW329">
        <v>3</v>
      </c>
      <c r="AX329" t="s">
        <v>74</v>
      </c>
      <c r="AY329" t="s">
        <v>74</v>
      </c>
      <c r="AZ329" t="s">
        <v>74</v>
      </c>
      <c r="BA329" t="s">
        <v>74</v>
      </c>
      <c r="BB329">
        <v>3154</v>
      </c>
      <c r="BC329">
        <v>3168</v>
      </c>
      <c r="BD329" t="s">
        <v>74</v>
      </c>
      <c r="BE329" t="s">
        <v>6626</v>
      </c>
      <c r="BF329" t="str">
        <f>HYPERLINK("http://dx.doi.org/10.1109/TPAMI.2022.3186715","http://dx.doi.org/10.1109/TPAMI.2022.3186715")</f>
        <v>http://dx.doi.org/10.1109/TPAMI.2022.3186715</v>
      </c>
      <c r="BG329" t="s">
        <v>74</v>
      </c>
      <c r="BH329" t="s">
        <v>74</v>
      </c>
      <c r="BI329">
        <v>15</v>
      </c>
      <c r="BJ329" t="s">
        <v>6627</v>
      </c>
      <c r="BK329" t="s">
        <v>130</v>
      </c>
      <c r="BL329" t="s">
        <v>906</v>
      </c>
      <c r="BM329" t="s">
        <v>6628</v>
      </c>
      <c r="BN329">
        <v>35763473</v>
      </c>
      <c r="BO329" t="s">
        <v>646</v>
      </c>
      <c r="BP329" t="s">
        <v>74</v>
      </c>
      <c r="BQ329" t="s">
        <v>74</v>
      </c>
      <c r="BR329" t="s">
        <v>101</v>
      </c>
      <c r="BS329" t="s">
        <v>6629</v>
      </c>
      <c r="BT329" t="str">
        <f>HYPERLINK("https%3A%2F%2Fwww.webofscience.com%2Fwos%2Fwoscc%2Ffull-record%2FWOS:000966390900001","View Full Record in Web of Science")</f>
        <v>View Full Record in Web of Science</v>
      </c>
    </row>
    <row r="330" spans="1:72" x14ac:dyDescent="0.2">
      <c r="A330" t="s">
        <v>103</v>
      </c>
      <c r="B330" t="s">
        <v>6630</v>
      </c>
      <c r="C330" t="s">
        <v>74</v>
      </c>
      <c r="D330" t="s">
        <v>74</v>
      </c>
      <c r="E330" t="s">
        <v>74</v>
      </c>
      <c r="F330" t="s">
        <v>6631</v>
      </c>
      <c r="G330" t="s">
        <v>74</v>
      </c>
      <c r="H330" t="s">
        <v>74</v>
      </c>
      <c r="I330" t="s">
        <v>6632</v>
      </c>
      <c r="J330" t="s">
        <v>6265</v>
      </c>
      <c r="K330" t="s">
        <v>74</v>
      </c>
      <c r="L330" t="s">
        <v>74</v>
      </c>
      <c r="M330" t="s">
        <v>79</v>
      </c>
      <c r="N330" t="s">
        <v>108</v>
      </c>
      <c r="O330" t="s">
        <v>74</v>
      </c>
      <c r="P330" t="s">
        <v>74</v>
      </c>
      <c r="Q330" t="s">
        <v>74</v>
      </c>
      <c r="R330" t="s">
        <v>74</v>
      </c>
      <c r="S330" t="s">
        <v>74</v>
      </c>
      <c r="T330" t="s">
        <v>6633</v>
      </c>
      <c r="U330" t="s">
        <v>6634</v>
      </c>
      <c r="V330" t="s">
        <v>6635</v>
      </c>
      <c r="W330" t="s">
        <v>6636</v>
      </c>
      <c r="X330" t="s">
        <v>6637</v>
      </c>
      <c r="Y330" t="s">
        <v>6638</v>
      </c>
      <c r="Z330" t="s">
        <v>6639</v>
      </c>
      <c r="AA330" t="s">
        <v>6640</v>
      </c>
      <c r="AB330" t="s">
        <v>74</v>
      </c>
      <c r="AC330" t="s">
        <v>74</v>
      </c>
      <c r="AD330" t="s">
        <v>74</v>
      </c>
      <c r="AE330" t="s">
        <v>74</v>
      </c>
      <c r="AF330" t="s">
        <v>74</v>
      </c>
      <c r="AG330">
        <v>61</v>
      </c>
      <c r="AH330">
        <v>9</v>
      </c>
      <c r="AI330">
        <v>9</v>
      </c>
      <c r="AJ330">
        <v>13</v>
      </c>
      <c r="AK330">
        <v>37</v>
      </c>
      <c r="AL330" t="s">
        <v>6274</v>
      </c>
      <c r="AM330" t="s">
        <v>93</v>
      </c>
      <c r="AN330" t="s">
        <v>6275</v>
      </c>
      <c r="AO330" t="s">
        <v>6276</v>
      </c>
      <c r="AP330" t="s">
        <v>6277</v>
      </c>
      <c r="AQ330" t="s">
        <v>74</v>
      </c>
      <c r="AR330" t="s">
        <v>6278</v>
      </c>
      <c r="AS330" t="s">
        <v>6279</v>
      </c>
      <c r="AT330" t="s">
        <v>816</v>
      </c>
      <c r="AU330">
        <v>2023</v>
      </c>
      <c r="AV330">
        <v>145</v>
      </c>
      <c r="AW330">
        <v>4</v>
      </c>
      <c r="AX330" t="s">
        <v>74</v>
      </c>
      <c r="AY330" t="s">
        <v>74</v>
      </c>
      <c r="AZ330" t="s">
        <v>74</v>
      </c>
      <c r="BA330" t="s">
        <v>74</v>
      </c>
      <c r="BB330" t="s">
        <v>74</v>
      </c>
      <c r="BC330" t="s">
        <v>74</v>
      </c>
      <c r="BD330">
        <v>41409</v>
      </c>
      <c r="BE330" t="s">
        <v>6641</v>
      </c>
      <c r="BF330" t="str">
        <f>HYPERLINK("http://dx.doi.org/10.1115/1.4056598","http://dx.doi.org/10.1115/1.4056598")</f>
        <v>http://dx.doi.org/10.1115/1.4056598</v>
      </c>
      <c r="BG330" t="s">
        <v>74</v>
      </c>
      <c r="BH330" t="s">
        <v>74</v>
      </c>
      <c r="BI330">
        <v>12</v>
      </c>
      <c r="BJ330" t="s">
        <v>6281</v>
      </c>
      <c r="BK330" t="s">
        <v>130</v>
      </c>
      <c r="BL330" t="s">
        <v>2823</v>
      </c>
      <c r="BM330" t="s">
        <v>6282</v>
      </c>
      <c r="BN330" t="s">
        <v>74</v>
      </c>
      <c r="BO330" t="s">
        <v>646</v>
      </c>
      <c r="BP330" t="s">
        <v>74</v>
      </c>
      <c r="BQ330" t="s">
        <v>74</v>
      </c>
      <c r="BR330" t="s">
        <v>101</v>
      </c>
      <c r="BS330" t="s">
        <v>6642</v>
      </c>
      <c r="BT330" t="str">
        <f>HYPERLINK("https%3A%2F%2Fwww.webofscience.com%2Fwos%2Fwoscc%2Ffull-record%2FWOS:000949997800017","View Full Record in Web of Science")</f>
        <v>View Full Record in Web of Science</v>
      </c>
    </row>
    <row r="331" spans="1:72" x14ac:dyDescent="0.2">
      <c r="A331" t="s">
        <v>103</v>
      </c>
      <c r="B331" t="s">
        <v>6643</v>
      </c>
      <c r="C331" t="s">
        <v>74</v>
      </c>
      <c r="D331" t="s">
        <v>74</v>
      </c>
      <c r="E331" t="s">
        <v>74</v>
      </c>
      <c r="F331" t="s">
        <v>6644</v>
      </c>
      <c r="G331" t="s">
        <v>74</v>
      </c>
      <c r="H331" t="s">
        <v>74</v>
      </c>
      <c r="I331" t="s">
        <v>6645</v>
      </c>
      <c r="J331" t="s">
        <v>6646</v>
      </c>
      <c r="K331" t="s">
        <v>74</v>
      </c>
      <c r="L331" t="s">
        <v>74</v>
      </c>
      <c r="M331" t="s">
        <v>79</v>
      </c>
      <c r="N331" t="s">
        <v>108</v>
      </c>
      <c r="O331" t="s">
        <v>74</v>
      </c>
      <c r="P331" t="s">
        <v>74</v>
      </c>
      <c r="Q331" t="s">
        <v>74</v>
      </c>
      <c r="R331" t="s">
        <v>74</v>
      </c>
      <c r="S331" t="s">
        <v>74</v>
      </c>
      <c r="T331" t="s">
        <v>6647</v>
      </c>
      <c r="U331" t="s">
        <v>6648</v>
      </c>
      <c r="V331" t="s">
        <v>6649</v>
      </c>
      <c r="W331" t="s">
        <v>6650</v>
      </c>
      <c r="X331" t="s">
        <v>6651</v>
      </c>
      <c r="Y331" t="s">
        <v>6652</v>
      </c>
      <c r="Z331" t="s">
        <v>6653</v>
      </c>
      <c r="AA331" t="s">
        <v>74</v>
      </c>
      <c r="AB331" t="s">
        <v>74</v>
      </c>
      <c r="AC331" t="s">
        <v>6654</v>
      </c>
      <c r="AD331" t="s">
        <v>6654</v>
      </c>
      <c r="AE331" t="s">
        <v>6655</v>
      </c>
      <c r="AF331" t="s">
        <v>74</v>
      </c>
      <c r="AG331">
        <v>58</v>
      </c>
      <c r="AH331">
        <v>0</v>
      </c>
      <c r="AI331">
        <v>0</v>
      </c>
      <c r="AJ331">
        <v>2</v>
      </c>
      <c r="AK331">
        <v>2</v>
      </c>
      <c r="AL331" t="s">
        <v>6656</v>
      </c>
      <c r="AM331" t="s">
        <v>6657</v>
      </c>
      <c r="AN331" t="s">
        <v>6658</v>
      </c>
      <c r="AO331" t="s">
        <v>6659</v>
      </c>
      <c r="AP331" t="s">
        <v>74</v>
      </c>
      <c r="AQ331" t="s">
        <v>74</v>
      </c>
      <c r="AR331" t="s">
        <v>6660</v>
      </c>
      <c r="AS331" t="s">
        <v>6661</v>
      </c>
      <c r="AT331" t="s">
        <v>74</v>
      </c>
      <c r="AU331">
        <v>2023</v>
      </c>
      <c r="AV331">
        <v>24</v>
      </c>
      <c r="AW331">
        <v>4</v>
      </c>
      <c r="AX331" t="s">
        <v>74</v>
      </c>
      <c r="AY331" t="s">
        <v>74</v>
      </c>
      <c r="AZ331" t="s">
        <v>74</v>
      </c>
      <c r="BA331" t="s">
        <v>74</v>
      </c>
      <c r="BB331">
        <v>465</v>
      </c>
      <c r="BC331">
        <v>496</v>
      </c>
      <c r="BD331" t="s">
        <v>74</v>
      </c>
      <c r="BE331" t="s">
        <v>74</v>
      </c>
      <c r="BF331" t="s">
        <v>74</v>
      </c>
      <c r="BG331" t="s">
        <v>74</v>
      </c>
      <c r="BH331" t="s">
        <v>74</v>
      </c>
      <c r="BI331">
        <v>32</v>
      </c>
      <c r="BJ331" t="s">
        <v>377</v>
      </c>
      <c r="BK331" t="s">
        <v>352</v>
      </c>
      <c r="BL331" t="s">
        <v>377</v>
      </c>
      <c r="BM331" t="s">
        <v>6662</v>
      </c>
      <c r="BN331" t="s">
        <v>74</v>
      </c>
      <c r="BO331" t="s">
        <v>74</v>
      </c>
      <c r="BP331" t="s">
        <v>74</v>
      </c>
      <c r="BQ331" t="s">
        <v>74</v>
      </c>
      <c r="BR331" t="s">
        <v>101</v>
      </c>
      <c r="BS331" t="s">
        <v>6663</v>
      </c>
      <c r="BT331" t="str">
        <f>HYPERLINK("https%3A%2F%2Fwww.webofscience.com%2Fwos%2Fwoscc%2Ffull-record%2FWOS:001147235500003","View Full Record in Web of Science")</f>
        <v>View Full Record in Web of Science</v>
      </c>
    </row>
    <row r="332" spans="1:72" x14ac:dyDescent="0.2">
      <c r="A332" t="s">
        <v>72</v>
      </c>
      <c r="B332" t="s">
        <v>6664</v>
      </c>
      <c r="C332" t="s">
        <v>74</v>
      </c>
      <c r="D332" t="s">
        <v>74</v>
      </c>
      <c r="E332" t="s">
        <v>75</v>
      </c>
      <c r="F332" t="s">
        <v>6665</v>
      </c>
      <c r="G332" t="s">
        <v>74</v>
      </c>
      <c r="H332" t="s">
        <v>74</v>
      </c>
      <c r="I332" t="s">
        <v>6666</v>
      </c>
      <c r="J332" t="s">
        <v>6667</v>
      </c>
      <c r="K332" t="s">
        <v>74</v>
      </c>
      <c r="L332" t="s">
        <v>74</v>
      </c>
      <c r="M332" t="s">
        <v>79</v>
      </c>
      <c r="N332" t="s">
        <v>80</v>
      </c>
      <c r="O332" t="s">
        <v>6668</v>
      </c>
      <c r="P332" t="s">
        <v>6669</v>
      </c>
      <c r="Q332" t="s">
        <v>6670</v>
      </c>
      <c r="R332" t="s">
        <v>74</v>
      </c>
      <c r="S332" t="s">
        <v>6671</v>
      </c>
      <c r="T332" t="s">
        <v>6672</v>
      </c>
      <c r="U332" t="s">
        <v>74</v>
      </c>
      <c r="V332" t="s">
        <v>6673</v>
      </c>
      <c r="W332" t="s">
        <v>6674</v>
      </c>
      <c r="X332" t="s">
        <v>74</v>
      </c>
      <c r="Y332" t="s">
        <v>6675</v>
      </c>
      <c r="Z332" t="s">
        <v>6676</v>
      </c>
      <c r="AA332" t="s">
        <v>74</v>
      </c>
      <c r="AB332" t="s">
        <v>74</v>
      </c>
      <c r="AC332" t="s">
        <v>74</v>
      </c>
      <c r="AD332" t="s">
        <v>74</v>
      </c>
      <c r="AE332" t="s">
        <v>74</v>
      </c>
      <c r="AF332" t="s">
        <v>74</v>
      </c>
      <c r="AG332">
        <v>33</v>
      </c>
      <c r="AH332">
        <v>0</v>
      </c>
      <c r="AI332">
        <v>0</v>
      </c>
      <c r="AJ332">
        <v>1</v>
      </c>
      <c r="AK332">
        <v>1</v>
      </c>
      <c r="AL332" t="s">
        <v>92</v>
      </c>
      <c r="AM332" t="s">
        <v>93</v>
      </c>
      <c r="AN332" t="s">
        <v>94</v>
      </c>
      <c r="AO332" t="s">
        <v>74</v>
      </c>
      <c r="AP332" t="s">
        <v>74</v>
      </c>
      <c r="AQ332" t="s">
        <v>6677</v>
      </c>
      <c r="AR332" t="s">
        <v>74</v>
      </c>
      <c r="AS332" t="s">
        <v>74</v>
      </c>
      <c r="AT332" t="s">
        <v>74</v>
      </c>
      <c r="AU332">
        <v>2023</v>
      </c>
      <c r="AV332" t="s">
        <v>74</v>
      </c>
      <c r="AW332" t="s">
        <v>74</v>
      </c>
      <c r="AX332" t="s">
        <v>74</v>
      </c>
      <c r="AY332" t="s">
        <v>74</v>
      </c>
      <c r="AZ332" t="s">
        <v>74</v>
      </c>
      <c r="BA332" t="s">
        <v>74</v>
      </c>
      <c r="BB332">
        <v>92</v>
      </c>
      <c r="BC332">
        <v>99</v>
      </c>
      <c r="BD332" t="s">
        <v>74</v>
      </c>
      <c r="BE332" t="s">
        <v>6678</v>
      </c>
      <c r="BF332" t="str">
        <f>HYPERLINK("http://dx.doi.org/10.1145/3590777.3590792","http://dx.doi.org/10.1145/3590777.3590792")</f>
        <v>http://dx.doi.org/10.1145/3590777.3590792</v>
      </c>
      <c r="BG332" t="s">
        <v>74</v>
      </c>
      <c r="BH332" t="s">
        <v>74</v>
      </c>
      <c r="BI332">
        <v>8</v>
      </c>
      <c r="BJ332" t="s">
        <v>6679</v>
      </c>
      <c r="BK332" t="s">
        <v>98</v>
      </c>
      <c r="BL332" t="s">
        <v>644</v>
      </c>
      <c r="BM332" t="s">
        <v>6680</v>
      </c>
      <c r="BN332" t="s">
        <v>74</v>
      </c>
      <c r="BO332" t="s">
        <v>1214</v>
      </c>
      <c r="BP332" t="s">
        <v>74</v>
      </c>
      <c r="BQ332" t="s">
        <v>74</v>
      </c>
      <c r="BR332" t="s">
        <v>101</v>
      </c>
      <c r="BS332" t="s">
        <v>6681</v>
      </c>
      <c r="BT332" t="str">
        <f>HYPERLINK("https%3A%2F%2Fwww.webofscience.com%2Fwos%2Fwoscc%2Ffull-record%2FWOS:001124185500015","View Full Record in Web of Science")</f>
        <v>View Full Record in Web of Science</v>
      </c>
    </row>
    <row r="333" spans="1:72" x14ac:dyDescent="0.2">
      <c r="A333" t="s">
        <v>72</v>
      </c>
      <c r="B333" t="s">
        <v>6682</v>
      </c>
      <c r="C333" t="s">
        <v>74</v>
      </c>
      <c r="D333" t="s">
        <v>74</v>
      </c>
      <c r="E333" t="s">
        <v>284</v>
      </c>
      <c r="F333" t="s">
        <v>6683</v>
      </c>
      <c r="G333" t="s">
        <v>74</v>
      </c>
      <c r="H333" t="s">
        <v>74</v>
      </c>
      <c r="I333" t="s">
        <v>6684</v>
      </c>
      <c r="J333" t="s">
        <v>1242</v>
      </c>
      <c r="K333" t="s">
        <v>1243</v>
      </c>
      <c r="L333" t="s">
        <v>74</v>
      </c>
      <c r="M333" t="s">
        <v>79</v>
      </c>
      <c r="N333" t="s">
        <v>80</v>
      </c>
      <c r="O333" t="s">
        <v>1244</v>
      </c>
      <c r="P333" t="s">
        <v>1245</v>
      </c>
      <c r="Q333" t="s">
        <v>1246</v>
      </c>
      <c r="R333" t="s">
        <v>1103</v>
      </c>
      <c r="S333" t="s">
        <v>74</v>
      </c>
      <c r="T333" t="s">
        <v>6685</v>
      </c>
      <c r="U333" t="s">
        <v>6686</v>
      </c>
      <c r="V333" t="s">
        <v>6687</v>
      </c>
      <c r="W333" t="s">
        <v>6688</v>
      </c>
      <c r="X333" t="s">
        <v>6689</v>
      </c>
      <c r="Y333" t="s">
        <v>6690</v>
      </c>
      <c r="Z333" t="s">
        <v>74</v>
      </c>
      <c r="AA333" t="s">
        <v>6691</v>
      </c>
      <c r="AB333" t="s">
        <v>6692</v>
      </c>
      <c r="AC333" t="s">
        <v>6693</v>
      </c>
      <c r="AD333" t="s">
        <v>6694</v>
      </c>
      <c r="AE333" t="s">
        <v>6695</v>
      </c>
      <c r="AF333" t="s">
        <v>74</v>
      </c>
      <c r="AG333">
        <v>75</v>
      </c>
      <c r="AH333">
        <v>0</v>
      </c>
      <c r="AI333">
        <v>0</v>
      </c>
      <c r="AJ333">
        <v>0</v>
      </c>
      <c r="AK333">
        <v>0</v>
      </c>
      <c r="AL333" t="s">
        <v>638</v>
      </c>
      <c r="AM333" t="s">
        <v>639</v>
      </c>
      <c r="AN333" t="s">
        <v>640</v>
      </c>
      <c r="AO333" t="s">
        <v>1253</v>
      </c>
      <c r="AP333" t="s">
        <v>74</v>
      </c>
      <c r="AQ333" t="s">
        <v>1254</v>
      </c>
      <c r="AR333" t="s">
        <v>1255</v>
      </c>
      <c r="AS333" t="s">
        <v>74</v>
      </c>
      <c r="AT333" t="s">
        <v>74</v>
      </c>
      <c r="AU333">
        <v>2023</v>
      </c>
      <c r="AV333" t="s">
        <v>74</v>
      </c>
      <c r="AW333" t="s">
        <v>74</v>
      </c>
      <c r="AX333" t="s">
        <v>74</v>
      </c>
      <c r="AY333" t="s">
        <v>74</v>
      </c>
      <c r="AZ333" t="s">
        <v>74</v>
      </c>
      <c r="BA333" t="s">
        <v>74</v>
      </c>
      <c r="BB333">
        <v>243</v>
      </c>
      <c r="BC333">
        <v>254</v>
      </c>
      <c r="BD333" t="s">
        <v>74</v>
      </c>
      <c r="BE333" t="s">
        <v>6696</v>
      </c>
      <c r="BF333" t="str">
        <f>HYPERLINK("http://dx.doi.org/10.1109/ASE56229.2023.00153","http://dx.doi.org/10.1109/ASE56229.2023.00153")</f>
        <v>http://dx.doi.org/10.1109/ASE56229.2023.00153</v>
      </c>
      <c r="BG333" t="s">
        <v>74</v>
      </c>
      <c r="BH333" t="s">
        <v>74</v>
      </c>
      <c r="BI333">
        <v>12</v>
      </c>
      <c r="BJ333" t="s">
        <v>1257</v>
      </c>
      <c r="BK333" t="s">
        <v>98</v>
      </c>
      <c r="BL333" t="s">
        <v>1258</v>
      </c>
      <c r="BM333" t="s">
        <v>1259</v>
      </c>
      <c r="BN333" t="s">
        <v>74</v>
      </c>
      <c r="BO333" t="s">
        <v>74</v>
      </c>
      <c r="BP333" t="s">
        <v>74</v>
      </c>
      <c r="BQ333" t="s">
        <v>74</v>
      </c>
      <c r="BR333" t="s">
        <v>101</v>
      </c>
      <c r="BS333" t="s">
        <v>6697</v>
      </c>
      <c r="BT333" t="str">
        <f>HYPERLINK("https%3A%2F%2Fwww.webofscience.com%2Fwos%2Fwoscc%2Ffull-record%2FWOS:001103357200020","View Full Record in Web of Science")</f>
        <v>View Full Record in Web of Science</v>
      </c>
    </row>
    <row r="334" spans="1:72" x14ac:dyDescent="0.2">
      <c r="A334" t="s">
        <v>103</v>
      </c>
      <c r="B334" t="s">
        <v>6698</v>
      </c>
      <c r="C334" t="s">
        <v>74</v>
      </c>
      <c r="D334" t="s">
        <v>74</v>
      </c>
      <c r="E334" t="s">
        <v>74</v>
      </c>
      <c r="F334" t="s">
        <v>6699</v>
      </c>
      <c r="G334" t="s">
        <v>74</v>
      </c>
      <c r="H334" t="s">
        <v>74</v>
      </c>
      <c r="I334" t="s">
        <v>6700</v>
      </c>
      <c r="J334" t="s">
        <v>6701</v>
      </c>
      <c r="K334" t="s">
        <v>74</v>
      </c>
      <c r="L334" t="s">
        <v>74</v>
      </c>
      <c r="M334" t="s">
        <v>79</v>
      </c>
      <c r="N334" t="s">
        <v>108</v>
      </c>
      <c r="O334" t="s">
        <v>74</v>
      </c>
      <c r="P334" t="s">
        <v>74</v>
      </c>
      <c r="Q334" t="s">
        <v>74</v>
      </c>
      <c r="R334" t="s">
        <v>74</v>
      </c>
      <c r="S334" t="s">
        <v>74</v>
      </c>
      <c r="T334" t="s">
        <v>6702</v>
      </c>
      <c r="U334" t="s">
        <v>6703</v>
      </c>
      <c r="V334" t="s">
        <v>6704</v>
      </c>
      <c r="W334" t="s">
        <v>6705</v>
      </c>
      <c r="X334" t="s">
        <v>6706</v>
      </c>
      <c r="Y334" t="s">
        <v>6707</v>
      </c>
      <c r="Z334" t="s">
        <v>6708</v>
      </c>
      <c r="AA334" t="s">
        <v>6709</v>
      </c>
      <c r="AB334" t="s">
        <v>6710</v>
      </c>
      <c r="AC334" t="s">
        <v>74</v>
      </c>
      <c r="AD334" t="s">
        <v>74</v>
      </c>
      <c r="AE334" t="s">
        <v>74</v>
      </c>
      <c r="AF334" t="s">
        <v>74</v>
      </c>
      <c r="AG334">
        <v>124</v>
      </c>
      <c r="AH334">
        <v>5</v>
      </c>
      <c r="AI334">
        <v>5</v>
      </c>
      <c r="AJ334">
        <v>32</v>
      </c>
      <c r="AK334">
        <v>32</v>
      </c>
      <c r="AL334" t="s">
        <v>2377</v>
      </c>
      <c r="AM334" t="s">
        <v>738</v>
      </c>
      <c r="AN334" t="s">
        <v>2378</v>
      </c>
      <c r="AO334" t="s">
        <v>6711</v>
      </c>
      <c r="AP334" t="s">
        <v>6712</v>
      </c>
      <c r="AQ334" t="s">
        <v>74</v>
      </c>
      <c r="AR334" t="s">
        <v>6713</v>
      </c>
      <c r="AS334" t="s">
        <v>6714</v>
      </c>
      <c r="AT334" t="s">
        <v>6715</v>
      </c>
      <c r="AU334">
        <v>2024</v>
      </c>
      <c r="AV334">
        <v>62</v>
      </c>
      <c r="AW334">
        <v>4</v>
      </c>
      <c r="AX334" t="s">
        <v>74</v>
      </c>
      <c r="AY334" t="s">
        <v>74</v>
      </c>
      <c r="AZ334" t="s">
        <v>74</v>
      </c>
      <c r="BA334" t="s">
        <v>74</v>
      </c>
      <c r="BB334">
        <v>1434</v>
      </c>
      <c r="BC334">
        <v>1457</v>
      </c>
      <c r="BD334" t="s">
        <v>74</v>
      </c>
      <c r="BE334" t="s">
        <v>6716</v>
      </c>
      <c r="BF334" t="str">
        <f>HYPERLINK("http://dx.doi.org/10.1080/00207543.2023.2276811","http://dx.doi.org/10.1080/00207543.2023.2276811")</f>
        <v>http://dx.doi.org/10.1080/00207543.2023.2276811</v>
      </c>
      <c r="BG334" t="s">
        <v>74</v>
      </c>
      <c r="BH334" t="s">
        <v>157</v>
      </c>
      <c r="BI334">
        <v>24</v>
      </c>
      <c r="BJ334" t="s">
        <v>3382</v>
      </c>
      <c r="BK334" t="s">
        <v>130</v>
      </c>
      <c r="BL334" t="s">
        <v>3383</v>
      </c>
      <c r="BM334" t="s">
        <v>6717</v>
      </c>
      <c r="BN334" t="s">
        <v>74</v>
      </c>
      <c r="BO334" t="s">
        <v>161</v>
      </c>
      <c r="BP334" t="s">
        <v>74</v>
      </c>
      <c r="BQ334" t="s">
        <v>74</v>
      </c>
      <c r="BR334" t="s">
        <v>101</v>
      </c>
      <c r="BS334" t="s">
        <v>6718</v>
      </c>
      <c r="BT334" t="str">
        <f>HYPERLINK("https%3A%2F%2Fwww.webofscience.com%2Fwos%2Fwoscc%2Ffull-record%2FWOS:001093498100001","View Full Record in Web of Science")</f>
        <v>View Full Record in Web of Science</v>
      </c>
    </row>
    <row r="335" spans="1:72" x14ac:dyDescent="0.2">
      <c r="A335" t="s">
        <v>103</v>
      </c>
      <c r="B335" t="s">
        <v>6719</v>
      </c>
      <c r="C335" t="s">
        <v>74</v>
      </c>
      <c r="D335" t="s">
        <v>74</v>
      </c>
      <c r="E335" t="s">
        <v>74</v>
      </c>
      <c r="F335" t="s">
        <v>6720</v>
      </c>
      <c r="G335" t="s">
        <v>74</v>
      </c>
      <c r="H335" t="s">
        <v>74</v>
      </c>
      <c r="I335" t="s">
        <v>6721</v>
      </c>
      <c r="J335" t="s">
        <v>1370</v>
      </c>
      <c r="K335" t="s">
        <v>74</v>
      </c>
      <c r="L335" t="s">
        <v>74</v>
      </c>
      <c r="M335" t="s">
        <v>79</v>
      </c>
      <c r="N335" t="s">
        <v>108</v>
      </c>
      <c r="O335" t="s">
        <v>74</v>
      </c>
      <c r="P335" t="s">
        <v>74</v>
      </c>
      <c r="Q335" t="s">
        <v>74</v>
      </c>
      <c r="R335" t="s">
        <v>74</v>
      </c>
      <c r="S335" t="s">
        <v>74</v>
      </c>
      <c r="T335" t="s">
        <v>6722</v>
      </c>
      <c r="U335" t="s">
        <v>6723</v>
      </c>
      <c r="V335" t="s">
        <v>6724</v>
      </c>
      <c r="W335" t="s">
        <v>6725</v>
      </c>
      <c r="X335" t="s">
        <v>6726</v>
      </c>
      <c r="Y335" t="s">
        <v>6727</v>
      </c>
      <c r="Z335" t="s">
        <v>6728</v>
      </c>
      <c r="AA335" t="s">
        <v>74</v>
      </c>
      <c r="AB335" t="s">
        <v>74</v>
      </c>
      <c r="AC335" t="s">
        <v>74</v>
      </c>
      <c r="AD335" t="s">
        <v>74</v>
      </c>
      <c r="AE335" t="s">
        <v>74</v>
      </c>
      <c r="AF335" t="s">
        <v>74</v>
      </c>
      <c r="AG335">
        <v>103</v>
      </c>
      <c r="AH335">
        <v>0</v>
      </c>
      <c r="AI335">
        <v>0</v>
      </c>
      <c r="AJ335">
        <v>26</v>
      </c>
      <c r="AK335">
        <v>26</v>
      </c>
      <c r="AL335" t="s">
        <v>1379</v>
      </c>
      <c r="AM335" t="s">
        <v>1380</v>
      </c>
      <c r="AN335" t="s">
        <v>1381</v>
      </c>
      <c r="AO335" t="s">
        <v>1382</v>
      </c>
      <c r="AP335" t="s">
        <v>74</v>
      </c>
      <c r="AQ335" t="s">
        <v>74</v>
      </c>
      <c r="AR335" t="s">
        <v>1370</v>
      </c>
      <c r="AS335" t="s">
        <v>1383</v>
      </c>
      <c r="AT335" t="s">
        <v>74</v>
      </c>
      <c r="AU335">
        <v>2023</v>
      </c>
      <c r="AV335">
        <v>11</v>
      </c>
      <c r="AW335" t="s">
        <v>74</v>
      </c>
      <c r="AX335" t="s">
        <v>74</v>
      </c>
      <c r="AY335" t="s">
        <v>74</v>
      </c>
      <c r="AZ335" t="s">
        <v>74</v>
      </c>
      <c r="BA335" t="s">
        <v>74</v>
      </c>
      <c r="BB335">
        <v>143272</v>
      </c>
      <c r="BC335">
        <v>143284</v>
      </c>
      <c r="BD335" t="s">
        <v>74</v>
      </c>
      <c r="BE335" t="s">
        <v>6729</v>
      </c>
      <c r="BF335" t="str">
        <f>HYPERLINK("http://dx.doi.org/10.1109/ACCESS.2023.3342055","http://dx.doi.org/10.1109/ACCESS.2023.3342055")</f>
        <v>http://dx.doi.org/10.1109/ACCESS.2023.3342055</v>
      </c>
      <c r="BG335" t="s">
        <v>74</v>
      </c>
      <c r="BH335" t="s">
        <v>74</v>
      </c>
      <c r="BI335">
        <v>13</v>
      </c>
      <c r="BJ335" t="s">
        <v>1385</v>
      </c>
      <c r="BK335" t="s">
        <v>130</v>
      </c>
      <c r="BL335" t="s">
        <v>1386</v>
      </c>
      <c r="BM335" t="s">
        <v>6730</v>
      </c>
      <c r="BN335" t="s">
        <v>74</v>
      </c>
      <c r="BO335" t="s">
        <v>425</v>
      </c>
      <c r="BP335" t="s">
        <v>74</v>
      </c>
      <c r="BQ335" t="s">
        <v>74</v>
      </c>
      <c r="BR335" t="s">
        <v>101</v>
      </c>
      <c r="BS335" t="s">
        <v>6731</v>
      </c>
      <c r="BT335" t="str">
        <f>HYPERLINK("https%3A%2F%2Fwww.webofscience.com%2Fwos%2Fwoscc%2Ffull-record%2FWOS:001128106200001","View Full Record in Web of Science")</f>
        <v>View Full Record in Web of Science</v>
      </c>
    </row>
    <row r="336" spans="1:72" x14ac:dyDescent="0.2">
      <c r="A336" t="s">
        <v>103</v>
      </c>
      <c r="B336" t="s">
        <v>6732</v>
      </c>
      <c r="C336" t="s">
        <v>74</v>
      </c>
      <c r="D336" t="s">
        <v>74</v>
      </c>
      <c r="E336" t="s">
        <v>74</v>
      </c>
      <c r="F336" t="s">
        <v>6733</v>
      </c>
      <c r="G336" t="s">
        <v>74</v>
      </c>
      <c r="H336" t="s">
        <v>74</v>
      </c>
      <c r="I336" t="s">
        <v>6734</v>
      </c>
      <c r="J336" t="s">
        <v>2433</v>
      </c>
      <c r="K336" t="s">
        <v>74</v>
      </c>
      <c r="L336" t="s">
        <v>74</v>
      </c>
      <c r="M336" t="s">
        <v>79</v>
      </c>
      <c r="N336" t="s">
        <v>108</v>
      </c>
      <c r="O336" t="s">
        <v>74</v>
      </c>
      <c r="P336" t="s">
        <v>74</v>
      </c>
      <c r="Q336" t="s">
        <v>74</v>
      </c>
      <c r="R336" t="s">
        <v>74</v>
      </c>
      <c r="S336" t="s">
        <v>74</v>
      </c>
      <c r="T336" t="s">
        <v>6735</v>
      </c>
      <c r="U336" t="s">
        <v>74</v>
      </c>
      <c r="V336" t="s">
        <v>6736</v>
      </c>
      <c r="W336" t="s">
        <v>6737</v>
      </c>
      <c r="X336" t="s">
        <v>6738</v>
      </c>
      <c r="Y336" t="s">
        <v>6739</v>
      </c>
      <c r="Z336" t="s">
        <v>6740</v>
      </c>
      <c r="AA336" t="s">
        <v>74</v>
      </c>
      <c r="AB336" t="s">
        <v>6741</v>
      </c>
      <c r="AC336" t="s">
        <v>6742</v>
      </c>
      <c r="AD336" t="s">
        <v>6743</v>
      </c>
      <c r="AE336" t="s">
        <v>6744</v>
      </c>
      <c r="AF336" t="s">
        <v>74</v>
      </c>
      <c r="AG336">
        <v>32</v>
      </c>
      <c r="AH336">
        <v>0</v>
      </c>
      <c r="AI336">
        <v>0</v>
      </c>
      <c r="AJ336">
        <v>5</v>
      </c>
      <c r="AK336">
        <v>5</v>
      </c>
      <c r="AL336" t="s">
        <v>939</v>
      </c>
      <c r="AM336" t="s">
        <v>940</v>
      </c>
      <c r="AN336" t="s">
        <v>941</v>
      </c>
      <c r="AO336" t="s">
        <v>74</v>
      </c>
      <c r="AP336" t="s">
        <v>2444</v>
      </c>
      <c r="AQ336" t="s">
        <v>74</v>
      </c>
      <c r="AR336" t="s">
        <v>2445</v>
      </c>
      <c r="AS336" t="s">
        <v>2446</v>
      </c>
      <c r="AT336" t="s">
        <v>276</v>
      </c>
      <c r="AU336">
        <v>2023</v>
      </c>
      <c r="AV336">
        <v>13</v>
      </c>
      <c r="AW336">
        <v>21</v>
      </c>
      <c r="AX336" t="s">
        <v>74</v>
      </c>
      <c r="AY336" t="s">
        <v>74</v>
      </c>
      <c r="AZ336" t="s">
        <v>74</v>
      </c>
      <c r="BA336" t="s">
        <v>74</v>
      </c>
      <c r="BB336" t="s">
        <v>74</v>
      </c>
      <c r="BC336" t="s">
        <v>74</v>
      </c>
      <c r="BD336">
        <v>11825</v>
      </c>
      <c r="BE336" t="s">
        <v>6745</v>
      </c>
      <c r="BF336" t="str">
        <f>HYPERLINK("http://dx.doi.org/10.3390/app132111825","http://dx.doi.org/10.3390/app132111825")</f>
        <v>http://dx.doi.org/10.3390/app132111825</v>
      </c>
      <c r="BG336" t="s">
        <v>74</v>
      </c>
      <c r="BH336" t="s">
        <v>74</v>
      </c>
      <c r="BI336">
        <v>19</v>
      </c>
      <c r="BJ336" t="s">
        <v>2448</v>
      </c>
      <c r="BK336" t="s">
        <v>130</v>
      </c>
      <c r="BL336" t="s">
        <v>2449</v>
      </c>
      <c r="BM336" t="s">
        <v>6746</v>
      </c>
      <c r="BN336" t="s">
        <v>74</v>
      </c>
      <c r="BO336" t="s">
        <v>425</v>
      </c>
      <c r="BP336" t="s">
        <v>74</v>
      </c>
      <c r="BQ336" t="s">
        <v>74</v>
      </c>
      <c r="BR336" t="s">
        <v>101</v>
      </c>
      <c r="BS336" t="s">
        <v>6747</v>
      </c>
      <c r="BT336" t="str">
        <f>HYPERLINK("https%3A%2F%2Fwww.webofscience.com%2Fwos%2Fwoscc%2Ffull-record%2FWOS:001099399400001","View Full Record in Web of Science")</f>
        <v>View Full Record in Web of Science</v>
      </c>
    </row>
    <row r="337" spans="1:72" x14ac:dyDescent="0.2">
      <c r="A337" t="s">
        <v>103</v>
      </c>
      <c r="B337" t="s">
        <v>6748</v>
      </c>
      <c r="C337" t="s">
        <v>74</v>
      </c>
      <c r="D337" t="s">
        <v>74</v>
      </c>
      <c r="E337" t="s">
        <v>74</v>
      </c>
      <c r="F337" t="s">
        <v>6749</v>
      </c>
      <c r="G337" t="s">
        <v>74</v>
      </c>
      <c r="H337" t="s">
        <v>74</v>
      </c>
      <c r="I337" t="s">
        <v>6750</v>
      </c>
      <c r="J337" t="s">
        <v>6751</v>
      </c>
      <c r="K337" t="s">
        <v>74</v>
      </c>
      <c r="L337" t="s">
        <v>74</v>
      </c>
      <c r="M337" t="s">
        <v>79</v>
      </c>
      <c r="N337" t="s">
        <v>108</v>
      </c>
      <c r="O337" t="s">
        <v>74</v>
      </c>
      <c r="P337" t="s">
        <v>74</v>
      </c>
      <c r="Q337" t="s">
        <v>74</v>
      </c>
      <c r="R337" t="s">
        <v>74</v>
      </c>
      <c r="S337" t="s">
        <v>74</v>
      </c>
      <c r="T337" t="s">
        <v>6752</v>
      </c>
      <c r="U337" t="s">
        <v>74</v>
      </c>
      <c r="V337" t="s">
        <v>6753</v>
      </c>
      <c r="W337" t="s">
        <v>6754</v>
      </c>
      <c r="X337" t="s">
        <v>6755</v>
      </c>
      <c r="Y337" t="s">
        <v>6756</v>
      </c>
      <c r="Z337" t="s">
        <v>2754</v>
      </c>
      <c r="AA337" t="s">
        <v>6757</v>
      </c>
      <c r="AB337" t="s">
        <v>6758</v>
      </c>
      <c r="AC337" t="s">
        <v>74</v>
      </c>
      <c r="AD337" t="s">
        <v>74</v>
      </c>
      <c r="AE337" t="s">
        <v>74</v>
      </c>
      <c r="AF337" t="s">
        <v>74</v>
      </c>
      <c r="AG337">
        <v>24</v>
      </c>
      <c r="AH337">
        <v>9</v>
      </c>
      <c r="AI337">
        <v>9</v>
      </c>
      <c r="AJ337">
        <v>15</v>
      </c>
      <c r="AK337">
        <v>50</v>
      </c>
      <c r="AL337" t="s">
        <v>438</v>
      </c>
      <c r="AM337" t="s">
        <v>439</v>
      </c>
      <c r="AN337" t="s">
        <v>440</v>
      </c>
      <c r="AO337" t="s">
        <v>6759</v>
      </c>
      <c r="AP337" t="s">
        <v>6760</v>
      </c>
      <c r="AQ337" t="s">
        <v>74</v>
      </c>
      <c r="AR337" t="s">
        <v>6761</v>
      </c>
      <c r="AS337" t="s">
        <v>6762</v>
      </c>
      <c r="AT337" t="s">
        <v>615</v>
      </c>
      <c r="AU337">
        <v>2023</v>
      </c>
      <c r="AV337">
        <v>33</v>
      </c>
      <c r="AW337">
        <v>5</v>
      </c>
      <c r="AX337" t="s">
        <v>74</v>
      </c>
      <c r="AY337" t="s">
        <v>74</v>
      </c>
      <c r="AZ337" t="s">
        <v>74</v>
      </c>
      <c r="BA337" t="s">
        <v>74</v>
      </c>
      <c r="BB337">
        <v>511</v>
      </c>
      <c r="BC337">
        <v>517</v>
      </c>
      <c r="BD337" t="s">
        <v>74</v>
      </c>
      <c r="BE337" t="s">
        <v>6763</v>
      </c>
      <c r="BF337" t="str">
        <f>HYPERLINK("http://dx.doi.org/10.1177/10497315231166125","http://dx.doi.org/10.1177/10497315231166125")</f>
        <v>http://dx.doi.org/10.1177/10497315231166125</v>
      </c>
      <c r="BG337" t="s">
        <v>74</v>
      </c>
      <c r="BH337" t="s">
        <v>1431</v>
      </c>
      <c r="BI337">
        <v>7</v>
      </c>
      <c r="BJ337" t="s">
        <v>2764</v>
      </c>
      <c r="BK337" t="s">
        <v>159</v>
      </c>
      <c r="BL337" t="s">
        <v>2764</v>
      </c>
      <c r="BM337" t="s">
        <v>6764</v>
      </c>
      <c r="BN337" t="s">
        <v>74</v>
      </c>
      <c r="BO337" t="s">
        <v>161</v>
      </c>
      <c r="BP337" t="s">
        <v>74</v>
      </c>
      <c r="BQ337" t="s">
        <v>74</v>
      </c>
      <c r="BR337" t="s">
        <v>101</v>
      </c>
      <c r="BS337" t="s">
        <v>6765</v>
      </c>
      <c r="BT337" t="str">
        <f>HYPERLINK("https%3A%2F%2Fwww.webofscience.com%2Fwos%2Fwoscc%2Ffull-record%2FWOS:000955152500001","View Full Record in Web of Science")</f>
        <v>View Full Record in Web of Science</v>
      </c>
    </row>
    <row r="338" spans="1:72" x14ac:dyDescent="0.2">
      <c r="A338" t="s">
        <v>103</v>
      </c>
      <c r="B338" t="s">
        <v>6766</v>
      </c>
      <c r="C338" t="s">
        <v>74</v>
      </c>
      <c r="D338" t="s">
        <v>74</v>
      </c>
      <c r="E338" t="s">
        <v>74</v>
      </c>
      <c r="F338" t="s">
        <v>6767</v>
      </c>
      <c r="G338" t="s">
        <v>74</v>
      </c>
      <c r="H338" t="s">
        <v>74</v>
      </c>
      <c r="I338" t="s">
        <v>6768</v>
      </c>
      <c r="J338" t="s">
        <v>6769</v>
      </c>
      <c r="K338" t="s">
        <v>74</v>
      </c>
      <c r="L338" t="s">
        <v>74</v>
      </c>
      <c r="M338" t="s">
        <v>79</v>
      </c>
      <c r="N338" t="s">
        <v>108</v>
      </c>
      <c r="O338" t="s">
        <v>74</v>
      </c>
      <c r="P338" t="s">
        <v>74</v>
      </c>
      <c r="Q338" t="s">
        <v>74</v>
      </c>
      <c r="R338" t="s">
        <v>74</v>
      </c>
      <c r="S338" t="s">
        <v>74</v>
      </c>
      <c r="T338" t="s">
        <v>6770</v>
      </c>
      <c r="U338" t="s">
        <v>74</v>
      </c>
      <c r="V338" t="s">
        <v>6771</v>
      </c>
      <c r="W338" t="s">
        <v>6772</v>
      </c>
      <c r="X338" t="s">
        <v>6773</v>
      </c>
      <c r="Y338" t="s">
        <v>6774</v>
      </c>
      <c r="Z338" t="s">
        <v>6775</v>
      </c>
      <c r="AA338" t="s">
        <v>74</v>
      </c>
      <c r="AB338" t="s">
        <v>74</v>
      </c>
      <c r="AC338" t="s">
        <v>74</v>
      </c>
      <c r="AD338" t="s">
        <v>74</v>
      </c>
      <c r="AE338" t="s">
        <v>74</v>
      </c>
      <c r="AF338" t="s">
        <v>74</v>
      </c>
      <c r="AG338">
        <v>78</v>
      </c>
      <c r="AH338">
        <v>0</v>
      </c>
      <c r="AI338">
        <v>0</v>
      </c>
      <c r="AJ338">
        <v>6</v>
      </c>
      <c r="AK338">
        <v>6</v>
      </c>
      <c r="AL338" t="s">
        <v>6776</v>
      </c>
      <c r="AM338" t="s">
        <v>6777</v>
      </c>
      <c r="AN338" t="s">
        <v>6778</v>
      </c>
      <c r="AO338" t="s">
        <v>6779</v>
      </c>
      <c r="AP338" t="s">
        <v>74</v>
      </c>
      <c r="AQ338" t="s">
        <v>74</v>
      </c>
      <c r="AR338" t="s">
        <v>6780</v>
      </c>
      <c r="AS338" t="s">
        <v>6781</v>
      </c>
      <c r="AT338" t="s">
        <v>74</v>
      </c>
      <c r="AU338">
        <v>2023</v>
      </c>
      <c r="AV338">
        <v>16</v>
      </c>
      <c r="AW338">
        <v>2</v>
      </c>
      <c r="AX338" t="s">
        <v>74</v>
      </c>
      <c r="AY338" t="s">
        <v>74</v>
      </c>
      <c r="AZ338" t="s">
        <v>74</v>
      </c>
      <c r="BA338" t="s">
        <v>74</v>
      </c>
      <c r="BB338">
        <v>301</v>
      </c>
      <c r="BC338">
        <v>331</v>
      </c>
      <c r="BD338" t="s">
        <v>74</v>
      </c>
      <c r="BE338" t="s">
        <v>74</v>
      </c>
      <c r="BF338" t="s">
        <v>74</v>
      </c>
      <c r="BG338" t="s">
        <v>74</v>
      </c>
      <c r="BH338" t="s">
        <v>74</v>
      </c>
      <c r="BI338">
        <v>31</v>
      </c>
      <c r="BJ338" t="s">
        <v>1135</v>
      </c>
      <c r="BK338" t="s">
        <v>352</v>
      </c>
      <c r="BL338" t="s">
        <v>1136</v>
      </c>
      <c r="BM338" t="s">
        <v>6782</v>
      </c>
      <c r="BN338" t="s">
        <v>74</v>
      </c>
      <c r="BO338" t="s">
        <v>74</v>
      </c>
      <c r="BP338" t="s">
        <v>74</v>
      </c>
      <c r="BQ338" t="s">
        <v>74</v>
      </c>
      <c r="BR338" t="s">
        <v>101</v>
      </c>
      <c r="BS338" t="s">
        <v>6783</v>
      </c>
      <c r="BT338" t="str">
        <f>HYPERLINK("https%3A%2F%2Fwww.webofscience.com%2Fwos%2Fwoscc%2Ffull-record%2FWOS:001111303600004","View Full Record in Web of Science")</f>
        <v>View Full Record in Web of Science</v>
      </c>
    </row>
    <row r="339" spans="1:72" x14ac:dyDescent="0.2">
      <c r="A339" t="s">
        <v>72</v>
      </c>
      <c r="B339" t="s">
        <v>6784</v>
      </c>
      <c r="C339" t="s">
        <v>74</v>
      </c>
      <c r="D339" t="s">
        <v>74</v>
      </c>
      <c r="E339" t="s">
        <v>284</v>
      </c>
      <c r="F339" t="s">
        <v>6785</v>
      </c>
      <c r="G339" t="s">
        <v>74</v>
      </c>
      <c r="H339" t="s">
        <v>74</v>
      </c>
      <c r="I339" t="s">
        <v>6786</v>
      </c>
      <c r="J339" t="s">
        <v>6787</v>
      </c>
      <c r="K339" t="s">
        <v>6788</v>
      </c>
      <c r="L339" t="s">
        <v>74</v>
      </c>
      <c r="M339" t="s">
        <v>79</v>
      </c>
      <c r="N339" t="s">
        <v>80</v>
      </c>
      <c r="O339" t="s">
        <v>6789</v>
      </c>
      <c r="P339" t="s">
        <v>6790</v>
      </c>
      <c r="Q339" t="s">
        <v>2167</v>
      </c>
      <c r="R339" t="s">
        <v>6791</v>
      </c>
      <c r="S339" t="s">
        <v>74</v>
      </c>
      <c r="T339" t="s">
        <v>6792</v>
      </c>
      <c r="U339" t="s">
        <v>74</v>
      </c>
      <c r="V339" t="s">
        <v>6793</v>
      </c>
      <c r="W339" t="s">
        <v>6794</v>
      </c>
      <c r="X339" t="s">
        <v>6795</v>
      </c>
      <c r="Y339" t="s">
        <v>6796</v>
      </c>
      <c r="Z339" t="s">
        <v>6797</v>
      </c>
      <c r="AA339" t="s">
        <v>74</v>
      </c>
      <c r="AB339" t="s">
        <v>74</v>
      </c>
      <c r="AC339" t="s">
        <v>6798</v>
      </c>
      <c r="AD339" t="s">
        <v>6799</v>
      </c>
      <c r="AE339" t="s">
        <v>6800</v>
      </c>
      <c r="AF339" t="s">
        <v>74</v>
      </c>
      <c r="AG339">
        <v>29</v>
      </c>
      <c r="AH339">
        <v>0</v>
      </c>
      <c r="AI339">
        <v>0</v>
      </c>
      <c r="AJ339">
        <v>0</v>
      </c>
      <c r="AK339">
        <v>0</v>
      </c>
      <c r="AL339" t="s">
        <v>284</v>
      </c>
      <c r="AM339" t="s">
        <v>93</v>
      </c>
      <c r="AN339" t="s">
        <v>299</v>
      </c>
      <c r="AO339" t="s">
        <v>6801</v>
      </c>
      <c r="AP339" t="s">
        <v>6802</v>
      </c>
      <c r="AQ339" t="s">
        <v>6803</v>
      </c>
      <c r="AR339" t="s">
        <v>6804</v>
      </c>
      <c r="AS339" t="s">
        <v>74</v>
      </c>
      <c r="AT339" t="s">
        <v>74</v>
      </c>
      <c r="AU339">
        <v>2023</v>
      </c>
      <c r="AV339" t="s">
        <v>74</v>
      </c>
      <c r="AW339" t="s">
        <v>74</v>
      </c>
      <c r="AX339" t="s">
        <v>74</v>
      </c>
      <c r="AY339" t="s">
        <v>74</v>
      </c>
      <c r="AZ339" t="s">
        <v>74</v>
      </c>
      <c r="BA339" t="s">
        <v>74</v>
      </c>
      <c r="BB339" t="s">
        <v>74</v>
      </c>
      <c r="BC339" t="s">
        <v>74</v>
      </c>
      <c r="BD339" t="s">
        <v>74</v>
      </c>
      <c r="BE339" t="s">
        <v>6805</v>
      </c>
      <c r="BF339" t="str">
        <f>HYPERLINK("http://dx.doi.org/10.1109/EMBC40787.2023.10340437","http://dx.doi.org/10.1109/EMBC40787.2023.10340437")</f>
        <v>http://dx.doi.org/10.1109/EMBC40787.2023.10340437</v>
      </c>
      <c r="BG339" t="s">
        <v>74</v>
      </c>
      <c r="BH339" t="s">
        <v>74</v>
      </c>
      <c r="BI339">
        <v>7</v>
      </c>
      <c r="BJ339" t="s">
        <v>6806</v>
      </c>
      <c r="BK339" t="s">
        <v>98</v>
      </c>
      <c r="BL339" t="s">
        <v>906</v>
      </c>
      <c r="BM339" t="s">
        <v>6807</v>
      </c>
      <c r="BN339">
        <v>38082796</v>
      </c>
      <c r="BO339" t="s">
        <v>646</v>
      </c>
      <c r="BP339" t="s">
        <v>74</v>
      </c>
      <c r="BQ339" t="s">
        <v>74</v>
      </c>
      <c r="BR339" t="s">
        <v>101</v>
      </c>
      <c r="BS339" t="s">
        <v>6808</v>
      </c>
      <c r="BT339" t="str">
        <f>HYPERLINK("https%3A%2F%2Fwww.webofscience.com%2Fwos%2Fwoscc%2Ffull-record%2FWOS:001133788302024","View Full Record in Web of Science")</f>
        <v>View Full Record in Web of Science</v>
      </c>
    </row>
    <row r="340" spans="1:72" x14ac:dyDescent="0.2">
      <c r="A340" t="s">
        <v>103</v>
      </c>
      <c r="B340" t="s">
        <v>6809</v>
      </c>
      <c r="C340" t="s">
        <v>74</v>
      </c>
      <c r="D340" t="s">
        <v>74</v>
      </c>
      <c r="E340" t="s">
        <v>74</v>
      </c>
      <c r="F340" t="s">
        <v>6810</v>
      </c>
      <c r="G340" t="s">
        <v>74</v>
      </c>
      <c r="H340" t="s">
        <v>74</v>
      </c>
      <c r="I340" t="s">
        <v>6811</v>
      </c>
      <c r="J340" t="s">
        <v>6812</v>
      </c>
      <c r="K340" t="s">
        <v>74</v>
      </c>
      <c r="L340" t="s">
        <v>74</v>
      </c>
      <c r="M340" t="s">
        <v>79</v>
      </c>
      <c r="N340" t="s">
        <v>108</v>
      </c>
      <c r="O340" t="s">
        <v>74</v>
      </c>
      <c r="P340" t="s">
        <v>74</v>
      </c>
      <c r="Q340" t="s">
        <v>74</v>
      </c>
      <c r="R340" t="s">
        <v>74</v>
      </c>
      <c r="S340" t="s">
        <v>74</v>
      </c>
      <c r="T340" t="s">
        <v>6813</v>
      </c>
      <c r="U340" t="s">
        <v>6814</v>
      </c>
      <c r="V340" t="s">
        <v>6815</v>
      </c>
      <c r="W340" t="s">
        <v>6816</v>
      </c>
      <c r="X340" t="s">
        <v>6817</v>
      </c>
      <c r="Y340" t="s">
        <v>6818</v>
      </c>
      <c r="Z340" t="s">
        <v>6819</v>
      </c>
      <c r="AA340" t="s">
        <v>74</v>
      </c>
      <c r="AB340" t="s">
        <v>6820</v>
      </c>
      <c r="AC340" t="s">
        <v>74</v>
      </c>
      <c r="AD340" t="s">
        <v>74</v>
      </c>
      <c r="AE340" t="s">
        <v>74</v>
      </c>
      <c r="AF340" t="s">
        <v>74</v>
      </c>
      <c r="AG340">
        <v>56</v>
      </c>
      <c r="AH340">
        <v>0</v>
      </c>
      <c r="AI340">
        <v>0</v>
      </c>
      <c r="AJ340">
        <v>6</v>
      </c>
      <c r="AK340">
        <v>19</v>
      </c>
      <c r="AL340" t="s">
        <v>5985</v>
      </c>
      <c r="AM340" t="s">
        <v>1451</v>
      </c>
      <c r="AN340" t="s">
        <v>5986</v>
      </c>
      <c r="AO340" t="s">
        <v>6821</v>
      </c>
      <c r="AP340" t="s">
        <v>74</v>
      </c>
      <c r="AQ340" t="s">
        <v>74</v>
      </c>
      <c r="AR340" t="s">
        <v>6822</v>
      </c>
      <c r="AS340" t="s">
        <v>6823</v>
      </c>
      <c r="AT340" t="s">
        <v>6824</v>
      </c>
      <c r="AU340">
        <v>2023</v>
      </c>
      <c r="AV340">
        <v>8</v>
      </c>
      <c r="AW340">
        <v>3</v>
      </c>
      <c r="AX340" t="s">
        <v>74</v>
      </c>
      <c r="AY340" t="s">
        <v>74</v>
      </c>
      <c r="AZ340" t="s">
        <v>74</v>
      </c>
      <c r="BA340" t="s">
        <v>74</v>
      </c>
      <c r="BB340" t="s">
        <v>74</v>
      </c>
      <c r="BC340" t="s">
        <v>74</v>
      </c>
      <c r="BD340">
        <v>35002</v>
      </c>
      <c r="BE340" t="s">
        <v>6825</v>
      </c>
      <c r="BF340" t="str">
        <f>HYPERLINK("http://dx.doi.org/10.1088/2058-9565/acc4e4","http://dx.doi.org/10.1088/2058-9565/acc4e4")</f>
        <v>http://dx.doi.org/10.1088/2058-9565/acc4e4</v>
      </c>
      <c r="BG340" t="s">
        <v>74</v>
      </c>
      <c r="BH340" t="s">
        <v>74</v>
      </c>
      <c r="BI340">
        <v>14</v>
      </c>
      <c r="BJ340" t="s">
        <v>6826</v>
      </c>
      <c r="BK340" t="s">
        <v>130</v>
      </c>
      <c r="BL340" t="s">
        <v>6827</v>
      </c>
      <c r="BM340" t="s">
        <v>6828</v>
      </c>
      <c r="BN340" t="s">
        <v>74</v>
      </c>
      <c r="BO340" t="s">
        <v>646</v>
      </c>
      <c r="BP340" t="s">
        <v>74</v>
      </c>
      <c r="BQ340" t="s">
        <v>74</v>
      </c>
      <c r="BR340" t="s">
        <v>101</v>
      </c>
      <c r="BS340" t="s">
        <v>6829</v>
      </c>
      <c r="BT340" t="str">
        <f>HYPERLINK("https%3A%2F%2Fwww.webofscience.com%2Fwos%2Fwoscc%2Ffull-record%2FWOS:000963020100001","View Full Record in Web of Science")</f>
        <v>View Full Record in Web of Science</v>
      </c>
    </row>
    <row r="341" spans="1:72" x14ac:dyDescent="0.2">
      <c r="A341" t="s">
        <v>103</v>
      </c>
      <c r="B341" t="s">
        <v>6830</v>
      </c>
      <c r="C341" t="s">
        <v>74</v>
      </c>
      <c r="D341" t="s">
        <v>74</v>
      </c>
      <c r="E341" t="s">
        <v>74</v>
      </c>
      <c r="F341" t="s">
        <v>6831</v>
      </c>
      <c r="G341" t="s">
        <v>74</v>
      </c>
      <c r="H341" t="s">
        <v>74</v>
      </c>
      <c r="I341" t="s">
        <v>6832</v>
      </c>
      <c r="J341" t="s">
        <v>6833</v>
      </c>
      <c r="K341" t="s">
        <v>74</v>
      </c>
      <c r="L341" t="s">
        <v>74</v>
      </c>
      <c r="M341" t="s">
        <v>79</v>
      </c>
      <c r="N341" t="s">
        <v>108</v>
      </c>
      <c r="O341" t="s">
        <v>74</v>
      </c>
      <c r="P341" t="s">
        <v>74</v>
      </c>
      <c r="Q341" t="s">
        <v>74</v>
      </c>
      <c r="R341" t="s">
        <v>74</v>
      </c>
      <c r="S341" t="s">
        <v>74</v>
      </c>
      <c r="T341" t="s">
        <v>6834</v>
      </c>
      <c r="U341" t="s">
        <v>74</v>
      </c>
      <c r="V341" t="s">
        <v>6835</v>
      </c>
      <c r="W341" t="s">
        <v>6836</v>
      </c>
      <c r="X341" t="s">
        <v>6837</v>
      </c>
      <c r="Y341" t="s">
        <v>6838</v>
      </c>
      <c r="Z341" t="s">
        <v>6839</v>
      </c>
      <c r="AA341" t="s">
        <v>74</v>
      </c>
      <c r="AB341" t="s">
        <v>6840</v>
      </c>
      <c r="AC341" t="s">
        <v>74</v>
      </c>
      <c r="AD341" t="s">
        <v>74</v>
      </c>
      <c r="AE341" t="s">
        <v>74</v>
      </c>
      <c r="AF341" t="s">
        <v>74</v>
      </c>
      <c r="AG341">
        <v>27</v>
      </c>
      <c r="AH341">
        <v>36</v>
      </c>
      <c r="AI341">
        <v>36</v>
      </c>
      <c r="AJ341">
        <v>85</v>
      </c>
      <c r="AK341">
        <v>298</v>
      </c>
      <c r="AL341" t="s">
        <v>6841</v>
      </c>
      <c r="AM341" t="s">
        <v>6842</v>
      </c>
      <c r="AN341" t="s">
        <v>6843</v>
      </c>
      <c r="AO341" t="s">
        <v>6844</v>
      </c>
      <c r="AP341" t="s">
        <v>6845</v>
      </c>
      <c r="AQ341" t="s">
        <v>74</v>
      </c>
      <c r="AR341" t="s">
        <v>6846</v>
      </c>
      <c r="AS341" t="s">
        <v>6847</v>
      </c>
      <c r="AT341" t="s">
        <v>74</v>
      </c>
      <c r="AU341">
        <v>2023</v>
      </c>
      <c r="AV341">
        <v>34</v>
      </c>
      <c r="AW341" t="s">
        <v>74</v>
      </c>
      <c r="AX341" t="s">
        <v>74</v>
      </c>
      <c r="AY341" t="s">
        <v>74</v>
      </c>
      <c r="AZ341" t="s">
        <v>74</v>
      </c>
      <c r="BA341" t="s">
        <v>74</v>
      </c>
      <c r="BB341" t="s">
        <v>74</v>
      </c>
      <c r="BC341" t="s">
        <v>74</v>
      </c>
      <c r="BD341">
        <v>3414</v>
      </c>
      <c r="BE341" t="s">
        <v>6848</v>
      </c>
      <c r="BF341" t="str">
        <f>HYPERLINK("http://dx.doi.org/10.54055/ejtr.v34i.3169","http://dx.doi.org/10.54055/ejtr.v34i.3169")</f>
        <v>http://dx.doi.org/10.54055/ejtr.v34i.3169</v>
      </c>
      <c r="BG341" t="s">
        <v>74</v>
      </c>
      <c r="BH341" t="s">
        <v>74</v>
      </c>
      <c r="BI341">
        <v>11</v>
      </c>
      <c r="BJ341" t="s">
        <v>2911</v>
      </c>
      <c r="BK341" t="s">
        <v>352</v>
      </c>
      <c r="BL341" t="s">
        <v>618</v>
      </c>
      <c r="BM341" t="s">
        <v>6849</v>
      </c>
      <c r="BN341" t="s">
        <v>74</v>
      </c>
      <c r="BO341" t="s">
        <v>425</v>
      </c>
      <c r="BP341" t="s">
        <v>74</v>
      </c>
      <c r="BQ341" t="s">
        <v>74</v>
      </c>
      <c r="BR341" t="s">
        <v>101</v>
      </c>
      <c r="BS341" t="s">
        <v>6850</v>
      </c>
      <c r="BT341" t="str">
        <f>HYPERLINK("https%3A%2F%2Fwww.webofscience.com%2Fwos%2Fwoscc%2Ffull-record%2FWOS:000956205800009","View Full Record in Web of Science")</f>
        <v>View Full Record in Web of Science</v>
      </c>
    </row>
    <row r="342" spans="1:72" x14ac:dyDescent="0.2">
      <c r="A342" t="s">
        <v>103</v>
      </c>
      <c r="B342" t="s">
        <v>6851</v>
      </c>
      <c r="C342" t="s">
        <v>74</v>
      </c>
      <c r="D342" t="s">
        <v>74</v>
      </c>
      <c r="E342" t="s">
        <v>74</v>
      </c>
      <c r="F342" t="s">
        <v>6852</v>
      </c>
      <c r="G342" t="s">
        <v>74</v>
      </c>
      <c r="H342" t="s">
        <v>74</v>
      </c>
      <c r="I342" t="s">
        <v>6853</v>
      </c>
      <c r="J342" t="s">
        <v>6854</v>
      </c>
      <c r="K342" t="s">
        <v>74</v>
      </c>
      <c r="L342" t="s">
        <v>74</v>
      </c>
      <c r="M342" t="s">
        <v>79</v>
      </c>
      <c r="N342" t="s">
        <v>108</v>
      </c>
      <c r="O342" t="s">
        <v>74</v>
      </c>
      <c r="P342" t="s">
        <v>74</v>
      </c>
      <c r="Q342" t="s">
        <v>74</v>
      </c>
      <c r="R342" t="s">
        <v>74</v>
      </c>
      <c r="S342" t="s">
        <v>74</v>
      </c>
      <c r="T342" t="s">
        <v>6855</v>
      </c>
      <c r="U342" t="s">
        <v>74</v>
      </c>
      <c r="V342" t="s">
        <v>6856</v>
      </c>
      <c r="W342" t="s">
        <v>6857</v>
      </c>
      <c r="X342" t="s">
        <v>6858</v>
      </c>
      <c r="Y342" t="s">
        <v>6859</v>
      </c>
      <c r="Z342" t="s">
        <v>6860</v>
      </c>
      <c r="AA342" t="s">
        <v>6861</v>
      </c>
      <c r="AB342" t="s">
        <v>6862</v>
      </c>
      <c r="AC342" t="s">
        <v>6863</v>
      </c>
      <c r="AD342" t="s">
        <v>6864</v>
      </c>
      <c r="AE342" t="s">
        <v>6865</v>
      </c>
      <c r="AF342" t="s">
        <v>74</v>
      </c>
      <c r="AG342">
        <v>38</v>
      </c>
      <c r="AH342">
        <v>0</v>
      </c>
      <c r="AI342">
        <v>0</v>
      </c>
      <c r="AJ342">
        <v>21</v>
      </c>
      <c r="AK342">
        <v>30</v>
      </c>
      <c r="AL342" t="s">
        <v>270</v>
      </c>
      <c r="AM342" t="s">
        <v>120</v>
      </c>
      <c r="AN342" t="s">
        <v>271</v>
      </c>
      <c r="AO342" t="s">
        <v>6866</v>
      </c>
      <c r="AP342" t="s">
        <v>6867</v>
      </c>
      <c r="AQ342" t="s">
        <v>74</v>
      </c>
      <c r="AR342" t="s">
        <v>6854</v>
      </c>
      <c r="AS342" t="s">
        <v>6868</v>
      </c>
      <c r="AT342" t="s">
        <v>615</v>
      </c>
      <c r="AU342">
        <v>2023</v>
      </c>
      <c r="AV342">
        <v>138</v>
      </c>
      <c r="AW342" t="s">
        <v>74</v>
      </c>
      <c r="AX342" t="s">
        <v>74</v>
      </c>
      <c r="AY342" t="s">
        <v>74</v>
      </c>
      <c r="AZ342" t="s">
        <v>74</v>
      </c>
      <c r="BA342" t="s">
        <v>74</v>
      </c>
      <c r="BB342" t="s">
        <v>74</v>
      </c>
      <c r="BC342" t="s">
        <v>74</v>
      </c>
      <c r="BD342">
        <v>104371</v>
      </c>
      <c r="BE342" t="s">
        <v>6869</v>
      </c>
      <c r="BF342" t="str">
        <f>HYPERLINK("http://dx.doi.org/10.1016/j.cities.2023.104371","http://dx.doi.org/10.1016/j.cities.2023.104371")</f>
        <v>http://dx.doi.org/10.1016/j.cities.2023.104371</v>
      </c>
      <c r="BG342" t="s">
        <v>74</v>
      </c>
      <c r="BH342" t="s">
        <v>2889</v>
      </c>
      <c r="BI342">
        <v>20</v>
      </c>
      <c r="BJ342" t="s">
        <v>3651</v>
      </c>
      <c r="BK342" t="s">
        <v>159</v>
      </c>
      <c r="BL342" t="s">
        <v>3651</v>
      </c>
      <c r="BM342" t="s">
        <v>6870</v>
      </c>
      <c r="BN342" t="s">
        <v>74</v>
      </c>
      <c r="BO342" t="s">
        <v>74</v>
      </c>
      <c r="BP342" t="s">
        <v>74</v>
      </c>
      <c r="BQ342" t="s">
        <v>74</v>
      </c>
      <c r="BR342" t="s">
        <v>101</v>
      </c>
      <c r="BS342" t="s">
        <v>6871</v>
      </c>
      <c r="BT342" t="str">
        <f>HYPERLINK("https%3A%2F%2Fwww.webofscience.com%2Fwos%2Fwoscc%2Ffull-record%2FWOS:001001557600001","View Full Record in Web of Science")</f>
        <v>View Full Record in Web of Science</v>
      </c>
    </row>
    <row r="343" spans="1:72" x14ac:dyDescent="0.2">
      <c r="A343" t="s">
        <v>103</v>
      </c>
      <c r="B343" t="s">
        <v>6872</v>
      </c>
      <c r="C343" t="s">
        <v>74</v>
      </c>
      <c r="D343" t="s">
        <v>74</v>
      </c>
      <c r="E343" t="s">
        <v>74</v>
      </c>
      <c r="F343" t="s">
        <v>6873</v>
      </c>
      <c r="G343" t="s">
        <v>74</v>
      </c>
      <c r="H343" t="s">
        <v>74</v>
      </c>
      <c r="I343" t="s">
        <v>6874</v>
      </c>
      <c r="J343" t="s">
        <v>6875</v>
      </c>
      <c r="K343" t="s">
        <v>74</v>
      </c>
      <c r="L343" t="s">
        <v>74</v>
      </c>
      <c r="M343" t="s">
        <v>79</v>
      </c>
      <c r="N343" t="s">
        <v>108</v>
      </c>
      <c r="O343" t="s">
        <v>74</v>
      </c>
      <c r="P343" t="s">
        <v>74</v>
      </c>
      <c r="Q343" t="s">
        <v>74</v>
      </c>
      <c r="R343" t="s">
        <v>74</v>
      </c>
      <c r="S343" t="s">
        <v>74</v>
      </c>
      <c r="T343" t="s">
        <v>6876</v>
      </c>
      <c r="U343" t="s">
        <v>6877</v>
      </c>
      <c r="V343" t="s">
        <v>6878</v>
      </c>
      <c r="W343" t="s">
        <v>6879</v>
      </c>
      <c r="X343" t="s">
        <v>6880</v>
      </c>
      <c r="Y343" t="s">
        <v>6881</v>
      </c>
      <c r="Z343" t="s">
        <v>74</v>
      </c>
      <c r="AA343" t="s">
        <v>6882</v>
      </c>
      <c r="AB343" t="s">
        <v>6883</v>
      </c>
      <c r="AC343" t="s">
        <v>74</v>
      </c>
      <c r="AD343" t="s">
        <v>74</v>
      </c>
      <c r="AE343" t="s">
        <v>74</v>
      </c>
      <c r="AF343" t="s">
        <v>74</v>
      </c>
      <c r="AG343">
        <v>110</v>
      </c>
      <c r="AH343">
        <v>1</v>
      </c>
      <c r="AI343">
        <v>1</v>
      </c>
      <c r="AJ343">
        <v>29</v>
      </c>
      <c r="AK343">
        <v>29</v>
      </c>
      <c r="AL343" t="s">
        <v>6884</v>
      </c>
      <c r="AM343" t="s">
        <v>6885</v>
      </c>
      <c r="AN343" t="s">
        <v>6886</v>
      </c>
      <c r="AO343" t="s">
        <v>6887</v>
      </c>
      <c r="AP343" t="s">
        <v>6888</v>
      </c>
      <c r="AQ343" t="s">
        <v>74</v>
      </c>
      <c r="AR343" t="s">
        <v>6889</v>
      </c>
      <c r="AS343" t="s">
        <v>6890</v>
      </c>
      <c r="AT343" t="s">
        <v>74</v>
      </c>
      <c r="AU343">
        <v>2023</v>
      </c>
      <c r="AV343">
        <v>35</v>
      </c>
      <c r="AW343">
        <v>1</v>
      </c>
      <c r="AX343" t="s">
        <v>74</v>
      </c>
      <c r="AY343" t="s">
        <v>74</v>
      </c>
      <c r="AZ343" t="s">
        <v>74</v>
      </c>
      <c r="BA343" t="s">
        <v>74</v>
      </c>
      <c r="BB343" t="s">
        <v>74</v>
      </c>
      <c r="BC343" t="s">
        <v>74</v>
      </c>
      <c r="BD343">
        <v>330019</v>
      </c>
      <c r="BE343" t="s">
        <v>6891</v>
      </c>
      <c r="BF343" t="str">
        <f>HYPERLINK("http://dx.doi.org/10.4018/JOEUC.330019","http://dx.doi.org/10.4018/JOEUC.330019")</f>
        <v>http://dx.doi.org/10.4018/JOEUC.330019</v>
      </c>
      <c r="BG343" t="s">
        <v>74</v>
      </c>
      <c r="BH343" t="s">
        <v>74</v>
      </c>
      <c r="BI343">
        <v>32</v>
      </c>
      <c r="BJ343" t="s">
        <v>6892</v>
      </c>
      <c r="BK343" t="s">
        <v>947</v>
      </c>
      <c r="BL343" t="s">
        <v>6893</v>
      </c>
      <c r="BM343" t="s">
        <v>6894</v>
      </c>
      <c r="BN343" t="s">
        <v>74</v>
      </c>
      <c r="BO343" t="s">
        <v>425</v>
      </c>
      <c r="BP343" t="s">
        <v>74</v>
      </c>
      <c r="BQ343" t="s">
        <v>74</v>
      </c>
      <c r="BR343" t="s">
        <v>101</v>
      </c>
      <c r="BS343" t="s">
        <v>6895</v>
      </c>
      <c r="BT343" t="str">
        <f>HYPERLINK("https%3A%2F%2Fwww.webofscience.com%2Fwos%2Fwoscc%2Ffull-record%2FWOS:001154375600001","View Full Record in Web of Science")</f>
        <v>View Full Record in Web of Science</v>
      </c>
    </row>
    <row r="344" spans="1:72" x14ac:dyDescent="0.2">
      <c r="A344" t="s">
        <v>103</v>
      </c>
      <c r="B344" t="s">
        <v>6896</v>
      </c>
      <c r="C344" t="s">
        <v>74</v>
      </c>
      <c r="D344" t="s">
        <v>74</v>
      </c>
      <c r="E344" t="s">
        <v>74</v>
      </c>
      <c r="F344" t="s">
        <v>6897</v>
      </c>
      <c r="G344" t="s">
        <v>74</v>
      </c>
      <c r="H344" t="s">
        <v>74</v>
      </c>
      <c r="I344" t="s">
        <v>6898</v>
      </c>
      <c r="J344" t="s">
        <v>6899</v>
      </c>
      <c r="K344" t="s">
        <v>74</v>
      </c>
      <c r="L344" t="s">
        <v>74</v>
      </c>
      <c r="M344" t="s">
        <v>79</v>
      </c>
      <c r="N344" t="s">
        <v>108</v>
      </c>
      <c r="O344" t="s">
        <v>74</v>
      </c>
      <c r="P344" t="s">
        <v>74</v>
      </c>
      <c r="Q344" t="s">
        <v>74</v>
      </c>
      <c r="R344" t="s">
        <v>74</v>
      </c>
      <c r="S344" t="s">
        <v>74</v>
      </c>
      <c r="T344" t="s">
        <v>74</v>
      </c>
      <c r="U344" t="s">
        <v>74</v>
      </c>
      <c r="V344" t="s">
        <v>6900</v>
      </c>
      <c r="W344" t="s">
        <v>6901</v>
      </c>
      <c r="X344" t="s">
        <v>6902</v>
      </c>
      <c r="Y344" t="s">
        <v>6903</v>
      </c>
      <c r="Z344" t="s">
        <v>6904</v>
      </c>
      <c r="AA344" t="s">
        <v>74</v>
      </c>
      <c r="AB344" t="s">
        <v>74</v>
      </c>
      <c r="AC344" t="s">
        <v>74</v>
      </c>
      <c r="AD344" t="s">
        <v>74</v>
      </c>
      <c r="AE344" t="s">
        <v>74</v>
      </c>
      <c r="AF344" t="s">
        <v>74</v>
      </c>
      <c r="AG344">
        <v>44</v>
      </c>
      <c r="AH344">
        <v>0</v>
      </c>
      <c r="AI344">
        <v>0</v>
      </c>
      <c r="AJ344">
        <v>1</v>
      </c>
      <c r="AK344">
        <v>1</v>
      </c>
      <c r="AL344" t="s">
        <v>6905</v>
      </c>
      <c r="AM344" t="s">
        <v>6906</v>
      </c>
      <c r="AN344" t="s">
        <v>6907</v>
      </c>
      <c r="AO344" t="s">
        <v>6908</v>
      </c>
      <c r="AP344" t="s">
        <v>74</v>
      </c>
      <c r="AQ344" t="s">
        <v>74</v>
      </c>
      <c r="AR344" t="s">
        <v>6909</v>
      </c>
      <c r="AS344" t="s">
        <v>6910</v>
      </c>
      <c r="AT344" t="s">
        <v>527</v>
      </c>
      <c r="AU344">
        <v>2023</v>
      </c>
      <c r="AV344">
        <v>16</v>
      </c>
      <c r="AW344">
        <v>44</v>
      </c>
      <c r="AX344" t="s">
        <v>74</v>
      </c>
      <c r="AY344" t="s">
        <v>74</v>
      </c>
      <c r="AZ344" t="s">
        <v>74</v>
      </c>
      <c r="BA344" t="s">
        <v>74</v>
      </c>
      <c r="BB344">
        <v>33</v>
      </c>
      <c r="BC344">
        <v>56</v>
      </c>
      <c r="BD344" t="s">
        <v>74</v>
      </c>
      <c r="BE344" t="s">
        <v>74</v>
      </c>
      <c r="BF344" t="s">
        <v>74</v>
      </c>
      <c r="BG344" t="s">
        <v>74</v>
      </c>
      <c r="BH344" t="s">
        <v>74</v>
      </c>
      <c r="BI344">
        <v>24</v>
      </c>
      <c r="BJ344" t="s">
        <v>6911</v>
      </c>
      <c r="BK344" t="s">
        <v>352</v>
      </c>
      <c r="BL344" t="s">
        <v>6911</v>
      </c>
      <c r="BM344" t="s">
        <v>6912</v>
      </c>
      <c r="BN344" t="s">
        <v>74</v>
      </c>
      <c r="BO344" t="s">
        <v>74</v>
      </c>
      <c r="BP344" t="s">
        <v>74</v>
      </c>
      <c r="BQ344" t="s">
        <v>74</v>
      </c>
      <c r="BR344" t="s">
        <v>101</v>
      </c>
      <c r="BS344" t="s">
        <v>6913</v>
      </c>
      <c r="BT344" t="str">
        <f>HYPERLINK("https%3A%2F%2Fwww.webofscience.com%2Fwos%2Fwoscc%2Ffull-record%2FWOS:001155495100004","View Full Record in Web of Science")</f>
        <v>View Full Record in Web of Science</v>
      </c>
    </row>
    <row r="345" spans="1:72" x14ac:dyDescent="0.2">
      <c r="A345" t="s">
        <v>72</v>
      </c>
      <c r="B345" t="s">
        <v>6914</v>
      </c>
      <c r="C345" t="s">
        <v>74</v>
      </c>
      <c r="D345" t="s">
        <v>74</v>
      </c>
      <c r="E345" t="s">
        <v>75</v>
      </c>
      <c r="F345" t="s">
        <v>6915</v>
      </c>
      <c r="G345" t="s">
        <v>74</v>
      </c>
      <c r="H345" t="s">
        <v>74</v>
      </c>
      <c r="I345" t="s">
        <v>6916</v>
      </c>
      <c r="J345" t="s">
        <v>1264</v>
      </c>
      <c r="K345" t="s">
        <v>74</v>
      </c>
      <c r="L345" t="s">
        <v>74</v>
      </c>
      <c r="M345" t="s">
        <v>79</v>
      </c>
      <c r="N345" t="s">
        <v>80</v>
      </c>
      <c r="O345" t="s">
        <v>1265</v>
      </c>
      <c r="P345" t="s">
        <v>290</v>
      </c>
      <c r="Q345" t="s">
        <v>1266</v>
      </c>
      <c r="R345" t="s">
        <v>1267</v>
      </c>
      <c r="S345" t="s">
        <v>74</v>
      </c>
      <c r="T345" t="s">
        <v>6917</v>
      </c>
      <c r="U345" t="s">
        <v>74</v>
      </c>
      <c r="V345" t="s">
        <v>6918</v>
      </c>
      <c r="W345" t="s">
        <v>6919</v>
      </c>
      <c r="X345" t="s">
        <v>74</v>
      </c>
      <c r="Y345" t="s">
        <v>6920</v>
      </c>
      <c r="Z345" t="s">
        <v>6921</v>
      </c>
      <c r="AA345" t="s">
        <v>74</v>
      </c>
      <c r="AB345" t="s">
        <v>74</v>
      </c>
      <c r="AC345" t="s">
        <v>74</v>
      </c>
      <c r="AD345" t="s">
        <v>74</v>
      </c>
      <c r="AE345" t="s">
        <v>74</v>
      </c>
      <c r="AF345" t="s">
        <v>74</v>
      </c>
      <c r="AG345">
        <v>26</v>
      </c>
      <c r="AH345">
        <v>0</v>
      </c>
      <c r="AI345">
        <v>0</v>
      </c>
      <c r="AJ345">
        <v>1</v>
      </c>
      <c r="AK345">
        <v>1</v>
      </c>
      <c r="AL345" t="s">
        <v>92</v>
      </c>
      <c r="AM345" t="s">
        <v>93</v>
      </c>
      <c r="AN345" t="s">
        <v>94</v>
      </c>
      <c r="AO345" t="s">
        <v>74</v>
      </c>
      <c r="AP345" t="s">
        <v>74</v>
      </c>
      <c r="AQ345" t="s">
        <v>1278</v>
      </c>
      <c r="AR345" t="s">
        <v>74</v>
      </c>
      <c r="AS345" t="s">
        <v>74</v>
      </c>
      <c r="AT345" t="s">
        <v>74</v>
      </c>
      <c r="AU345">
        <v>2023</v>
      </c>
      <c r="AV345" t="s">
        <v>74</v>
      </c>
      <c r="AW345" t="s">
        <v>74</v>
      </c>
      <c r="AX345" t="s">
        <v>74</v>
      </c>
      <c r="AY345" t="s">
        <v>74</v>
      </c>
      <c r="AZ345" t="s">
        <v>74</v>
      </c>
      <c r="BA345" t="s">
        <v>74</v>
      </c>
      <c r="BB345">
        <v>159</v>
      </c>
      <c r="BC345">
        <v>166</v>
      </c>
      <c r="BD345" t="s">
        <v>74</v>
      </c>
      <c r="BE345" t="s">
        <v>6922</v>
      </c>
      <c r="BF345" t="str">
        <f>HYPERLINK("http://dx.doi.org/10.1145/3604237.3626884","http://dx.doi.org/10.1145/3604237.3626884")</f>
        <v>http://dx.doi.org/10.1145/3604237.3626884</v>
      </c>
      <c r="BG345" t="s">
        <v>74</v>
      </c>
      <c r="BH345" t="s">
        <v>74</v>
      </c>
      <c r="BI345">
        <v>8</v>
      </c>
      <c r="BJ345" t="s">
        <v>1280</v>
      </c>
      <c r="BK345" t="s">
        <v>180</v>
      </c>
      <c r="BL345" t="s">
        <v>1281</v>
      </c>
      <c r="BM345" t="s">
        <v>1282</v>
      </c>
      <c r="BN345" t="s">
        <v>74</v>
      </c>
      <c r="BO345" t="s">
        <v>646</v>
      </c>
      <c r="BP345" t="s">
        <v>74</v>
      </c>
      <c r="BQ345" t="s">
        <v>74</v>
      </c>
      <c r="BR345" t="s">
        <v>101</v>
      </c>
      <c r="BS345" t="s">
        <v>6923</v>
      </c>
      <c r="BT345" t="str">
        <f>HYPERLINK("https%3A%2F%2Fwww.webofscience.com%2Fwos%2Fwoscc%2Ffull-record%2FWOS:001124982700019","View Full Record in Web of Science")</f>
        <v>View Full Record in Web of Science</v>
      </c>
    </row>
    <row r="346" spans="1:72" x14ac:dyDescent="0.2">
      <c r="A346" t="s">
        <v>103</v>
      </c>
      <c r="B346" t="s">
        <v>6924</v>
      </c>
      <c r="C346" t="s">
        <v>74</v>
      </c>
      <c r="D346" t="s">
        <v>74</v>
      </c>
      <c r="E346" t="s">
        <v>74</v>
      </c>
      <c r="F346" t="s">
        <v>6925</v>
      </c>
      <c r="G346" t="s">
        <v>74</v>
      </c>
      <c r="H346" t="s">
        <v>74</v>
      </c>
      <c r="I346" t="s">
        <v>6926</v>
      </c>
      <c r="J346" t="s">
        <v>6927</v>
      </c>
      <c r="K346" t="s">
        <v>74</v>
      </c>
      <c r="L346" t="s">
        <v>74</v>
      </c>
      <c r="M346" t="s">
        <v>79</v>
      </c>
      <c r="N346" t="s">
        <v>108</v>
      </c>
      <c r="O346" t="s">
        <v>74</v>
      </c>
      <c r="P346" t="s">
        <v>74</v>
      </c>
      <c r="Q346" t="s">
        <v>74</v>
      </c>
      <c r="R346" t="s">
        <v>74</v>
      </c>
      <c r="S346" t="s">
        <v>74</v>
      </c>
      <c r="T346" t="s">
        <v>6928</v>
      </c>
      <c r="U346" t="s">
        <v>6929</v>
      </c>
      <c r="V346" t="s">
        <v>6930</v>
      </c>
      <c r="W346" t="s">
        <v>6931</v>
      </c>
      <c r="X346" t="s">
        <v>6932</v>
      </c>
      <c r="Y346" t="s">
        <v>6933</v>
      </c>
      <c r="Z346" t="s">
        <v>6934</v>
      </c>
      <c r="AA346" t="s">
        <v>6935</v>
      </c>
      <c r="AB346" t="s">
        <v>6936</v>
      </c>
      <c r="AC346" t="s">
        <v>6937</v>
      </c>
      <c r="AD346" t="s">
        <v>6938</v>
      </c>
      <c r="AE346" t="s">
        <v>6939</v>
      </c>
      <c r="AF346" t="s">
        <v>74</v>
      </c>
      <c r="AG346">
        <v>54</v>
      </c>
      <c r="AH346">
        <v>3</v>
      </c>
      <c r="AI346">
        <v>3</v>
      </c>
      <c r="AJ346">
        <v>72</v>
      </c>
      <c r="AK346">
        <v>72</v>
      </c>
      <c r="AL346" t="s">
        <v>6940</v>
      </c>
      <c r="AM346" t="s">
        <v>4898</v>
      </c>
      <c r="AN346" t="s">
        <v>6941</v>
      </c>
      <c r="AO346" t="s">
        <v>6942</v>
      </c>
      <c r="AP346" t="s">
        <v>6943</v>
      </c>
      <c r="AQ346" t="s">
        <v>74</v>
      </c>
      <c r="AR346" t="s">
        <v>6944</v>
      </c>
      <c r="AS346" t="s">
        <v>6945</v>
      </c>
      <c r="AT346" t="s">
        <v>74</v>
      </c>
      <c r="AU346">
        <v>2023</v>
      </c>
      <c r="AV346">
        <v>32</v>
      </c>
      <c r="AW346">
        <v>4</v>
      </c>
      <c r="AX346" t="s">
        <v>74</v>
      </c>
      <c r="AY346" t="s">
        <v>74</v>
      </c>
      <c r="AZ346" t="s">
        <v>74</v>
      </c>
      <c r="BA346" t="s">
        <v>74</v>
      </c>
      <c r="BB346" t="s">
        <v>74</v>
      </c>
      <c r="BC346" t="s">
        <v>74</v>
      </c>
      <c r="BD346" t="s">
        <v>6946</v>
      </c>
      <c r="BE346" t="s">
        <v>6947</v>
      </c>
      <c r="BF346" t="str">
        <f>HYPERLINK("http://dx.doi.org/10.3145/epi.2023.jul.08","http://dx.doi.org/10.3145/epi.2023.jul.08")</f>
        <v>http://dx.doi.org/10.3145/epi.2023.jul.08</v>
      </c>
      <c r="BG346" t="s">
        <v>74</v>
      </c>
      <c r="BH346" t="s">
        <v>74</v>
      </c>
      <c r="BI346">
        <v>12</v>
      </c>
      <c r="BJ346" t="s">
        <v>2157</v>
      </c>
      <c r="BK346" t="s">
        <v>159</v>
      </c>
      <c r="BL346" t="s">
        <v>2157</v>
      </c>
      <c r="BM346" t="s">
        <v>6948</v>
      </c>
      <c r="BN346" t="s">
        <v>74</v>
      </c>
      <c r="BO346" t="s">
        <v>6949</v>
      </c>
      <c r="BP346" t="s">
        <v>74</v>
      </c>
      <c r="BQ346" t="s">
        <v>74</v>
      </c>
      <c r="BR346" t="s">
        <v>101</v>
      </c>
      <c r="BS346" t="s">
        <v>6950</v>
      </c>
      <c r="BT346" t="str">
        <f>HYPERLINK("https%3A%2F%2Fwww.webofscience.com%2Fwos%2Fwoscc%2Ffull-record%2FWOS:001097561400002","View Full Record in Web of Science")</f>
        <v>View Full Record in Web of Science</v>
      </c>
    </row>
    <row r="347" spans="1:72" x14ac:dyDescent="0.2">
      <c r="A347" t="s">
        <v>103</v>
      </c>
      <c r="B347" t="s">
        <v>6951</v>
      </c>
      <c r="C347" t="s">
        <v>74</v>
      </c>
      <c r="D347" t="s">
        <v>74</v>
      </c>
      <c r="E347" t="s">
        <v>74</v>
      </c>
      <c r="F347" t="s">
        <v>6952</v>
      </c>
      <c r="G347" t="s">
        <v>74</v>
      </c>
      <c r="H347" t="s">
        <v>74</v>
      </c>
      <c r="I347" t="s">
        <v>6953</v>
      </c>
      <c r="J347" t="s">
        <v>1370</v>
      </c>
      <c r="K347" t="s">
        <v>74</v>
      </c>
      <c r="L347" t="s">
        <v>74</v>
      </c>
      <c r="M347" t="s">
        <v>79</v>
      </c>
      <c r="N347" t="s">
        <v>108</v>
      </c>
      <c r="O347" t="s">
        <v>74</v>
      </c>
      <c r="P347" t="s">
        <v>74</v>
      </c>
      <c r="Q347" t="s">
        <v>74</v>
      </c>
      <c r="R347" t="s">
        <v>74</v>
      </c>
      <c r="S347" t="s">
        <v>74</v>
      </c>
      <c r="T347" t="s">
        <v>6954</v>
      </c>
      <c r="U347" t="s">
        <v>74</v>
      </c>
      <c r="V347" t="s">
        <v>6955</v>
      </c>
      <c r="W347" t="s">
        <v>6956</v>
      </c>
      <c r="X347" t="s">
        <v>6957</v>
      </c>
      <c r="Y347" t="s">
        <v>6958</v>
      </c>
      <c r="Z347" t="s">
        <v>6959</v>
      </c>
      <c r="AA347" t="s">
        <v>74</v>
      </c>
      <c r="AB347" t="s">
        <v>6960</v>
      </c>
      <c r="AC347" t="s">
        <v>74</v>
      </c>
      <c r="AD347" t="s">
        <v>74</v>
      </c>
      <c r="AE347" t="s">
        <v>74</v>
      </c>
      <c r="AF347" t="s">
        <v>74</v>
      </c>
      <c r="AG347">
        <v>38</v>
      </c>
      <c r="AH347">
        <v>0</v>
      </c>
      <c r="AI347">
        <v>0</v>
      </c>
      <c r="AJ347">
        <v>4</v>
      </c>
      <c r="AK347">
        <v>7</v>
      </c>
      <c r="AL347" t="s">
        <v>1379</v>
      </c>
      <c r="AM347" t="s">
        <v>1380</v>
      </c>
      <c r="AN347" t="s">
        <v>1381</v>
      </c>
      <c r="AO347" t="s">
        <v>1382</v>
      </c>
      <c r="AP347" t="s">
        <v>74</v>
      </c>
      <c r="AQ347" t="s">
        <v>74</v>
      </c>
      <c r="AR347" t="s">
        <v>1370</v>
      </c>
      <c r="AS347" t="s">
        <v>1383</v>
      </c>
      <c r="AT347" t="s">
        <v>74</v>
      </c>
      <c r="AU347">
        <v>2023</v>
      </c>
      <c r="AV347">
        <v>11</v>
      </c>
      <c r="AW347" t="s">
        <v>74</v>
      </c>
      <c r="AX347" t="s">
        <v>74</v>
      </c>
      <c r="AY347" t="s">
        <v>74</v>
      </c>
      <c r="AZ347" t="s">
        <v>74</v>
      </c>
      <c r="BA347" t="s">
        <v>74</v>
      </c>
      <c r="BB347">
        <v>51960</v>
      </c>
      <c r="BC347">
        <v>51970</v>
      </c>
      <c r="BD347" t="s">
        <v>74</v>
      </c>
      <c r="BE347" t="s">
        <v>6961</v>
      </c>
      <c r="BF347" t="str">
        <f>HYPERLINK("http://dx.doi.org/10.1109/ACCESS.2023.3279265","http://dx.doi.org/10.1109/ACCESS.2023.3279265")</f>
        <v>http://dx.doi.org/10.1109/ACCESS.2023.3279265</v>
      </c>
      <c r="BG347" t="s">
        <v>74</v>
      </c>
      <c r="BH347" t="s">
        <v>74</v>
      </c>
      <c r="BI347">
        <v>11</v>
      </c>
      <c r="BJ347" t="s">
        <v>1385</v>
      </c>
      <c r="BK347" t="s">
        <v>130</v>
      </c>
      <c r="BL347" t="s">
        <v>1386</v>
      </c>
      <c r="BM347" t="s">
        <v>6962</v>
      </c>
      <c r="BN347" t="s">
        <v>74</v>
      </c>
      <c r="BO347" t="s">
        <v>425</v>
      </c>
      <c r="BP347" t="s">
        <v>74</v>
      </c>
      <c r="BQ347" t="s">
        <v>74</v>
      </c>
      <c r="BR347" t="s">
        <v>101</v>
      </c>
      <c r="BS347" t="s">
        <v>6963</v>
      </c>
      <c r="BT347" t="str">
        <f>HYPERLINK("https%3A%2F%2Fwww.webofscience.com%2Fwos%2Fwoscc%2Ffull-record%2FWOS:001005662100001","View Full Record in Web of Science")</f>
        <v>View Full Record in Web of Science</v>
      </c>
    </row>
    <row r="348" spans="1:72" x14ac:dyDescent="0.2">
      <c r="A348" t="s">
        <v>72</v>
      </c>
      <c r="B348" t="s">
        <v>6964</v>
      </c>
      <c r="C348" t="s">
        <v>74</v>
      </c>
      <c r="D348" t="s">
        <v>6965</v>
      </c>
      <c r="E348" t="s">
        <v>74</v>
      </c>
      <c r="F348" t="s">
        <v>6966</v>
      </c>
      <c r="G348" t="s">
        <v>74</v>
      </c>
      <c r="H348" t="s">
        <v>74</v>
      </c>
      <c r="I348" t="s">
        <v>6967</v>
      </c>
      <c r="J348" t="s">
        <v>6968</v>
      </c>
      <c r="K348" t="s">
        <v>312</v>
      </c>
      <c r="L348" t="s">
        <v>74</v>
      </c>
      <c r="M348" t="s">
        <v>79</v>
      </c>
      <c r="N348" t="s">
        <v>80</v>
      </c>
      <c r="O348" t="s">
        <v>6969</v>
      </c>
      <c r="P348" t="s">
        <v>3603</v>
      </c>
      <c r="Q348" t="s">
        <v>6970</v>
      </c>
      <c r="R348" t="s">
        <v>6971</v>
      </c>
      <c r="S348" t="s">
        <v>74</v>
      </c>
      <c r="T348" t="s">
        <v>6972</v>
      </c>
      <c r="U348" t="s">
        <v>74</v>
      </c>
      <c r="V348" t="s">
        <v>6973</v>
      </c>
      <c r="W348" t="s">
        <v>6974</v>
      </c>
      <c r="X348" t="s">
        <v>6975</v>
      </c>
      <c r="Y348" t="s">
        <v>6976</v>
      </c>
      <c r="Z348" t="s">
        <v>6977</v>
      </c>
      <c r="AA348" t="s">
        <v>6978</v>
      </c>
      <c r="AB348" t="s">
        <v>6979</v>
      </c>
      <c r="AC348" t="s">
        <v>6980</v>
      </c>
      <c r="AD348" t="s">
        <v>6981</v>
      </c>
      <c r="AE348" t="s">
        <v>6982</v>
      </c>
      <c r="AF348" t="s">
        <v>74</v>
      </c>
      <c r="AG348">
        <v>23</v>
      </c>
      <c r="AH348">
        <v>0</v>
      </c>
      <c r="AI348">
        <v>0</v>
      </c>
      <c r="AJ348">
        <v>0</v>
      </c>
      <c r="AK348">
        <v>0</v>
      </c>
      <c r="AL348" t="s">
        <v>325</v>
      </c>
      <c r="AM348" t="s">
        <v>245</v>
      </c>
      <c r="AN348" t="s">
        <v>246</v>
      </c>
      <c r="AO348" t="s">
        <v>326</v>
      </c>
      <c r="AP348" t="s">
        <v>327</v>
      </c>
      <c r="AQ348" t="s">
        <v>6983</v>
      </c>
      <c r="AR348" t="s">
        <v>329</v>
      </c>
      <c r="AS348" t="s">
        <v>74</v>
      </c>
      <c r="AT348" t="s">
        <v>74</v>
      </c>
      <c r="AU348">
        <v>2023</v>
      </c>
      <c r="AV348">
        <v>13876</v>
      </c>
      <c r="AW348" t="s">
        <v>74</v>
      </c>
      <c r="AX348" t="s">
        <v>74</v>
      </c>
      <c r="AY348" t="s">
        <v>74</v>
      </c>
      <c r="AZ348" t="s">
        <v>74</v>
      </c>
      <c r="BA348" t="s">
        <v>74</v>
      </c>
      <c r="BB348">
        <v>91</v>
      </c>
      <c r="BC348">
        <v>102</v>
      </c>
      <c r="BD348" t="s">
        <v>74</v>
      </c>
      <c r="BE348" t="s">
        <v>6984</v>
      </c>
      <c r="BF348" t="str">
        <f>HYPERLINK("http://dx.doi.org/10.1007/978-3-031-30047-9_8","http://dx.doi.org/10.1007/978-3-031-30047-9_8")</f>
        <v>http://dx.doi.org/10.1007/978-3-031-30047-9_8</v>
      </c>
      <c r="BG348" t="s">
        <v>74</v>
      </c>
      <c r="BH348" t="s">
        <v>74</v>
      </c>
      <c r="BI348">
        <v>12</v>
      </c>
      <c r="BJ348" t="s">
        <v>6374</v>
      </c>
      <c r="BK348" t="s">
        <v>98</v>
      </c>
      <c r="BL348" t="s">
        <v>99</v>
      </c>
      <c r="BM348" t="s">
        <v>6985</v>
      </c>
      <c r="BN348" t="s">
        <v>74</v>
      </c>
      <c r="BO348" t="s">
        <v>646</v>
      </c>
      <c r="BP348" t="s">
        <v>74</v>
      </c>
      <c r="BQ348" t="s">
        <v>74</v>
      </c>
      <c r="BR348" t="s">
        <v>101</v>
      </c>
      <c r="BS348" t="s">
        <v>6986</v>
      </c>
      <c r="BT348" t="str">
        <f>HYPERLINK("https%3A%2F%2Fwww.webofscience.com%2Fwos%2Fwoscc%2Ffull-record%2FWOS:000999877600008","View Full Record in Web of Science")</f>
        <v>View Full Record in Web of Science</v>
      </c>
    </row>
    <row r="349" spans="1:72" x14ac:dyDescent="0.2">
      <c r="A349" t="s">
        <v>103</v>
      </c>
      <c r="B349" t="s">
        <v>6987</v>
      </c>
      <c r="C349" t="s">
        <v>74</v>
      </c>
      <c r="D349" t="s">
        <v>74</v>
      </c>
      <c r="E349" t="s">
        <v>74</v>
      </c>
      <c r="F349" t="s">
        <v>6988</v>
      </c>
      <c r="G349" t="s">
        <v>74</v>
      </c>
      <c r="H349" t="s">
        <v>74</v>
      </c>
      <c r="I349" t="s">
        <v>6989</v>
      </c>
      <c r="J349" t="s">
        <v>6990</v>
      </c>
      <c r="K349" t="s">
        <v>74</v>
      </c>
      <c r="L349" t="s">
        <v>74</v>
      </c>
      <c r="M349" t="s">
        <v>79</v>
      </c>
      <c r="N349" t="s">
        <v>108</v>
      </c>
      <c r="O349" t="s">
        <v>74</v>
      </c>
      <c r="P349" t="s">
        <v>74</v>
      </c>
      <c r="Q349" t="s">
        <v>74</v>
      </c>
      <c r="R349" t="s">
        <v>74</v>
      </c>
      <c r="S349" t="s">
        <v>74</v>
      </c>
      <c r="T349" t="s">
        <v>6991</v>
      </c>
      <c r="U349" t="s">
        <v>74</v>
      </c>
      <c r="V349" t="s">
        <v>6992</v>
      </c>
      <c r="W349" t="s">
        <v>6993</v>
      </c>
      <c r="X349" t="s">
        <v>6994</v>
      </c>
      <c r="Y349" t="s">
        <v>6995</v>
      </c>
      <c r="Z349" t="s">
        <v>6996</v>
      </c>
      <c r="AA349" t="s">
        <v>74</v>
      </c>
      <c r="AB349" t="s">
        <v>74</v>
      </c>
      <c r="AC349" t="s">
        <v>74</v>
      </c>
      <c r="AD349" t="s">
        <v>74</v>
      </c>
      <c r="AE349" t="s">
        <v>74</v>
      </c>
      <c r="AF349" t="s">
        <v>74</v>
      </c>
      <c r="AG349">
        <v>48</v>
      </c>
      <c r="AH349">
        <v>0</v>
      </c>
      <c r="AI349">
        <v>0</v>
      </c>
      <c r="AJ349">
        <v>4</v>
      </c>
      <c r="AK349">
        <v>7</v>
      </c>
      <c r="AL349" t="s">
        <v>6997</v>
      </c>
      <c r="AM349" t="s">
        <v>6998</v>
      </c>
      <c r="AN349" t="s">
        <v>6999</v>
      </c>
      <c r="AO349" t="s">
        <v>7000</v>
      </c>
      <c r="AP349" t="s">
        <v>7001</v>
      </c>
      <c r="AQ349" t="s">
        <v>74</v>
      </c>
      <c r="AR349" t="s">
        <v>7002</v>
      </c>
      <c r="AS349" t="s">
        <v>7003</v>
      </c>
      <c r="AT349" t="s">
        <v>6625</v>
      </c>
      <c r="AU349">
        <v>2023</v>
      </c>
      <c r="AV349">
        <v>149</v>
      </c>
      <c r="AW349">
        <v>3</v>
      </c>
      <c r="AX349" t="s">
        <v>74</v>
      </c>
      <c r="AY349" t="s">
        <v>74</v>
      </c>
      <c r="AZ349" t="s">
        <v>74</v>
      </c>
      <c r="BA349" t="s">
        <v>74</v>
      </c>
      <c r="BB349" t="s">
        <v>74</v>
      </c>
      <c r="BC349" t="s">
        <v>74</v>
      </c>
      <c r="BD349">
        <v>4022158</v>
      </c>
      <c r="BE349" t="s">
        <v>7004</v>
      </c>
      <c r="BF349" t="str">
        <f>HYPERLINK("http://dx.doi.org/10.1061/JTEPBS.TEENG-7390","http://dx.doi.org/10.1061/JTEPBS.TEENG-7390")</f>
        <v>http://dx.doi.org/10.1061/JTEPBS.TEENG-7390</v>
      </c>
      <c r="BG349" t="s">
        <v>74</v>
      </c>
      <c r="BH349" t="s">
        <v>74</v>
      </c>
      <c r="BI349">
        <v>10</v>
      </c>
      <c r="BJ349" t="s">
        <v>7005</v>
      </c>
      <c r="BK349" t="s">
        <v>130</v>
      </c>
      <c r="BL349" t="s">
        <v>7006</v>
      </c>
      <c r="BM349" t="s">
        <v>7007</v>
      </c>
      <c r="BN349" t="s">
        <v>74</v>
      </c>
      <c r="BO349" t="s">
        <v>74</v>
      </c>
      <c r="BP349" t="s">
        <v>74</v>
      </c>
      <c r="BQ349" t="s">
        <v>74</v>
      </c>
      <c r="BR349" t="s">
        <v>101</v>
      </c>
      <c r="BS349" t="s">
        <v>7008</v>
      </c>
      <c r="BT349" t="str">
        <f>HYPERLINK("https%3A%2F%2Fwww.webofscience.com%2Fwos%2Fwoscc%2Ffull-record%2FWOS:000913198300003","View Full Record in Web of Science")</f>
        <v>View Full Record in Web of Science</v>
      </c>
    </row>
    <row r="350" spans="1:72" x14ac:dyDescent="0.2">
      <c r="A350" t="s">
        <v>103</v>
      </c>
      <c r="B350" t="s">
        <v>7009</v>
      </c>
      <c r="C350" t="s">
        <v>74</v>
      </c>
      <c r="D350" t="s">
        <v>74</v>
      </c>
      <c r="E350" t="s">
        <v>74</v>
      </c>
      <c r="F350" t="s">
        <v>7010</v>
      </c>
      <c r="G350" t="s">
        <v>74</v>
      </c>
      <c r="H350" t="s">
        <v>74</v>
      </c>
      <c r="I350" t="s">
        <v>7011</v>
      </c>
      <c r="J350" t="s">
        <v>6056</v>
      </c>
      <c r="K350" t="s">
        <v>74</v>
      </c>
      <c r="L350" t="s">
        <v>74</v>
      </c>
      <c r="M350" t="s">
        <v>79</v>
      </c>
      <c r="N350" t="s">
        <v>108</v>
      </c>
      <c r="O350" t="s">
        <v>74</v>
      </c>
      <c r="P350" t="s">
        <v>74</v>
      </c>
      <c r="Q350" t="s">
        <v>74</v>
      </c>
      <c r="R350" t="s">
        <v>74</v>
      </c>
      <c r="S350" t="s">
        <v>74</v>
      </c>
      <c r="T350" t="s">
        <v>7012</v>
      </c>
      <c r="U350" t="s">
        <v>7013</v>
      </c>
      <c r="V350" t="s">
        <v>7014</v>
      </c>
      <c r="W350" t="s">
        <v>7015</v>
      </c>
      <c r="X350" t="s">
        <v>7016</v>
      </c>
      <c r="Y350" t="s">
        <v>7017</v>
      </c>
      <c r="Z350" t="s">
        <v>7018</v>
      </c>
      <c r="AA350" t="s">
        <v>74</v>
      </c>
      <c r="AB350" t="s">
        <v>7019</v>
      </c>
      <c r="AC350" t="s">
        <v>7020</v>
      </c>
      <c r="AD350" t="s">
        <v>7020</v>
      </c>
      <c r="AE350" t="s">
        <v>7021</v>
      </c>
      <c r="AF350" t="s">
        <v>74</v>
      </c>
      <c r="AG350">
        <v>59</v>
      </c>
      <c r="AH350">
        <v>0</v>
      </c>
      <c r="AI350">
        <v>0</v>
      </c>
      <c r="AJ350">
        <v>17</v>
      </c>
      <c r="AK350">
        <v>17</v>
      </c>
      <c r="AL350" t="s">
        <v>4176</v>
      </c>
      <c r="AM350" t="s">
        <v>4177</v>
      </c>
      <c r="AN350" t="s">
        <v>4178</v>
      </c>
      <c r="AO350" t="s">
        <v>6067</v>
      </c>
      <c r="AP350" t="s">
        <v>74</v>
      </c>
      <c r="AQ350" t="s">
        <v>74</v>
      </c>
      <c r="AR350" t="s">
        <v>6068</v>
      </c>
      <c r="AS350" t="s">
        <v>6069</v>
      </c>
      <c r="AT350" t="s">
        <v>7022</v>
      </c>
      <c r="AU350">
        <v>2023</v>
      </c>
      <c r="AV350">
        <v>25</v>
      </c>
      <c r="AW350" t="s">
        <v>74</v>
      </c>
      <c r="AX350" t="s">
        <v>74</v>
      </c>
      <c r="AY350" t="s">
        <v>74</v>
      </c>
      <c r="AZ350" t="s">
        <v>74</v>
      </c>
      <c r="BA350" t="s">
        <v>74</v>
      </c>
      <c r="BB350" t="s">
        <v>74</v>
      </c>
      <c r="BC350" t="s">
        <v>74</v>
      </c>
      <c r="BD350" t="s">
        <v>7023</v>
      </c>
      <c r="BE350" t="s">
        <v>7024</v>
      </c>
      <c r="BF350" t="str">
        <f>HYPERLINK("http://dx.doi.org/10.2196/51580","http://dx.doi.org/10.2196/51580")</f>
        <v>http://dx.doi.org/10.2196/51580</v>
      </c>
      <c r="BG350" t="s">
        <v>74</v>
      </c>
      <c r="BH350" t="s">
        <v>74</v>
      </c>
      <c r="BI350">
        <v>15</v>
      </c>
      <c r="BJ350" t="s">
        <v>4947</v>
      </c>
      <c r="BK350" t="s">
        <v>130</v>
      </c>
      <c r="BL350" t="s">
        <v>4947</v>
      </c>
      <c r="BM350" t="s">
        <v>7025</v>
      </c>
      <c r="BN350">
        <v>38009003</v>
      </c>
      <c r="BO350" t="s">
        <v>1728</v>
      </c>
      <c r="BP350" t="s">
        <v>74</v>
      </c>
      <c r="BQ350" t="s">
        <v>74</v>
      </c>
      <c r="BR350" t="s">
        <v>101</v>
      </c>
      <c r="BS350" t="s">
        <v>7026</v>
      </c>
      <c r="BT350" t="str">
        <f>HYPERLINK("https%3A%2F%2Fwww.webofscience.com%2Fwos%2Fwoscc%2Ffull-record%2FWOS:001146489700003","View Full Record in Web of Science")</f>
        <v>View Full Record in Web of Science</v>
      </c>
    </row>
    <row r="351" spans="1:72" x14ac:dyDescent="0.2">
      <c r="A351" t="s">
        <v>103</v>
      </c>
      <c r="B351" t="s">
        <v>7027</v>
      </c>
      <c r="C351" t="s">
        <v>74</v>
      </c>
      <c r="D351" t="s">
        <v>74</v>
      </c>
      <c r="E351" t="s">
        <v>74</v>
      </c>
      <c r="F351" t="s">
        <v>7028</v>
      </c>
      <c r="G351" t="s">
        <v>74</v>
      </c>
      <c r="H351" t="s">
        <v>74</v>
      </c>
      <c r="I351" t="s">
        <v>7029</v>
      </c>
      <c r="J351" t="s">
        <v>7030</v>
      </c>
      <c r="K351" t="s">
        <v>74</v>
      </c>
      <c r="L351" t="s">
        <v>74</v>
      </c>
      <c r="M351" t="s">
        <v>79</v>
      </c>
      <c r="N351" t="s">
        <v>108</v>
      </c>
      <c r="O351" t="s">
        <v>74</v>
      </c>
      <c r="P351" t="s">
        <v>74</v>
      </c>
      <c r="Q351" t="s">
        <v>74</v>
      </c>
      <c r="R351" t="s">
        <v>74</v>
      </c>
      <c r="S351" t="s">
        <v>74</v>
      </c>
      <c r="T351" t="s">
        <v>7031</v>
      </c>
      <c r="U351" t="s">
        <v>74</v>
      </c>
      <c r="V351" t="s">
        <v>7032</v>
      </c>
      <c r="W351" t="s">
        <v>7033</v>
      </c>
      <c r="X351" t="s">
        <v>7034</v>
      </c>
      <c r="Y351" t="s">
        <v>7035</v>
      </c>
      <c r="Z351" t="s">
        <v>7036</v>
      </c>
      <c r="AA351" t="s">
        <v>7037</v>
      </c>
      <c r="AB351" t="s">
        <v>7038</v>
      </c>
      <c r="AC351" t="s">
        <v>74</v>
      </c>
      <c r="AD351" t="s">
        <v>74</v>
      </c>
      <c r="AE351" t="s">
        <v>74</v>
      </c>
      <c r="AF351" t="s">
        <v>74</v>
      </c>
      <c r="AG351">
        <v>23</v>
      </c>
      <c r="AH351">
        <v>29</v>
      </c>
      <c r="AI351">
        <v>29</v>
      </c>
      <c r="AJ351">
        <v>208</v>
      </c>
      <c r="AK351">
        <v>401</v>
      </c>
      <c r="AL351" t="s">
        <v>483</v>
      </c>
      <c r="AM351" t="s">
        <v>484</v>
      </c>
      <c r="AN351" t="s">
        <v>485</v>
      </c>
      <c r="AO351" t="s">
        <v>7039</v>
      </c>
      <c r="AP351" t="s">
        <v>7040</v>
      </c>
      <c r="AQ351" t="s">
        <v>74</v>
      </c>
      <c r="AR351" t="s">
        <v>7041</v>
      </c>
      <c r="AS351" t="s">
        <v>7042</v>
      </c>
      <c r="AT351" t="s">
        <v>7043</v>
      </c>
      <c r="AU351">
        <v>2023</v>
      </c>
      <c r="AV351">
        <v>26</v>
      </c>
      <c r="AW351">
        <v>7</v>
      </c>
      <c r="AX351" t="s">
        <v>74</v>
      </c>
      <c r="AY351" t="s">
        <v>74</v>
      </c>
      <c r="AZ351" t="s">
        <v>74</v>
      </c>
      <c r="BA351" t="s">
        <v>74</v>
      </c>
      <c r="BB351">
        <v>233</v>
      </c>
      <c r="BC351">
        <v>241</v>
      </c>
      <c r="BD351" t="s">
        <v>74</v>
      </c>
      <c r="BE351" t="s">
        <v>7044</v>
      </c>
      <c r="BF351" t="str">
        <f>HYPERLINK("http://dx.doi.org/10.1108/EJIM-02-2023-0156","http://dx.doi.org/10.1108/EJIM-02-2023-0156")</f>
        <v>http://dx.doi.org/10.1108/EJIM-02-2023-0156</v>
      </c>
      <c r="BG351" t="s">
        <v>74</v>
      </c>
      <c r="BH351" t="s">
        <v>74</v>
      </c>
      <c r="BI351">
        <v>9</v>
      </c>
      <c r="BJ351" t="s">
        <v>7045</v>
      </c>
      <c r="BK351" t="s">
        <v>159</v>
      </c>
      <c r="BL351" t="s">
        <v>470</v>
      </c>
      <c r="BM351" t="s">
        <v>7046</v>
      </c>
      <c r="BN351" t="s">
        <v>74</v>
      </c>
      <c r="BO351" t="s">
        <v>161</v>
      </c>
      <c r="BP351" t="s">
        <v>1434</v>
      </c>
      <c r="BQ351" t="s">
        <v>1912</v>
      </c>
      <c r="BR351" t="s">
        <v>101</v>
      </c>
      <c r="BS351" t="s">
        <v>7047</v>
      </c>
      <c r="BT351" t="str">
        <f>HYPERLINK("https%3A%2F%2Fwww.webofscience.com%2Fwos%2Fwoscc%2Ffull-record%2FWOS:000963843600001","View Full Record in Web of Science")</f>
        <v>View Full Record in Web of Science</v>
      </c>
    </row>
    <row r="352" spans="1:72" x14ac:dyDescent="0.2">
      <c r="A352" t="s">
        <v>72</v>
      </c>
      <c r="B352" t="s">
        <v>7048</v>
      </c>
      <c r="C352" t="s">
        <v>74</v>
      </c>
      <c r="D352" t="s">
        <v>74</v>
      </c>
      <c r="E352" t="s">
        <v>75</v>
      </c>
      <c r="F352" t="s">
        <v>7049</v>
      </c>
      <c r="G352" t="s">
        <v>74</v>
      </c>
      <c r="H352" t="s">
        <v>74</v>
      </c>
      <c r="I352" t="s">
        <v>7050</v>
      </c>
      <c r="J352" t="s">
        <v>1264</v>
      </c>
      <c r="K352" t="s">
        <v>74</v>
      </c>
      <c r="L352" t="s">
        <v>74</v>
      </c>
      <c r="M352" t="s">
        <v>79</v>
      </c>
      <c r="N352" t="s">
        <v>80</v>
      </c>
      <c r="O352" t="s">
        <v>1265</v>
      </c>
      <c r="P352" t="s">
        <v>290</v>
      </c>
      <c r="Q352" t="s">
        <v>1266</v>
      </c>
      <c r="R352" t="s">
        <v>1267</v>
      </c>
      <c r="S352" t="s">
        <v>74</v>
      </c>
      <c r="T352" t="s">
        <v>7051</v>
      </c>
      <c r="U352" t="s">
        <v>74</v>
      </c>
      <c r="V352" t="s">
        <v>7052</v>
      </c>
      <c r="W352" t="s">
        <v>7053</v>
      </c>
      <c r="X352" t="s">
        <v>74</v>
      </c>
      <c r="Y352" t="s">
        <v>7054</v>
      </c>
      <c r="Z352" t="s">
        <v>7055</v>
      </c>
      <c r="AA352" t="s">
        <v>74</v>
      </c>
      <c r="AB352" t="s">
        <v>74</v>
      </c>
      <c r="AC352" t="s">
        <v>74</v>
      </c>
      <c r="AD352" t="s">
        <v>74</v>
      </c>
      <c r="AE352" t="s">
        <v>74</v>
      </c>
      <c r="AF352" t="s">
        <v>74</v>
      </c>
      <c r="AG352">
        <v>38</v>
      </c>
      <c r="AH352">
        <v>0</v>
      </c>
      <c r="AI352">
        <v>0</v>
      </c>
      <c r="AJ352">
        <v>1</v>
      </c>
      <c r="AK352">
        <v>1</v>
      </c>
      <c r="AL352" t="s">
        <v>92</v>
      </c>
      <c r="AM352" t="s">
        <v>93</v>
      </c>
      <c r="AN352" t="s">
        <v>94</v>
      </c>
      <c r="AO352" t="s">
        <v>74</v>
      </c>
      <c r="AP352" t="s">
        <v>74</v>
      </c>
      <c r="AQ352" t="s">
        <v>1278</v>
      </c>
      <c r="AR352" t="s">
        <v>74</v>
      </c>
      <c r="AS352" t="s">
        <v>74</v>
      </c>
      <c r="AT352" t="s">
        <v>74</v>
      </c>
      <c r="AU352">
        <v>2023</v>
      </c>
      <c r="AV352" t="s">
        <v>74</v>
      </c>
      <c r="AW352" t="s">
        <v>74</v>
      </c>
      <c r="AX352" t="s">
        <v>74</v>
      </c>
      <c r="AY352" t="s">
        <v>74</v>
      </c>
      <c r="AZ352" t="s">
        <v>74</v>
      </c>
      <c r="BA352" t="s">
        <v>74</v>
      </c>
      <c r="BB352">
        <v>141</v>
      </c>
      <c r="BC352">
        <v>149</v>
      </c>
      <c r="BD352" t="s">
        <v>74</v>
      </c>
      <c r="BE352" t="s">
        <v>7056</v>
      </c>
      <c r="BF352" t="str">
        <f>HYPERLINK("http://dx.doi.org/10.1145/3604237.3626850","http://dx.doi.org/10.1145/3604237.3626850")</f>
        <v>http://dx.doi.org/10.1145/3604237.3626850</v>
      </c>
      <c r="BG352" t="s">
        <v>74</v>
      </c>
      <c r="BH352" t="s">
        <v>74</v>
      </c>
      <c r="BI352">
        <v>9</v>
      </c>
      <c r="BJ352" t="s">
        <v>1280</v>
      </c>
      <c r="BK352" t="s">
        <v>180</v>
      </c>
      <c r="BL352" t="s">
        <v>1281</v>
      </c>
      <c r="BM352" t="s">
        <v>1282</v>
      </c>
      <c r="BN352" t="s">
        <v>74</v>
      </c>
      <c r="BO352" t="s">
        <v>74</v>
      </c>
      <c r="BP352" t="s">
        <v>74</v>
      </c>
      <c r="BQ352" t="s">
        <v>74</v>
      </c>
      <c r="BR352" t="s">
        <v>101</v>
      </c>
      <c r="BS352" t="s">
        <v>7057</v>
      </c>
      <c r="BT352" t="str">
        <f>HYPERLINK("https%3A%2F%2Fwww.webofscience.com%2Fwos%2Fwoscc%2Ffull-record%2FWOS:001124982700017","View Full Record in Web of Science")</f>
        <v>View Full Record in Web of Science</v>
      </c>
    </row>
    <row r="353" spans="1:72" x14ac:dyDescent="0.2">
      <c r="A353" t="s">
        <v>72</v>
      </c>
      <c r="B353" t="s">
        <v>7058</v>
      </c>
      <c r="C353" t="s">
        <v>75</v>
      </c>
      <c r="D353" t="s">
        <v>74</v>
      </c>
      <c r="E353" t="s">
        <v>74</v>
      </c>
      <c r="F353" t="s">
        <v>7059</v>
      </c>
      <c r="G353" t="s">
        <v>75</v>
      </c>
      <c r="H353" t="s">
        <v>74</v>
      </c>
      <c r="I353" t="s">
        <v>7060</v>
      </c>
      <c r="J353" t="s">
        <v>7061</v>
      </c>
      <c r="K353" t="s">
        <v>74</v>
      </c>
      <c r="L353" t="s">
        <v>74</v>
      </c>
      <c r="M353" t="s">
        <v>79</v>
      </c>
      <c r="N353" t="s">
        <v>80</v>
      </c>
      <c r="O353" t="s">
        <v>7062</v>
      </c>
      <c r="P353" t="s">
        <v>7063</v>
      </c>
      <c r="Q353" t="s">
        <v>7064</v>
      </c>
      <c r="R353" t="s">
        <v>7065</v>
      </c>
      <c r="S353" t="s">
        <v>74</v>
      </c>
      <c r="T353" t="s">
        <v>7066</v>
      </c>
      <c r="U353" t="s">
        <v>7067</v>
      </c>
      <c r="V353" t="s">
        <v>7068</v>
      </c>
      <c r="W353" t="s">
        <v>7069</v>
      </c>
      <c r="X353" t="s">
        <v>7070</v>
      </c>
      <c r="Y353" t="s">
        <v>7071</v>
      </c>
      <c r="Z353" t="s">
        <v>7072</v>
      </c>
      <c r="AA353" t="s">
        <v>74</v>
      </c>
      <c r="AB353" t="s">
        <v>74</v>
      </c>
      <c r="AC353" t="s">
        <v>7073</v>
      </c>
      <c r="AD353" t="s">
        <v>7074</v>
      </c>
      <c r="AE353" t="s">
        <v>7075</v>
      </c>
      <c r="AF353" t="s">
        <v>74</v>
      </c>
      <c r="AG353">
        <v>52</v>
      </c>
      <c r="AH353">
        <v>0</v>
      </c>
      <c r="AI353">
        <v>0</v>
      </c>
      <c r="AJ353">
        <v>0</v>
      </c>
      <c r="AK353">
        <v>0</v>
      </c>
      <c r="AL353" t="s">
        <v>92</v>
      </c>
      <c r="AM353" t="s">
        <v>93</v>
      </c>
      <c r="AN353" t="s">
        <v>94</v>
      </c>
      <c r="AO353" t="s">
        <v>74</v>
      </c>
      <c r="AP353" t="s">
        <v>74</v>
      </c>
      <c r="AQ353" t="s">
        <v>7076</v>
      </c>
      <c r="AR353" t="s">
        <v>74</v>
      </c>
      <c r="AS353" t="s">
        <v>74</v>
      </c>
      <c r="AT353" t="s">
        <v>74</v>
      </c>
      <c r="AU353">
        <v>2023</v>
      </c>
      <c r="AV353" t="s">
        <v>74</v>
      </c>
      <c r="AW353" t="s">
        <v>74</v>
      </c>
      <c r="AX353" t="s">
        <v>74</v>
      </c>
      <c r="AY353" t="s">
        <v>74</v>
      </c>
      <c r="AZ353" t="s">
        <v>74</v>
      </c>
      <c r="BA353" t="s">
        <v>74</v>
      </c>
      <c r="BB353" t="s">
        <v>74</v>
      </c>
      <c r="BC353" t="s">
        <v>74</v>
      </c>
      <c r="BD353" t="s">
        <v>74</v>
      </c>
      <c r="BE353" t="s">
        <v>7077</v>
      </c>
      <c r="BF353" t="str">
        <f>HYPERLINK("http://dx.doi.org/10.1145/3592979.3593414","http://dx.doi.org/10.1145/3592979.3593414")</f>
        <v>http://dx.doi.org/10.1145/3592979.3593414</v>
      </c>
      <c r="BG353" t="s">
        <v>74</v>
      </c>
      <c r="BH353" t="s">
        <v>74</v>
      </c>
      <c r="BI353">
        <v>10</v>
      </c>
      <c r="BJ353" t="s">
        <v>7078</v>
      </c>
      <c r="BK353" t="s">
        <v>98</v>
      </c>
      <c r="BL353" t="s">
        <v>7079</v>
      </c>
      <c r="BM353" t="s">
        <v>7080</v>
      </c>
      <c r="BN353" t="s">
        <v>74</v>
      </c>
      <c r="BO353" t="s">
        <v>1237</v>
      </c>
      <c r="BP353" t="s">
        <v>74</v>
      </c>
      <c r="BQ353" t="s">
        <v>74</v>
      </c>
      <c r="BR353" t="s">
        <v>101</v>
      </c>
      <c r="BS353" t="s">
        <v>7081</v>
      </c>
      <c r="BT353" t="str">
        <f>HYPERLINK("https%3A%2F%2Fwww.webofscience.com%2Fwos%2Fwoscc%2Ffull-record%2FWOS:001092572500015","View Full Record in Web of Science")</f>
        <v>View Full Record in Web of Science</v>
      </c>
    </row>
    <row r="354" spans="1:72" x14ac:dyDescent="0.2">
      <c r="A354" t="s">
        <v>103</v>
      </c>
      <c r="B354" t="s">
        <v>7082</v>
      </c>
      <c r="C354" t="s">
        <v>74</v>
      </c>
      <c r="D354" t="s">
        <v>74</v>
      </c>
      <c r="E354" t="s">
        <v>74</v>
      </c>
      <c r="F354" t="s">
        <v>7083</v>
      </c>
      <c r="G354" t="s">
        <v>74</v>
      </c>
      <c r="H354" t="s">
        <v>74</v>
      </c>
      <c r="I354" t="s">
        <v>7084</v>
      </c>
      <c r="J354" t="s">
        <v>4167</v>
      </c>
      <c r="K354" t="s">
        <v>74</v>
      </c>
      <c r="L354" t="s">
        <v>74</v>
      </c>
      <c r="M354" t="s">
        <v>79</v>
      </c>
      <c r="N354" t="s">
        <v>108</v>
      </c>
      <c r="O354" t="s">
        <v>74</v>
      </c>
      <c r="P354" t="s">
        <v>74</v>
      </c>
      <c r="Q354" t="s">
        <v>74</v>
      </c>
      <c r="R354" t="s">
        <v>74</v>
      </c>
      <c r="S354" t="s">
        <v>74</v>
      </c>
      <c r="T354" t="s">
        <v>7085</v>
      </c>
      <c r="U354" t="s">
        <v>7086</v>
      </c>
      <c r="V354" t="s">
        <v>7087</v>
      </c>
      <c r="W354" t="s">
        <v>7088</v>
      </c>
      <c r="X354" t="s">
        <v>7089</v>
      </c>
      <c r="Y354" t="s">
        <v>7090</v>
      </c>
      <c r="Z354" t="s">
        <v>7091</v>
      </c>
      <c r="AA354" t="s">
        <v>74</v>
      </c>
      <c r="AB354" t="s">
        <v>7092</v>
      </c>
      <c r="AC354" t="s">
        <v>74</v>
      </c>
      <c r="AD354" t="s">
        <v>74</v>
      </c>
      <c r="AE354" t="s">
        <v>74</v>
      </c>
      <c r="AF354" t="s">
        <v>74</v>
      </c>
      <c r="AG354">
        <v>46</v>
      </c>
      <c r="AH354">
        <v>1</v>
      </c>
      <c r="AI354">
        <v>1</v>
      </c>
      <c r="AJ354">
        <v>22</v>
      </c>
      <c r="AK354">
        <v>22</v>
      </c>
      <c r="AL354" t="s">
        <v>4176</v>
      </c>
      <c r="AM354" t="s">
        <v>4177</v>
      </c>
      <c r="AN354" t="s">
        <v>4178</v>
      </c>
      <c r="AO354" t="s">
        <v>4179</v>
      </c>
      <c r="AP354" t="s">
        <v>74</v>
      </c>
      <c r="AQ354" t="s">
        <v>74</v>
      </c>
      <c r="AR354" t="s">
        <v>4180</v>
      </c>
      <c r="AS354" t="s">
        <v>4181</v>
      </c>
      <c r="AT354" t="s">
        <v>74</v>
      </c>
      <c r="AU354">
        <v>2023</v>
      </c>
      <c r="AV354">
        <v>9</v>
      </c>
      <c r="AW354" t="s">
        <v>74</v>
      </c>
      <c r="AX354" t="s">
        <v>74</v>
      </c>
      <c r="AY354" t="s">
        <v>74</v>
      </c>
      <c r="AZ354" t="s">
        <v>74</v>
      </c>
      <c r="BA354" t="s">
        <v>74</v>
      </c>
      <c r="BB354" t="s">
        <v>74</v>
      </c>
      <c r="BC354" t="s">
        <v>74</v>
      </c>
      <c r="BD354" t="s">
        <v>7093</v>
      </c>
      <c r="BE354" t="s">
        <v>7094</v>
      </c>
      <c r="BF354" t="str">
        <f>HYPERLINK("http://dx.doi.org/10.2196/53466","http://dx.doi.org/10.2196/53466")</f>
        <v>http://dx.doi.org/10.2196/53466</v>
      </c>
      <c r="BG354" t="s">
        <v>74</v>
      </c>
      <c r="BH354" t="s">
        <v>74</v>
      </c>
      <c r="BI354">
        <v>11</v>
      </c>
      <c r="BJ354" t="s">
        <v>3308</v>
      </c>
      <c r="BK354" t="s">
        <v>352</v>
      </c>
      <c r="BL354" t="s">
        <v>423</v>
      </c>
      <c r="BM354" t="s">
        <v>7095</v>
      </c>
      <c r="BN354">
        <v>38032695</v>
      </c>
      <c r="BO354" t="s">
        <v>4185</v>
      </c>
      <c r="BP354" t="s">
        <v>74</v>
      </c>
      <c r="BQ354" t="s">
        <v>74</v>
      </c>
      <c r="BR354" t="s">
        <v>101</v>
      </c>
      <c r="BS354" t="s">
        <v>7096</v>
      </c>
      <c r="BT354" t="str">
        <f>HYPERLINK("https%3A%2F%2Fwww.webofscience.com%2Fwos%2Fwoscc%2Ffull-record%2FWOS:001114957800002","View Full Record in Web of Science")</f>
        <v>View Full Record in Web of Science</v>
      </c>
    </row>
    <row r="355" spans="1:72" x14ac:dyDescent="0.2">
      <c r="A355" t="s">
        <v>72</v>
      </c>
      <c r="B355" t="s">
        <v>7097</v>
      </c>
      <c r="C355" t="s">
        <v>74</v>
      </c>
      <c r="D355" t="s">
        <v>74</v>
      </c>
      <c r="E355" t="s">
        <v>75</v>
      </c>
      <c r="F355" t="s">
        <v>7098</v>
      </c>
      <c r="G355" t="s">
        <v>74</v>
      </c>
      <c r="H355" t="s">
        <v>74</v>
      </c>
      <c r="I355" t="s">
        <v>7099</v>
      </c>
      <c r="J355" t="s">
        <v>912</v>
      </c>
      <c r="K355" t="s">
        <v>74</v>
      </c>
      <c r="L355" t="s">
        <v>74</v>
      </c>
      <c r="M355" t="s">
        <v>79</v>
      </c>
      <c r="N355" t="s">
        <v>80</v>
      </c>
      <c r="O355" t="s">
        <v>913</v>
      </c>
      <c r="P355" t="s">
        <v>914</v>
      </c>
      <c r="Q355" t="s">
        <v>915</v>
      </c>
      <c r="R355" t="s">
        <v>916</v>
      </c>
      <c r="S355" t="s">
        <v>74</v>
      </c>
      <c r="T355" t="s">
        <v>7100</v>
      </c>
      <c r="U355" t="s">
        <v>74</v>
      </c>
      <c r="V355" t="s">
        <v>7101</v>
      </c>
      <c r="W355" t="s">
        <v>7102</v>
      </c>
      <c r="X355" t="s">
        <v>7103</v>
      </c>
      <c r="Y355" t="s">
        <v>7104</v>
      </c>
      <c r="Z355" t="s">
        <v>7105</v>
      </c>
      <c r="AA355" t="s">
        <v>74</v>
      </c>
      <c r="AB355" t="s">
        <v>74</v>
      </c>
      <c r="AC355" t="s">
        <v>74</v>
      </c>
      <c r="AD355" t="s">
        <v>74</v>
      </c>
      <c r="AE355" t="s">
        <v>74</v>
      </c>
      <c r="AF355" t="s">
        <v>74</v>
      </c>
      <c r="AG355">
        <v>35</v>
      </c>
      <c r="AH355">
        <v>0</v>
      </c>
      <c r="AI355">
        <v>0</v>
      </c>
      <c r="AJ355">
        <v>0</v>
      </c>
      <c r="AK355">
        <v>0</v>
      </c>
      <c r="AL355" t="s">
        <v>92</v>
      </c>
      <c r="AM355" t="s">
        <v>93</v>
      </c>
      <c r="AN355" t="s">
        <v>94</v>
      </c>
      <c r="AO355" t="s">
        <v>74</v>
      </c>
      <c r="AP355" t="s">
        <v>74</v>
      </c>
      <c r="AQ355" t="s">
        <v>922</v>
      </c>
      <c r="AR355" t="s">
        <v>74</v>
      </c>
      <c r="AS355" t="s">
        <v>74</v>
      </c>
      <c r="AT355" t="s">
        <v>74</v>
      </c>
      <c r="AU355">
        <v>2023</v>
      </c>
      <c r="AV355" t="s">
        <v>74</v>
      </c>
      <c r="AW355" t="s">
        <v>74</v>
      </c>
      <c r="AX355" t="s">
        <v>74</v>
      </c>
      <c r="AY355" t="s">
        <v>74</v>
      </c>
      <c r="AZ355" t="s">
        <v>74</v>
      </c>
      <c r="BA355" t="s">
        <v>74</v>
      </c>
      <c r="BB355">
        <v>3537</v>
      </c>
      <c r="BC355">
        <v>3548</v>
      </c>
      <c r="BD355" t="s">
        <v>74</v>
      </c>
      <c r="BE355" t="s">
        <v>7106</v>
      </c>
      <c r="BF355" t="str">
        <f>HYPERLINK("http://dx.doi.org/10.1145/3580305.3599363","http://dx.doi.org/10.1145/3580305.3599363")</f>
        <v>http://dx.doi.org/10.1145/3580305.3599363</v>
      </c>
      <c r="BG355" t="s">
        <v>74</v>
      </c>
      <c r="BH355" t="s">
        <v>74</v>
      </c>
      <c r="BI355">
        <v>12</v>
      </c>
      <c r="BJ355" t="s">
        <v>924</v>
      </c>
      <c r="BK355" t="s">
        <v>98</v>
      </c>
      <c r="BL355" t="s">
        <v>99</v>
      </c>
      <c r="BM355" t="s">
        <v>925</v>
      </c>
      <c r="BN355" t="s">
        <v>74</v>
      </c>
      <c r="BO355" t="s">
        <v>74</v>
      </c>
      <c r="BP355" t="s">
        <v>74</v>
      </c>
      <c r="BQ355" t="s">
        <v>74</v>
      </c>
      <c r="BR355" t="s">
        <v>101</v>
      </c>
      <c r="BS355" t="s">
        <v>7107</v>
      </c>
      <c r="BT355" t="str">
        <f>HYPERLINK("https%3A%2F%2Fwww.webofscience.com%2Fwos%2Fwoscc%2Ffull-record%2FWOS:001118896303052","View Full Record in Web of Science")</f>
        <v>View Full Record in Web of Science</v>
      </c>
    </row>
    <row r="356" spans="1:72" x14ac:dyDescent="0.2">
      <c r="A356" t="s">
        <v>72</v>
      </c>
      <c r="B356" t="s">
        <v>7108</v>
      </c>
      <c r="C356" t="s">
        <v>74</v>
      </c>
      <c r="D356" t="s">
        <v>74</v>
      </c>
      <c r="E356" t="s">
        <v>75</v>
      </c>
      <c r="F356" t="s">
        <v>7109</v>
      </c>
      <c r="G356" t="s">
        <v>74</v>
      </c>
      <c r="H356" t="s">
        <v>74</v>
      </c>
      <c r="I356" t="s">
        <v>7110</v>
      </c>
      <c r="J356" t="s">
        <v>1193</v>
      </c>
      <c r="K356" t="s">
        <v>74</v>
      </c>
      <c r="L356" t="s">
        <v>74</v>
      </c>
      <c r="M356" t="s">
        <v>79</v>
      </c>
      <c r="N356" t="s">
        <v>80</v>
      </c>
      <c r="O356" t="s">
        <v>1194</v>
      </c>
      <c r="P356" t="s">
        <v>1195</v>
      </c>
      <c r="Q356" t="s">
        <v>1196</v>
      </c>
      <c r="R356" t="s">
        <v>1197</v>
      </c>
      <c r="S356" t="s">
        <v>74</v>
      </c>
      <c r="T356" t="s">
        <v>7111</v>
      </c>
      <c r="U356" t="s">
        <v>7112</v>
      </c>
      <c r="V356" t="s">
        <v>7113</v>
      </c>
      <c r="W356" t="s">
        <v>7114</v>
      </c>
      <c r="X356" t="s">
        <v>174</v>
      </c>
      <c r="Y356" t="s">
        <v>7115</v>
      </c>
      <c r="Z356" t="s">
        <v>7116</v>
      </c>
      <c r="AA356" t="s">
        <v>74</v>
      </c>
      <c r="AB356" t="s">
        <v>74</v>
      </c>
      <c r="AC356" t="s">
        <v>74</v>
      </c>
      <c r="AD356" t="s">
        <v>74</v>
      </c>
      <c r="AE356" t="s">
        <v>74</v>
      </c>
      <c r="AF356" t="s">
        <v>74</v>
      </c>
      <c r="AG356">
        <v>220</v>
      </c>
      <c r="AH356">
        <v>0</v>
      </c>
      <c r="AI356">
        <v>0</v>
      </c>
      <c r="AJ356">
        <v>3</v>
      </c>
      <c r="AK356">
        <v>3</v>
      </c>
      <c r="AL356" t="s">
        <v>92</v>
      </c>
      <c r="AM356" t="s">
        <v>93</v>
      </c>
      <c r="AN356" t="s">
        <v>94</v>
      </c>
      <c r="AO356" t="s">
        <v>74</v>
      </c>
      <c r="AP356" t="s">
        <v>74</v>
      </c>
      <c r="AQ356" t="s">
        <v>1209</v>
      </c>
      <c r="AR356" t="s">
        <v>74</v>
      </c>
      <c r="AS356" t="s">
        <v>74</v>
      </c>
      <c r="AT356" t="s">
        <v>74</v>
      </c>
      <c r="AU356">
        <v>2023</v>
      </c>
      <c r="AV356" t="s">
        <v>74</v>
      </c>
      <c r="AW356" t="s">
        <v>74</v>
      </c>
      <c r="AX356" t="s">
        <v>74</v>
      </c>
      <c r="AY356" t="s">
        <v>74</v>
      </c>
      <c r="AZ356" t="s">
        <v>74</v>
      </c>
      <c r="BA356" t="s">
        <v>74</v>
      </c>
      <c r="BB356">
        <v>146</v>
      </c>
      <c r="BC356">
        <v>161</v>
      </c>
      <c r="BD356" t="s">
        <v>74</v>
      </c>
      <c r="BE356" t="s">
        <v>7117</v>
      </c>
      <c r="BF356" t="str">
        <f>HYPERLINK("http://dx.doi.org/10.1145/3600211.3604686","http://dx.doi.org/10.1145/3600211.3604686")</f>
        <v>http://dx.doi.org/10.1145/3600211.3604686</v>
      </c>
      <c r="BG356" t="s">
        <v>74</v>
      </c>
      <c r="BH356" t="s">
        <v>74</v>
      </c>
      <c r="BI356">
        <v>16</v>
      </c>
      <c r="BJ356" t="s">
        <v>1211</v>
      </c>
      <c r="BK356" t="s">
        <v>180</v>
      </c>
      <c r="BL356" t="s">
        <v>1212</v>
      </c>
      <c r="BM356" t="s">
        <v>1213</v>
      </c>
      <c r="BN356" t="s">
        <v>74</v>
      </c>
      <c r="BO356" t="s">
        <v>646</v>
      </c>
      <c r="BP356" t="s">
        <v>74</v>
      </c>
      <c r="BQ356" t="s">
        <v>74</v>
      </c>
      <c r="BR356" t="s">
        <v>101</v>
      </c>
      <c r="BS356" t="s">
        <v>7118</v>
      </c>
      <c r="BT356" t="str">
        <f>HYPERLINK("https%3A%2F%2Fwww.webofscience.com%2Fwos%2Fwoscc%2Ffull-record%2FWOS:001117838100013","View Full Record in Web of Science")</f>
        <v>View Full Record in Web of Science</v>
      </c>
    </row>
    <row r="357" spans="1:72" x14ac:dyDescent="0.2">
      <c r="A357" t="s">
        <v>72</v>
      </c>
      <c r="B357" t="s">
        <v>7119</v>
      </c>
      <c r="C357" t="s">
        <v>74</v>
      </c>
      <c r="D357" t="s">
        <v>74</v>
      </c>
      <c r="E357" t="s">
        <v>75</v>
      </c>
      <c r="F357" t="s">
        <v>7120</v>
      </c>
      <c r="G357" t="s">
        <v>74</v>
      </c>
      <c r="H357" t="s">
        <v>74</v>
      </c>
      <c r="I357" t="s">
        <v>7121</v>
      </c>
      <c r="J357" t="s">
        <v>3295</v>
      </c>
      <c r="K357" t="s">
        <v>74</v>
      </c>
      <c r="L357" t="s">
        <v>74</v>
      </c>
      <c r="M357" t="s">
        <v>79</v>
      </c>
      <c r="N357" t="s">
        <v>80</v>
      </c>
      <c r="O357" t="s">
        <v>3296</v>
      </c>
      <c r="P357" t="s">
        <v>3297</v>
      </c>
      <c r="Q357" t="s">
        <v>3298</v>
      </c>
      <c r="R357" t="s">
        <v>3299</v>
      </c>
      <c r="S357" t="s">
        <v>3300</v>
      </c>
      <c r="T357" t="s">
        <v>7122</v>
      </c>
      <c r="U357" t="s">
        <v>74</v>
      </c>
      <c r="V357" t="s">
        <v>7123</v>
      </c>
      <c r="W357" t="s">
        <v>7124</v>
      </c>
      <c r="X357" t="s">
        <v>4728</v>
      </c>
      <c r="Y357" t="s">
        <v>7125</v>
      </c>
      <c r="Z357" t="s">
        <v>7126</v>
      </c>
      <c r="AA357" t="s">
        <v>74</v>
      </c>
      <c r="AB357" t="s">
        <v>74</v>
      </c>
      <c r="AC357" t="s">
        <v>74</v>
      </c>
      <c r="AD357" t="s">
        <v>74</v>
      </c>
      <c r="AE357" t="s">
        <v>74</v>
      </c>
      <c r="AF357" t="s">
        <v>74</v>
      </c>
      <c r="AG357">
        <v>4</v>
      </c>
      <c r="AH357">
        <v>0</v>
      </c>
      <c r="AI357">
        <v>0</v>
      </c>
      <c r="AJ357">
        <v>5</v>
      </c>
      <c r="AK357">
        <v>5</v>
      </c>
      <c r="AL357" t="s">
        <v>92</v>
      </c>
      <c r="AM357" t="s">
        <v>93</v>
      </c>
      <c r="AN357" t="s">
        <v>94</v>
      </c>
      <c r="AO357" t="s">
        <v>74</v>
      </c>
      <c r="AP357" t="s">
        <v>74</v>
      </c>
      <c r="AQ357" t="s">
        <v>3306</v>
      </c>
      <c r="AR357" t="s">
        <v>74</v>
      </c>
      <c r="AS357" t="s">
        <v>74</v>
      </c>
      <c r="AT357" t="s">
        <v>74</v>
      </c>
      <c r="AU357">
        <v>2023</v>
      </c>
      <c r="AV357" t="s">
        <v>74</v>
      </c>
      <c r="AW357" t="s">
        <v>74</v>
      </c>
      <c r="AX357" t="s">
        <v>74</v>
      </c>
      <c r="AY357" t="s">
        <v>74</v>
      </c>
      <c r="AZ357" t="s">
        <v>74</v>
      </c>
      <c r="BA357" t="s">
        <v>74</v>
      </c>
      <c r="BB357" t="s">
        <v>74</v>
      </c>
      <c r="BC357" t="s">
        <v>74</v>
      </c>
      <c r="BD357">
        <v>32</v>
      </c>
      <c r="BE357" t="s">
        <v>7127</v>
      </c>
      <c r="BF357" t="str">
        <f>HYPERLINK("http://dx.doi.org/10.1145/3610969.3610973","http://dx.doi.org/10.1145/3610969.3610973")</f>
        <v>http://dx.doi.org/10.1145/3610969.3610973</v>
      </c>
      <c r="BG357" t="s">
        <v>74</v>
      </c>
      <c r="BH357" t="s">
        <v>74</v>
      </c>
      <c r="BI357">
        <v>1</v>
      </c>
      <c r="BJ357" t="s">
        <v>3308</v>
      </c>
      <c r="BK357" t="s">
        <v>98</v>
      </c>
      <c r="BL357" t="s">
        <v>423</v>
      </c>
      <c r="BM357" t="s">
        <v>3309</v>
      </c>
      <c r="BN357" t="s">
        <v>74</v>
      </c>
      <c r="BO357" t="s">
        <v>74</v>
      </c>
      <c r="BP357" t="s">
        <v>74</v>
      </c>
      <c r="BQ357" t="s">
        <v>74</v>
      </c>
      <c r="BR357" t="s">
        <v>101</v>
      </c>
      <c r="BS357" t="s">
        <v>7128</v>
      </c>
      <c r="BT357" t="str">
        <f>HYPERLINK("https%3A%2F%2Fwww.webofscience.com%2Fwos%2Fwoscc%2Ffull-record%2FWOS:001147623400002","View Full Record in Web of Science")</f>
        <v>View Full Record in Web of Science</v>
      </c>
    </row>
    <row r="358" spans="1:72" x14ac:dyDescent="0.2">
      <c r="A358" t="s">
        <v>103</v>
      </c>
      <c r="B358" t="s">
        <v>7129</v>
      </c>
      <c r="C358" t="s">
        <v>74</v>
      </c>
      <c r="D358" t="s">
        <v>74</v>
      </c>
      <c r="E358" t="s">
        <v>74</v>
      </c>
      <c r="F358" t="s">
        <v>7130</v>
      </c>
      <c r="G358" t="s">
        <v>74</v>
      </c>
      <c r="H358" t="s">
        <v>74</v>
      </c>
      <c r="I358" t="s">
        <v>7131</v>
      </c>
      <c r="J358" t="s">
        <v>7132</v>
      </c>
      <c r="K358" t="s">
        <v>74</v>
      </c>
      <c r="L358" t="s">
        <v>74</v>
      </c>
      <c r="M358" t="s">
        <v>79</v>
      </c>
      <c r="N358" t="s">
        <v>108</v>
      </c>
      <c r="O358" t="s">
        <v>74</v>
      </c>
      <c r="P358" t="s">
        <v>74</v>
      </c>
      <c r="Q358" t="s">
        <v>74</v>
      </c>
      <c r="R358" t="s">
        <v>74</v>
      </c>
      <c r="S358" t="s">
        <v>74</v>
      </c>
      <c r="T358" t="s">
        <v>7133</v>
      </c>
      <c r="U358" t="s">
        <v>7134</v>
      </c>
      <c r="V358" t="s">
        <v>7135</v>
      </c>
      <c r="W358" t="s">
        <v>7136</v>
      </c>
      <c r="X358" t="s">
        <v>7137</v>
      </c>
      <c r="Y358" t="s">
        <v>7138</v>
      </c>
      <c r="Z358" t="s">
        <v>7139</v>
      </c>
      <c r="AA358" t="s">
        <v>74</v>
      </c>
      <c r="AB358" t="s">
        <v>74</v>
      </c>
      <c r="AC358" t="s">
        <v>7140</v>
      </c>
      <c r="AD358" t="s">
        <v>7141</v>
      </c>
      <c r="AE358" t="s">
        <v>7142</v>
      </c>
      <c r="AF358" t="s">
        <v>74</v>
      </c>
      <c r="AG358">
        <v>29</v>
      </c>
      <c r="AH358">
        <v>0</v>
      </c>
      <c r="AI358">
        <v>0</v>
      </c>
      <c r="AJ358">
        <v>6</v>
      </c>
      <c r="AK358">
        <v>6</v>
      </c>
      <c r="AL358" t="s">
        <v>7143</v>
      </c>
      <c r="AM358" t="s">
        <v>7144</v>
      </c>
      <c r="AN358" t="s">
        <v>7145</v>
      </c>
      <c r="AO358" t="s">
        <v>7146</v>
      </c>
      <c r="AP358" t="s">
        <v>74</v>
      </c>
      <c r="AQ358" t="s">
        <v>74</v>
      </c>
      <c r="AR358" t="s">
        <v>7147</v>
      </c>
      <c r="AS358" t="s">
        <v>7148</v>
      </c>
      <c r="AT358" t="s">
        <v>791</v>
      </c>
      <c r="AU358">
        <v>2023</v>
      </c>
      <c r="AV358">
        <v>20</v>
      </c>
      <c r="AW358">
        <v>8</v>
      </c>
      <c r="AX358" t="s">
        <v>74</v>
      </c>
      <c r="AY358" t="s">
        <v>74</v>
      </c>
      <c r="AZ358" t="s">
        <v>74</v>
      </c>
      <c r="BA358" t="s">
        <v>74</v>
      </c>
      <c r="BB358">
        <v>32</v>
      </c>
      <c r="BC358">
        <v>43</v>
      </c>
      <c r="BD358" t="s">
        <v>74</v>
      </c>
      <c r="BE358" t="s">
        <v>7149</v>
      </c>
      <c r="BF358" t="str">
        <f>HYPERLINK("http://dx.doi.org/10.23919/JCC.fa.2023-0206.202308","http://dx.doi.org/10.23919/JCC.fa.2023-0206.202308")</f>
        <v>http://dx.doi.org/10.23919/JCC.fa.2023-0206.202308</v>
      </c>
      <c r="BG358" t="s">
        <v>74</v>
      </c>
      <c r="BH358" t="s">
        <v>74</v>
      </c>
      <c r="BI358">
        <v>12</v>
      </c>
      <c r="BJ358" t="s">
        <v>256</v>
      </c>
      <c r="BK358" t="s">
        <v>130</v>
      </c>
      <c r="BL358" t="s">
        <v>256</v>
      </c>
      <c r="BM358" t="s">
        <v>7150</v>
      </c>
      <c r="BN358" t="s">
        <v>74</v>
      </c>
      <c r="BO358" t="s">
        <v>74</v>
      </c>
      <c r="BP358" t="s">
        <v>74</v>
      </c>
      <c r="BQ358" t="s">
        <v>74</v>
      </c>
      <c r="BR358" t="s">
        <v>101</v>
      </c>
      <c r="BS358" t="s">
        <v>7151</v>
      </c>
      <c r="BT358" t="str">
        <f>HYPERLINK("https%3A%2F%2Fwww.webofscience.com%2Fwos%2Fwoscc%2Ffull-record%2FWOS:001060514100004","View Full Record in Web of Science")</f>
        <v>View Full Record in Web of Science</v>
      </c>
    </row>
    <row r="359" spans="1:72" x14ac:dyDescent="0.2">
      <c r="A359" t="s">
        <v>103</v>
      </c>
      <c r="B359" t="s">
        <v>7152</v>
      </c>
      <c r="C359" t="s">
        <v>74</v>
      </c>
      <c r="D359" t="s">
        <v>74</v>
      </c>
      <c r="E359" t="s">
        <v>74</v>
      </c>
      <c r="F359" t="s">
        <v>7153</v>
      </c>
      <c r="G359" t="s">
        <v>74</v>
      </c>
      <c r="H359" t="s">
        <v>74</v>
      </c>
      <c r="I359" t="s">
        <v>7154</v>
      </c>
      <c r="J359" t="s">
        <v>7155</v>
      </c>
      <c r="K359" t="s">
        <v>74</v>
      </c>
      <c r="L359" t="s">
        <v>74</v>
      </c>
      <c r="M359" t="s">
        <v>79</v>
      </c>
      <c r="N359" t="s">
        <v>138</v>
      </c>
      <c r="O359" t="s">
        <v>74</v>
      </c>
      <c r="P359" t="s">
        <v>74</v>
      </c>
      <c r="Q359" t="s">
        <v>74</v>
      </c>
      <c r="R359" t="s">
        <v>74</v>
      </c>
      <c r="S359" t="s">
        <v>74</v>
      </c>
      <c r="T359" t="s">
        <v>7156</v>
      </c>
      <c r="U359" t="s">
        <v>74</v>
      </c>
      <c r="V359" t="s">
        <v>7157</v>
      </c>
      <c r="W359" t="s">
        <v>7158</v>
      </c>
      <c r="X359" t="s">
        <v>7159</v>
      </c>
      <c r="Y359" t="s">
        <v>7160</v>
      </c>
      <c r="Z359" t="s">
        <v>7161</v>
      </c>
      <c r="AA359" t="s">
        <v>74</v>
      </c>
      <c r="AB359" t="s">
        <v>74</v>
      </c>
      <c r="AC359" t="s">
        <v>7162</v>
      </c>
      <c r="AD359" t="s">
        <v>7163</v>
      </c>
      <c r="AE359" t="s">
        <v>7164</v>
      </c>
      <c r="AF359" t="s">
        <v>74</v>
      </c>
      <c r="AG359">
        <v>31</v>
      </c>
      <c r="AH359">
        <v>0</v>
      </c>
      <c r="AI359">
        <v>0</v>
      </c>
      <c r="AJ359">
        <v>8</v>
      </c>
      <c r="AK359">
        <v>8</v>
      </c>
      <c r="AL359" t="s">
        <v>737</v>
      </c>
      <c r="AM359" t="s">
        <v>738</v>
      </c>
      <c r="AN359" t="s">
        <v>739</v>
      </c>
      <c r="AO359" t="s">
        <v>7165</v>
      </c>
      <c r="AP359" t="s">
        <v>7166</v>
      </c>
      <c r="AQ359" t="s">
        <v>74</v>
      </c>
      <c r="AR359" t="s">
        <v>7167</v>
      </c>
      <c r="AS359" t="s">
        <v>7168</v>
      </c>
      <c r="AT359" t="s">
        <v>7169</v>
      </c>
      <c r="AU359">
        <v>2023</v>
      </c>
      <c r="AV359" t="s">
        <v>74</v>
      </c>
      <c r="AW359" t="s">
        <v>74</v>
      </c>
      <c r="AX359" t="s">
        <v>74</v>
      </c>
      <c r="AY359" t="s">
        <v>74</v>
      </c>
      <c r="AZ359" t="s">
        <v>74</v>
      </c>
      <c r="BA359" t="s">
        <v>74</v>
      </c>
      <c r="BB359" t="s">
        <v>74</v>
      </c>
      <c r="BC359" t="s">
        <v>74</v>
      </c>
      <c r="BD359" t="s">
        <v>74</v>
      </c>
      <c r="BE359" t="s">
        <v>7170</v>
      </c>
      <c r="BF359" t="str">
        <f>HYPERLINK("http://dx.doi.org/10.1080/09613218.2023.2288097","http://dx.doi.org/10.1080/09613218.2023.2288097")</f>
        <v>http://dx.doi.org/10.1080/09613218.2023.2288097</v>
      </c>
      <c r="BG359" t="s">
        <v>74</v>
      </c>
      <c r="BH359" t="s">
        <v>128</v>
      </c>
      <c r="BI359">
        <v>17</v>
      </c>
      <c r="BJ359" t="s">
        <v>7171</v>
      </c>
      <c r="BK359" t="s">
        <v>130</v>
      </c>
      <c r="BL359" t="s">
        <v>7171</v>
      </c>
      <c r="BM359" t="s">
        <v>7172</v>
      </c>
      <c r="BN359" t="s">
        <v>74</v>
      </c>
      <c r="BO359" t="s">
        <v>74</v>
      </c>
      <c r="BP359" t="s">
        <v>74</v>
      </c>
      <c r="BQ359" t="s">
        <v>74</v>
      </c>
      <c r="BR359" t="s">
        <v>101</v>
      </c>
      <c r="BS359" t="s">
        <v>7173</v>
      </c>
      <c r="BT359" t="str">
        <f>HYPERLINK("https%3A%2F%2Fwww.webofscience.com%2Fwos%2Fwoscc%2Ffull-record%2FWOS:001122392500001","View Full Record in Web of Science")</f>
        <v>View Full Record in Web of Science</v>
      </c>
    </row>
    <row r="360" spans="1:72" x14ac:dyDescent="0.2">
      <c r="A360" t="s">
        <v>103</v>
      </c>
      <c r="B360" t="s">
        <v>7174</v>
      </c>
      <c r="C360" t="s">
        <v>74</v>
      </c>
      <c r="D360" t="s">
        <v>74</v>
      </c>
      <c r="E360" t="s">
        <v>74</v>
      </c>
      <c r="F360" t="s">
        <v>7175</v>
      </c>
      <c r="G360" t="s">
        <v>74</v>
      </c>
      <c r="H360" t="s">
        <v>74</v>
      </c>
      <c r="I360" t="s">
        <v>7176</v>
      </c>
      <c r="J360" t="s">
        <v>6343</v>
      </c>
      <c r="K360" t="s">
        <v>74</v>
      </c>
      <c r="L360" t="s">
        <v>74</v>
      </c>
      <c r="M360" t="s">
        <v>79</v>
      </c>
      <c r="N360" t="s">
        <v>108</v>
      </c>
      <c r="O360" t="s">
        <v>74</v>
      </c>
      <c r="P360" t="s">
        <v>74</v>
      </c>
      <c r="Q360" t="s">
        <v>74</v>
      </c>
      <c r="R360" t="s">
        <v>74</v>
      </c>
      <c r="S360" t="s">
        <v>74</v>
      </c>
      <c r="T360" t="s">
        <v>7177</v>
      </c>
      <c r="U360" t="s">
        <v>7178</v>
      </c>
      <c r="V360" t="s">
        <v>7179</v>
      </c>
      <c r="W360" t="s">
        <v>7180</v>
      </c>
      <c r="X360" t="s">
        <v>7181</v>
      </c>
      <c r="Y360" t="s">
        <v>7182</v>
      </c>
      <c r="Z360" t="s">
        <v>7183</v>
      </c>
      <c r="AA360" t="s">
        <v>7184</v>
      </c>
      <c r="AB360" t="s">
        <v>7185</v>
      </c>
      <c r="AC360" t="s">
        <v>74</v>
      </c>
      <c r="AD360" t="s">
        <v>74</v>
      </c>
      <c r="AE360" t="s">
        <v>74</v>
      </c>
      <c r="AF360" t="s">
        <v>74</v>
      </c>
      <c r="AG360">
        <v>56</v>
      </c>
      <c r="AH360">
        <v>0</v>
      </c>
      <c r="AI360">
        <v>0</v>
      </c>
      <c r="AJ360">
        <v>25</v>
      </c>
      <c r="AK360">
        <v>25</v>
      </c>
      <c r="AL360" t="s">
        <v>939</v>
      </c>
      <c r="AM360" t="s">
        <v>940</v>
      </c>
      <c r="AN360" t="s">
        <v>941</v>
      </c>
      <c r="AO360" t="s">
        <v>74</v>
      </c>
      <c r="AP360" t="s">
        <v>7186</v>
      </c>
      <c r="AQ360" t="s">
        <v>74</v>
      </c>
      <c r="AR360" t="s">
        <v>7187</v>
      </c>
      <c r="AS360" t="s">
        <v>6343</v>
      </c>
      <c r="AT360" t="s">
        <v>771</v>
      </c>
      <c r="AU360">
        <v>2023</v>
      </c>
      <c r="AV360">
        <v>4</v>
      </c>
      <c r="AW360">
        <v>3</v>
      </c>
      <c r="AX360" t="s">
        <v>74</v>
      </c>
      <c r="AY360" t="s">
        <v>74</v>
      </c>
      <c r="AZ360" t="s">
        <v>74</v>
      </c>
      <c r="BA360" t="s">
        <v>74</v>
      </c>
      <c r="BB360">
        <v>721</v>
      </c>
      <c r="BC360">
        <v>728</v>
      </c>
      <c r="BD360" t="s">
        <v>74</v>
      </c>
      <c r="BE360" t="s">
        <v>7188</v>
      </c>
      <c r="BF360" t="str">
        <f>HYPERLINK("http://dx.doi.org/10.3390/ai4030038","http://dx.doi.org/10.3390/ai4030038")</f>
        <v>http://dx.doi.org/10.3390/ai4030038</v>
      </c>
      <c r="BG360" t="s">
        <v>74</v>
      </c>
      <c r="BH360" t="s">
        <v>74</v>
      </c>
      <c r="BI360">
        <v>8</v>
      </c>
      <c r="BJ360" t="s">
        <v>1069</v>
      </c>
      <c r="BK360" t="s">
        <v>352</v>
      </c>
      <c r="BL360" t="s">
        <v>99</v>
      </c>
      <c r="BM360" t="s">
        <v>7189</v>
      </c>
      <c r="BN360" t="s">
        <v>74</v>
      </c>
      <c r="BO360" t="s">
        <v>425</v>
      </c>
      <c r="BP360" t="s">
        <v>74</v>
      </c>
      <c r="BQ360" t="s">
        <v>74</v>
      </c>
      <c r="BR360" t="s">
        <v>101</v>
      </c>
      <c r="BS360" t="s">
        <v>7190</v>
      </c>
      <c r="BT360" t="str">
        <f>HYPERLINK("https%3A%2F%2Fwww.webofscience.com%2Fwos%2Fwoscc%2Ffull-record%2FWOS:001072528400001","View Full Record in Web of Science")</f>
        <v>View Full Record in Web of Science</v>
      </c>
    </row>
    <row r="361" spans="1:72" x14ac:dyDescent="0.2">
      <c r="A361" t="s">
        <v>103</v>
      </c>
      <c r="B361" t="s">
        <v>7191</v>
      </c>
      <c r="C361" t="s">
        <v>74</v>
      </c>
      <c r="D361" t="s">
        <v>74</v>
      </c>
      <c r="E361" t="s">
        <v>74</v>
      </c>
      <c r="F361" t="s">
        <v>7192</v>
      </c>
      <c r="G361" t="s">
        <v>74</v>
      </c>
      <c r="H361" t="s">
        <v>74</v>
      </c>
      <c r="I361" t="s">
        <v>7193</v>
      </c>
      <c r="J361" t="s">
        <v>7194</v>
      </c>
      <c r="K361" t="s">
        <v>74</v>
      </c>
      <c r="L361" t="s">
        <v>74</v>
      </c>
      <c r="M361" t="s">
        <v>79</v>
      </c>
      <c r="N361" t="s">
        <v>108</v>
      </c>
      <c r="O361" t="s">
        <v>74</v>
      </c>
      <c r="P361" t="s">
        <v>74</v>
      </c>
      <c r="Q361" t="s">
        <v>74</v>
      </c>
      <c r="R361" t="s">
        <v>74</v>
      </c>
      <c r="S361" t="s">
        <v>74</v>
      </c>
      <c r="T361" t="s">
        <v>7195</v>
      </c>
      <c r="U361" t="s">
        <v>74</v>
      </c>
      <c r="V361" t="s">
        <v>7196</v>
      </c>
      <c r="W361" t="s">
        <v>7197</v>
      </c>
      <c r="X361" t="s">
        <v>4031</v>
      </c>
      <c r="Y361" t="s">
        <v>7198</v>
      </c>
      <c r="Z361" t="s">
        <v>7199</v>
      </c>
      <c r="AA361" t="s">
        <v>7200</v>
      </c>
      <c r="AB361" t="s">
        <v>7201</v>
      </c>
      <c r="AC361" t="s">
        <v>7202</v>
      </c>
      <c r="AD361" t="s">
        <v>7203</v>
      </c>
      <c r="AE361" t="s">
        <v>7204</v>
      </c>
      <c r="AF361" t="s">
        <v>74</v>
      </c>
      <c r="AG361">
        <v>38</v>
      </c>
      <c r="AH361">
        <v>9</v>
      </c>
      <c r="AI361">
        <v>9</v>
      </c>
      <c r="AJ361">
        <v>10</v>
      </c>
      <c r="AK361">
        <v>22</v>
      </c>
      <c r="AL361" t="s">
        <v>6089</v>
      </c>
      <c r="AM361" t="s">
        <v>149</v>
      </c>
      <c r="AN361" t="s">
        <v>6090</v>
      </c>
      <c r="AO361" t="s">
        <v>7205</v>
      </c>
      <c r="AP361" t="s">
        <v>7206</v>
      </c>
      <c r="AQ361" t="s">
        <v>74</v>
      </c>
      <c r="AR361" t="s">
        <v>7207</v>
      </c>
      <c r="AS361" t="s">
        <v>7208</v>
      </c>
      <c r="AT361" t="s">
        <v>7209</v>
      </c>
      <c r="AU361">
        <v>2023</v>
      </c>
      <c r="AV361">
        <v>342</v>
      </c>
      <c r="AW361" t="s">
        <v>74</v>
      </c>
      <c r="AX361" t="s">
        <v>74</v>
      </c>
      <c r="AY361" t="s">
        <v>74</v>
      </c>
      <c r="AZ361" t="s">
        <v>74</v>
      </c>
      <c r="BA361" t="s">
        <v>74</v>
      </c>
      <c r="BB361" t="s">
        <v>74</v>
      </c>
      <c r="BC361" t="s">
        <v>74</v>
      </c>
      <c r="BD361">
        <v>118149</v>
      </c>
      <c r="BE361" t="s">
        <v>7210</v>
      </c>
      <c r="BF361" t="str">
        <f>HYPERLINK("http://dx.doi.org/10.1016/j.jenvman.2023.118149","http://dx.doi.org/10.1016/j.jenvman.2023.118149")</f>
        <v>http://dx.doi.org/10.1016/j.jenvman.2023.118149</v>
      </c>
      <c r="BG361" t="s">
        <v>74</v>
      </c>
      <c r="BH361" t="s">
        <v>2889</v>
      </c>
      <c r="BI361">
        <v>7</v>
      </c>
      <c r="BJ361" t="s">
        <v>7211</v>
      </c>
      <c r="BK361" t="s">
        <v>130</v>
      </c>
      <c r="BL361" t="s">
        <v>7212</v>
      </c>
      <c r="BM361" t="s">
        <v>7213</v>
      </c>
      <c r="BN361">
        <v>37187074</v>
      </c>
      <c r="BO361" t="s">
        <v>74</v>
      </c>
      <c r="BP361" t="s">
        <v>74</v>
      </c>
      <c r="BQ361" t="s">
        <v>74</v>
      </c>
      <c r="BR361" t="s">
        <v>101</v>
      </c>
      <c r="BS361" t="s">
        <v>7214</v>
      </c>
      <c r="BT361" t="str">
        <f>HYPERLINK("https%3A%2F%2Fwww.webofscience.com%2Fwos%2Fwoscc%2Ffull-record%2FWOS:001006180900001","View Full Record in Web of Science")</f>
        <v>View Full Record in Web of Science</v>
      </c>
    </row>
    <row r="362" spans="1:72" x14ac:dyDescent="0.2">
      <c r="A362" t="s">
        <v>103</v>
      </c>
      <c r="B362" t="s">
        <v>7215</v>
      </c>
      <c r="C362" t="s">
        <v>74</v>
      </c>
      <c r="D362" t="s">
        <v>74</v>
      </c>
      <c r="E362" t="s">
        <v>74</v>
      </c>
      <c r="F362" t="s">
        <v>7216</v>
      </c>
      <c r="G362" t="s">
        <v>74</v>
      </c>
      <c r="H362" t="s">
        <v>74</v>
      </c>
      <c r="I362" t="s">
        <v>7217</v>
      </c>
      <c r="J362" t="s">
        <v>7218</v>
      </c>
      <c r="K362" t="s">
        <v>74</v>
      </c>
      <c r="L362" t="s">
        <v>74</v>
      </c>
      <c r="M362" t="s">
        <v>79</v>
      </c>
      <c r="N362" t="s">
        <v>108</v>
      </c>
      <c r="O362" t="s">
        <v>74</v>
      </c>
      <c r="P362" t="s">
        <v>74</v>
      </c>
      <c r="Q362" t="s">
        <v>74</v>
      </c>
      <c r="R362" t="s">
        <v>74</v>
      </c>
      <c r="S362" t="s">
        <v>74</v>
      </c>
      <c r="T362" t="s">
        <v>7219</v>
      </c>
      <c r="U362" t="s">
        <v>7220</v>
      </c>
      <c r="V362" t="s">
        <v>7221</v>
      </c>
      <c r="W362" t="s">
        <v>7222</v>
      </c>
      <c r="X362" t="s">
        <v>7223</v>
      </c>
      <c r="Y362" t="s">
        <v>7224</v>
      </c>
      <c r="Z362" t="s">
        <v>7225</v>
      </c>
      <c r="AA362" t="s">
        <v>7226</v>
      </c>
      <c r="AB362" t="s">
        <v>7227</v>
      </c>
      <c r="AC362" t="s">
        <v>74</v>
      </c>
      <c r="AD362" t="s">
        <v>74</v>
      </c>
      <c r="AE362" t="s">
        <v>74</v>
      </c>
      <c r="AF362" t="s">
        <v>74</v>
      </c>
      <c r="AG362">
        <v>86</v>
      </c>
      <c r="AH362">
        <v>6</v>
      </c>
      <c r="AI362">
        <v>7</v>
      </c>
      <c r="AJ362">
        <v>68</v>
      </c>
      <c r="AK362">
        <v>90</v>
      </c>
      <c r="AL362" t="s">
        <v>939</v>
      </c>
      <c r="AM362" t="s">
        <v>940</v>
      </c>
      <c r="AN362" t="s">
        <v>941</v>
      </c>
      <c r="AO362" t="s">
        <v>74</v>
      </c>
      <c r="AP362" t="s">
        <v>7228</v>
      </c>
      <c r="AQ362" t="s">
        <v>74</v>
      </c>
      <c r="AR362" t="s">
        <v>7229</v>
      </c>
      <c r="AS362" t="s">
        <v>7230</v>
      </c>
      <c r="AT362" t="s">
        <v>615</v>
      </c>
      <c r="AU362">
        <v>2023</v>
      </c>
      <c r="AV362">
        <v>13</v>
      </c>
      <c r="AW362">
        <v>7</v>
      </c>
      <c r="AX362" t="s">
        <v>74</v>
      </c>
      <c r="AY362" t="s">
        <v>74</v>
      </c>
      <c r="AZ362" t="s">
        <v>74</v>
      </c>
      <c r="BA362" t="s">
        <v>74</v>
      </c>
      <c r="BB362" t="s">
        <v>74</v>
      </c>
      <c r="BC362" t="s">
        <v>74</v>
      </c>
      <c r="BD362">
        <v>157</v>
      </c>
      <c r="BE362" t="s">
        <v>7231</v>
      </c>
      <c r="BF362" t="str">
        <f>HYPERLINK("http://dx.doi.org/10.3390/admsci13070157","http://dx.doi.org/10.3390/admsci13070157")</f>
        <v>http://dx.doi.org/10.3390/admsci13070157</v>
      </c>
      <c r="BG362" t="s">
        <v>74</v>
      </c>
      <c r="BH362" t="s">
        <v>74</v>
      </c>
      <c r="BI362">
        <v>19</v>
      </c>
      <c r="BJ362" t="s">
        <v>3464</v>
      </c>
      <c r="BK362" t="s">
        <v>352</v>
      </c>
      <c r="BL362" t="s">
        <v>470</v>
      </c>
      <c r="BM362" t="s">
        <v>7232</v>
      </c>
      <c r="BN362" t="s">
        <v>74</v>
      </c>
      <c r="BO362" t="s">
        <v>4185</v>
      </c>
      <c r="BP362" t="s">
        <v>74</v>
      </c>
      <c r="BQ362" t="s">
        <v>74</v>
      </c>
      <c r="BR362" t="s">
        <v>101</v>
      </c>
      <c r="BS362" t="s">
        <v>7233</v>
      </c>
      <c r="BT362" t="str">
        <f>HYPERLINK("https%3A%2F%2Fwww.webofscience.com%2Fwos%2Fwoscc%2Ffull-record%2FWOS:001034722300001","View Full Record in Web of Science")</f>
        <v>View Full Record in Web of Science</v>
      </c>
    </row>
    <row r="363" spans="1:72" x14ac:dyDescent="0.2">
      <c r="A363" t="s">
        <v>103</v>
      </c>
      <c r="B363" t="s">
        <v>7234</v>
      </c>
      <c r="C363" t="s">
        <v>74</v>
      </c>
      <c r="D363" t="s">
        <v>74</v>
      </c>
      <c r="E363" t="s">
        <v>74</v>
      </c>
      <c r="F363" t="s">
        <v>7235</v>
      </c>
      <c r="G363" t="s">
        <v>74</v>
      </c>
      <c r="H363" t="s">
        <v>74</v>
      </c>
      <c r="I363" t="s">
        <v>7236</v>
      </c>
      <c r="J363" t="s">
        <v>7237</v>
      </c>
      <c r="K363" t="s">
        <v>74</v>
      </c>
      <c r="L363" t="s">
        <v>74</v>
      </c>
      <c r="M363" t="s">
        <v>79</v>
      </c>
      <c r="N363" t="s">
        <v>138</v>
      </c>
      <c r="O363" t="s">
        <v>74</v>
      </c>
      <c r="P363" t="s">
        <v>74</v>
      </c>
      <c r="Q363" t="s">
        <v>74</v>
      </c>
      <c r="R363" t="s">
        <v>74</v>
      </c>
      <c r="S363" t="s">
        <v>74</v>
      </c>
      <c r="T363" t="s">
        <v>7238</v>
      </c>
      <c r="U363" t="s">
        <v>74</v>
      </c>
      <c r="V363" t="s">
        <v>74</v>
      </c>
      <c r="W363" t="s">
        <v>7239</v>
      </c>
      <c r="X363" t="s">
        <v>7240</v>
      </c>
      <c r="Y363" t="s">
        <v>7241</v>
      </c>
      <c r="Z363" t="s">
        <v>7242</v>
      </c>
      <c r="AA363" t="s">
        <v>74</v>
      </c>
      <c r="AB363" t="s">
        <v>7243</v>
      </c>
      <c r="AC363" t="s">
        <v>7244</v>
      </c>
      <c r="AD363" t="s">
        <v>7245</v>
      </c>
      <c r="AE363" t="s">
        <v>7246</v>
      </c>
      <c r="AF363" t="s">
        <v>74</v>
      </c>
      <c r="AG363">
        <v>10</v>
      </c>
      <c r="AH363">
        <v>0</v>
      </c>
      <c r="AI363">
        <v>0</v>
      </c>
      <c r="AJ363">
        <v>20</v>
      </c>
      <c r="AK363">
        <v>20</v>
      </c>
      <c r="AL363" t="s">
        <v>3165</v>
      </c>
      <c r="AM363" t="s">
        <v>3166</v>
      </c>
      <c r="AN363" t="s">
        <v>3167</v>
      </c>
      <c r="AO363" t="s">
        <v>7247</v>
      </c>
      <c r="AP363" t="s">
        <v>7248</v>
      </c>
      <c r="AQ363" t="s">
        <v>74</v>
      </c>
      <c r="AR363" t="s">
        <v>7249</v>
      </c>
      <c r="AS363" t="s">
        <v>7250</v>
      </c>
      <c r="AT363" t="s">
        <v>7251</v>
      </c>
      <c r="AU363">
        <v>2023</v>
      </c>
      <c r="AV363" t="s">
        <v>74</v>
      </c>
      <c r="AW363" t="s">
        <v>74</v>
      </c>
      <c r="AX363" t="s">
        <v>74</v>
      </c>
      <c r="AY363" t="s">
        <v>74</v>
      </c>
      <c r="AZ363" t="s">
        <v>74</v>
      </c>
      <c r="BA363" t="s">
        <v>74</v>
      </c>
      <c r="BB363" t="s">
        <v>74</v>
      </c>
      <c r="BC363" t="s">
        <v>74</v>
      </c>
      <c r="BD363" t="s">
        <v>74</v>
      </c>
      <c r="BE363" t="s">
        <v>7252</v>
      </c>
      <c r="BF363" t="str">
        <f>HYPERLINK("http://dx.doi.org/10.1002/ohn.601","http://dx.doi.org/10.1002/ohn.601")</f>
        <v>http://dx.doi.org/10.1002/ohn.601</v>
      </c>
      <c r="BG363" t="s">
        <v>74</v>
      </c>
      <c r="BH363" t="s">
        <v>128</v>
      </c>
      <c r="BI363">
        <v>4</v>
      </c>
      <c r="BJ363" t="s">
        <v>7253</v>
      </c>
      <c r="BK363" t="s">
        <v>130</v>
      </c>
      <c r="BL363" t="s">
        <v>7253</v>
      </c>
      <c r="BM363" t="s">
        <v>7254</v>
      </c>
      <c r="BN363">
        <v>38044483</v>
      </c>
      <c r="BO363" t="s">
        <v>74</v>
      </c>
      <c r="BP363" t="s">
        <v>74</v>
      </c>
      <c r="BQ363" t="s">
        <v>74</v>
      </c>
      <c r="BR363" t="s">
        <v>101</v>
      </c>
      <c r="BS363" t="s">
        <v>7255</v>
      </c>
      <c r="BT363" t="str">
        <f>HYPERLINK("https%3A%2F%2Fwww.webofscience.com%2Fwos%2Fwoscc%2Ffull-record%2FWOS:001113018400001","View Full Record in Web of Science")</f>
        <v>View Full Record in Web of Science</v>
      </c>
    </row>
    <row r="364" spans="1:72" x14ac:dyDescent="0.2">
      <c r="A364" t="s">
        <v>103</v>
      </c>
      <c r="B364" t="s">
        <v>7256</v>
      </c>
      <c r="C364" t="s">
        <v>74</v>
      </c>
      <c r="D364" t="s">
        <v>74</v>
      </c>
      <c r="E364" t="s">
        <v>74</v>
      </c>
      <c r="F364" t="s">
        <v>7257</v>
      </c>
      <c r="G364" t="s">
        <v>74</v>
      </c>
      <c r="H364" t="s">
        <v>74</v>
      </c>
      <c r="I364" t="s">
        <v>7258</v>
      </c>
      <c r="J364" t="s">
        <v>6548</v>
      </c>
      <c r="K364" t="s">
        <v>74</v>
      </c>
      <c r="L364" t="s">
        <v>74</v>
      </c>
      <c r="M364" t="s">
        <v>79</v>
      </c>
      <c r="N364" t="s">
        <v>108</v>
      </c>
      <c r="O364" t="s">
        <v>74</v>
      </c>
      <c r="P364" t="s">
        <v>74</v>
      </c>
      <c r="Q364" t="s">
        <v>74</v>
      </c>
      <c r="R364" t="s">
        <v>74</v>
      </c>
      <c r="S364" t="s">
        <v>74</v>
      </c>
      <c r="T364" t="s">
        <v>7259</v>
      </c>
      <c r="U364" t="s">
        <v>7260</v>
      </c>
      <c r="V364" t="s">
        <v>7261</v>
      </c>
      <c r="W364" t="s">
        <v>7262</v>
      </c>
      <c r="X364" t="s">
        <v>7263</v>
      </c>
      <c r="Y364" t="s">
        <v>7264</v>
      </c>
      <c r="Z364" t="s">
        <v>7265</v>
      </c>
      <c r="AA364" t="s">
        <v>7266</v>
      </c>
      <c r="AB364" t="s">
        <v>7267</v>
      </c>
      <c r="AC364" t="s">
        <v>7268</v>
      </c>
      <c r="AD364" t="s">
        <v>7269</v>
      </c>
      <c r="AE364" t="s">
        <v>7270</v>
      </c>
      <c r="AF364" t="s">
        <v>74</v>
      </c>
      <c r="AG364">
        <v>75</v>
      </c>
      <c r="AH364">
        <v>2</v>
      </c>
      <c r="AI364">
        <v>2</v>
      </c>
      <c r="AJ364">
        <v>14</v>
      </c>
      <c r="AK364">
        <v>14</v>
      </c>
      <c r="AL364" t="s">
        <v>6560</v>
      </c>
      <c r="AM364" t="s">
        <v>548</v>
      </c>
      <c r="AN364" t="s">
        <v>6561</v>
      </c>
      <c r="AO364" t="s">
        <v>6562</v>
      </c>
      <c r="AP364" t="s">
        <v>6563</v>
      </c>
      <c r="AQ364" t="s">
        <v>74</v>
      </c>
      <c r="AR364" t="s">
        <v>6564</v>
      </c>
      <c r="AS364" t="s">
        <v>6565</v>
      </c>
      <c r="AT364" t="s">
        <v>7271</v>
      </c>
      <c r="AU364">
        <v>2023</v>
      </c>
      <c r="AV364">
        <v>120</v>
      </c>
      <c r="AW364">
        <v>41</v>
      </c>
      <c r="AX364" t="s">
        <v>74</v>
      </c>
      <c r="AY364" t="s">
        <v>74</v>
      </c>
      <c r="AZ364" t="s">
        <v>74</v>
      </c>
      <c r="BA364" t="s">
        <v>74</v>
      </c>
      <c r="BB364" t="s">
        <v>74</v>
      </c>
      <c r="BC364" t="s">
        <v>74</v>
      </c>
      <c r="BD364" t="s">
        <v>7272</v>
      </c>
      <c r="BE364" t="s">
        <v>7273</v>
      </c>
      <c r="BF364" t="str">
        <f>HYPERLINK("http://dx.doi.org/10.1073/pnas.2311627120","http://dx.doi.org/10.1073/pnas.2311627120")</f>
        <v>http://dx.doi.org/10.1073/pnas.2311627120</v>
      </c>
      <c r="BG364" t="s">
        <v>74</v>
      </c>
      <c r="BH364" t="s">
        <v>74</v>
      </c>
      <c r="BI364">
        <v>8</v>
      </c>
      <c r="BJ364" t="s">
        <v>5686</v>
      </c>
      <c r="BK364" t="s">
        <v>130</v>
      </c>
      <c r="BL364" t="s">
        <v>5687</v>
      </c>
      <c r="BM364" t="s">
        <v>7274</v>
      </c>
      <c r="BN364">
        <v>37788311</v>
      </c>
      <c r="BO364" t="s">
        <v>4863</v>
      </c>
      <c r="BP364" t="s">
        <v>74</v>
      </c>
      <c r="BQ364" t="s">
        <v>74</v>
      </c>
      <c r="BR364" t="s">
        <v>101</v>
      </c>
      <c r="BS364" t="s">
        <v>7275</v>
      </c>
      <c r="BT364" t="str">
        <f>HYPERLINK("https%3A%2F%2Fwww.webofscience.com%2Fwos%2Fwoscc%2Ffull-record%2FWOS:001088928400004","View Full Record in Web of Science")</f>
        <v>View Full Record in Web of Science</v>
      </c>
    </row>
    <row r="365" spans="1:72" x14ac:dyDescent="0.2">
      <c r="A365" t="s">
        <v>103</v>
      </c>
      <c r="B365" t="s">
        <v>7129</v>
      </c>
      <c r="C365" t="s">
        <v>74</v>
      </c>
      <c r="D365" t="s">
        <v>74</v>
      </c>
      <c r="E365" t="s">
        <v>74</v>
      </c>
      <c r="F365" t="s">
        <v>7130</v>
      </c>
      <c r="G365" t="s">
        <v>74</v>
      </c>
      <c r="H365" t="s">
        <v>74</v>
      </c>
      <c r="I365" t="s">
        <v>7276</v>
      </c>
      <c r="J365" t="s">
        <v>7132</v>
      </c>
      <c r="K365" t="s">
        <v>74</v>
      </c>
      <c r="L365" t="s">
        <v>74</v>
      </c>
      <c r="M365" t="s">
        <v>79</v>
      </c>
      <c r="N365" t="s">
        <v>108</v>
      </c>
      <c r="O365" t="s">
        <v>74</v>
      </c>
      <c r="P365" t="s">
        <v>74</v>
      </c>
      <c r="Q365" t="s">
        <v>74</v>
      </c>
      <c r="R365" t="s">
        <v>74</v>
      </c>
      <c r="S365" t="s">
        <v>74</v>
      </c>
      <c r="T365" t="s">
        <v>7277</v>
      </c>
      <c r="U365" t="s">
        <v>7134</v>
      </c>
      <c r="V365" t="s">
        <v>7135</v>
      </c>
      <c r="W365" t="s">
        <v>7136</v>
      </c>
      <c r="X365" t="s">
        <v>7137</v>
      </c>
      <c r="Y365" t="s">
        <v>7138</v>
      </c>
      <c r="Z365" t="s">
        <v>7139</v>
      </c>
      <c r="AA365" t="s">
        <v>74</v>
      </c>
      <c r="AB365" t="s">
        <v>74</v>
      </c>
      <c r="AC365" t="s">
        <v>7278</v>
      </c>
      <c r="AD365" t="s">
        <v>7279</v>
      </c>
      <c r="AE365" t="s">
        <v>7280</v>
      </c>
      <c r="AF365" t="s">
        <v>74</v>
      </c>
      <c r="AG365">
        <v>29</v>
      </c>
      <c r="AH365">
        <v>0</v>
      </c>
      <c r="AI365">
        <v>0</v>
      </c>
      <c r="AJ365">
        <v>9</v>
      </c>
      <c r="AK365">
        <v>9</v>
      </c>
      <c r="AL365" t="s">
        <v>7143</v>
      </c>
      <c r="AM365" t="s">
        <v>7144</v>
      </c>
      <c r="AN365" t="s">
        <v>7145</v>
      </c>
      <c r="AO365" t="s">
        <v>7146</v>
      </c>
      <c r="AP365" t="s">
        <v>74</v>
      </c>
      <c r="AQ365" t="s">
        <v>74</v>
      </c>
      <c r="AR365" t="s">
        <v>7147</v>
      </c>
      <c r="AS365" t="s">
        <v>7148</v>
      </c>
      <c r="AT365" t="s">
        <v>791</v>
      </c>
      <c r="AU365">
        <v>2023</v>
      </c>
      <c r="AV365">
        <v>20</v>
      </c>
      <c r="AW365">
        <v>8</v>
      </c>
      <c r="AX365" t="s">
        <v>74</v>
      </c>
      <c r="AY365" t="s">
        <v>74</v>
      </c>
      <c r="AZ365" t="s">
        <v>74</v>
      </c>
      <c r="BA365" t="s">
        <v>74</v>
      </c>
      <c r="BB365">
        <v>32</v>
      </c>
      <c r="BC365">
        <v>43</v>
      </c>
      <c r="BD365" t="s">
        <v>74</v>
      </c>
      <c r="BE365" t="s">
        <v>7149</v>
      </c>
      <c r="BF365" t="str">
        <f>HYPERLINK("http://dx.doi.org/10.23919/JCC.fa.2023-0206.202308","http://dx.doi.org/10.23919/JCC.fa.2023-0206.202308")</f>
        <v>http://dx.doi.org/10.23919/JCC.fa.2023-0206.202308</v>
      </c>
      <c r="BG365" t="s">
        <v>74</v>
      </c>
      <c r="BH365" t="s">
        <v>74</v>
      </c>
      <c r="BI365">
        <v>12</v>
      </c>
      <c r="BJ365" t="s">
        <v>256</v>
      </c>
      <c r="BK365" t="s">
        <v>130</v>
      </c>
      <c r="BL365" t="s">
        <v>256</v>
      </c>
      <c r="BM365" t="s">
        <v>7281</v>
      </c>
      <c r="BN365" t="s">
        <v>74</v>
      </c>
      <c r="BO365" t="s">
        <v>74</v>
      </c>
      <c r="BP365" t="s">
        <v>74</v>
      </c>
      <c r="BQ365" t="s">
        <v>74</v>
      </c>
      <c r="BR365" t="s">
        <v>101</v>
      </c>
      <c r="BS365" t="s">
        <v>7282</v>
      </c>
      <c r="BT365" t="str">
        <f>HYPERLINK("https%3A%2F%2Fwww.webofscience.com%2Fwos%2Fwoscc%2Ffull-record%2FWOS:001058419600003","View Full Record in Web of Science")</f>
        <v>View Full Record in Web of Science</v>
      </c>
    </row>
    <row r="366" spans="1:72" x14ac:dyDescent="0.2">
      <c r="A366" t="s">
        <v>72</v>
      </c>
      <c r="B366" t="s">
        <v>7283</v>
      </c>
      <c r="C366" t="s">
        <v>74</v>
      </c>
      <c r="D366" t="s">
        <v>7284</v>
      </c>
      <c r="E366" t="s">
        <v>74</v>
      </c>
      <c r="F366" t="s">
        <v>7285</v>
      </c>
      <c r="G366" t="s">
        <v>74</v>
      </c>
      <c r="H366" t="s">
        <v>74</v>
      </c>
      <c r="I366" t="s">
        <v>7286</v>
      </c>
      <c r="J366" t="s">
        <v>7287</v>
      </c>
      <c r="K366" t="s">
        <v>74</v>
      </c>
      <c r="L366" t="s">
        <v>74</v>
      </c>
      <c r="M366" t="s">
        <v>79</v>
      </c>
      <c r="N366" t="s">
        <v>80</v>
      </c>
      <c r="O366" t="s">
        <v>7288</v>
      </c>
      <c r="P366">
        <v>2022</v>
      </c>
      <c r="Q366" t="s">
        <v>7289</v>
      </c>
      <c r="R366" t="s">
        <v>74</v>
      </c>
      <c r="S366" t="s">
        <v>7290</v>
      </c>
      <c r="T366" t="s">
        <v>74</v>
      </c>
      <c r="U366" t="s">
        <v>74</v>
      </c>
      <c r="V366" t="s">
        <v>7291</v>
      </c>
      <c r="W366" t="s">
        <v>7292</v>
      </c>
      <c r="X366" t="s">
        <v>7293</v>
      </c>
      <c r="Y366" t="s">
        <v>7294</v>
      </c>
      <c r="Z366" t="s">
        <v>7295</v>
      </c>
      <c r="AA366" t="s">
        <v>7296</v>
      </c>
      <c r="AB366" t="s">
        <v>74</v>
      </c>
      <c r="AC366" t="s">
        <v>74</v>
      </c>
      <c r="AD366" t="s">
        <v>74</v>
      </c>
      <c r="AE366" t="s">
        <v>74</v>
      </c>
      <c r="AF366" t="s">
        <v>74</v>
      </c>
      <c r="AG366">
        <v>14</v>
      </c>
      <c r="AH366">
        <v>1</v>
      </c>
      <c r="AI366">
        <v>1</v>
      </c>
      <c r="AJ366">
        <v>5</v>
      </c>
      <c r="AK366">
        <v>11</v>
      </c>
      <c r="AL366" t="s">
        <v>325</v>
      </c>
      <c r="AM366" t="s">
        <v>245</v>
      </c>
      <c r="AN366" t="s">
        <v>246</v>
      </c>
      <c r="AO366" t="s">
        <v>74</v>
      </c>
      <c r="AP366" t="s">
        <v>74</v>
      </c>
      <c r="AQ366" t="s">
        <v>7297</v>
      </c>
      <c r="AR366" t="s">
        <v>74</v>
      </c>
      <c r="AS366" t="s">
        <v>74</v>
      </c>
      <c r="AT366" t="s">
        <v>74</v>
      </c>
      <c r="AU366">
        <v>2023</v>
      </c>
      <c r="AV366" t="s">
        <v>74</v>
      </c>
      <c r="AW366" t="s">
        <v>74</v>
      </c>
      <c r="AX366" t="s">
        <v>74</v>
      </c>
      <c r="AY366" t="s">
        <v>74</v>
      </c>
      <c r="AZ366" t="s">
        <v>74</v>
      </c>
      <c r="BA366" t="s">
        <v>74</v>
      </c>
      <c r="BB366">
        <v>39</v>
      </c>
      <c r="BC366">
        <v>50</v>
      </c>
      <c r="BD366" t="s">
        <v>74</v>
      </c>
      <c r="BE366" t="s">
        <v>7298</v>
      </c>
      <c r="BF366" t="str">
        <f>HYPERLINK("http://dx.doi.org/10.1007/978-3-031-20418-0_3","http://dx.doi.org/10.1007/978-3-031-20418-0_3")</f>
        <v>http://dx.doi.org/10.1007/978-3-031-20418-0_3</v>
      </c>
      <c r="BG366" t="s">
        <v>74</v>
      </c>
      <c r="BH366" t="s">
        <v>74</v>
      </c>
      <c r="BI366">
        <v>12</v>
      </c>
      <c r="BJ366" t="s">
        <v>7299</v>
      </c>
      <c r="BK366" t="s">
        <v>98</v>
      </c>
      <c r="BL366" t="s">
        <v>7300</v>
      </c>
      <c r="BM366" t="s">
        <v>7301</v>
      </c>
      <c r="BN366" t="s">
        <v>74</v>
      </c>
      <c r="BO366" t="s">
        <v>646</v>
      </c>
      <c r="BP366" t="s">
        <v>74</v>
      </c>
      <c r="BQ366" t="s">
        <v>74</v>
      </c>
      <c r="BR366" t="s">
        <v>101</v>
      </c>
      <c r="BS366" t="s">
        <v>7302</v>
      </c>
      <c r="BT366" t="str">
        <f>HYPERLINK("https%3A%2F%2Fwww.webofscience.com%2Fwos%2Fwoscc%2Ffull-record%2FWOS:000963430900003","View Full Record in Web of Science")</f>
        <v>View Full Record in Web of Science</v>
      </c>
    </row>
    <row r="367" spans="1:72" x14ac:dyDescent="0.2">
      <c r="A367" t="s">
        <v>72</v>
      </c>
      <c r="B367" t="s">
        <v>7303</v>
      </c>
      <c r="C367" t="s">
        <v>74</v>
      </c>
      <c r="D367" t="s">
        <v>7304</v>
      </c>
      <c r="E367" t="s">
        <v>74</v>
      </c>
      <c r="F367" t="s">
        <v>7305</v>
      </c>
      <c r="G367" t="s">
        <v>74</v>
      </c>
      <c r="H367" t="s">
        <v>74</v>
      </c>
      <c r="I367" t="s">
        <v>7306</v>
      </c>
      <c r="J367" t="s">
        <v>7307</v>
      </c>
      <c r="K367" t="s">
        <v>7308</v>
      </c>
      <c r="L367" t="s">
        <v>74</v>
      </c>
      <c r="M367" t="s">
        <v>79</v>
      </c>
      <c r="N367" t="s">
        <v>80</v>
      </c>
      <c r="O367" t="s">
        <v>7309</v>
      </c>
      <c r="P367" t="s">
        <v>7310</v>
      </c>
      <c r="Q367" t="s">
        <v>7311</v>
      </c>
      <c r="R367" t="s">
        <v>7312</v>
      </c>
      <c r="S367" t="s">
        <v>74</v>
      </c>
      <c r="T367" t="s">
        <v>7313</v>
      </c>
      <c r="U367" t="s">
        <v>74</v>
      </c>
      <c r="V367" t="s">
        <v>7314</v>
      </c>
      <c r="W367" t="s">
        <v>7315</v>
      </c>
      <c r="X367" t="s">
        <v>7316</v>
      </c>
      <c r="Y367" t="s">
        <v>7317</v>
      </c>
      <c r="Z367" t="s">
        <v>7318</v>
      </c>
      <c r="AA367" t="s">
        <v>74</v>
      </c>
      <c r="AB367" t="s">
        <v>7319</v>
      </c>
      <c r="AC367" t="s">
        <v>74</v>
      </c>
      <c r="AD367" t="s">
        <v>74</v>
      </c>
      <c r="AE367" t="s">
        <v>74</v>
      </c>
      <c r="AF367" t="s">
        <v>74</v>
      </c>
      <c r="AG367">
        <v>21</v>
      </c>
      <c r="AH367">
        <v>2</v>
      </c>
      <c r="AI367">
        <v>2</v>
      </c>
      <c r="AJ367">
        <v>67</v>
      </c>
      <c r="AK367">
        <v>67</v>
      </c>
      <c r="AL367" t="s">
        <v>638</v>
      </c>
      <c r="AM367" t="s">
        <v>639</v>
      </c>
      <c r="AN367" t="s">
        <v>640</v>
      </c>
      <c r="AO367" t="s">
        <v>7320</v>
      </c>
      <c r="AP367" t="s">
        <v>74</v>
      </c>
      <c r="AQ367" t="s">
        <v>7321</v>
      </c>
      <c r="AR367" t="s">
        <v>7322</v>
      </c>
      <c r="AS367" t="s">
        <v>74</v>
      </c>
      <c r="AT367" t="s">
        <v>74</v>
      </c>
      <c r="AU367">
        <v>2023</v>
      </c>
      <c r="AV367" t="s">
        <v>74</v>
      </c>
      <c r="AW367" t="s">
        <v>74</v>
      </c>
      <c r="AX367" t="s">
        <v>74</v>
      </c>
      <c r="AY367" t="s">
        <v>74</v>
      </c>
      <c r="AZ367" t="s">
        <v>74</v>
      </c>
      <c r="BA367" t="s">
        <v>74</v>
      </c>
      <c r="BB367">
        <v>226</v>
      </c>
      <c r="BC367">
        <v>230</v>
      </c>
      <c r="BD367" t="s">
        <v>74</v>
      </c>
      <c r="BE367" t="s">
        <v>7323</v>
      </c>
      <c r="BF367" t="str">
        <f>HYPERLINK("http://dx.doi.org/10.1109/ICALT58122.2023.00072","http://dx.doi.org/10.1109/ICALT58122.2023.00072")</f>
        <v>http://dx.doi.org/10.1109/ICALT58122.2023.00072</v>
      </c>
      <c r="BG367" t="s">
        <v>74</v>
      </c>
      <c r="BH367" t="s">
        <v>74</v>
      </c>
      <c r="BI367">
        <v>5</v>
      </c>
      <c r="BJ367" t="s">
        <v>2064</v>
      </c>
      <c r="BK367" t="s">
        <v>180</v>
      </c>
      <c r="BL367" t="s">
        <v>1187</v>
      </c>
      <c r="BM367" t="s">
        <v>7324</v>
      </c>
      <c r="BN367" t="s">
        <v>74</v>
      </c>
      <c r="BO367" t="s">
        <v>74</v>
      </c>
      <c r="BP367" t="s">
        <v>74</v>
      </c>
      <c r="BQ367" t="s">
        <v>74</v>
      </c>
      <c r="BR367" t="s">
        <v>101</v>
      </c>
      <c r="BS367" t="s">
        <v>7325</v>
      </c>
      <c r="BT367" t="str">
        <f>HYPERLINK("https%3A%2F%2Fwww.webofscience.com%2Fwos%2Fwoscc%2Ffull-record%2FWOS:001094548800066","View Full Record in Web of Science")</f>
        <v>View Full Record in Web of Science</v>
      </c>
    </row>
    <row r="368" spans="1:72" x14ac:dyDescent="0.2">
      <c r="A368" t="s">
        <v>103</v>
      </c>
      <c r="B368" t="s">
        <v>7326</v>
      </c>
      <c r="C368" t="s">
        <v>74</v>
      </c>
      <c r="D368" t="s">
        <v>74</v>
      </c>
      <c r="E368" t="s">
        <v>74</v>
      </c>
      <c r="F368" t="s">
        <v>7327</v>
      </c>
      <c r="G368" t="s">
        <v>74</v>
      </c>
      <c r="H368" t="s">
        <v>74</v>
      </c>
      <c r="I368" t="s">
        <v>7328</v>
      </c>
      <c r="J368" t="s">
        <v>7329</v>
      </c>
      <c r="K368" t="s">
        <v>74</v>
      </c>
      <c r="L368" t="s">
        <v>74</v>
      </c>
      <c r="M368" t="s">
        <v>79</v>
      </c>
      <c r="N368" t="s">
        <v>108</v>
      </c>
      <c r="O368" t="s">
        <v>74</v>
      </c>
      <c r="P368" t="s">
        <v>74</v>
      </c>
      <c r="Q368" t="s">
        <v>74</v>
      </c>
      <c r="R368" t="s">
        <v>74</v>
      </c>
      <c r="S368" t="s">
        <v>74</v>
      </c>
      <c r="T368" t="s">
        <v>7330</v>
      </c>
      <c r="U368" t="s">
        <v>7331</v>
      </c>
      <c r="V368" t="s">
        <v>7332</v>
      </c>
      <c r="W368" t="s">
        <v>7333</v>
      </c>
      <c r="X368" t="s">
        <v>6858</v>
      </c>
      <c r="Y368" t="s">
        <v>7334</v>
      </c>
      <c r="Z368" t="s">
        <v>7335</v>
      </c>
      <c r="AA368" t="s">
        <v>7336</v>
      </c>
      <c r="AB368" t="s">
        <v>7337</v>
      </c>
      <c r="AC368" t="s">
        <v>7338</v>
      </c>
      <c r="AD368" t="s">
        <v>7339</v>
      </c>
      <c r="AE368" t="s">
        <v>7340</v>
      </c>
      <c r="AF368" t="s">
        <v>74</v>
      </c>
      <c r="AG368">
        <v>58</v>
      </c>
      <c r="AH368">
        <v>6</v>
      </c>
      <c r="AI368">
        <v>6</v>
      </c>
      <c r="AJ368">
        <v>18</v>
      </c>
      <c r="AK368">
        <v>46</v>
      </c>
      <c r="AL368" t="s">
        <v>3165</v>
      </c>
      <c r="AM368" t="s">
        <v>3166</v>
      </c>
      <c r="AN368" t="s">
        <v>3167</v>
      </c>
      <c r="AO368" t="s">
        <v>74</v>
      </c>
      <c r="AP368" t="s">
        <v>7341</v>
      </c>
      <c r="AQ368" t="s">
        <v>74</v>
      </c>
      <c r="AR368" t="s">
        <v>7342</v>
      </c>
      <c r="AS368" t="s">
        <v>7343</v>
      </c>
      <c r="AT368" t="s">
        <v>126</v>
      </c>
      <c r="AU368">
        <v>2023</v>
      </c>
      <c r="AV368">
        <v>10</v>
      </c>
      <c r="AW368">
        <v>8</v>
      </c>
      <c r="AX368" t="s">
        <v>74</v>
      </c>
      <c r="AY368" t="s">
        <v>74</v>
      </c>
      <c r="AZ368" t="s">
        <v>74</v>
      </c>
      <c r="BA368" t="s">
        <v>74</v>
      </c>
      <c r="BB368" t="s">
        <v>74</v>
      </c>
      <c r="BC368" t="s">
        <v>74</v>
      </c>
      <c r="BD368" t="s">
        <v>74</v>
      </c>
      <c r="BE368" t="s">
        <v>7344</v>
      </c>
      <c r="BF368" t="str">
        <f>HYPERLINK("http://dx.doi.org/10.1002/advs.202206674","http://dx.doi.org/10.1002/advs.202206674")</f>
        <v>http://dx.doi.org/10.1002/advs.202206674</v>
      </c>
      <c r="BG368" t="s">
        <v>74</v>
      </c>
      <c r="BH368" t="s">
        <v>7345</v>
      </c>
      <c r="BI368">
        <v>10</v>
      </c>
      <c r="BJ368" t="s">
        <v>7346</v>
      </c>
      <c r="BK368" t="s">
        <v>130</v>
      </c>
      <c r="BL368" t="s">
        <v>7347</v>
      </c>
      <c r="BM368" t="s">
        <v>7348</v>
      </c>
      <c r="BN368">
        <v>36596675</v>
      </c>
      <c r="BO368" t="s">
        <v>1728</v>
      </c>
      <c r="BP368" t="s">
        <v>74</v>
      </c>
      <c r="BQ368" t="s">
        <v>74</v>
      </c>
      <c r="BR368" t="s">
        <v>101</v>
      </c>
      <c r="BS368" t="s">
        <v>7349</v>
      </c>
      <c r="BT368" t="str">
        <f>HYPERLINK("https%3A%2F%2Fwww.webofscience.com%2Fwos%2Fwoscc%2Ffull-record%2FWOS:000906516300001","View Full Record in Web of Science")</f>
        <v>View Full Record in Web of Science</v>
      </c>
    </row>
    <row r="369" spans="1:72" x14ac:dyDescent="0.2">
      <c r="A369" t="s">
        <v>72</v>
      </c>
      <c r="B369" t="s">
        <v>7350</v>
      </c>
      <c r="C369" t="s">
        <v>74</v>
      </c>
      <c r="D369" t="s">
        <v>7351</v>
      </c>
      <c r="E369" t="s">
        <v>74</v>
      </c>
      <c r="F369" t="s">
        <v>7352</v>
      </c>
      <c r="G369" t="s">
        <v>74</v>
      </c>
      <c r="H369" t="s">
        <v>74</v>
      </c>
      <c r="I369" t="s">
        <v>7353</v>
      </c>
      <c r="J369" t="s">
        <v>7354</v>
      </c>
      <c r="K369" t="s">
        <v>1034</v>
      </c>
      <c r="L369" t="s">
        <v>74</v>
      </c>
      <c r="M369" t="s">
        <v>79</v>
      </c>
      <c r="N369" t="s">
        <v>80</v>
      </c>
      <c r="O369" t="s">
        <v>7355</v>
      </c>
      <c r="P369" t="s">
        <v>7356</v>
      </c>
      <c r="Q369" t="s">
        <v>7357</v>
      </c>
      <c r="R369" t="s">
        <v>7358</v>
      </c>
      <c r="S369" t="s">
        <v>74</v>
      </c>
      <c r="T369" t="s">
        <v>7359</v>
      </c>
      <c r="U369" t="s">
        <v>7360</v>
      </c>
      <c r="V369" t="s">
        <v>7361</v>
      </c>
      <c r="W369" t="s">
        <v>7362</v>
      </c>
      <c r="X369" t="s">
        <v>7363</v>
      </c>
      <c r="Y369" t="s">
        <v>7364</v>
      </c>
      <c r="Z369" t="s">
        <v>7365</v>
      </c>
      <c r="AA369" t="s">
        <v>7366</v>
      </c>
      <c r="AB369" t="s">
        <v>7367</v>
      </c>
      <c r="AC369" t="s">
        <v>7368</v>
      </c>
      <c r="AD369" t="s">
        <v>7369</v>
      </c>
      <c r="AE369" t="s">
        <v>7370</v>
      </c>
      <c r="AF369" t="s">
        <v>74</v>
      </c>
      <c r="AG369">
        <v>21</v>
      </c>
      <c r="AH369">
        <v>0</v>
      </c>
      <c r="AI369">
        <v>0</v>
      </c>
      <c r="AJ369">
        <v>5</v>
      </c>
      <c r="AK369">
        <v>9</v>
      </c>
      <c r="AL369" t="s">
        <v>325</v>
      </c>
      <c r="AM369" t="s">
        <v>245</v>
      </c>
      <c r="AN369" t="s">
        <v>246</v>
      </c>
      <c r="AO369" t="s">
        <v>1042</v>
      </c>
      <c r="AP369" t="s">
        <v>327</v>
      </c>
      <c r="AQ369" t="s">
        <v>7371</v>
      </c>
      <c r="AR369" t="s">
        <v>1044</v>
      </c>
      <c r="AS369" t="s">
        <v>74</v>
      </c>
      <c r="AT369" t="s">
        <v>74</v>
      </c>
      <c r="AU369">
        <v>2023</v>
      </c>
      <c r="AV369">
        <v>13588</v>
      </c>
      <c r="AW369" t="s">
        <v>74</v>
      </c>
      <c r="AX369" t="s">
        <v>74</v>
      </c>
      <c r="AY369" t="s">
        <v>74</v>
      </c>
      <c r="AZ369" t="s">
        <v>74</v>
      </c>
      <c r="BA369" t="s">
        <v>74</v>
      </c>
      <c r="BB369">
        <v>51</v>
      </c>
      <c r="BC369">
        <v>60</v>
      </c>
      <c r="BD369" t="s">
        <v>74</v>
      </c>
      <c r="BE369" t="s">
        <v>7372</v>
      </c>
      <c r="BF369" t="str">
        <f>HYPERLINK("http://dx.doi.org/10.1007/978-3-031-23492-7_5","http://dx.doi.org/10.1007/978-3-031-23492-7_5")</f>
        <v>http://dx.doi.org/10.1007/978-3-031-23492-7_5</v>
      </c>
      <c r="BG369" t="s">
        <v>74</v>
      </c>
      <c r="BH369" t="s">
        <v>74</v>
      </c>
      <c r="BI369">
        <v>10</v>
      </c>
      <c r="BJ369" t="s">
        <v>304</v>
      </c>
      <c r="BK369" t="s">
        <v>98</v>
      </c>
      <c r="BL369" t="s">
        <v>99</v>
      </c>
      <c r="BM369" t="s">
        <v>7373</v>
      </c>
      <c r="BN369" t="s">
        <v>74</v>
      </c>
      <c r="BO369" t="s">
        <v>74</v>
      </c>
      <c r="BP369" t="s">
        <v>74</v>
      </c>
      <c r="BQ369" t="s">
        <v>74</v>
      </c>
      <c r="BR369" t="s">
        <v>101</v>
      </c>
      <c r="BS369" t="s">
        <v>7374</v>
      </c>
      <c r="BT369" t="str">
        <f>HYPERLINK("https%3A%2F%2Fwww.webofscience.com%2Fwos%2Fwoscc%2Ffull-record%2FWOS:000972696000005","View Full Record in Web of Science")</f>
        <v>View Full Record in Web of Science</v>
      </c>
    </row>
    <row r="370" spans="1:72" x14ac:dyDescent="0.2">
      <c r="A370" t="s">
        <v>72</v>
      </c>
      <c r="B370" t="s">
        <v>7375</v>
      </c>
      <c r="C370" t="s">
        <v>74</v>
      </c>
      <c r="D370" t="s">
        <v>74</v>
      </c>
      <c r="E370" t="s">
        <v>75</v>
      </c>
      <c r="F370" t="s">
        <v>7376</v>
      </c>
      <c r="G370" t="s">
        <v>74</v>
      </c>
      <c r="H370" t="s">
        <v>74</v>
      </c>
      <c r="I370" t="s">
        <v>7377</v>
      </c>
      <c r="J370" t="s">
        <v>2829</v>
      </c>
      <c r="K370" t="s">
        <v>74</v>
      </c>
      <c r="L370" t="s">
        <v>74</v>
      </c>
      <c r="M370" t="s">
        <v>79</v>
      </c>
      <c r="N370" t="s">
        <v>80</v>
      </c>
      <c r="O370" t="s">
        <v>2830</v>
      </c>
      <c r="P370" t="s">
        <v>1221</v>
      </c>
      <c r="Q370" t="s">
        <v>2831</v>
      </c>
      <c r="R370" t="s">
        <v>1223</v>
      </c>
      <c r="S370" t="s">
        <v>74</v>
      </c>
      <c r="T370" t="s">
        <v>7378</v>
      </c>
      <c r="U370" t="s">
        <v>74</v>
      </c>
      <c r="V370" t="s">
        <v>7379</v>
      </c>
      <c r="W370" t="s">
        <v>7380</v>
      </c>
      <c r="X370" t="s">
        <v>7381</v>
      </c>
      <c r="Y370" t="s">
        <v>7382</v>
      </c>
      <c r="Z370" t="s">
        <v>7383</v>
      </c>
      <c r="AA370" t="s">
        <v>74</v>
      </c>
      <c r="AB370" t="s">
        <v>74</v>
      </c>
      <c r="AC370" t="s">
        <v>74</v>
      </c>
      <c r="AD370" t="s">
        <v>74</v>
      </c>
      <c r="AE370" t="s">
        <v>74</v>
      </c>
      <c r="AF370" t="s">
        <v>74</v>
      </c>
      <c r="AG370">
        <v>88</v>
      </c>
      <c r="AH370">
        <v>2</v>
      </c>
      <c r="AI370">
        <v>2</v>
      </c>
      <c r="AJ370">
        <v>6</v>
      </c>
      <c r="AK370">
        <v>6</v>
      </c>
      <c r="AL370" t="s">
        <v>92</v>
      </c>
      <c r="AM370" t="s">
        <v>93</v>
      </c>
      <c r="AN370" t="s">
        <v>94</v>
      </c>
      <c r="AO370" t="s">
        <v>74</v>
      </c>
      <c r="AP370" t="s">
        <v>74</v>
      </c>
      <c r="AQ370" t="s">
        <v>2839</v>
      </c>
      <c r="AR370" t="s">
        <v>74</v>
      </c>
      <c r="AS370" t="s">
        <v>74</v>
      </c>
      <c r="AT370" t="s">
        <v>74</v>
      </c>
      <c r="AU370">
        <v>2023</v>
      </c>
      <c r="AV370" t="s">
        <v>74</v>
      </c>
      <c r="AW370" t="s">
        <v>74</v>
      </c>
      <c r="AX370" t="s">
        <v>74</v>
      </c>
      <c r="AY370" t="s">
        <v>74</v>
      </c>
      <c r="AZ370" t="s">
        <v>74</v>
      </c>
      <c r="BA370" t="s">
        <v>74</v>
      </c>
      <c r="BB370">
        <v>1955</v>
      </c>
      <c r="BC370">
        <v>1977</v>
      </c>
      <c r="BD370" t="s">
        <v>74</v>
      </c>
      <c r="BE370" t="s">
        <v>7384</v>
      </c>
      <c r="BF370" t="str">
        <f>HYPERLINK("http://dx.doi.org/10.1145/3563657.3596098","http://dx.doi.org/10.1145/3563657.3596098")</f>
        <v>http://dx.doi.org/10.1145/3563657.3596098</v>
      </c>
      <c r="BG370" t="s">
        <v>74</v>
      </c>
      <c r="BH370" t="s">
        <v>74</v>
      </c>
      <c r="BI370">
        <v>23</v>
      </c>
      <c r="BJ370" t="s">
        <v>1235</v>
      </c>
      <c r="BK370" t="s">
        <v>180</v>
      </c>
      <c r="BL370" t="s">
        <v>906</v>
      </c>
      <c r="BM370" t="s">
        <v>2841</v>
      </c>
      <c r="BN370" t="s">
        <v>74</v>
      </c>
      <c r="BO370" t="s">
        <v>646</v>
      </c>
      <c r="BP370" t="s">
        <v>74</v>
      </c>
      <c r="BQ370" t="s">
        <v>74</v>
      </c>
      <c r="BR370" t="s">
        <v>101</v>
      </c>
      <c r="BS370" t="s">
        <v>7385</v>
      </c>
      <c r="BT370" t="str">
        <f>HYPERLINK("https%3A%2F%2Fwww.webofscience.com%2Fwos%2Fwoscc%2Ffull-record%2FWOS:001090855700128","View Full Record in Web of Science")</f>
        <v>View Full Record in Web of Science</v>
      </c>
    </row>
    <row r="371" spans="1:72" x14ac:dyDescent="0.2">
      <c r="A371" t="s">
        <v>103</v>
      </c>
      <c r="B371" t="s">
        <v>7386</v>
      </c>
      <c r="C371" t="s">
        <v>74</v>
      </c>
      <c r="D371" t="s">
        <v>74</v>
      </c>
      <c r="E371" t="s">
        <v>74</v>
      </c>
      <c r="F371" t="s">
        <v>7387</v>
      </c>
      <c r="G371" t="s">
        <v>74</v>
      </c>
      <c r="H371" t="s">
        <v>74</v>
      </c>
      <c r="I371" t="s">
        <v>7388</v>
      </c>
      <c r="J371" t="s">
        <v>7389</v>
      </c>
      <c r="K371" t="s">
        <v>74</v>
      </c>
      <c r="L371" t="s">
        <v>74</v>
      </c>
      <c r="M371" t="s">
        <v>79</v>
      </c>
      <c r="N371" t="s">
        <v>108</v>
      </c>
      <c r="O371" t="s">
        <v>74</v>
      </c>
      <c r="P371" t="s">
        <v>74</v>
      </c>
      <c r="Q371" t="s">
        <v>74</v>
      </c>
      <c r="R371" t="s">
        <v>74</v>
      </c>
      <c r="S371" t="s">
        <v>74</v>
      </c>
      <c r="T371" t="s">
        <v>7390</v>
      </c>
      <c r="U371" t="s">
        <v>7391</v>
      </c>
      <c r="V371" t="s">
        <v>7392</v>
      </c>
      <c r="W371" t="s">
        <v>7393</v>
      </c>
      <c r="X371" t="s">
        <v>74</v>
      </c>
      <c r="Y371" t="s">
        <v>7394</v>
      </c>
      <c r="Z371" t="s">
        <v>7395</v>
      </c>
      <c r="AA371" t="s">
        <v>74</v>
      </c>
      <c r="AB371" t="s">
        <v>74</v>
      </c>
      <c r="AC371" t="s">
        <v>74</v>
      </c>
      <c r="AD371" t="s">
        <v>74</v>
      </c>
      <c r="AE371" t="s">
        <v>74</v>
      </c>
      <c r="AF371" t="s">
        <v>74</v>
      </c>
      <c r="AG371">
        <v>25</v>
      </c>
      <c r="AH371">
        <v>0</v>
      </c>
      <c r="AI371">
        <v>0</v>
      </c>
      <c r="AJ371">
        <v>6</v>
      </c>
      <c r="AK371">
        <v>8</v>
      </c>
      <c r="AL371" t="s">
        <v>1766</v>
      </c>
      <c r="AM371" t="s">
        <v>765</v>
      </c>
      <c r="AN371" t="s">
        <v>1767</v>
      </c>
      <c r="AO371" t="s">
        <v>7396</v>
      </c>
      <c r="AP371" t="s">
        <v>7397</v>
      </c>
      <c r="AQ371" t="s">
        <v>74</v>
      </c>
      <c r="AR371" t="s">
        <v>7398</v>
      </c>
      <c r="AS371" t="s">
        <v>7399</v>
      </c>
      <c r="AT371" t="s">
        <v>74</v>
      </c>
      <c r="AU371">
        <v>2023</v>
      </c>
      <c r="AV371">
        <v>44</v>
      </c>
      <c r="AW371">
        <v>6</v>
      </c>
      <c r="AX371" t="s">
        <v>74</v>
      </c>
      <c r="AY371" t="s">
        <v>74</v>
      </c>
      <c r="AZ371" t="s">
        <v>74</v>
      </c>
      <c r="BA371" t="s">
        <v>74</v>
      </c>
      <c r="BB371">
        <v>9027</v>
      </c>
      <c r="BC371">
        <v>9037</v>
      </c>
      <c r="BD371" t="s">
        <v>74</v>
      </c>
      <c r="BE371" t="s">
        <v>7400</v>
      </c>
      <c r="BF371" t="str">
        <f>HYPERLINK("http://dx.doi.org/10.3233/JIFS-223354","http://dx.doi.org/10.3233/JIFS-223354")</f>
        <v>http://dx.doi.org/10.3233/JIFS-223354</v>
      </c>
      <c r="BG371" t="s">
        <v>74</v>
      </c>
      <c r="BH371" t="s">
        <v>74</v>
      </c>
      <c r="BI371">
        <v>11</v>
      </c>
      <c r="BJ371" t="s">
        <v>304</v>
      </c>
      <c r="BK371" t="s">
        <v>130</v>
      </c>
      <c r="BL371" t="s">
        <v>99</v>
      </c>
      <c r="BM371" t="s">
        <v>7401</v>
      </c>
      <c r="BN371" t="s">
        <v>74</v>
      </c>
      <c r="BO371" t="s">
        <v>74</v>
      </c>
      <c r="BP371" t="s">
        <v>74</v>
      </c>
      <c r="BQ371" t="s">
        <v>74</v>
      </c>
      <c r="BR371" t="s">
        <v>101</v>
      </c>
      <c r="BS371" t="s">
        <v>7402</v>
      </c>
      <c r="BT371" t="str">
        <f>HYPERLINK("https%3A%2F%2Fwww.webofscience.com%2Fwos%2Fwoscc%2Ffull-record%2FWOS:001004176300015","View Full Record in Web of Science")</f>
        <v>View Full Record in Web of Science</v>
      </c>
    </row>
    <row r="372" spans="1:72" x14ac:dyDescent="0.2">
      <c r="A372" t="s">
        <v>103</v>
      </c>
      <c r="B372" t="s">
        <v>7403</v>
      </c>
      <c r="C372" t="s">
        <v>74</v>
      </c>
      <c r="D372" t="s">
        <v>74</v>
      </c>
      <c r="E372" t="s">
        <v>74</v>
      </c>
      <c r="F372" t="s">
        <v>7404</v>
      </c>
      <c r="G372" t="s">
        <v>74</v>
      </c>
      <c r="H372" t="s">
        <v>74</v>
      </c>
      <c r="I372" t="s">
        <v>7405</v>
      </c>
      <c r="J372" t="s">
        <v>7406</v>
      </c>
      <c r="K372" t="s">
        <v>74</v>
      </c>
      <c r="L372" t="s">
        <v>74</v>
      </c>
      <c r="M372" t="s">
        <v>79</v>
      </c>
      <c r="N372" t="s">
        <v>108</v>
      </c>
      <c r="O372" t="s">
        <v>74</v>
      </c>
      <c r="P372" t="s">
        <v>74</v>
      </c>
      <c r="Q372" t="s">
        <v>74</v>
      </c>
      <c r="R372" t="s">
        <v>74</v>
      </c>
      <c r="S372" t="s">
        <v>74</v>
      </c>
      <c r="T372" t="s">
        <v>7407</v>
      </c>
      <c r="U372" t="s">
        <v>7408</v>
      </c>
      <c r="V372" t="s">
        <v>7409</v>
      </c>
      <c r="W372" t="s">
        <v>7410</v>
      </c>
      <c r="X372" t="s">
        <v>7411</v>
      </c>
      <c r="Y372" t="s">
        <v>7412</v>
      </c>
      <c r="Z372" t="s">
        <v>7413</v>
      </c>
      <c r="AA372" t="s">
        <v>7414</v>
      </c>
      <c r="AB372" t="s">
        <v>7415</v>
      </c>
      <c r="AC372" t="s">
        <v>7416</v>
      </c>
      <c r="AD372" t="s">
        <v>7417</v>
      </c>
      <c r="AE372" t="s">
        <v>7418</v>
      </c>
      <c r="AF372" t="s">
        <v>74</v>
      </c>
      <c r="AG372">
        <v>39</v>
      </c>
      <c r="AH372">
        <v>2</v>
      </c>
      <c r="AI372">
        <v>2</v>
      </c>
      <c r="AJ372">
        <v>19</v>
      </c>
      <c r="AK372">
        <v>22</v>
      </c>
      <c r="AL372" t="s">
        <v>119</v>
      </c>
      <c r="AM372" t="s">
        <v>120</v>
      </c>
      <c r="AN372" t="s">
        <v>121</v>
      </c>
      <c r="AO372" t="s">
        <v>7419</v>
      </c>
      <c r="AP372" t="s">
        <v>7420</v>
      </c>
      <c r="AQ372" t="s">
        <v>74</v>
      </c>
      <c r="AR372" t="s">
        <v>7421</v>
      </c>
      <c r="AS372" t="s">
        <v>7422</v>
      </c>
      <c r="AT372" t="s">
        <v>276</v>
      </c>
      <c r="AU372">
        <v>2023</v>
      </c>
      <c r="AV372">
        <v>216</v>
      </c>
      <c r="AW372" t="s">
        <v>74</v>
      </c>
      <c r="AX372" t="s">
        <v>74</v>
      </c>
      <c r="AY372" t="s">
        <v>74</v>
      </c>
      <c r="AZ372" t="s">
        <v>74</v>
      </c>
      <c r="BA372" t="s">
        <v>74</v>
      </c>
      <c r="BB372" t="s">
        <v>74</v>
      </c>
      <c r="BC372" t="s">
        <v>74</v>
      </c>
      <c r="BD372">
        <v>119043</v>
      </c>
      <c r="BE372" t="s">
        <v>7423</v>
      </c>
      <c r="BF372" t="str">
        <f>HYPERLINK("http://dx.doi.org/10.1016/j.renene.2023.119043","http://dx.doi.org/10.1016/j.renene.2023.119043")</f>
        <v>http://dx.doi.org/10.1016/j.renene.2023.119043</v>
      </c>
      <c r="BG372" t="s">
        <v>74</v>
      </c>
      <c r="BH372" t="s">
        <v>229</v>
      </c>
      <c r="BI372">
        <v>13</v>
      </c>
      <c r="BJ372" t="s">
        <v>3740</v>
      </c>
      <c r="BK372" t="s">
        <v>130</v>
      </c>
      <c r="BL372" t="s">
        <v>3741</v>
      </c>
      <c r="BM372" t="s">
        <v>7424</v>
      </c>
      <c r="BN372" t="s">
        <v>74</v>
      </c>
      <c r="BO372" t="s">
        <v>7425</v>
      </c>
      <c r="BP372" t="s">
        <v>74</v>
      </c>
      <c r="BQ372" t="s">
        <v>74</v>
      </c>
      <c r="BR372" t="s">
        <v>101</v>
      </c>
      <c r="BS372" t="s">
        <v>7426</v>
      </c>
      <c r="BT372" t="str">
        <f>HYPERLINK("https%3A%2F%2Fwww.webofscience.com%2Fwos%2Fwoscc%2Ffull-record%2FWOS:001052214700001","View Full Record in Web of Science")</f>
        <v>View Full Record in Web of Science</v>
      </c>
    </row>
    <row r="373" spans="1:72" x14ac:dyDescent="0.2">
      <c r="A373" t="s">
        <v>103</v>
      </c>
      <c r="B373" t="s">
        <v>7427</v>
      </c>
      <c r="C373" t="s">
        <v>74</v>
      </c>
      <c r="D373" t="s">
        <v>74</v>
      </c>
      <c r="E373" t="s">
        <v>74</v>
      </c>
      <c r="F373" t="s">
        <v>7428</v>
      </c>
      <c r="G373" t="s">
        <v>74</v>
      </c>
      <c r="H373" t="s">
        <v>74</v>
      </c>
      <c r="I373" t="s">
        <v>7429</v>
      </c>
      <c r="J373" t="s">
        <v>4778</v>
      </c>
      <c r="K373" t="s">
        <v>74</v>
      </c>
      <c r="L373" t="s">
        <v>74</v>
      </c>
      <c r="M373" t="s">
        <v>79</v>
      </c>
      <c r="N373" t="s">
        <v>4779</v>
      </c>
      <c r="O373" t="s">
        <v>4780</v>
      </c>
      <c r="P373" t="s">
        <v>914</v>
      </c>
      <c r="Q373" t="s">
        <v>4781</v>
      </c>
      <c r="R373" t="s">
        <v>4782</v>
      </c>
      <c r="S373" t="s">
        <v>74</v>
      </c>
      <c r="T373" t="s">
        <v>7430</v>
      </c>
      <c r="U373" t="s">
        <v>74</v>
      </c>
      <c r="V373" t="s">
        <v>7431</v>
      </c>
      <c r="W373" t="s">
        <v>7432</v>
      </c>
      <c r="X373" t="s">
        <v>7433</v>
      </c>
      <c r="Y373" t="s">
        <v>7434</v>
      </c>
      <c r="Z373" t="s">
        <v>7435</v>
      </c>
      <c r="AA373" t="s">
        <v>74</v>
      </c>
      <c r="AB373" t="s">
        <v>7436</v>
      </c>
      <c r="AC373" t="s">
        <v>7437</v>
      </c>
      <c r="AD373" t="s">
        <v>7438</v>
      </c>
      <c r="AE373" t="s">
        <v>7439</v>
      </c>
      <c r="AF373" t="s">
        <v>74</v>
      </c>
      <c r="AG373">
        <v>84</v>
      </c>
      <c r="AH373">
        <v>2</v>
      </c>
      <c r="AI373">
        <v>2</v>
      </c>
      <c r="AJ373">
        <v>10</v>
      </c>
      <c r="AK373">
        <v>10</v>
      </c>
      <c r="AL373" t="s">
        <v>92</v>
      </c>
      <c r="AM373" t="s">
        <v>93</v>
      </c>
      <c r="AN373" t="s">
        <v>3186</v>
      </c>
      <c r="AO373" t="s">
        <v>4794</v>
      </c>
      <c r="AP373" t="s">
        <v>4795</v>
      </c>
      <c r="AQ373" t="s">
        <v>74</v>
      </c>
      <c r="AR373" t="s">
        <v>4796</v>
      </c>
      <c r="AS373" t="s">
        <v>4797</v>
      </c>
      <c r="AT373" t="s">
        <v>791</v>
      </c>
      <c r="AU373">
        <v>2023</v>
      </c>
      <c r="AV373">
        <v>42</v>
      </c>
      <c r="AW373">
        <v>4</v>
      </c>
      <c r="AX373" t="s">
        <v>74</v>
      </c>
      <c r="AY373" t="s">
        <v>74</v>
      </c>
      <c r="AZ373" t="s">
        <v>74</v>
      </c>
      <c r="BA373" t="s">
        <v>74</v>
      </c>
      <c r="BB373" t="s">
        <v>74</v>
      </c>
      <c r="BC373" t="s">
        <v>74</v>
      </c>
      <c r="BD373">
        <v>92</v>
      </c>
      <c r="BE373" t="s">
        <v>7440</v>
      </c>
      <c r="BF373" t="str">
        <f>HYPERLINK("http://dx.doi.org/10.1145/3592442","http://dx.doi.org/10.1145/3592442")</f>
        <v>http://dx.doi.org/10.1145/3592442</v>
      </c>
      <c r="BG373" t="s">
        <v>74</v>
      </c>
      <c r="BH373" t="s">
        <v>74</v>
      </c>
      <c r="BI373">
        <v>16</v>
      </c>
      <c r="BJ373" t="s">
        <v>1563</v>
      </c>
      <c r="BK373" t="s">
        <v>4799</v>
      </c>
      <c r="BL373" t="s">
        <v>99</v>
      </c>
      <c r="BM373" t="s">
        <v>4800</v>
      </c>
      <c r="BN373" t="s">
        <v>74</v>
      </c>
      <c r="BO373" t="s">
        <v>2568</v>
      </c>
      <c r="BP373" t="s">
        <v>74</v>
      </c>
      <c r="BQ373" t="s">
        <v>74</v>
      </c>
      <c r="BR373" t="s">
        <v>101</v>
      </c>
      <c r="BS373" t="s">
        <v>7441</v>
      </c>
      <c r="BT373" t="str">
        <f>HYPERLINK("https%3A%2F%2Fwww.webofscience.com%2Fwos%2Fwoscc%2Ffull-record%2FWOS:001044671300058","View Full Record in Web of Science")</f>
        <v>View Full Record in Web of Science</v>
      </c>
    </row>
    <row r="374" spans="1:72" x14ac:dyDescent="0.2">
      <c r="A374" t="s">
        <v>103</v>
      </c>
      <c r="B374" t="s">
        <v>7442</v>
      </c>
      <c r="C374" t="s">
        <v>74</v>
      </c>
      <c r="D374" t="s">
        <v>74</v>
      </c>
      <c r="E374" t="s">
        <v>74</v>
      </c>
      <c r="F374" t="s">
        <v>7443</v>
      </c>
      <c r="G374" t="s">
        <v>74</v>
      </c>
      <c r="H374" t="s">
        <v>74</v>
      </c>
      <c r="I374" t="s">
        <v>7444</v>
      </c>
      <c r="J374" t="s">
        <v>7445</v>
      </c>
      <c r="K374" t="s">
        <v>74</v>
      </c>
      <c r="L374" t="s">
        <v>74</v>
      </c>
      <c r="M374" t="s">
        <v>79</v>
      </c>
      <c r="N374" t="s">
        <v>108</v>
      </c>
      <c r="O374" t="s">
        <v>74</v>
      </c>
      <c r="P374" t="s">
        <v>74</v>
      </c>
      <c r="Q374" t="s">
        <v>74</v>
      </c>
      <c r="R374" t="s">
        <v>74</v>
      </c>
      <c r="S374" t="s">
        <v>74</v>
      </c>
      <c r="T374" t="s">
        <v>74</v>
      </c>
      <c r="U374" t="s">
        <v>74</v>
      </c>
      <c r="V374" t="s">
        <v>74</v>
      </c>
      <c r="W374" t="s">
        <v>7446</v>
      </c>
      <c r="X374" t="s">
        <v>7447</v>
      </c>
      <c r="Y374" t="s">
        <v>7448</v>
      </c>
      <c r="Z374" t="s">
        <v>74</v>
      </c>
      <c r="AA374" t="s">
        <v>74</v>
      </c>
      <c r="AB374" t="s">
        <v>74</v>
      </c>
      <c r="AC374" t="s">
        <v>74</v>
      </c>
      <c r="AD374" t="s">
        <v>74</v>
      </c>
      <c r="AE374" t="s">
        <v>74</v>
      </c>
      <c r="AF374" t="s">
        <v>74</v>
      </c>
      <c r="AG374">
        <v>0</v>
      </c>
      <c r="AH374">
        <v>4</v>
      </c>
      <c r="AI374">
        <v>4</v>
      </c>
      <c r="AJ374">
        <v>78</v>
      </c>
      <c r="AK374">
        <v>115</v>
      </c>
      <c r="AL374" t="s">
        <v>7449</v>
      </c>
      <c r="AM374" t="s">
        <v>7450</v>
      </c>
      <c r="AN374" t="s">
        <v>7451</v>
      </c>
      <c r="AO374" t="s">
        <v>7452</v>
      </c>
      <c r="AP374" t="s">
        <v>74</v>
      </c>
      <c r="AQ374" t="s">
        <v>74</v>
      </c>
      <c r="AR374" t="s">
        <v>7453</v>
      </c>
      <c r="AS374" t="s">
        <v>7454</v>
      </c>
      <c r="AT374" t="s">
        <v>1561</v>
      </c>
      <c r="AU374">
        <v>2023</v>
      </c>
      <c r="AV374">
        <v>101</v>
      </c>
      <c r="AW374" t="s">
        <v>7455</v>
      </c>
      <c r="AX374" t="s">
        <v>74</v>
      </c>
      <c r="AY374" t="s">
        <v>74</v>
      </c>
      <c r="AZ374" t="s">
        <v>74</v>
      </c>
      <c r="BA374" t="s">
        <v>74</v>
      </c>
      <c r="BB374">
        <v>55</v>
      </c>
      <c r="BC374">
        <v>64</v>
      </c>
      <c r="BD374" t="s">
        <v>74</v>
      </c>
      <c r="BE374" t="s">
        <v>74</v>
      </c>
      <c r="BF374" t="s">
        <v>74</v>
      </c>
      <c r="BG374" t="s">
        <v>74</v>
      </c>
      <c r="BH374" t="s">
        <v>74</v>
      </c>
      <c r="BI374">
        <v>10</v>
      </c>
      <c r="BJ374" t="s">
        <v>7045</v>
      </c>
      <c r="BK374" t="s">
        <v>159</v>
      </c>
      <c r="BL374" t="s">
        <v>470</v>
      </c>
      <c r="BM374" t="s">
        <v>7456</v>
      </c>
      <c r="BN374" t="s">
        <v>74</v>
      </c>
      <c r="BO374" t="s">
        <v>74</v>
      </c>
      <c r="BP374" t="s">
        <v>74</v>
      </c>
      <c r="BQ374" t="s">
        <v>74</v>
      </c>
      <c r="BR374" t="s">
        <v>101</v>
      </c>
      <c r="BS374" t="s">
        <v>7457</v>
      </c>
      <c r="BT374" t="str">
        <f>HYPERLINK("https%3A%2F%2Fwww.webofscience.com%2Fwos%2Fwoscc%2Ffull-record%2FWOS:001008643000015","View Full Record in Web of Science")</f>
        <v>View Full Record in Web of Science</v>
      </c>
    </row>
    <row r="375" spans="1:72" x14ac:dyDescent="0.2">
      <c r="A375" t="s">
        <v>103</v>
      </c>
      <c r="B375" t="s">
        <v>7458</v>
      </c>
      <c r="C375" t="s">
        <v>74</v>
      </c>
      <c r="D375" t="s">
        <v>74</v>
      </c>
      <c r="E375" t="s">
        <v>74</v>
      </c>
      <c r="F375" t="s">
        <v>7459</v>
      </c>
      <c r="G375" t="s">
        <v>74</v>
      </c>
      <c r="H375" t="s">
        <v>74</v>
      </c>
      <c r="I375" t="s">
        <v>7460</v>
      </c>
      <c r="J375" t="s">
        <v>7461</v>
      </c>
      <c r="K375" t="s">
        <v>74</v>
      </c>
      <c r="L375" t="s">
        <v>74</v>
      </c>
      <c r="M375" t="s">
        <v>79</v>
      </c>
      <c r="N375" t="s">
        <v>108</v>
      </c>
      <c r="O375" t="s">
        <v>74</v>
      </c>
      <c r="P375" t="s">
        <v>74</v>
      </c>
      <c r="Q375" t="s">
        <v>74</v>
      </c>
      <c r="R375" t="s">
        <v>74</v>
      </c>
      <c r="S375" t="s">
        <v>74</v>
      </c>
      <c r="T375" t="s">
        <v>7462</v>
      </c>
      <c r="U375" t="s">
        <v>7463</v>
      </c>
      <c r="V375" t="s">
        <v>7464</v>
      </c>
      <c r="W375" t="s">
        <v>7465</v>
      </c>
      <c r="X375" t="s">
        <v>7466</v>
      </c>
      <c r="Y375" t="s">
        <v>7467</v>
      </c>
      <c r="Z375" t="s">
        <v>7468</v>
      </c>
      <c r="AA375" t="s">
        <v>7469</v>
      </c>
      <c r="AB375" t="s">
        <v>7470</v>
      </c>
      <c r="AC375" t="s">
        <v>74</v>
      </c>
      <c r="AD375" t="s">
        <v>74</v>
      </c>
      <c r="AE375" t="s">
        <v>74</v>
      </c>
      <c r="AF375" t="s">
        <v>74</v>
      </c>
      <c r="AG375">
        <v>49</v>
      </c>
      <c r="AH375">
        <v>0</v>
      </c>
      <c r="AI375">
        <v>0</v>
      </c>
      <c r="AJ375">
        <v>9</v>
      </c>
      <c r="AK375">
        <v>9</v>
      </c>
      <c r="AL375" t="s">
        <v>939</v>
      </c>
      <c r="AM375" t="s">
        <v>940</v>
      </c>
      <c r="AN375" t="s">
        <v>941</v>
      </c>
      <c r="AO375" t="s">
        <v>74</v>
      </c>
      <c r="AP375" t="s">
        <v>7471</v>
      </c>
      <c r="AQ375" t="s">
        <v>74</v>
      </c>
      <c r="AR375" t="s">
        <v>7472</v>
      </c>
      <c r="AS375" t="s">
        <v>7473</v>
      </c>
      <c r="AT375" t="s">
        <v>276</v>
      </c>
      <c r="AU375">
        <v>2023</v>
      </c>
      <c r="AV375">
        <v>23</v>
      </c>
      <c r="AW375">
        <v>22</v>
      </c>
      <c r="AX375" t="s">
        <v>74</v>
      </c>
      <c r="AY375" t="s">
        <v>74</v>
      </c>
      <c r="AZ375" t="s">
        <v>74</v>
      </c>
      <c r="BA375" t="s">
        <v>74</v>
      </c>
      <c r="BB375" t="s">
        <v>74</v>
      </c>
      <c r="BC375" t="s">
        <v>74</v>
      </c>
      <c r="BD375">
        <v>9037</v>
      </c>
      <c r="BE375" t="s">
        <v>7474</v>
      </c>
      <c r="BF375" t="str">
        <f>HYPERLINK("http://dx.doi.org/10.3390/s23229037","http://dx.doi.org/10.3390/s23229037")</f>
        <v>http://dx.doi.org/10.3390/s23229037</v>
      </c>
      <c r="BG375" t="s">
        <v>74</v>
      </c>
      <c r="BH375" t="s">
        <v>74</v>
      </c>
      <c r="BI375">
        <v>15</v>
      </c>
      <c r="BJ375" t="s">
        <v>7475</v>
      </c>
      <c r="BK375" t="s">
        <v>130</v>
      </c>
      <c r="BL375" t="s">
        <v>7476</v>
      </c>
      <c r="BM375" t="s">
        <v>7477</v>
      </c>
      <c r="BN375">
        <v>38005425</v>
      </c>
      <c r="BO375" t="s">
        <v>4185</v>
      </c>
      <c r="BP375" t="s">
        <v>74</v>
      </c>
      <c r="BQ375" t="s">
        <v>74</v>
      </c>
      <c r="BR375" t="s">
        <v>101</v>
      </c>
      <c r="BS375" t="s">
        <v>7478</v>
      </c>
      <c r="BT375" t="str">
        <f>HYPERLINK("https%3A%2F%2Fwww.webofscience.com%2Fwos%2Fwoscc%2Ffull-record%2FWOS:001113965500001","View Full Record in Web of Science")</f>
        <v>View Full Record in Web of Science</v>
      </c>
    </row>
    <row r="376" spans="1:72" x14ac:dyDescent="0.2">
      <c r="A376" t="s">
        <v>72</v>
      </c>
      <c r="B376" t="s">
        <v>7479</v>
      </c>
      <c r="C376" t="s">
        <v>74</v>
      </c>
      <c r="D376" t="s">
        <v>74</v>
      </c>
      <c r="E376" t="s">
        <v>75</v>
      </c>
      <c r="F376" t="s">
        <v>7480</v>
      </c>
      <c r="G376" t="s">
        <v>74</v>
      </c>
      <c r="H376" t="s">
        <v>74</v>
      </c>
      <c r="I376" t="s">
        <v>7481</v>
      </c>
      <c r="J376" t="s">
        <v>7482</v>
      </c>
      <c r="K376" t="s">
        <v>74</v>
      </c>
      <c r="L376" t="s">
        <v>74</v>
      </c>
      <c r="M376" t="s">
        <v>79</v>
      </c>
      <c r="N376" t="s">
        <v>80</v>
      </c>
      <c r="O376" t="s">
        <v>7483</v>
      </c>
      <c r="P376" t="s">
        <v>7484</v>
      </c>
      <c r="Q376" t="s">
        <v>7485</v>
      </c>
      <c r="R376" t="s">
        <v>74</v>
      </c>
      <c r="S376" t="s">
        <v>74</v>
      </c>
      <c r="T376" t="s">
        <v>7486</v>
      </c>
      <c r="U376" t="s">
        <v>74</v>
      </c>
      <c r="V376" t="s">
        <v>7487</v>
      </c>
      <c r="W376" t="s">
        <v>7488</v>
      </c>
      <c r="X376" t="s">
        <v>7489</v>
      </c>
      <c r="Y376" t="s">
        <v>7490</v>
      </c>
      <c r="Z376" t="s">
        <v>7491</v>
      </c>
      <c r="AA376" t="s">
        <v>74</v>
      </c>
      <c r="AB376" t="s">
        <v>7492</v>
      </c>
      <c r="AC376" t="s">
        <v>74</v>
      </c>
      <c r="AD376" t="s">
        <v>74</v>
      </c>
      <c r="AE376" t="s">
        <v>74</v>
      </c>
      <c r="AF376" t="s">
        <v>74</v>
      </c>
      <c r="AG376">
        <v>27</v>
      </c>
      <c r="AH376">
        <v>0</v>
      </c>
      <c r="AI376">
        <v>0</v>
      </c>
      <c r="AJ376">
        <v>1</v>
      </c>
      <c r="AK376">
        <v>1</v>
      </c>
      <c r="AL376" t="s">
        <v>92</v>
      </c>
      <c r="AM376" t="s">
        <v>93</v>
      </c>
      <c r="AN376" t="s">
        <v>94</v>
      </c>
      <c r="AO376" t="s">
        <v>74</v>
      </c>
      <c r="AP376" t="s">
        <v>74</v>
      </c>
      <c r="AQ376" t="s">
        <v>7493</v>
      </c>
      <c r="AR376" t="s">
        <v>74</v>
      </c>
      <c r="AS376" t="s">
        <v>74</v>
      </c>
      <c r="AT376" t="s">
        <v>74</v>
      </c>
      <c r="AU376">
        <v>2023</v>
      </c>
      <c r="AV376" t="s">
        <v>74</v>
      </c>
      <c r="AW376" t="s">
        <v>74</v>
      </c>
      <c r="AX376" t="s">
        <v>74</v>
      </c>
      <c r="AY376" t="s">
        <v>74</v>
      </c>
      <c r="AZ376" t="s">
        <v>74</v>
      </c>
      <c r="BA376" t="s">
        <v>74</v>
      </c>
      <c r="BB376" t="s">
        <v>74</v>
      </c>
      <c r="BC376" t="s">
        <v>74</v>
      </c>
      <c r="BD376">
        <v>4</v>
      </c>
      <c r="BE376" t="s">
        <v>7494</v>
      </c>
      <c r="BF376" t="str">
        <f>HYPERLINK("http://dx.doi.org/10.1145/3596671.3598574","http://dx.doi.org/10.1145/3596671.3598574")</f>
        <v>http://dx.doi.org/10.1145/3596671.3598574</v>
      </c>
      <c r="BG376" t="s">
        <v>74</v>
      </c>
      <c r="BH376" t="s">
        <v>74</v>
      </c>
      <c r="BI376">
        <v>14</v>
      </c>
      <c r="BJ376" t="s">
        <v>7495</v>
      </c>
      <c r="BK376" t="s">
        <v>180</v>
      </c>
      <c r="BL376" t="s">
        <v>7496</v>
      </c>
      <c r="BM376" t="s">
        <v>7497</v>
      </c>
      <c r="BN376" t="s">
        <v>74</v>
      </c>
      <c r="BO376" t="s">
        <v>74</v>
      </c>
      <c r="BP376" t="s">
        <v>74</v>
      </c>
      <c r="BQ376" t="s">
        <v>74</v>
      </c>
      <c r="BR376" t="s">
        <v>101</v>
      </c>
      <c r="BS376" t="s">
        <v>7498</v>
      </c>
      <c r="BT376" t="str">
        <f>HYPERLINK("https%3A%2F%2Fwww.webofscience.com%2Fwos%2Fwoscc%2Ffull-record%2FWOS:001147740200004","View Full Record in Web of Science")</f>
        <v>View Full Record in Web of Science</v>
      </c>
    </row>
    <row r="377" spans="1:72" x14ac:dyDescent="0.2">
      <c r="A377" t="s">
        <v>103</v>
      </c>
      <c r="B377" t="s">
        <v>7499</v>
      </c>
      <c r="C377" t="s">
        <v>74</v>
      </c>
      <c r="D377" t="s">
        <v>74</v>
      </c>
      <c r="E377" t="s">
        <v>74</v>
      </c>
      <c r="F377" t="s">
        <v>7500</v>
      </c>
      <c r="G377" t="s">
        <v>74</v>
      </c>
      <c r="H377" t="s">
        <v>74</v>
      </c>
      <c r="I377" t="s">
        <v>7501</v>
      </c>
      <c r="J377" t="s">
        <v>930</v>
      </c>
      <c r="K377" t="s">
        <v>74</v>
      </c>
      <c r="L377" t="s">
        <v>74</v>
      </c>
      <c r="M377" t="s">
        <v>79</v>
      </c>
      <c r="N377" t="s">
        <v>108</v>
      </c>
      <c r="O377" t="s">
        <v>74</v>
      </c>
      <c r="P377" t="s">
        <v>74</v>
      </c>
      <c r="Q377" t="s">
        <v>74</v>
      </c>
      <c r="R377" t="s">
        <v>74</v>
      </c>
      <c r="S377" t="s">
        <v>74</v>
      </c>
      <c r="T377" t="s">
        <v>7502</v>
      </c>
      <c r="U377" t="s">
        <v>7503</v>
      </c>
      <c r="V377" t="s">
        <v>7504</v>
      </c>
      <c r="W377" t="s">
        <v>7505</v>
      </c>
      <c r="X377" t="s">
        <v>7506</v>
      </c>
      <c r="Y377" t="s">
        <v>7507</v>
      </c>
      <c r="Z377" t="s">
        <v>7508</v>
      </c>
      <c r="AA377" t="s">
        <v>7509</v>
      </c>
      <c r="AB377" t="s">
        <v>7510</v>
      </c>
      <c r="AC377" t="s">
        <v>7511</v>
      </c>
      <c r="AD377" t="s">
        <v>7512</v>
      </c>
      <c r="AE377" t="s">
        <v>7513</v>
      </c>
      <c r="AF377" t="s">
        <v>74</v>
      </c>
      <c r="AG377">
        <v>80</v>
      </c>
      <c r="AH377">
        <v>0</v>
      </c>
      <c r="AI377">
        <v>0</v>
      </c>
      <c r="AJ377">
        <v>169</v>
      </c>
      <c r="AK377">
        <v>177</v>
      </c>
      <c r="AL377" t="s">
        <v>939</v>
      </c>
      <c r="AM377" t="s">
        <v>940</v>
      </c>
      <c r="AN377" t="s">
        <v>941</v>
      </c>
      <c r="AO377" t="s">
        <v>74</v>
      </c>
      <c r="AP377" t="s">
        <v>942</v>
      </c>
      <c r="AQ377" t="s">
        <v>74</v>
      </c>
      <c r="AR377" t="s">
        <v>943</v>
      </c>
      <c r="AS377" t="s">
        <v>944</v>
      </c>
      <c r="AT377" t="s">
        <v>771</v>
      </c>
      <c r="AU377">
        <v>2023</v>
      </c>
      <c r="AV377">
        <v>15</v>
      </c>
      <c r="AW377">
        <v>17</v>
      </c>
      <c r="AX377" t="s">
        <v>74</v>
      </c>
      <c r="AY377" t="s">
        <v>74</v>
      </c>
      <c r="AZ377" t="s">
        <v>74</v>
      </c>
      <c r="BA377" t="s">
        <v>74</v>
      </c>
      <c r="BB377" t="s">
        <v>74</v>
      </c>
      <c r="BC377" t="s">
        <v>74</v>
      </c>
      <c r="BD377">
        <v>12921</v>
      </c>
      <c r="BE377" t="s">
        <v>7514</v>
      </c>
      <c r="BF377" t="str">
        <f>HYPERLINK("http://dx.doi.org/10.3390/su151712921","http://dx.doi.org/10.3390/su151712921")</f>
        <v>http://dx.doi.org/10.3390/su151712921</v>
      </c>
      <c r="BG377" t="s">
        <v>74</v>
      </c>
      <c r="BH377" t="s">
        <v>74</v>
      </c>
      <c r="BI377">
        <v>15</v>
      </c>
      <c r="BJ377" t="s">
        <v>946</v>
      </c>
      <c r="BK377" t="s">
        <v>947</v>
      </c>
      <c r="BL377" t="s">
        <v>948</v>
      </c>
      <c r="BM377" t="s">
        <v>7515</v>
      </c>
      <c r="BN377" t="s">
        <v>74</v>
      </c>
      <c r="BO377" t="s">
        <v>425</v>
      </c>
      <c r="BP377" t="s">
        <v>74</v>
      </c>
      <c r="BQ377" t="s">
        <v>74</v>
      </c>
      <c r="BR377" t="s">
        <v>101</v>
      </c>
      <c r="BS377" t="s">
        <v>7516</v>
      </c>
      <c r="BT377" t="str">
        <f>HYPERLINK("https%3A%2F%2Fwww.webofscience.com%2Fwos%2Fwoscc%2Ffull-record%2FWOS:001062561600001","View Full Record in Web of Science")</f>
        <v>View Full Record in Web of Science</v>
      </c>
    </row>
    <row r="378" spans="1:72" x14ac:dyDescent="0.2">
      <c r="A378" t="s">
        <v>103</v>
      </c>
      <c r="B378" t="s">
        <v>7517</v>
      </c>
      <c r="C378" t="s">
        <v>74</v>
      </c>
      <c r="D378" t="s">
        <v>74</v>
      </c>
      <c r="E378" t="s">
        <v>74</v>
      </c>
      <c r="F378" t="s">
        <v>7518</v>
      </c>
      <c r="G378" t="s">
        <v>74</v>
      </c>
      <c r="H378" t="s">
        <v>74</v>
      </c>
      <c r="I378" t="s">
        <v>7519</v>
      </c>
      <c r="J378" t="s">
        <v>7520</v>
      </c>
      <c r="K378" t="s">
        <v>74</v>
      </c>
      <c r="L378" t="s">
        <v>74</v>
      </c>
      <c r="M378" t="s">
        <v>79</v>
      </c>
      <c r="N378" t="s">
        <v>108</v>
      </c>
      <c r="O378" t="s">
        <v>74</v>
      </c>
      <c r="P378" t="s">
        <v>74</v>
      </c>
      <c r="Q378" t="s">
        <v>74</v>
      </c>
      <c r="R378" t="s">
        <v>74</v>
      </c>
      <c r="S378" t="s">
        <v>74</v>
      </c>
      <c r="T378" t="s">
        <v>7521</v>
      </c>
      <c r="U378" t="s">
        <v>7522</v>
      </c>
      <c r="V378" t="s">
        <v>7523</v>
      </c>
      <c r="W378" t="s">
        <v>7524</v>
      </c>
      <c r="X378" t="s">
        <v>7525</v>
      </c>
      <c r="Y378" t="s">
        <v>7526</v>
      </c>
      <c r="Z378" t="s">
        <v>7527</v>
      </c>
      <c r="AA378" t="s">
        <v>7528</v>
      </c>
      <c r="AB378" t="s">
        <v>7529</v>
      </c>
      <c r="AC378" t="s">
        <v>7530</v>
      </c>
      <c r="AD378" t="s">
        <v>3400</v>
      </c>
      <c r="AE378" t="s">
        <v>7531</v>
      </c>
      <c r="AF378" t="s">
        <v>74</v>
      </c>
      <c r="AG378">
        <v>65</v>
      </c>
      <c r="AH378">
        <v>2</v>
      </c>
      <c r="AI378">
        <v>2</v>
      </c>
      <c r="AJ378">
        <v>7</v>
      </c>
      <c r="AK378">
        <v>13</v>
      </c>
      <c r="AL378" t="s">
        <v>1379</v>
      </c>
      <c r="AM378" t="s">
        <v>1380</v>
      </c>
      <c r="AN378" t="s">
        <v>1381</v>
      </c>
      <c r="AO378" t="s">
        <v>7532</v>
      </c>
      <c r="AP378" t="s">
        <v>7533</v>
      </c>
      <c r="AQ378" t="s">
        <v>74</v>
      </c>
      <c r="AR378" t="s">
        <v>7534</v>
      </c>
      <c r="AS378" t="s">
        <v>7535</v>
      </c>
      <c r="AT378" t="s">
        <v>276</v>
      </c>
      <c r="AU378">
        <v>2023</v>
      </c>
      <c r="AV378">
        <v>34</v>
      </c>
      <c r="AW378">
        <v>11</v>
      </c>
      <c r="AX378" t="s">
        <v>74</v>
      </c>
      <c r="AY378" t="s">
        <v>74</v>
      </c>
      <c r="AZ378" t="s">
        <v>74</v>
      </c>
      <c r="BA378" t="s">
        <v>74</v>
      </c>
      <c r="BB378">
        <v>9575</v>
      </c>
      <c r="BC378">
        <v>9582</v>
      </c>
      <c r="BD378" t="s">
        <v>74</v>
      </c>
      <c r="BE378" t="s">
        <v>7536</v>
      </c>
      <c r="BF378" t="str">
        <f>HYPERLINK("http://dx.doi.org/10.1109/TNNLS.2022.3208525","http://dx.doi.org/10.1109/TNNLS.2022.3208525")</f>
        <v>http://dx.doi.org/10.1109/TNNLS.2022.3208525</v>
      </c>
      <c r="BG378" t="s">
        <v>74</v>
      </c>
      <c r="BH378" t="s">
        <v>74</v>
      </c>
      <c r="BI378">
        <v>8</v>
      </c>
      <c r="BJ378" t="s">
        <v>7537</v>
      </c>
      <c r="BK378" t="s">
        <v>130</v>
      </c>
      <c r="BL378" t="s">
        <v>906</v>
      </c>
      <c r="BM378" t="s">
        <v>7538</v>
      </c>
      <c r="BN378">
        <v>36269927</v>
      </c>
      <c r="BO378" t="s">
        <v>74</v>
      </c>
      <c r="BP378" t="s">
        <v>74</v>
      </c>
      <c r="BQ378" t="s">
        <v>74</v>
      </c>
      <c r="BR378" t="s">
        <v>101</v>
      </c>
      <c r="BS378" t="s">
        <v>7539</v>
      </c>
      <c r="BT378" t="str">
        <f>HYPERLINK("https%3A%2F%2Fwww.webofscience.com%2Fwos%2Fwoscc%2Ffull-record%2FWOS:001094478400116","View Full Record in Web of Science")</f>
        <v>View Full Record in Web of Science</v>
      </c>
    </row>
    <row r="379" spans="1:72" x14ac:dyDescent="0.2">
      <c r="A379" t="s">
        <v>103</v>
      </c>
      <c r="B379" t="s">
        <v>7540</v>
      </c>
      <c r="C379" t="s">
        <v>74</v>
      </c>
      <c r="D379" t="s">
        <v>74</v>
      </c>
      <c r="E379" t="s">
        <v>74</v>
      </c>
      <c r="F379" t="s">
        <v>7541</v>
      </c>
      <c r="G379" t="s">
        <v>74</v>
      </c>
      <c r="H379" t="s">
        <v>74</v>
      </c>
      <c r="I379" t="s">
        <v>7542</v>
      </c>
      <c r="J379" t="s">
        <v>7543</v>
      </c>
      <c r="K379" t="s">
        <v>74</v>
      </c>
      <c r="L379" t="s">
        <v>74</v>
      </c>
      <c r="M379" t="s">
        <v>79</v>
      </c>
      <c r="N379" t="s">
        <v>108</v>
      </c>
      <c r="O379" t="s">
        <v>74</v>
      </c>
      <c r="P379" t="s">
        <v>74</v>
      </c>
      <c r="Q379" t="s">
        <v>74</v>
      </c>
      <c r="R379" t="s">
        <v>74</v>
      </c>
      <c r="S379" t="s">
        <v>74</v>
      </c>
      <c r="T379" t="s">
        <v>74</v>
      </c>
      <c r="U379" t="s">
        <v>74</v>
      </c>
      <c r="V379" t="s">
        <v>7544</v>
      </c>
      <c r="W379" t="s">
        <v>7545</v>
      </c>
      <c r="X379" t="s">
        <v>1845</v>
      </c>
      <c r="Y379" t="s">
        <v>7546</v>
      </c>
      <c r="Z379" t="s">
        <v>7547</v>
      </c>
      <c r="AA379" t="s">
        <v>74</v>
      </c>
      <c r="AB379" t="s">
        <v>7548</v>
      </c>
      <c r="AC379" t="s">
        <v>74</v>
      </c>
      <c r="AD379" t="s">
        <v>74</v>
      </c>
      <c r="AE379" t="s">
        <v>74</v>
      </c>
      <c r="AF379" t="s">
        <v>74</v>
      </c>
      <c r="AG379">
        <v>39</v>
      </c>
      <c r="AH379">
        <v>0</v>
      </c>
      <c r="AI379">
        <v>0</v>
      </c>
      <c r="AJ379">
        <v>8</v>
      </c>
      <c r="AK379">
        <v>8</v>
      </c>
      <c r="AL379" t="s">
        <v>3202</v>
      </c>
      <c r="AM379" t="s">
        <v>120</v>
      </c>
      <c r="AN379" t="s">
        <v>3203</v>
      </c>
      <c r="AO379" t="s">
        <v>7549</v>
      </c>
      <c r="AP379" t="s">
        <v>7550</v>
      </c>
      <c r="AQ379" t="s">
        <v>74</v>
      </c>
      <c r="AR379" t="s">
        <v>7551</v>
      </c>
      <c r="AS379" t="s">
        <v>7552</v>
      </c>
      <c r="AT379" t="s">
        <v>7553</v>
      </c>
      <c r="AU379">
        <v>2023</v>
      </c>
      <c r="AV379">
        <v>81</v>
      </c>
      <c r="AW379">
        <v>4</v>
      </c>
      <c r="AX379" t="s">
        <v>74</v>
      </c>
      <c r="AY379" t="s">
        <v>74</v>
      </c>
      <c r="AZ379" t="s">
        <v>74</v>
      </c>
      <c r="BA379" t="s">
        <v>74</v>
      </c>
      <c r="BB379">
        <v>508</v>
      </c>
      <c r="BC379">
        <v>524</v>
      </c>
      <c r="BD379" t="s">
        <v>74</v>
      </c>
      <c r="BE379" t="s">
        <v>7554</v>
      </c>
      <c r="BF379" t="str">
        <f>HYPERLINK("http://dx.doi.org/10.1093/jaac/kpad042","http://dx.doi.org/10.1093/jaac/kpad042")</f>
        <v>http://dx.doi.org/10.1093/jaac/kpad042</v>
      </c>
      <c r="BG379" t="s">
        <v>74</v>
      </c>
      <c r="BH379" t="s">
        <v>157</v>
      </c>
      <c r="BI379">
        <v>17</v>
      </c>
      <c r="BJ379" t="s">
        <v>7555</v>
      </c>
      <c r="BK379" t="s">
        <v>2649</v>
      </c>
      <c r="BL379" t="s">
        <v>7556</v>
      </c>
      <c r="BM379" t="s">
        <v>7557</v>
      </c>
      <c r="BN379" t="s">
        <v>74</v>
      </c>
      <c r="BO379" t="s">
        <v>161</v>
      </c>
      <c r="BP379" t="s">
        <v>74</v>
      </c>
      <c r="BQ379" t="s">
        <v>74</v>
      </c>
      <c r="BR379" t="s">
        <v>101</v>
      </c>
      <c r="BS379" t="s">
        <v>7558</v>
      </c>
      <c r="BT379" t="str">
        <f>HYPERLINK("https%3A%2F%2Fwww.webofscience.com%2Fwos%2Fwoscc%2Ffull-record%2FWOS:001098085600001","View Full Record in Web of Science")</f>
        <v>View Full Record in Web of Science</v>
      </c>
    </row>
    <row r="380" spans="1:72" x14ac:dyDescent="0.2">
      <c r="A380" t="s">
        <v>103</v>
      </c>
      <c r="B380" t="s">
        <v>7559</v>
      </c>
      <c r="C380" t="s">
        <v>74</v>
      </c>
      <c r="D380" t="s">
        <v>74</v>
      </c>
      <c r="E380" t="s">
        <v>74</v>
      </c>
      <c r="F380" t="s">
        <v>7560</v>
      </c>
      <c r="G380" t="s">
        <v>74</v>
      </c>
      <c r="H380" t="s">
        <v>74</v>
      </c>
      <c r="I380" t="s">
        <v>7561</v>
      </c>
      <c r="J380" t="s">
        <v>7562</v>
      </c>
      <c r="K380" t="s">
        <v>74</v>
      </c>
      <c r="L380" t="s">
        <v>74</v>
      </c>
      <c r="M380" t="s">
        <v>7563</v>
      </c>
      <c r="N380" t="s">
        <v>108</v>
      </c>
      <c r="O380" t="s">
        <v>74</v>
      </c>
      <c r="P380" t="s">
        <v>74</v>
      </c>
      <c r="Q380" t="s">
        <v>74</v>
      </c>
      <c r="R380" t="s">
        <v>74</v>
      </c>
      <c r="S380" t="s">
        <v>74</v>
      </c>
      <c r="T380" t="s">
        <v>7564</v>
      </c>
      <c r="U380" t="s">
        <v>74</v>
      </c>
      <c r="V380" t="s">
        <v>7565</v>
      </c>
      <c r="W380" t="s">
        <v>7566</v>
      </c>
      <c r="X380" t="s">
        <v>7567</v>
      </c>
      <c r="Y380" t="s">
        <v>7568</v>
      </c>
      <c r="Z380" t="s">
        <v>7569</v>
      </c>
      <c r="AA380" t="s">
        <v>74</v>
      </c>
      <c r="AB380" t="s">
        <v>74</v>
      </c>
      <c r="AC380" t="s">
        <v>74</v>
      </c>
      <c r="AD380" t="s">
        <v>74</v>
      </c>
      <c r="AE380" t="s">
        <v>74</v>
      </c>
      <c r="AF380" t="s">
        <v>74</v>
      </c>
      <c r="AG380">
        <v>47</v>
      </c>
      <c r="AH380">
        <v>0</v>
      </c>
      <c r="AI380">
        <v>0</v>
      </c>
      <c r="AJ380">
        <v>5</v>
      </c>
      <c r="AK380">
        <v>5</v>
      </c>
      <c r="AL380" t="s">
        <v>7570</v>
      </c>
      <c r="AM380" t="s">
        <v>7571</v>
      </c>
      <c r="AN380" t="s">
        <v>7572</v>
      </c>
      <c r="AO380" t="s">
        <v>7573</v>
      </c>
      <c r="AP380" t="s">
        <v>7574</v>
      </c>
      <c r="AQ380" t="s">
        <v>74</v>
      </c>
      <c r="AR380" t="s">
        <v>7575</v>
      </c>
      <c r="AS380" t="s">
        <v>7576</v>
      </c>
      <c r="AT380" t="s">
        <v>527</v>
      </c>
      <c r="AU380">
        <v>2023</v>
      </c>
      <c r="AV380">
        <v>44</v>
      </c>
      <c r="AW380">
        <v>6</v>
      </c>
      <c r="AX380" t="s">
        <v>74</v>
      </c>
      <c r="AY380" t="s">
        <v>74</v>
      </c>
      <c r="AZ380" t="s">
        <v>74</v>
      </c>
      <c r="BA380" t="s">
        <v>74</v>
      </c>
      <c r="BB380">
        <v>675</v>
      </c>
      <c r="BC380">
        <v>692</v>
      </c>
      <c r="BD380" t="s">
        <v>74</v>
      </c>
      <c r="BE380" t="s">
        <v>7577</v>
      </c>
      <c r="BF380" t="str">
        <f>HYPERLINK("http://dx.doi.org/10.5467/JKESS.2023.44.6.675","http://dx.doi.org/10.5467/JKESS.2023.44.6.675")</f>
        <v>http://dx.doi.org/10.5467/JKESS.2023.44.6.675</v>
      </c>
      <c r="BG380" t="s">
        <v>74</v>
      </c>
      <c r="BH380" t="s">
        <v>74</v>
      </c>
      <c r="BI380">
        <v>18</v>
      </c>
      <c r="BJ380" t="s">
        <v>5908</v>
      </c>
      <c r="BK380" t="s">
        <v>352</v>
      </c>
      <c r="BL380" t="s">
        <v>5909</v>
      </c>
      <c r="BM380" t="s">
        <v>7578</v>
      </c>
      <c r="BN380" t="s">
        <v>74</v>
      </c>
      <c r="BO380" t="s">
        <v>74</v>
      </c>
      <c r="BP380" t="s">
        <v>74</v>
      </c>
      <c r="BQ380" t="s">
        <v>74</v>
      </c>
      <c r="BR380" t="s">
        <v>101</v>
      </c>
      <c r="BS380" t="s">
        <v>7579</v>
      </c>
      <c r="BT380" t="str">
        <f>HYPERLINK("https%3A%2F%2Fwww.webofscience.com%2Fwos%2Fwoscc%2Ffull-record%2FWOS:001164496900010","View Full Record in Web of Science")</f>
        <v>View Full Record in Web of Science</v>
      </c>
    </row>
    <row r="381" spans="1:72" x14ac:dyDescent="0.2">
      <c r="A381" t="s">
        <v>103</v>
      </c>
      <c r="B381" t="s">
        <v>7580</v>
      </c>
      <c r="C381" t="s">
        <v>74</v>
      </c>
      <c r="D381" t="s">
        <v>74</v>
      </c>
      <c r="E381" t="s">
        <v>74</v>
      </c>
      <c r="F381" t="s">
        <v>7581</v>
      </c>
      <c r="G381" t="s">
        <v>74</v>
      </c>
      <c r="H381" t="s">
        <v>74</v>
      </c>
      <c r="I381" t="s">
        <v>7582</v>
      </c>
      <c r="J381" t="s">
        <v>7583</v>
      </c>
      <c r="K381" t="s">
        <v>74</v>
      </c>
      <c r="L381" t="s">
        <v>74</v>
      </c>
      <c r="M381" t="s">
        <v>79</v>
      </c>
      <c r="N381" t="s">
        <v>108</v>
      </c>
      <c r="O381" t="s">
        <v>74</v>
      </c>
      <c r="P381" t="s">
        <v>74</v>
      </c>
      <c r="Q381" t="s">
        <v>74</v>
      </c>
      <c r="R381" t="s">
        <v>74</v>
      </c>
      <c r="S381" t="s">
        <v>74</v>
      </c>
      <c r="T381" t="s">
        <v>7584</v>
      </c>
      <c r="U381" t="s">
        <v>7585</v>
      </c>
      <c r="V381" t="s">
        <v>7586</v>
      </c>
      <c r="W381" t="s">
        <v>7587</v>
      </c>
      <c r="X381" t="s">
        <v>7588</v>
      </c>
      <c r="Y381" t="s">
        <v>7589</v>
      </c>
      <c r="Z381" t="s">
        <v>7590</v>
      </c>
      <c r="AA381" t="s">
        <v>74</v>
      </c>
      <c r="AB381" t="s">
        <v>7591</v>
      </c>
      <c r="AC381" t="s">
        <v>7592</v>
      </c>
      <c r="AD381" t="s">
        <v>7593</v>
      </c>
      <c r="AE381" t="s">
        <v>7594</v>
      </c>
      <c r="AF381" t="s">
        <v>74</v>
      </c>
      <c r="AG381">
        <v>58</v>
      </c>
      <c r="AH381">
        <v>2</v>
      </c>
      <c r="AI381">
        <v>2</v>
      </c>
      <c r="AJ381">
        <v>3</v>
      </c>
      <c r="AK381">
        <v>12</v>
      </c>
      <c r="AL381" t="s">
        <v>1379</v>
      </c>
      <c r="AM381" t="s">
        <v>1380</v>
      </c>
      <c r="AN381" t="s">
        <v>1381</v>
      </c>
      <c r="AO381" t="s">
        <v>7595</v>
      </c>
      <c r="AP381" t="s">
        <v>7596</v>
      </c>
      <c r="AQ381" t="s">
        <v>74</v>
      </c>
      <c r="AR381" t="s">
        <v>7597</v>
      </c>
      <c r="AS381" t="s">
        <v>7598</v>
      </c>
      <c r="AT381" t="s">
        <v>2016</v>
      </c>
      <c r="AU381">
        <v>2023</v>
      </c>
      <c r="AV381">
        <v>40</v>
      </c>
      <c r="AW381">
        <v>1</v>
      </c>
      <c r="AX381" t="s">
        <v>74</v>
      </c>
      <c r="AY381" t="s">
        <v>74</v>
      </c>
      <c r="AZ381" t="s">
        <v>74</v>
      </c>
      <c r="BA381" t="s">
        <v>74</v>
      </c>
      <c r="BB381">
        <v>148</v>
      </c>
      <c r="BC381">
        <v>163</v>
      </c>
      <c r="BD381" t="s">
        <v>74</v>
      </c>
      <c r="BE381" t="s">
        <v>7599</v>
      </c>
      <c r="BF381" t="str">
        <f>HYPERLINK("http://dx.doi.org/10.1109/MSP.2022.3215282","http://dx.doi.org/10.1109/MSP.2022.3215282")</f>
        <v>http://dx.doi.org/10.1109/MSP.2022.3215282</v>
      </c>
      <c r="BG381" t="s">
        <v>74</v>
      </c>
      <c r="BH381" t="s">
        <v>74</v>
      </c>
      <c r="BI381">
        <v>16</v>
      </c>
      <c r="BJ381" t="s">
        <v>2822</v>
      </c>
      <c r="BK381" t="s">
        <v>130</v>
      </c>
      <c r="BL381" t="s">
        <v>2823</v>
      </c>
      <c r="BM381" t="s">
        <v>7600</v>
      </c>
      <c r="BN381" t="s">
        <v>74</v>
      </c>
      <c r="BO381" t="s">
        <v>74</v>
      </c>
      <c r="BP381" t="s">
        <v>74</v>
      </c>
      <c r="BQ381" t="s">
        <v>74</v>
      </c>
      <c r="BR381" t="s">
        <v>101</v>
      </c>
      <c r="BS381" t="s">
        <v>7601</v>
      </c>
      <c r="BT381" t="str">
        <f>HYPERLINK("https%3A%2F%2Fwww.webofscience.com%2Fwos%2Fwoscc%2Ffull-record%2FWOS:000967103800001","View Full Record in Web of Science")</f>
        <v>View Full Record in Web of Science</v>
      </c>
    </row>
    <row r="382" spans="1:72" x14ac:dyDescent="0.2">
      <c r="A382" t="s">
        <v>103</v>
      </c>
      <c r="B382" t="s">
        <v>7602</v>
      </c>
      <c r="C382" t="s">
        <v>74</v>
      </c>
      <c r="D382" t="s">
        <v>74</v>
      </c>
      <c r="E382" t="s">
        <v>74</v>
      </c>
      <c r="F382" t="s">
        <v>7603</v>
      </c>
      <c r="G382" t="s">
        <v>74</v>
      </c>
      <c r="H382" t="s">
        <v>74</v>
      </c>
      <c r="I382" t="s">
        <v>7604</v>
      </c>
      <c r="J382" t="s">
        <v>6146</v>
      </c>
      <c r="K382" t="s">
        <v>74</v>
      </c>
      <c r="L382" t="s">
        <v>74</v>
      </c>
      <c r="M382" t="s">
        <v>79</v>
      </c>
      <c r="N382" t="s">
        <v>108</v>
      </c>
      <c r="O382" t="s">
        <v>74</v>
      </c>
      <c r="P382" t="s">
        <v>74</v>
      </c>
      <c r="Q382" t="s">
        <v>74</v>
      </c>
      <c r="R382" t="s">
        <v>74</v>
      </c>
      <c r="S382" t="s">
        <v>74</v>
      </c>
      <c r="T382" t="s">
        <v>7605</v>
      </c>
      <c r="U382" t="s">
        <v>7606</v>
      </c>
      <c r="V382" t="s">
        <v>7607</v>
      </c>
      <c r="W382" t="s">
        <v>7608</v>
      </c>
      <c r="X382" t="s">
        <v>7609</v>
      </c>
      <c r="Y382" t="s">
        <v>7610</v>
      </c>
      <c r="Z382" t="s">
        <v>7611</v>
      </c>
      <c r="AA382" t="s">
        <v>74</v>
      </c>
      <c r="AB382" t="s">
        <v>7612</v>
      </c>
      <c r="AC382" t="s">
        <v>7613</v>
      </c>
      <c r="AD382" t="s">
        <v>7614</v>
      </c>
      <c r="AE382" t="s">
        <v>7615</v>
      </c>
      <c r="AF382" t="s">
        <v>74</v>
      </c>
      <c r="AG382">
        <v>59</v>
      </c>
      <c r="AH382">
        <v>1</v>
      </c>
      <c r="AI382">
        <v>1</v>
      </c>
      <c r="AJ382">
        <v>0</v>
      </c>
      <c r="AK382">
        <v>0</v>
      </c>
      <c r="AL382" t="s">
        <v>764</v>
      </c>
      <c r="AM382" t="s">
        <v>765</v>
      </c>
      <c r="AN382" t="s">
        <v>766</v>
      </c>
      <c r="AO382" t="s">
        <v>6154</v>
      </c>
      <c r="AP382" t="s">
        <v>74</v>
      </c>
      <c r="AQ382" t="s">
        <v>74</v>
      </c>
      <c r="AR382" t="s">
        <v>6155</v>
      </c>
      <c r="AS382" t="s">
        <v>6156</v>
      </c>
      <c r="AT382" t="s">
        <v>615</v>
      </c>
      <c r="AU382">
        <v>2023</v>
      </c>
      <c r="AV382">
        <v>13</v>
      </c>
      <c r="AW382" t="s">
        <v>74</v>
      </c>
      <c r="AX382" t="s">
        <v>74</v>
      </c>
      <c r="AY382" t="s">
        <v>74</v>
      </c>
      <c r="AZ382" t="s">
        <v>74</v>
      </c>
      <c r="BA382" t="s">
        <v>74</v>
      </c>
      <c r="BB382" t="s">
        <v>74</v>
      </c>
      <c r="BC382" t="s">
        <v>74</v>
      </c>
      <c r="BD382">
        <v>100238</v>
      </c>
      <c r="BE382" t="s">
        <v>7616</v>
      </c>
      <c r="BF382" t="str">
        <f>HYPERLINK("http://dx.doi.org/10.1016/j.egyai.2023.100238","http://dx.doi.org/10.1016/j.egyai.2023.100238")</f>
        <v>http://dx.doi.org/10.1016/j.egyai.2023.100238</v>
      </c>
      <c r="BG382" t="s">
        <v>74</v>
      </c>
      <c r="BH382" t="s">
        <v>2647</v>
      </c>
      <c r="BI382">
        <v>11</v>
      </c>
      <c r="BJ382" t="s">
        <v>6158</v>
      </c>
      <c r="BK382" t="s">
        <v>352</v>
      </c>
      <c r="BL382" t="s">
        <v>6159</v>
      </c>
      <c r="BM382" t="s">
        <v>7617</v>
      </c>
      <c r="BN382" t="s">
        <v>74</v>
      </c>
      <c r="BO382" t="s">
        <v>425</v>
      </c>
      <c r="BP382" t="s">
        <v>74</v>
      </c>
      <c r="BQ382" t="s">
        <v>74</v>
      </c>
      <c r="BR382" t="s">
        <v>101</v>
      </c>
      <c r="BS382" t="s">
        <v>7618</v>
      </c>
      <c r="BT382" t="str">
        <f>HYPERLINK("https%3A%2F%2Fwww.webofscience.com%2Fwos%2Fwoscc%2Ffull-record%2FWOS:001146205900001","View Full Record in Web of Science")</f>
        <v>View Full Record in Web of Science</v>
      </c>
    </row>
    <row r="383" spans="1:72" x14ac:dyDescent="0.2">
      <c r="A383" t="s">
        <v>103</v>
      </c>
      <c r="B383" t="s">
        <v>7619</v>
      </c>
      <c r="C383" t="s">
        <v>74</v>
      </c>
      <c r="D383" t="s">
        <v>74</v>
      </c>
      <c r="E383" t="s">
        <v>74</v>
      </c>
      <c r="F383" t="s">
        <v>7620</v>
      </c>
      <c r="G383" t="s">
        <v>74</v>
      </c>
      <c r="H383" t="s">
        <v>74</v>
      </c>
      <c r="I383" t="s">
        <v>7621</v>
      </c>
      <c r="J383" t="s">
        <v>7622</v>
      </c>
      <c r="K383" t="s">
        <v>74</v>
      </c>
      <c r="L383" t="s">
        <v>74</v>
      </c>
      <c r="M383" t="s">
        <v>79</v>
      </c>
      <c r="N383" t="s">
        <v>108</v>
      </c>
      <c r="O383" t="s">
        <v>74</v>
      </c>
      <c r="P383" t="s">
        <v>74</v>
      </c>
      <c r="Q383" t="s">
        <v>74</v>
      </c>
      <c r="R383" t="s">
        <v>74</v>
      </c>
      <c r="S383" t="s">
        <v>74</v>
      </c>
      <c r="T383" t="s">
        <v>7623</v>
      </c>
      <c r="U383" t="s">
        <v>7624</v>
      </c>
      <c r="V383" t="s">
        <v>7625</v>
      </c>
      <c r="W383" t="s">
        <v>7626</v>
      </c>
      <c r="X383" t="s">
        <v>2883</v>
      </c>
      <c r="Y383" t="s">
        <v>7627</v>
      </c>
      <c r="Z383" t="s">
        <v>7628</v>
      </c>
      <c r="AA383" t="s">
        <v>74</v>
      </c>
      <c r="AB383" t="s">
        <v>7629</v>
      </c>
      <c r="AC383" t="s">
        <v>7630</v>
      </c>
      <c r="AD383" t="s">
        <v>7631</v>
      </c>
      <c r="AE383" t="s">
        <v>7632</v>
      </c>
      <c r="AF383" t="s">
        <v>74</v>
      </c>
      <c r="AG383">
        <v>25</v>
      </c>
      <c r="AH383">
        <v>1</v>
      </c>
      <c r="AI383">
        <v>1</v>
      </c>
      <c r="AJ383">
        <v>18</v>
      </c>
      <c r="AK383">
        <v>31</v>
      </c>
      <c r="AL383" t="s">
        <v>1379</v>
      </c>
      <c r="AM383" t="s">
        <v>1380</v>
      </c>
      <c r="AN383" t="s">
        <v>1381</v>
      </c>
      <c r="AO383" t="s">
        <v>7633</v>
      </c>
      <c r="AP383" t="s">
        <v>7634</v>
      </c>
      <c r="AQ383" t="s">
        <v>74</v>
      </c>
      <c r="AR383" t="s">
        <v>7635</v>
      </c>
      <c r="AS383" t="s">
        <v>7636</v>
      </c>
      <c r="AT383" t="s">
        <v>2582</v>
      </c>
      <c r="AU383">
        <v>2023</v>
      </c>
      <c r="AV383">
        <v>71</v>
      </c>
      <c r="AW383">
        <v>6</v>
      </c>
      <c r="AX383" t="s">
        <v>74</v>
      </c>
      <c r="AY383" t="s">
        <v>74</v>
      </c>
      <c r="AZ383" t="s">
        <v>74</v>
      </c>
      <c r="BA383" t="s">
        <v>74</v>
      </c>
      <c r="BB383">
        <v>5100</v>
      </c>
      <c r="BC383">
        <v>5109</v>
      </c>
      <c r="BD383" t="s">
        <v>74</v>
      </c>
      <c r="BE383" t="s">
        <v>7637</v>
      </c>
      <c r="BF383" t="str">
        <f>HYPERLINK("http://dx.doi.org/10.1109/TAP.2023.3266053","http://dx.doi.org/10.1109/TAP.2023.3266053")</f>
        <v>http://dx.doi.org/10.1109/TAP.2023.3266053</v>
      </c>
      <c r="BG383" t="s">
        <v>74</v>
      </c>
      <c r="BH383" t="s">
        <v>74</v>
      </c>
      <c r="BI383">
        <v>10</v>
      </c>
      <c r="BJ383" t="s">
        <v>3500</v>
      </c>
      <c r="BK383" t="s">
        <v>130</v>
      </c>
      <c r="BL383" t="s">
        <v>3501</v>
      </c>
      <c r="BM383" t="s">
        <v>7638</v>
      </c>
      <c r="BN383" t="s">
        <v>74</v>
      </c>
      <c r="BO383" t="s">
        <v>74</v>
      </c>
      <c r="BP383" t="s">
        <v>74</v>
      </c>
      <c r="BQ383" t="s">
        <v>74</v>
      </c>
      <c r="BR383" t="s">
        <v>101</v>
      </c>
      <c r="BS383" t="s">
        <v>7639</v>
      </c>
      <c r="BT383" t="str">
        <f>HYPERLINK("https%3A%2F%2Fwww.webofscience.com%2Fwos%2Fwoscc%2Ffull-record%2FWOS:001007752600042","View Full Record in Web of Science")</f>
        <v>View Full Record in Web of Science</v>
      </c>
    </row>
    <row r="384" spans="1:72" x14ac:dyDescent="0.2">
      <c r="A384" t="s">
        <v>103</v>
      </c>
      <c r="B384" t="s">
        <v>7640</v>
      </c>
      <c r="C384" t="s">
        <v>74</v>
      </c>
      <c r="D384" t="s">
        <v>74</v>
      </c>
      <c r="E384" t="s">
        <v>74</v>
      </c>
      <c r="F384" t="s">
        <v>7641</v>
      </c>
      <c r="G384" t="s">
        <v>74</v>
      </c>
      <c r="H384" t="s">
        <v>74</v>
      </c>
      <c r="I384" t="s">
        <v>7642</v>
      </c>
      <c r="J384" t="s">
        <v>7643</v>
      </c>
      <c r="K384" t="s">
        <v>74</v>
      </c>
      <c r="L384" t="s">
        <v>74</v>
      </c>
      <c r="M384" t="s">
        <v>79</v>
      </c>
      <c r="N384" t="s">
        <v>108</v>
      </c>
      <c r="O384" t="s">
        <v>74</v>
      </c>
      <c r="P384" t="s">
        <v>74</v>
      </c>
      <c r="Q384" t="s">
        <v>74</v>
      </c>
      <c r="R384" t="s">
        <v>74</v>
      </c>
      <c r="S384" t="s">
        <v>74</v>
      </c>
      <c r="T384" t="s">
        <v>7644</v>
      </c>
      <c r="U384" t="s">
        <v>74</v>
      </c>
      <c r="V384" t="s">
        <v>7645</v>
      </c>
      <c r="W384" t="s">
        <v>7646</v>
      </c>
      <c r="X384" t="s">
        <v>7647</v>
      </c>
      <c r="Y384" t="s">
        <v>7648</v>
      </c>
      <c r="Z384" t="s">
        <v>7649</v>
      </c>
      <c r="AA384" t="s">
        <v>7650</v>
      </c>
      <c r="AB384" t="s">
        <v>7651</v>
      </c>
      <c r="AC384" t="s">
        <v>7652</v>
      </c>
      <c r="AD384" t="s">
        <v>7653</v>
      </c>
      <c r="AE384" t="s">
        <v>7654</v>
      </c>
      <c r="AF384" t="s">
        <v>74</v>
      </c>
      <c r="AG384">
        <v>47</v>
      </c>
      <c r="AH384">
        <v>2</v>
      </c>
      <c r="AI384">
        <v>2</v>
      </c>
      <c r="AJ384">
        <v>11</v>
      </c>
      <c r="AK384">
        <v>22</v>
      </c>
      <c r="AL384" t="s">
        <v>1152</v>
      </c>
      <c r="AM384" t="s">
        <v>1153</v>
      </c>
      <c r="AN384" t="s">
        <v>1154</v>
      </c>
      <c r="AO384" t="s">
        <v>7655</v>
      </c>
      <c r="AP384" t="s">
        <v>7656</v>
      </c>
      <c r="AQ384" t="s">
        <v>74</v>
      </c>
      <c r="AR384" t="s">
        <v>7657</v>
      </c>
      <c r="AS384" t="s">
        <v>7658</v>
      </c>
      <c r="AT384" t="s">
        <v>7659</v>
      </c>
      <c r="AU384">
        <v>2023</v>
      </c>
      <c r="AV384">
        <v>37</v>
      </c>
      <c r="AW384" t="s">
        <v>74</v>
      </c>
      <c r="AX384" t="s">
        <v>74</v>
      </c>
      <c r="AY384" t="s">
        <v>74</v>
      </c>
      <c r="AZ384" t="s">
        <v>74</v>
      </c>
      <c r="BA384" t="s">
        <v>74</v>
      </c>
      <c r="BB384" t="s">
        <v>74</v>
      </c>
      <c r="BC384" t="s">
        <v>74</v>
      </c>
      <c r="BD384" t="s">
        <v>7660</v>
      </c>
      <c r="BE384" t="s">
        <v>7661</v>
      </c>
      <c r="BF384" t="str">
        <f>HYPERLINK("http://dx.doi.org/10.1017/S0890060423000069","http://dx.doi.org/10.1017/S0890060423000069")</f>
        <v>http://dx.doi.org/10.1017/S0890060423000069</v>
      </c>
      <c r="BG384" t="s">
        <v>74</v>
      </c>
      <c r="BH384" t="s">
        <v>74</v>
      </c>
      <c r="BI384">
        <v>19</v>
      </c>
      <c r="BJ384" t="s">
        <v>7662</v>
      </c>
      <c r="BK384" t="s">
        <v>130</v>
      </c>
      <c r="BL384" t="s">
        <v>906</v>
      </c>
      <c r="BM384" t="s">
        <v>7663</v>
      </c>
      <c r="BN384" t="s">
        <v>74</v>
      </c>
      <c r="BO384" t="s">
        <v>74</v>
      </c>
      <c r="BP384" t="s">
        <v>74</v>
      </c>
      <c r="BQ384" t="s">
        <v>74</v>
      </c>
      <c r="BR384" t="s">
        <v>101</v>
      </c>
      <c r="BS384" t="s">
        <v>7664</v>
      </c>
      <c r="BT384" t="str">
        <f>HYPERLINK("https%3A%2F%2Fwww.webofscience.com%2Fwos%2Fwoscc%2Ffull-record%2FWOS:000952062300001","View Full Record in Web of Science")</f>
        <v>View Full Record in Web of Science</v>
      </c>
    </row>
    <row r="385" spans="1:72" x14ac:dyDescent="0.2">
      <c r="A385" t="s">
        <v>72</v>
      </c>
      <c r="B385" t="s">
        <v>7665</v>
      </c>
      <c r="C385" t="s">
        <v>74</v>
      </c>
      <c r="D385" t="s">
        <v>7666</v>
      </c>
      <c r="E385" t="s">
        <v>74</v>
      </c>
      <c r="F385" t="s">
        <v>7667</v>
      </c>
      <c r="G385" t="s">
        <v>74</v>
      </c>
      <c r="H385" t="s">
        <v>74</v>
      </c>
      <c r="I385" t="s">
        <v>7668</v>
      </c>
      <c r="J385" t="s">
        <v>7669</v>
      </c>
      <c r="K385" t="s">
        <v>312</v>
      </c>
      <c r="L385" t="s">
        <v>74</v>
      </c>
      <c r="M385" t="s">
        <v>79</v>
      </c>
      <c r="N385" t="s">
        <v>80</v>
      </c>
      <c r="O385" t="s">
        <v>7670</v>
      </c>
      <c r="P385" t="s">
        <v>6016</v>
      </c>
      <c r="Q385" t="s">
        <v>6017</v>
      </c>
      <c r="R385" t="s">
        <v>74</v>
      </c>
      <c r="S385" t="s">
        <v>74</v>
      </c>
      <c r="T385" t="s">
        <v>7671</v>
      </c>
      <c r="U385" t="s">
        <v>74</v>
      </c>
      <c r="V385" t="s">
        <v>7672</v>
      </c>
      <c r="W385" t="s">
        <v>7673</v>
      </c>
      <c r="X385" t="s">
        <v>7674</v>
      </c>
      <c r="Y385" t="s">
        <v>7675</v>
      </c>
      <c r="Z385" t="s">
        <v>7676</v>
      </c>
      <c r="AA385" t="s">
        <v>74</v>
      </c>
      <c r="AB385" t="s">
        <v>74</v>
      </c>
      <c r="AC385" t="s">
        <v>7677</v>
      </c>
      <c r="AD385" t="s">
        <v>7678</v>
      </c>
      <c r="AE385" t="s">
        <v>7679</v>
      </c>
      <c r="AF385" t="s">
        <v>74</v>
      </c>
      <c r="AG385">
        <v>22</v>
      </c>
      <c r="AH385">
        <v>0</v>
      </c>
      <c r="AI385">
        <v>0</v>
      </c>
      <c r="AJ385">
        <v>0</v>
      </c>
      <c r="AK385">
        <v>0</v>
      </c>
      <c r="AL385" t="s">
        <v>325</v>
      </c>
      <c r="AM385" t="s">
        <v>245</v>
      </c>
      <c r="AN385" t="s">
        <v>246</v>
      </c>
      <c r="AO385" t="s">
        <v>326</v>
      </c>
      <c r="AP385" t="s">
        <v>327</v>
      </c>
      <c r="AQ385" t="s">
        <v>7680</v>
      </c>
      <c r="AR385" t="s">
        <v>329</v>
      </c>
      <c r="AS385" t="s">
        <v>74</v>
      </c>
      <c r="AT385" t="s">
        <v>74</v>
      </c>
      <c r="AU385">
        <v>2023</v>
      </c>
      <c r="AV385">
        <v>14393</v>
      </c>
      <c r="AW385" t="s">
        <v>74</v>
      </c>
      <c r="AX385" t="s">
        <v>74</v>
      </c>
      <c r="AY385" t="s">
        <v>74</v>
      </c>
      <c r="AZ385" t="s">
        <v>74</v>
      </c>
      <c r="BA385" t="s">
        <v>74</v>
      </c>
      <c r="BB385">
        <v>203</v>
      </c>
      <c r="BC385">
        <v>212</v>
      </c>
      <c r="BD385" t="s">
        <v>74</v>
      </c>
      <c r="BE385" t="s">
        <v>7681</v>
      </c>
      <c r="BF385" t="str">
        <f>HYPERLINK("http://dx.doi.org/10.1007/978-3-031-47401-9_20","http://dx.doi.org/10.1007/978-3-031-47401-9_20")</f>
        <v>http://dx.doi.org/10.1007/978-3-031-47401-9_20</v>
      </c>
      <c r="BG385" t="s">
        <v>74</v>
      </c>
      <c r="BH385" t="s">
        <v>74</v>
      </c>
      <c r="BI385">
        <v>10</v>
      </c>
      <c r="BJ385" t="s">
        <v>6029</v>
      </c>
      <c r="BK385" t="s">
        <v>98</v>
      </c>
      <c r="BL385" t="s">
        <v>6030</v>
      </c>
      <c r="BM385" t="s">
        <v>7682</v>
      </c>
      <c r="BN385" t="s">
        <v>74</v>
      </c>
      <c r="BO385" t="s">
        <v>74</v>
      </c>
      <c r="BP385" t="s">
        <v>74</v>
      </c>
      <c r="BQ385" t="s">
        <v>74</v>
      </c>
      <c r="BR385" t="s">
        <v>101</v>
      </c>
      <c r="BS385" t="s">
        <v>7683</v>
      </c>
      <c r="BT385" t="str">
        <f>HYPERLINK("https%3A%2F%2Fwww.webofscience.com%2Fwos%2Fwoscc%2Ffull-record%2FWOS:001160722800020","View Full Record in Web of Science")</f>
        <v>View Full Record in Web of Science</v>
      </c>
    </row>
    <row r="386" spans="1:72" x14ac:dyDescent="0.2">
      <c r="A386" t="s">
        <v>72</v>
      </c>
      <c r="B386" t="s">
        <v>7684</v>
      </c>
      <c r="C386" t="s">
        <v>74</v>
      </c>
      <c r="D386" t="s">
        <v>7685</v>
      </c>
      <c r="E386" t="s">
        <v>74</v>
      </c>
      <c r="F386" t="s">
        <v>7686</v>
      </c>
      <c r="G386" t="s">
        <v>74</v>
      </c>
      <c r="H386" t="s">
        <v>74</v>
      </c>
      <c r="I386" t="s">
        <v>7687</v>
      </c>
      <c r="J386" t="s">
        <v>7688</v>
      </c>
      <c r="K386" t="s">
        <v>74</v>
      </c>
      <c r="L386" t="s">
        <v>74</v>
      </c>
      <c r="M386" t="s">
        <v>79</v>
      </c>
      <c r="N386" t="s">
        <v>80</v>
      </c>
      <c r="O386" t="s">
        <v>7689</v>
      </c>
      <c r="P386" t="s">
        <v>7690</v>
      </c>
      <c r="Q386" t="s">
        <v>7691</v>
      </c>
      <c r="R386" t="s">
        <v>74</v>
      </c>
      <c r="S386" t="s">
        <v>7692</v>
      </c>
      <c r="T386" t="s">
        <v>7693</v>
      </c>
      <c r="U386" t="s">
        <v>74</v>
      </c>
      <c r="V386" t="s">
        <v>7694</v>
      </c>
      <c r="W386" t="s">
        <v>7695</v>
      </c>
      <c r="X386" t="s">
        <v>74</v>
      </c>
      <c r="Y386" t="s">
        <v>7696</v>
      </c>
      <c r="Z386" t="s">
        <v>7697</v>
      </c>
      <c r="AA386" t="s">
        <v>74</v>
      </c>
      <c r="AB386" t="s">
        <v>7698</v>
      </c>
      <c r="AC386" t="s">
        <v>74</v>
      </c>
      <c r="AD386" t="s">
        <v>74</v>
      </c>
      <c r="AE386" t="s">
        <v>74</v>
      </c>
      <c r="AF386" t="s">
        <v>74</v>
      </c>
      <c r="AG386">
        <v>22</v>
      </c>
      <c r="AH386">
        <v>0</v>
      </c>
      <c r="AI386">
        <v>0</v>
      </c>
      <c r="AJ386">
        <v>3</v>
      </c>
      <c r="AK386">
        <v>7</v>
      </c>
      <c r="AL386" t="s">
        <v>325</v>
      </c>
      <c r="AM386" t="s">
        <v>245</v>
      </c>
      <c r="AN386" t="s">
        <v>246</v>
      </c>
      <c r="AO386" t="s">
        <v>74</v>
      </c>
      <c r="AP386" t="s">
        <v>74</v>
      </c>
      <c r="AQ386" t="s">
        <v>7699</v>
      </c>
      <c r="AR386" t="s">
        <v>74</v>
      </c>
      <c r="AS386" t="s">
        <v>74</v>
      </c>
      <c r="AT386" t="s">
        <v>74</v>
      </c>
      <c r="AU386">
        <v>2023</v>
      </c>
      <c r="AV386" t="s">
        <v>74</v>
      </c>
      <c r="AW386" t="s">
        <v>74</v>
      </c>
      <c r="AX386" t="s">
        <v>74</v>
      </c>
      <c r="AY386" t="s">
        <v>74</v>
      </c>
      <c r="AZ386" t="s">
        <v>74</v>
      </c>
      <c r="BA386" t="s">
        <v>74</v>
      </c>
      <c r="BB386">
        <v>149</v>
      </c>
      <c r="BC386">
        <v>160</v>
      </c>
      <c r="BD386" t="s">
        <v>74</v>
      </c>
      <c r="BE386" t="s">
        <v>7700</v>
      </c>
      <c r="BF386" t="str">
        <f>HYPERLINK("http://dx.doi.org/10.1007/978-3-031-13249-0_13","http://dx.doi.org/10.1007/978-3-031-13249-0_13")</f>
        <v>http://dx.doi.org/10.1007/978-3-031-13249-0_13</v>
      </c>
      <c r="BG386" t="s">
        <v>74</v>
      </c>
      <c r="BH386" t="s">
        <v>74</v>
      </c>
      <c r="BI386">
        <v>12</v>
      </c>
      <c r="BJ386" t="s">
        <v>7701</v>
      </c>
      <c r="BK386" t="s">
        <v>180</v>
      </c>
      <c r="BL386" t="s">
        <v>7702</v>
      </c>
      <c r="BM386" t="s">
        <v>7703</v>
      </c>
      <c r="BN386" t="s">
        <v>74</v>
      </c>
      <c r="BO386" t="s">
        <v>74</v>
      </c>
      <c r="BP386" t="s">
        <v>74</v>
      </c>
      <c r="BQ386" t="s">
        <v>74</v>
      </c>
      <c r="BR386" t="s">
        <v>101</v>
      </c>
      <c r="BS386" t="s">
        <v>7704</v>
      </c>
      <c r="BT386" t="str">
        <f>HYPERLINK("https%3A%2F%2Fwww.webofscience.com%2Fwos%2Fwoscc%2Ffull-record%2FWOS:000870223800013","View Full Record in Web of Science")</f>
        <v>View Full Record in Web of Science</v>
      </c>
    </row>
    <row r="387" spans="1:72" x14ac:dyDescent="0.2">
      <c r="A387" t="s">
        <v>103</v>
      </c>
      <c r="B387" t="s">
        <v>7705</v>
      </c>
      <c r="C387" t="s">
        <v>74</v>
      </c>
      <c r="D387" t="s">
        <v>74</v>
      </c>
      <c r="E387" t="s">
        <v>74</v>
      </c>
      <c r="F387" t="s">
        <v>7706</v>
      </c>
      <c r="G387" t="s">
        <v>74</v>
      </c>
      <c r="H387" t="s">
        <v>74</v>
      </c>
      <c r="I387" t="s">
        <v>7707</v>
      </c>
      <c r="J387" t="s">
        <v>7708</v>
      </c>
      <c r="K387" t="s">
        <v>74</v>
      </c>
      <c r="L387" t="s">
        <v>74</v>
      </c>
      <c r="M387" t="s">
        <v>79</v>
      </c>
      <c r="N387" t="s">
        <v>108</v>
      </c>
      <c r="O387" t="s">
        <v>74</v>
      </c>
      <c r="P387" t="s">
        <v>74</v>
      </c>
      <c r="Q387" t="s">
        <v>74</v>
      </c>
      <c r="R387" t="s">
        <v>74</v>
      </c>
      <c r="S387" t="s">
        <v>74</v>
      </c>
      <c r="T387" t="s">
        <v>7709</v>
      </c>
      <c r="U387" t="s">
        <v>74</v>
      </c>
      <c r="V387" t="s">
        <v>7710</v>
      </c>
      <c r="W387" t="s">
        <v>7711</v>
      </c>
      <c r="X387" t="s">
        <v>7712</v>
      </c>
      <c r="Y387" t="s">
        <v>7713</v>
      </c>
      <c r="Z387" t="s">
        <v>7714</v>
      </c>
      <c r="AA387" t="s">
        <v>74</v>
      </c>
      <c r="AB387" t="s">
        <v>74</v>
      </c>
      <c r="AC387" t="s">
        <v>74</v>
      </c>
      <c r="AD387" t="s">
        <v>74</v>
      </c>
      <c r="AE387" t="s">
        <v>74</v>
      </c>
      <c r="AF387" t="s">
        <v>74</v>
      </c>
      <c r="AG387">
        <v>10</v>
      </c>
      <c r="AH387">
        <v>1</v>
      </c>
      <c r="AI387">
        <v>1</v>
      </c>
      <c r="AJ387">
        <v>6</v>
      </c>
      <c r="AK387">
        <v>6</v>
      </c>
      <c r="AL387" t="s">
        <v>7715</v>
      </c>
      <c r="AM387" t="s">
        <v>7716</v>
      </c>
      <c r="AN387" t="s">
        <v>7717</v>
      </c>
      <c r="AO387" t="s">
        <v>7718</v>
      </c>
      <c r="AP387" t="s">
        <v>74</v>
      </c>
      <c r="AQ387" t="s">
        <v>74</v>
      </c>
      <c r="AR387" t="s">
        <v>7719</v>
      </c>
      <c r="AS387" t="s">
        <v>7720</v>
      </c>
      <c r="AT387" t="s">
        <v>74</v>
      </c>
      <c r="AU387">
        <v>2023</v>
      </c>
      <c r="AV387">
        <v>15</v>
      </c>
      <c r="AW387" t="s">
        <v>74</v>
      </c>
      <c r="AX387" t="s">
        <v>74</v>
      </c>
      <c r="AY387" t="s">
        <v>74</v>
      </c>
      <c r="AZ387" t="s">
        <v>74</v>
      </c>
      <c r="BA387" t="s">
        <v>74</v>
      </c>
      <c r="BB387">
        <v>289</v>
      </c>
      <c r="BC387">
        <v>292</v>
      </c>
      <c r="BD387" t="s">
        <v>74</v>
      </c>
      <c r="BE387" t="s">
        <v>7721</v>
      </c>
      <c r="BF387" t="str">
        <f>HYPERLINK("http://dx.doi.org/10.2147/OAEM.S420764","http://dx.doi.org/10.2147/OAEM.S420764")</f>
        <v>http://dx.doi.org/10.2147/OAEM.S420764</v>
      </c>
      <c r="BG387" t="s">
        <v>74</v>
      </c>
      <c r="BH387" t="s">
        <v>74</v>
      </c>
      <c r="BI387">
        <v>4</v>
      </c>
      <c r="BJ387" t="s">
        <v>7722</v>
      </c>
      <c r="BK387" t="s">
        <v>352</v>
      </c>
      <c r="BL387" t="s">
        <v>7722</v>
      </c>
      <c r="BM387" t="s">
        <v>7723</v>
      </c>
      <c r="BN387">
        <v>37701881</v>
      </c>
      <c r="BO387" t="s">
        <v>1728</v>
      </c>
      <c r="BP387" t="s">
        <v>74</v>
      </c>
      <c r="BQ387" t="s">
        <v>74</v>
      </c>
      <c r="BR387" t="s">
        <v>101</v>
      </c>
      <c r="BS387" t="s">
        <v>7724</v>
      </c>
      <c r="BT387" t="str">
        <f>HYPERLINK("https%3A%2F%2Fwww.webofscience.com%2Fwos%2Fwoscc%2Ffull-record%2FWOS:001067941600001","View Full Record in Web of Science")</f>
        <v>View Full Record in Web of Science</v>
      </c>
    </row>
    <row r="388" spans="1:72" x14ac:dyDescent="0.2">
      <c r="A388" t="s">
        <v>103</v>
      </c>
      <c r="B388" t="s">
        <v>7725</v>
      </c>
      <c r="C388" t="s">
        <v>74</v>
      </c>
      <c r="D388" t="s">
        <v>74</v>
      </c>
      <c r="E388" t="s">
        <v>74</v>
      </c>
      <c r="F388" t="s">
        <v>7726</v>
      </c>
      <c r="G388" t="s">
        <v>74</v>
      </c>
      <c r="H388" t="s">
        <v>74</v>
      </c>
      <c r="I388" t="s">
        <v>7727</v>
      </c>
      <c r="J388" t="s">
        <v>7728</v>
      </c>
      <c r="K388" t="s">
        <v>74</v>
      </c>
      <c r="L388" t="s">
        <v>74</v>
      </c>
      <c r="M388" t="s">
        <v>79</v>
      </c>
      <c r="N388" t="s">
        <v>108</v>
      </c>
      <c r="O388" t="s">
        <v>74</v>
      </c>
      <c r="P388" t="s">
        <v>74</v>
      </c>
      <c r="Q388" t="s">
        <v>74</v>
      </c>
      <c r="R388" t="s">
        <v>74</v>
      </c>
      <c r="S388" t="s">
        <v>74</v>
      </c>
      <c r="T388" t="s">
        <v>7729</v>
      </c>
      <c r="U388" t="s">
        <v>74</v>
      </c>
      <c r="V388" t="s">
        <v>7730</v>
      </c>
      <c r="W388" t="s">
        <v>7731</v>
      </c>
      <c r="X388" t="s">
        <v>74</v>
      </c>
      <c r="Y388" t="s">
        <v>7732</v>
      </c>
      <c r="Z388" t="s">
        <v>7733</v>
      </c>
      <c r="AA388" t="s">
        <v>74</v>
      </c>
      <c r="AB388" t="s">
        <v>74</v>
      </c>
      <c r="AC388" t="s">
        <v>74</v>
      </c>
      <c r="AD388" t="s">
        <v>74</v>
      </c>
      <c r="AE388" t="s">
        <v>74</v>
      </c>
      <c r="AF388" t="s">
        <v>74</v>
      </c>
      <c r="AG388">
        <v>7</v>
      </c>
      <c r="AH388">
        <v>1</v>
      </c>
      <c r="AI388">
        <v>1</v>
      </c>
      <c r="AJ388">
        <v>11</v>
      </c>
      <c r="AK388">
        <v>19</v>
      </c>
      <c r="AL388" t="s">
        <v>2010</v>
      </c>
      <c r="AM388" t="s">
        <v>93</v>
      </c>
      <c r="AN388" t="s">
        <v>2011</v>
      </c>
      <c r="AO388" t="s">
        <v>7734</v>
      </c>
      <c r="AP388" t="s">
        <v>7735</v>
      </c>
      <c r="AQ388" t="s">
        <v>74</v>
      </c>
      <c r="AR388" t="s">
        <v>7736</v>
      </c>
      <c r="AS388" t="s">
        <v>7737</v>
      </c>
      <c r="AT388" t="s">
        <v>615</v>
      </c>
      <c r="AU388">
        <v>2023</v>
      </c>
      <c r="AV388">
        <v>120</v>
      </c>
      <c r="AW388">
        <v>1</v>
      </c>
      <c r="AX388" t="s">
        <v>74</v>
      </c>
      <c r="AY388" t="s">
        <v>74</v>
      </c>
      <c r="AZ388" t="s">
        <v>74</v>
      </c>
      <c r="BA388" t="s">
        <v>74</v>
      </c>
      <c r="BB388">
        <v>3</v>
      </c>
      <c r="BC388">
        <v>7</v>
      </c>
      <c r="BD388" t="s">
        <v>74</v>
      </c>
      <c r="BE388" t="s">
        <v>7738</v>
      </c>
      <c r="BF388" t="str">
        <f>HYPERLINK("http://dx.doi.org/10.1016/j.fertnstert.2023.05.006","http://dx.doi.org/10.1016/j.fertnstert.2023.05.006")</f>
        <v>http://dx.doi.org/10.1016/j.fertnstert.2023.05.006</v>
      </c>
      <c r="BG388" t="s">
        <v>74</v>
      </c>
      <c r="BH388" t="s">
        <v>1910</v>
      </c>
      <c r="BI388">
        <v>5</v>
      </c>
      <c r="BJ388" t="s">
        <v>7739</v>
      </c>
      <c r="BK388" t="s">
        <v>130</v>
      </c>
      <c r="BL388" t="s">
        <v>7739</v>
      </c>
      <c r="BM388" t="s">
        <v>7740</v>
      </c>
      <c r="BN388">
        <v>37178998</v>
      </c>
      <c r="BO388" t="s">
        <v>1237</v>
      </c>
      <c r="BP388" t="s">
        <v>74</v>
      </c>
      <c r="BQ388" t="s">
        <v>74</v>
      </c>
      <c r="BR388" t="s">
        <v>101</v>
      </c>
      <c r="BS388" t="s">
        <v>7741</v>
      </c>
      <c r="BT388" t="str">
        <f>HYPERLINK("https%3A%2F%2Fwww.webofscience.com%2Fwos%2Fwoscc%2Ffull-record%2FWOS:001025902100001","View Full Record in Web of Science")</f>
        <v>View Full Record in Web of Science</v>
      </c>
    </row>
    <row r="389" spans="1:72" x14ac:dyDescent="0.2">
      <c r="A389" t="s">
        <v>103</v>
      </c>
      <c r="B389" t="s">
        <v>7742</v>
      </c>
      <c r="C389" t="s">
        <v>74</v>
      </c>
      <c r="D389" t="s">
        <v>74</v>
      </c>
      <c r="E389" t="s">
        <v>74</v>
      </c>
      <c r="F389" t="s">
        <v>7743</v>
      </c>
      <c r="G389" t="s">
        <v>74</v>
      </c>
      <c r="H389" t="s">
        <v>74</v>
      </c>
      <c r="I389" t="s">
        <v>7744</v>
      </c>
      <c r="J389" t="s">
        <v>4167</v>
      </c>
      <c r="K389" t="s">
        <v>74</v>
      </c>
      <c r="L389" t="s">
        <v>74</v>
      </c>
      <c r="M389" t="s">
        <v>79</v>
      </c>
      <c r="N389" t="s">
        <v>108</v>
      </c>
      <c r="O389" t="s">
        <v>74</v>
      </c>
      <c r="P389" t="s">
        <v>74</v>
      </c>
      <c r="Q389" t="s">
        <v>74</v>
      </c>
      <c r="R389" t="s">
        <v>74</v>
      </c>
      <c r="S389" t="s">
        <v>74</v>
      </c>
      <c r="T389" t="s">
        <v>7745</v>
      </c>
      <c r="U389" t="s">
        <v>74</v>
      </c>
      <c r="V389" t="s">
        <v>7746</v>
      </c>
      <c r="W389" t="s">
        <v>7747</v>
      </c>
      <c r="X389" t="s">
        <v>7748</v>
      </c>
      <c r="Y389" t="s">
        <v>7749</v>
      </c>
      <c r="Z389" t="s">
        <v>7750</v>
      </c>
      <c r="AA389" t="s">
        <v>74</v>
      </c>
      <c r="AB389" t="s">
        <v>7751</v>
      </c>
      <c r="AC389" t="s">
        <v>74</v>
      </c>
      <c r="AD389" t="s">
        <v>74</v>
      </c>
      <c r="AE389" t="s">
        <v>74</v>
      </c>
      <c r="AF389" t="s">
        <v>74</v>
      </c>
      <c r="AG389">
        <v>9</v>
      </c>
      <c r="AH389">
        <v>0</v>
      </c>
      <c r="AI389">
        <v>0</v>
      </c>
      <c r="AJ389">
        <v>21</v>
      </c>
      <c r="AK389">
        <v>21</v>
      </c>
      <c r="AL389" t="s">
        <v>4176</v>
      </c>
      <c r="AM389" t="s">
        <v>4177</v>
      </c>
      <c r="AN389" t="s">
        <v>4178</v>
      </c>
      <c r="AO389" t="s">
        <v>4179</v>
      </c>
      <c r="AP389" t="s">
        <v>74</v>
      </c>
      <c r="AQ389" t="s">
        <v>74</v>
      </c>
      <c r="AR389" t="s">
        <v>4180</v>
      </c>
      <c r="AS389" t="s">
        <v>4181</v>
      </c>
      <c r="AT389" t="s">
        <v>74</v>
      </c>
      <c r="AU389">
        <v>2023</v>
      </c>
      <c r="AV389">
        <v>9</v>
      </c>
      <c r="AW389" t="s">
        <v>74</v>
      </c>
      <c r="AX389" t="s">
        <v>74</v>
      </c>
      <c r="AY389" t="s">
        <v>74</v>
      </c>
      <c r="AZ389" t="s">
        <v>74</v>
      </c>
      <c r="BA389" t="s">
        <v>74</v>
      </c>
      <c r="BB389" t="s">
        <v>74</v>
      </c>
      <c r="BC389" t="s">
        <v>74</v>
      </c>
      <c r="BD389" t="s">
        <v>7752</v>
      </c>
      <c r="BE389" t="s">
        <v>7753</v>
      </c>
      <c r="BF389" t="str">
        <f>HYPERLINK("http://dx.doi.org/10.2196/48780","http://dx.doi.org/10.2196/48780")</f>
        <v>http://dx.doi.org/10.2196/48780</v>
      </c>
      <c r="BG389" t="s">
        <v>74</v>
      </c>
      <c r="BH389" t="s">
        <v>74</v>
      </c>
      <c r="BI389">
        <v>3</v>
      </c>
      <c r="BJ389" t="s">
        <v>3308</v>
      </c>
      <c r="BK389" t="s">
        <v>352</v>
      </c>
      <c r="BL389" t="s">
        <v>423</v>
      </c>
      <c r="BM389" t="s">
        <v>7754</v>
      </c>
      <c r="BN389">
        <v>37728965</v>
      </c>
      <c r="BO389" t="s">
        <v>1728</v>
      </c>
      <c r="BP389" t="s">
        <v>74</v>
      </c>
      <c r="BQ389" t="s">
        <v>74</v>
      </c>
      <c r="BR389" t="s">
        <v>101</v>
      </c>
      <c r="BS389" t="s">
        <v>7755</v>
      </c>
      <c r="BT389" t="str">
        <f>HYPERLINK("https%3A%2F%2Fwww.webofscience.com%2Fwos%2Fwoscc%2Ffull-record%2FWOS:001085637200001","View Full Record in Web of Science")</f>
        <v>View Full Record in Web of Science</v>
      </c>
    </row>
    <row r="390" spans="1:72" x14ac:dyDescent="0.2">
      <c r="A390" t="s">
        <v>103</v>
      </c>
      <c r="B390" t="s">
        <v>7756</v>
      </c>
      <c r="C390" t="s">
        <v>74</v>
      </c>
      <c r="D390" t="s">
        <v>74</v>
      </c>
      <c r="E390" t="s">
        <v>74</v>
      </c>
      <c r="F390" t="s">
        <v>7757</v>
      </c>
      <c r="G390" t="s">
        <v>74</v>
      </c>
      <c r="H390" t="s">
        <v>74</v>
      </c>
      <c r="I390" t="s">
        <v>7758</v>
      </c>
      <c r="J390" t="s">
        <v>4167</v>
      </c>
      <c r="K390" t="s">
        <v>74</v>
      </c>
      <c r="L390" t="s">
        <v>74</v>
      </c>
      <c r="M390" t="s">
        <v>79</v>
      </c>
      <c r="N390" t="s">
        <v>108</v>
      </c>
      <c r="O390" t="s">
        <v>74</v>
      </c>
      <c r="P390" t="s">
        <v>74</v>
      </c>
      <c r="Q390" t="s">
        <v>74</v>
      </c>
      <c r="R390" t="s">
        <v>74</v>
      </c>
      <c r="S390" t="s">
        <v>74</v>
      </c>
      <c r="T390" t="s">
        <v>7759</v>
      </c>
      <c r="U390" t="s">
        <v>74</v>
      </c>
      <c r="V390" t="s">
        <v>7760</v>
      </c>
      <c r="W390" t="s">
        <v>7761</v>
      </c>
      <c r="X390" t="s">
        <v>7762</v>
      </c>
      <c r="Y390" t="s">
        <v>7763</v>
      </c>
      <c r="Z390" t="s">
        <v>7764</v>
      </c>
      <c r="AA390" t="s">
        <v>7765</v>
      </c>
      <c r="AB390" t="s">
        <v>7766</v>
      </c>
      <c r="AC390" t="s">
        <v>74</v>
      </c>
      <c r="AD390" t="s">
        <v>74</v>
      </c>
      <c r="AE390" t="s">
        <v>74</v>
      </c>
      <c r="AF390" t="s">
        <v>74</v>
      </c>
      <c r="AG390">
        <v>31</v>
      </c>
      <c r="AH390">
        <v>3</v>
      </c>
      <c r="AI390">
        <v>3</v>
      </c>
      <c r="AJ390">
        <v>18</v>
      </c>
      <c r="AK390">
        <v>18</v>
      </c>
      <c r="AL390" t="s">
        <v>4176</v>
      </c>
      <c r="AM390" t="s">
        <v>4177</v>
      </c>
      <c r="AN390" t="s">
        <v>4178</v>
      </c>
      <c r="AO390" t="s">
        <v>4179</v>
      </c>
      <c r="AP390" t="s">
        <v>74</v>
      </c>
      <c r="AQ390" t="s">
        <v>74</v>
      </c>
      <c r="AR390" t="s">
        <v>4180</v>
      </c>
      <c r="AS390" t="s">
        <v>4181</v>
      </c>
      <c r="AT390" t="s">
        <v>74</v>
      </c>
      <c r="AU390">
        <v>2023</v>
      </c>
      <c r="AV390">
        <v>9</v>
      </c>
      <c r="AW390" t="s">
        <v>74</v>
      </c>
      <c r="AX390" t="s">
        <v>74</v>
      </c>
      <c r="AY390" t="s">
        <v>74</v>
      </c>
      <c r="AZ390" t="s">
        <v>74</v>
      </c>
      <c r="BA390" t="s">
        <v>74</v>
      </c>
      <c r="BB390" t="s">
        <v>74</v>
      </c>
      <c r="BC390" t="s">
        <v>74</v>
      </c>
      <c r="BD390" t="s">
        <v>7767</v>
      </c>
      <c r="BE390" t="s">
        <v>7768</v>
      </c>
      <c r="BF390" t="str">
        <f>HYPERLINK("http://dx.doi.org/10.2196/51421","http://dx.doi.org/10.2196/51421")</f>
        <v>http://dx.doi.org/10.2196/51421</v>
      </c>
      <c r="BG390" t="s">
        <v>74</v>
      </c>
      <c r="BH390" t="s">
        <v>74</v>
      </c>
      <c r="BI390">
        <v>10</v>
      </c>
      <c r="BJ390" t="s">
        <v>3308</v>
      </c>
      <c r="BK390" t="s">
        <v>352</v>
      </c>
      <c r="BL390" t="s">
        <v>423</v>
      </c>
      <c r="BM390" t="s">
        <v>7769</v>
      </c>
      <c r="BN390">
        <v>37910155</v>
      </c>
      <c r="BO390" t="s">
        <v>1728</v>
      </c>
      <c r="BP390" t="s">
        <v>74</v>
      </c>
      <c r="BQ390" t="s">
        <v>74</v>
      </c>
      <c r="BR390" t="s">
        <v>101</v>
      </c>
      <c r="BS390" t="s">
        <v>7770</v>
      </c>
      <c r="BT390" t="str">
        <f>HYPERLINK("https%3A%2F%2Fwww.webofscience.com%2Fwos%2Fwoscc%2Ffull-record%2FWOS:001107458100002","View Full Record in Web of Science")</f>
        <v>View Full Record in Web of Science</v>
      </c>
    </row>
    <row r="391" spans="1:72" x14ac:dyDescent="0.2">
      <c r="A391" t="s">
        <v>103</v>
      </c>
      <c r="B391" t="s">
        <v>7771</v>
      </c>
      <c r="C391" t="s">
        <v>74</v>
      </c>
      <c r="D391" t="s">
        <v>74</v>
      </c>
      <c r="E391" t="s">
        <v>74</v>
      </c>
      <c r="F391" t="s">
        <v>7772</v>
      </c>
      <c r="G391" t="s">
        <v>74</v>
      </c>
      <c r="H391" t="s">
        <v>74</v>
      </c>
      <c r="I391" t="s">
        <v>7773</v>
      </c>
      <c r="J391" t="s">
        <v>7774</v>
      </c>
      <c r="K391" t="s">
        <v>74</v>
      </c>
      <c r="L391" t="s">
        <v>74</v>
      </c>
      <c r="M391" t="s">
        <v>79</v>
      </c>
      <c r="N391" t="s">
        <v>108</v>
      </c>
      <c r="O391" t="s">
        <v>74</v>
      </c>
      <c r="P391" t="s">
        <v>74</v>
      </c>
      <c r="Q391" t="s">
        <v>74</v>
      </c>
      <c r="R391" t="s">
        <v>74</v>
      </c>
      <c r="S391" t="s">
        <v>74</v>
      </c>
      <c r="T391" t="s">
        <v>7775</v>
      </c>
      <c r="U391" t="s">
        <v>74</v>
      </c>
      <c r="V391" t="s">
        <v>7776</v>
      </c>
      <c r="W391" t="s">
        <v>7777</v>
      </c>
      <c r="X391" t="s">
        <v>7778</v>
      </c>
      <c r="Y391" t="s">
        <v>7779</v>
      </c>
      <c r="Z391" t="s">
        <v>7780</v>
      </c>
      <c r="AA391" t="s">
        <v>7781</v>
      </c>
      <c r="AB391" t="s">
        <v>7782</v>
      </c>
      <c r="AC391" t="s">
        <v>74</v>
      </c>
      <c r="AD391" t="s">
        <v>74</v>
      </c>
      <c r="AE391" t="s">
        <v>74</v>
      </c>
      <c r="AF391" t="s">
        <v>74</v>
      </c>
      <c r="AG391">
        <v>46</v>
      </c>
      <c r="AH391">
        <v>3</v>
      </c>
      <c r="AI391">
        <v>3</v>
      </c>
      <c r="AJ391">
        <v>80</v>
      </c>
      <c r="AK391">
        <v>114</v>
      </c>
      <c r="AL391" t="s">
        <v>737</v>
      </c>
      <c r="AM391" t="s">
        <v>738</v>
      </c>
      <c r="AN391" t="s">
        <v>739</v>
      </c>
      <c r="AO391" t="s">
        <v>7783</v>
      </c>
      <c r="AP391" t="s">
        <v>7784</v>
      </c>
      <c r="AQ391" t="s">
        <v>74</v>
      </c>
      <c r="AR391" t="s">
        <v>7785</v>
      </c>
      <c r="AS391" t="s">
        <v>7786</v>
      </c>
      <c r="AT391" t="s">
        <v>2383</v>
      </c>
      <c r="AU391">
        <v>2023</v>
      </c>
      <c r="AV391">
        <v>17</v>
      </c>
      <c r="AW391">
        <v>3</v>
      </c>
      <c r="AX391" t="s">
        <v>74</v>
      </c>
      <c r="AY391" t="s">
        <v>74</v>
      </c>
      <c r="AZ391" t="s">
        <v>74</v>
      </c>
      <c r="BA391" t="s">
        <v>74</v>
      </c>
      <c r="BB391">
        <v>37</v>
      </c>
      <c r="BC391">
        <v>58</v>
      </c>
      <c r="BD391" t="s">
        <v>74</v>
      </c>
      <c r="BE391" t="s">
        <v>7787</v>
      </c>
      <c r="BF391" t="str">
        <f>HYPERLINK("http://dx.doi.org/10.1080/19322909.2023.2221477","http://dx.doi.org/10.1080/19322909.2023.2221477")</f>
        <v>http://dx.doi.org/10.1080/19322909.2023.2221477</v>
      </c>
      <c r="BG391" t="s">
        <v>74</v>
      </c>
      <c r="BH391" t="s">
        <v>1910</v>
      </c>
      <c r="BI391">
        <v>22</v>
      </c>
      <c r="BJ391" t="s">
        <v>1016</v>
      </c>
      <c r="BK391" t="s">
        <v>352</v>
      </c>
      <c r="BL391" t="s">
        <v>1016</v>
      </c>
      <c r="BM391" t="s">
        <v>7788</v>
      </c>
      <c r="BN391" t="s">
        <v>74</v>
      </c>
      <c r="BO391" t="s">
        <v>74</v>
      </c>
      <c r="BP391" t="s">
        <v>74</v>
      </c>
      <c r="BQ391" t="s">
        <v>74</v>
      </c>
      <c r="BR391" t="s">
        <v>101</v>
      </c>
      <c r="BS391" t="s">
        <v>7789</v>
      </c>
      <c r="BT391" t="str">
        <f>HYPERLINK("https%3A%2F%2Fwww.webofscience.com%2Fwos%2Fwoscc%2Ffull-record%2FWOS:001008468200001","View Full Record in Web of Science")</f>
        <v>View Full Record in Web of Science</v>
      </c>
    </row>
    <row r="392" spans="1:72" x14ac:dyDescent="0.2">
      <c r="A392" t="s">
        <v>72</v>
      </c>
      <c r="B392" t="s">
        <v>7790</v>
      </c>
      <c r="C392" t="s">
        <v>74</v>
      </c>
      <c r="D392" t="s">
        <v>74</v>
      </c>
      <c r="E392" t="s">
        <v>75</v>
      </c>
      <c r="F392" t="s">
        <v>7791</v>
      </c>
      <c r="G392" t="s">
        <v>74</v>
      </c>
      <c r="H392" t="s">
        <v>74</v>
      </c>
      <c r="I392" t="s">
        <v>7792</v>
      </c>
      <c r="J392" t="s">
        <v>2727</v>
      </c>
      <c r="K392" t="s">
        <v>74</v>
      </c>
      <c r="L392" t="s">
        <v>74</v>
      </c>
      <c r="M392" t="s">
        <v>79</v>
      </c>
      <c r="N392" t="s">
        <v>80</v>
      </c>
      <c r="O392" t="s">
        <v>2728</v>
      </c>
      <c r="P392" t="s">
        <v>2729</v>
      </c>
      <c r="Q392" t="s">
        <v>2730</v>
      </c>
      <c r="R392" t="s">
        <v>2731</v>
      </c>
      <c r="S392" t="s">
        <v>74</v>
      </c>
      <c r="T392" t="s">
        <v>7793</v>
      </c>
      <c r="U392" t="s">
        <v>74</v>
      </c>
      <c r="V392" t="s">
        <v>7794</v>
      </c>
      <c r="W392" t="s">
        <v>7795</v>
      </c>
      <c r="X392" t="s">
        <v>7796</v>
      </c>
      <c r="Y392" t="s">
        <v>7797</v>
      </c>
      <c r="Z392" t="s">
        <v>7798</v>
      </c>
      <c r="AA392" t="s">
        <v>74</v>
      </c>
      <c r="AB392" t="s">
        <v>7799</v>
      </c>
      <c r="AC392" t="s">
        <v>74</v>
      </c>
      <c r="AD392" t="s">
        <v>74</v>
      </c>
      <c r="AE392" t="s">
        <v>74</v>
      </c>
      <c r="AF392" t="s">
        <v>74</v>
      </c>
      <c r="AG392">
        <v>36</v>
      </c>
      <c r="AH392">
        <v>0</v>
      </c>
      <c r="AI392">
        <v>0</v>
      </c>
      <c r="AJ392">
        <v>3</v>
      </c>
      <c r="AK392">
        <v>3</v>
      </c>
      <c r="AL392" t="s">
        <v>92</v>
      </c>
      <c r="AM392" t="s">
        <v>93</v>
      </c>
      <c r="AN392" t="s">
        <v>94</v>
      </c>
      <c r="AO392" t="s">
        <v>74</v>
      </c>
      <c r="AP392" t="s">
        <v>74</v>
      </c>
      <c r="AQ392" t="s">
        <v>2740</v>
      </c>
      <c r="AR392" t="s">
        <v>74</v>
      </c>
      <c r="AS392" t="s">
        <v>74</v>
      </c>
      <c r="AT392" t="s">
        <v>74</v>
      </c>
      <c r="AU392">
        <v>2023</v>
      </c>
      <c r="AV392" t="s">
        <v>74</v>
      </c>
      <c r="AW392" t="s">
        <v>74</v>
      </c>
      <c r="AX392" t="s">
        <v>74</v>
      </c>
      <c r="AY392" t="s">
        <v>74</v>
      </c>
      <c r="AZ392" t="s">
        <v>74</v>
      </c>
      <c r="BA392" t="s">
        <v>74</v>
      </c>
      <c r="BB392">
        <v>279</v>
      </c>
      <c r="BC392">
        <v>288</v>
      </c>
      <c r="BD392" t="s">
        <v>74</v>
      </c>
      <c r="BE392" t="s">
        <v>7800</v>
      </c>
      <c r="BF392" t="str">
        <f>HYPERLINK("http://dx.doi.org/10.1145/3616961.3616978","http://dx.doi.org/10.1145/3616961.3616978")</f>
        <v>http://dx.doi.org/10.1145/3616961.3616978</v>
      </c>
      <c r="BG392" t="s">
        <v>74</v>
      </c>
      <c r="BH392" t="s">
        <v>74</v>
      </c>
      <c r="BI392">
        <v>10</v>
      </c>
      <c r="BJ392" t="s">
        <v>2742</v>
      </c>
      <c r="BK392" t="s">
        <v>98</v>
      </c>
      <c r="BL392" t="s">
        <v>99</v>
      </c>
      <c r="BM392" t="s">
        <v>2743</v>
      </c>
      <c r="BN392" t="s">
        <v>74</v>
      </c>
      <c r="BO392" t="s">
        <v>4199</v>
      </c>
      <c r="BP392" t="s">
        <v>74</v>
      </c>
      <c r="BQ392" t="s">
        <v>74</v>
      </c>
      <c r="BR392" t="s">
        <v>101</v>
      </c>
      <c r="BS392" t="s">
        <v>7801</v>
      </c>
      <c r="BT392" t="str">
        <f>HYPERLINK("https%3A%2F%2Fwww.webofscience.com%2Fwos%2Fwoscc%2Ffull-record%2FWOS:001147480500024","View Full Record in Web of Science")</f>
        <v>View Full Record in Web of Science</v>
      </c>
    </row>
    <row r="393" spans="1:72" x14ac:dyDescent="0.2">
      <c r="A393" t="s">
        <v>103</v>
      </c>
      <c r="B393" t="s">
        <v>7802</v>
      </c>
      <c r="C393" t="s">
        <v>74</v>
      </c>
      <c r="D393" t="s">
        <v>74</v>
      </c>
      <c r="E393" t="s">
        <v>74</v>
      </c>
      <c r="F393" t="s">
        <v>7803</v>
      </c>
      <c r="G393" t="s">
        <v>74</v>
      </c>
      <c r="H393" t="s">
        <v>74</v>
      </c>
      <c r="I393" t="s">
        <v>7804</v>
      </c>
      <c r="J393" t="s">
        <v>7805</v>
      </c>
      <c r="K393" t="s">
        <v>74</v>
      </c>
      <c r="L393" t="s">
        <v>74</v>
      </c>
      <c r="M393" t="s">
        <v>79</v>
      </c>
      <c r="N393" t="s">
        <v>108</v>
      </c>
      <c r="O393" t="s">
        <v>74</v>
      </c>
      <c r="P393" t="s">
        <v>74</v>
      </c>
      <c r="Q393" t="s">
        <v>74</v>
      </c>
      <c r="R393" t="s">
        <v>74</v>
      </c>
      <c r="S393" t="s">
        <v>74</v>
      </c>
      <c r="T393" t="s">
        <v>7806</v>
      </c>
      <c r="U393" t="s">
        <v>74</v>
      </c>
      <c r="V393" t="s">
        <v>7807</v>
      </c>
      <c r="W393" t="s">
        <v>7808</v>
      </c>
      <c r="X393" t="s">
        <v>7809</v>
      </c>
      <c r="Y393" t="s">
        <v>7810</v>
      </c>
      <c r="Z393" t="s">
        <v>7811</v>
      </c>
      <c r="AA393" t="s">
        <v>74</v>
      </c>
      <c r="AB393" t="s">
        <v>7812</v>
      </c>
      <c r="AC393" t="s">
        <v>7813</v>
      </c>
      <c r="AD393" t="s">
        <v>7814</v>
      </c>
      <c r="AE393" t="s">
        <v>7815</v>
      </c>
      <c r="AF393" t="s">
        <v>74</v>
      </c>
      <c r="AG393">
        <v>53</v>
      </c>
      <c r="AH393">
        <v>1</v>
      </c>
      <c r="AI393">
        <v>1</v>
      </c>
      <c r="AJ393">
        <v>15</v>
      </c>
      <c r="AK393">
        <v>15</v>
      </c>
      <c r="AL393" t="s">
        <v>1379</v>
      </c>
      <c r="AM393" t="s">
        <v>1380</v>
      </c>
      <c r="AN393" t="s">
        <v>1381</v>
      </c>
      <c r="AO393" t="s">
        <v>7816</v>
      </c>
      <c r="AP393" t="s">
        <v>7817</v>
      </c>
      <c r="AQ393" t="s">
        <v>74</v>
      </c>
      <c r="AR393" t="s">
        <v>7818</v>
      </c>
      <c r="AS393" t="s">
        <v>7819</v>
      </c>
      <c r="AT393" t="s">
        <v>467</v>
      </c>
      <c r="AU393">
        <v>2023</v>
      </c>
      <c r="AV393">
        <v>27</v>
      </c>
      <c r="AW393">
        <v>10</v>
      </c>
      <c r="AX393" t="s">
        <v>74</v>
      </c>
      <c r="AY393" t="s">
        <v>74</v>
      </c>
      <c r="AZ393" t="s">
        <v>74</v>
      </c>
      <c r="BA393" t="s">
        <v>74</v>
      </c>
      <c r="BB393">
        <v>5122</v>
      </c>
      <c r="BC393">
        <v>5133</v>
      </c>
      <c r="BD393" t="s">
        <v>74</v>
      </c>
      <c r="BE393" t="s">
        <v>7820</v>
      </c>
      <c r="BF393" t="str">
        <f>HYPERLINK("http://dx.doi.org/10.1109/JBHI.2023.3271615","http://dx.doi.org/10.1109/JBHI.2023.3271615")</f>
        <v>http://dx.doi.org/10.1109/JBHI.2023.3271615</v>
      </c>
      <c r="BG393" t="s">
        <v>74</v>
      </c>
      <c r="BH393" t="s">
        <v>74</v>
      </c>
      <c r="BI393">
        <v>12</v>
      </c>
      <c r="BJ393" t="s">
        <v>7821</v>
      </c>
      <c r="BK393" t="s">
        <v>130</v>
      </c>
      <c r="BL393" t="s">
        <v>7822</v>
      </c>
      <c r="BM393" t="s">
        <v>7823</v>
      </c>
      <c r="BN393">
        <v>37134028</v>
      </c>
      <c r="BO393" t="s">
        <v>3333</v>
      </c>
      <c r="BP393" t="s">
        <v>74</v>
      </c>
      <c r="BQ393" t="s">
        <v>74</v>
      </c>
      <c r="BR393" t="s">
        <v>101</v>
      </c>
      <c r="BS393" t="s">
        <v>7824</v>
      </c>
      <c r="BT393" t="str">
        <f>HYPERLINK("https%3A%2F%2Fwww.webofscience.com%2Fwos%2Fwoscc%2Ffull-record%2FWOS:001083127700043","View Full Record in Web of Science")</f>
        <v>View Full Record in Web of Science</v>
      </c>
    </row>
    <row r="394" spans="1:72" x14ac:dyDescent="0.2">
      <c r="A394" t="s">
        <v>103</v>
      </c>
      <c r="B394" t="s">
        <v>7825</v>
      </c>
      <c r="C394" t="s">
        <v>74</v>
      </c>
      <c r="D394" t="s">
        <v>74</v>
      </c>
      <c r="E394" t="s">
        <v>74</v>
      </c>
      <c r="F394" t="s">
        <v>7826</v>
      </c>
      <c r="G394" t="s">
        <v>74</v>
      </c>
      <c r="H394" t="s">
        <v>74</v>
      </c>
      <c r="I394" t="s">
        <v>7827</v>
      </c>
      <c r="J394" t="s">
        <v>7805</v>
      </c>
      <c r="K394" t="s">
        <v>74</v>
      </c>
      <c r="L394" t="s">
        <v>74</v>
      </c>
      <c r="M394" t="s">
        <v>79</v>
      </c>
      <c r="N394" t="s">
        <v>108</v>
      </c>
      <c r="O394" t="s">
        <v>74</v>
      </c>
      <c r="P394" t="s">
        <v>74</v>
      </c>
      <c r="Q394" t="s">
        <v>74</v>
      </c>
      <c r="R394" t="s">
        <v>74</v>
      </c>
      <c r="S394" t="s">
        <v>74</v>
      </c>
      <c r="T394" t="s">
        <v>7828</v>
      </c>
      <c r="U394" t="s">
        <v>7829</v>
      </c>
      <c r="V394" t="s">
        <v>7830</v>
      </c>
      <c r="W394" t="s">
        <v>7831</v>
      </c>
      <c r="X394" t="s">
        <v>7832</v>
      </c>
      <c r="Y394" t="s">
        <v>7833</v>
      </c>
      <c r="Z394" t="s">
        <v>7834</v>
      </c>
      <c r="AA394" t="s">
        <v>7835</v>
      </c>
      <c r="AB394" t="s">
        <v>7836</v>
      </c>
      <c r="AC394" t="s">
        <v>7837</v>
      </c>
      <c r="AD394" t="s">
        <v>7837</v>
      </c>
      <c r="AE394" t="s">
        <v>7838</v>
      </c>
      <c r="AF394" t="s">
        <v>74</v>
      </c>
      <c r="AG394">
        <v>55</v>
      </c>
      <c r="AH394">
        <v>0</v>
      </c>
      <c r="AI394">
        <v>0</v>
      </c>
      <c r="AJ394">
        <v>0</v>
      </c>
      <c r="AK394">
        <v>0</v>
      </c>
      <c r="AL394" t="s">
        <v>1379</v>
      </c>
      <c r="AM394" t="s">
        <v>1380</v>
      </c>
      <c r="AN394" t="s">
        <v>1381</v>
      </c>
      <c r="AO394" t="s">
        <v>7816</v>
      </c>
      <c r="AP394" t="s">
        <v>7817</v>
      </c>
      <c r="AQ394" t="s">
        <v>74</v>
      </c>
      <c r="AR394" t="s">
        <v>7818</v>
      </c>
      <c r="AS394" t="s">
        <v>7819</v>
      </c>
      <c r="AT394" t="s">
        <v>276</v>
      </c>
      <c r="AU394">
        <v>2023</v>
      </c>
      <c r="AV394">
        <v>27</v>
      </c>
      <c r="AW394">
        <v>11</v>
      </c>
      <c r="AX394" t="s">
        <v>74</v>
      </c>
      <c r="AY394" t="s">
        <v>74</v>
      </c>
      <c r="AZ394" t="s">
        <v>74</v>
      </c>
      <c r="BA394" t="s">
        <v>74</v>
      </c>
      <c r="BB394">
        <v>5599</v>
      </c>
      <c r="BC394">
        <v>5609</v>
      </c>
      <c r="BD394" t="s">
        <v>74</v>
      </c>
      <c r="BE394" t="s">
        <v>7839</v>
      </c>
      <c r="BF394" t="str">
        <f>HYPERLINK("http://dx.doi.org/10.1109/JBHI.2023.3304010","http://dx.doi.org/10.1109/JBHI.2023.3304010")</f>
        <v>http://dx.doi.org/10.1109/JBHI.2023.3304010</v>
      </c>
      <c r="BG394" t="s">
        <v>74</v>
      </c>
      <c r="BH394" t="s">
        <v>74</v>
      </c>
      <c r="BI394">
        <v>11</v>
      </c>
      <c r="BJ394" t="s">
        <v>7821</v>
      </c>
      <c r="BK394" t="s">
        <v>130</v>
      </c>
      <c r="BL394" t="s">
        <v>7822</v>
      </c>
      <c r="BM394" t="s">
        <v>7840</v>
      </c>
      <c r="BN394">
        <v>37561616</v>
      </c>
      <c r="BO394" t="s">
        <v>74</v>
      </c>
      <c r="BP394" t="s">
        <v>74</v>
      </c>
      <c r="BQ394" t="s">
        <v>74</v>
      </c>
      <c r="BR394" t="s">
        <v>101</v>
      </c>
      <c r="BS394" t="s">
        <v>7841</v>
      </c>
      <c r="BT394" t="str">
        <f>HYPERLINK("https%3A%2F%2Fwww.webofscience.com%2Fwos%2Fwoscc%2Ffull-record%2FWOS:001129955100036","View Full Record in Web of Science")</f>
        <v>View Full Record in Web of Science</v>
      </c>
    </row>
    <row r="395" spans="1:72" x14ac:dyDescent="0.2">
      <c r="A395" t="s">
        <v>103</v>
      </c>
      <c r="B395" t="s">
        <v>7842</v>
      </c>
      <c r="C395" t="s">
        <v>74</v>
      </c>
      <c r="D395" t="s">
        <v>74</v>
      </c>
      <c r="E395" t="s">
        <v>74</v>
      </c>
      <c r="F395" t="s">
        <v>7843</v>
      </c>
      <c r="G395" t="s">
        <v>74</v>
      </c>
      <c r="H395" t="s">
        <v>74</v>
      </c>
      <c r="I395" t="s">
        <v>7844</v>
      </c>
      <c r="J395" t="s">
        <v>7845</v>
      </c>
      <c r="K395" t="s">
        <v>74</v>
      </c>
      <c r="L395" t="s">
        <v>74</v>
      </c>
      <c r="M395" t="s">
        <v>79</v>
      </c>
      <c r="N395" t="s">
        <v>108</v>
      </c>
      <c r="O395" t="s">
        <v>74</v>
      </c>
      <c r="P395" t="s">
        <v>74</v>
      </c>
      <c r="Q395" t="s">
        <v>74</v>
      </c>
      <c r="R395" t="s">
        <v>74</v>
      </c>
      <c r="S395" t="s">
        <v>74</v>
      </c>
      <c r="T395" t="s">
        <v>7846</v>
      </c>
      <c r="U395" t="s">
        <v>74</v>
      </c>
      <c r="V395" t="s">
        <v>7847</v>
      </c>
      <c r="W395" t="s">
        <v>7848</v>
      </c>
      <c r="X395" t="s">
        <v>7849</v>
      </c>
      <c r="Y395" t="s">
        <v>7850</v>
      </c>
      <c r="Z395" t="s">
        <v>7851</v>
      </c>
      <c r="AA395" t="s">
        <v>74</v>
      </c>
      <c r="AB395" t="s">
        <v>74</v>
      </c>
      <c r="AC395" t="s">
        <v>5072</v>
      </c>
      <c r="AD395" t="s">
        <v>5072</v>
      </c>
      <c r="AE395" t="s">
        <v>5072</v>
      </c>
      <c r="AF395" t="s">
        <v>74</v>
      </c>
      <c r="AG395">
        <v>69</v>
      </c>
      <c r="AH395">
        <v>2</v>
      </c>
      <c r="AI395">
        <v>2</v>
      </c>
      <c r="AJ395">
        <v>34</v>
      </c>
      <c r="AK395">
        <v>34</v>
      </c>
      <c r="AL395" t="s">
        <v>343</v>
      </c>
      <c r="AM395" t="s">
        <v>93</v>
      </c>
      <c r="AN395" t="s">
        <v>344</v>
      </c>
      <c r="AO395" t="s">
        <v>7852</v>
      </c>
      <c r="AP395" t="s">
        <v>74</v>
      </c>
      <c r="AQ395" t="s">
        <v>74</v>
      </c>
      <c r="AR395" t="s">
        <v>7853</v>
      </c>
      <c r="AS395" t="s">
        <v>7854</v>
      </c>
      <c r="AT395" t="s">
        <v>7855</v>
      </c>
      <c r="AU395">
        <v>2023</v>
      </c>
      <c r="AV395">
        <v>10</v>
      </c>
      <c r="AW395">
        <v>1</v>
      </c>
      <c r="AX395" t="s">
        <v>74</v>
      </c>
      <c r="AY395" t="s">
        <v>74</v>
      </c>
      <c r="AZ395" t="s">
        <v>74</v>
      </c>
      <c r="BA395" t="s">
        <v>74</v>
      </c>
      <c r="BB395" t="s">
        <v>74</v>
      </c>
      <c r="BC395" t="s">
        <v>74</v>
      </c>
      <c r="BD395">
        <v>39</v>
      </c>
      <c r="BE395" t="s">
        <v>7856</v>
      </c>
      <c r="BF395" t="str">
        <f>HYPERLINK("http://dx.doi.org/10.1186/s40691-023-00360-w","http://dx.doi.org/10.1186/s40691-023-00360-w")</f>
        <v>http://dx.doi.org/10.1186/s40691-023-00360-w</v>
      </c>
      <c r="BG395" t="s">
        <v>74</v>
      </c>
      <c r="BH395" t="s">
        <v>74</v>
      </c>
      <c r="BI395">
        <v>17</v>
      </c>
      <c r="BJ395" t="s">
        <v>7857</v>
      </c>
      <c r="BK395" t="s">
        <v>130</v>
      </c>
      <c r="BL395" t="s">
        <v>3847</v>
      </c>
      <c r="BM395" t="s">
        <v>7858</v>
      </c>
      <c r="BN395" t="s">
        <v>74</v>
      </c>
      <c r="BO395" t="s">
        <v>425</v>
      </c>
      <c r="BP395" t="s">
        <v>74</v>
      </c>
      <c r="BQ395" t="s">
        <v>74</v>
      </c>
      <c r="BR395" t="s">
        <v>101</v>
      </c>
      <c r="BS395" t="s">
        <v>7859</v>
      </c>
      <c r="BT395" t="str">
        <f>HYPERLINK("https%3A%2F%2Fwww.webofscience.com%2Fwos%2Fwoscc%2Ffull-record%2FWOS:001088635800002","View Full Record in Web of Science")</f>
        <v>View Full Record in Web of Science</v>
      </c>
    </row>
    <row r="396" spans="1:72" x14ac:dyDescent="0.2">
      <c r="A396" t="s">
        <v>103</v>
      </c>
      <c r="B396" t="s">
        <v>7860</v>
      </c>
      <c r="C396" t="s">
        <v>74</v>
      </c>
      <c r="D396" t="s">
        <v>74</v>
      </c>
      <c r="E396" t="s">
        <v>74</v>
      </c>
      <c r="F396" t="s">
        <v>7861</v>
      </c>
      <c r="G396" t="s">
        <v>74</v>
      </c>
      <c r="H396" t="s">
        <v>74</v>
      </c>
      <c r="I396" t="s">
        <v>7862</v>
      </c>
      <c r="J396" t="s">
        <v>7461</v>
      </c>
      <c r="K396" t="s">
        <v>74</v>
      </c>
      <c r="L396" t="s">
        <v>74</v>
      </c>
      <c r="M396" t="s">
        <v>79</v>
      </c>
      <c r="N396" t="s">
        <v>108</v>
      </c>
      <c r="O396" t="s">
        <v>74</v>
      </c>
      <c r="P396" t="s">
        <v>74</v>
      </c>
      <c r="Q396" t="s">
        <v>74</v>
      </c>
      <c r="R396" t="s">
        <v>74</v>
      </c>
      <c r="S396" t="s">
        <v>74</v>
      </c>
      <c r="T396" t="s">
        <v>7863</v>
      </c>
      <c r="U396" t="s">
        <v>7864</v>
      </c>
      <c r="V396" t="s">
        <v>7865</v>
      </c>
      <c r="W396" t="s">
        <v>7866</v>
      </c>
      <c r="X396" t="s">
        <v>7867</v>
      </c>
      <c r="Y396" t="s">
        <v>7868</v>
      </c>
      <c r="Z396" t="s">
        <v>7869</v>
      </c>
      <c r="AA396" t="s">
        <v>7870</v>
      </c>
      <c r="AB396" t="s">
        <v>7871</v>
      </c>
      <c r="AC396" t="s">
        <v>7872</v>
      </c>
      <c r="AD396" t="s">
        <v>7872</v>
      </c>
      <c r="AE396" t="s">
        <v>7873</v>
      </c>
      <c r="AF396" t="s">
        <v>74</v>
      </c>
      <c r="AG396">
        <v>151</v>
      </c>
      <c r="AH396">
        <v>3</v>
      </c>
      <c r="AI396">
        <v>3</v>
      </c>
      <c r="AJ396">
        <v>14</v>
      </c>
      <c r="AK396">
        <v>22</v>
      </c>
      <c r="AL396" t="s">
        <v>939</v>
      </c>
      <c r="AM396" t="s">
        <v>940</v>
      </c>
      <c r="AN396" t="s">
        <v>941</v>
      </c>
      <c r="AO396" t="s">
        <v>74</v>
      </c>
      <c r="AP396" t="s">
        <v>7471</v>
      </c>
      <c r="AQ396" t="s">
        <v>74</v>
      </c>
      <c r="AR396" t="s">
        <v>7472</v>
      </c>
      <c r="AS396" t="s">
        <v>7473</v>
      </c>
      <c r="AT396" t="s">
        <v>3875</v>
      </c>
      <c r="AU396">
        <v>2023</v>
      </c>
      <c r="AV396">
        <v>23</v>
      </c>
      <c r="AW396">
        <v>11</v>
      </c>
      <c r="AX396" t="s">
        <v>74</v>
      </c>
      <c r="AY396" t="s">
        <v>74</v>
      </c>
      <c r="AZ396" t="s">
        <v>74</v>
      </c>
      <c r="BA396" t="s">
        <v>74</v>
      </c>
      <c r="BB396" t="s">
        <v>74</v>
      </c>
      <c r="BC396" t="s">
        <v>74</v>
      </c>
      <c r="BD396">
        <v>5237</v>
      </c>
      <c r="BE396" t="s">
        <v>7874</v>
      </c>
      <c r="BF396" t="str">
        <f>HYPERLINK("http://dx.doi.org/10.3390/s23115237","http://dx.doi.org/10.3390/s23115237")</f>
        <v>http://dx.doi.org/10.3390/s23115237</v>
      </c>
      <c r="BG396" t="s">
        <v>74</v>
      </c>
      <c r="BH396" t="s">
        <v>74</v>
      </c>
      <c r="BI396">
        <v>22</v>
      </c>
      <c r="BJ396" t="s">
        <v>7475</v>
      </c>
      <c r="BK396" t="s">
        <v>130</v>
      </c>
      <c r="BL396" t="s">
        <v>7476</v>
      </c>
      <c r="BM396" t="s">
        <v>7875</v>
      </c>
      <c r="BN396">
        <v>37299964</v>
      </c>
      <c r="BO396" t="s">
        <v>4185</v>
      </c>
      <c r="BP396" t="s">
        <v>74</v>
      </c>
      <c r="BQ396" t="s">
        <v>74</v>
      </c>
      <c r="BR396" t="s">
        <v>101</v>
      </c>
      <c r="BS396" t="s">
        <v>7876</v>
      </c>
      <c r="BT396" t="str">
        <f>HYPERLINK("https%3A%2F%2Fwww.webofscience.com%2Fwos%2Fwoscc%2Ffull-record%2FWOS:001006071100001","View Full Record in Web of Science")</f>
        <v>View Full Record in Web of Science</v>
      </c>
    </row>
    <row r="397" spans="1:72" x14ac:dyDescent="0.2">
      <c r="A397" t="s">
        <v>72</v>
      </c>
      <c r="B397" t="s">
        <v>7877</v>
      </c>
      <c r="C397" t="s">
        <v>74</v>
      </c>
      <c r="D397" t="s">
        <v>4489</v>
      </c>
      <c r="E397" t="s">
        <v>74</v>
      </c>
      <c r="F397" t="s">
        <v>7878</v>
      </c>
      <c r="G397" t="s">
        <v>74</v>
      </c>
      <c r="H397" t="s">
        <v>74</v>
      </c>
      <c r="I397" t="s">
        <v>7879</v>
      </c>
      <c r="J397" t="s">
        <v>4492</v>
      </c>
      <c r="K397" t="s">
        <v>312</v>
      </c>
      <c r="L397" t="s">
        <v>74</v>
      </c>
      <c r="M397" t="s">
        <v>79</v>
      </c>
      <c r="N397" t="s">
        <v>80</v>
      </c>
      <c r="O397" t="s">
        <v>4493</v>
      </c>
      <c r="P397" t="s">
        <v>4494</v>
      </c>
      <c r="Q397" t="s">
        <v>4495</v>
      </c>
      <c r="R397" t="s">
        <v>4496</v>
      </c>
      <c r="S397" t="s">
        <v>74</v>
      </c>
      <c r="T397" t="s">
        <v>7880</v>
      </c>
      <c r="U397" t="s">
        <v>7881</v>
      </c>
      <c r="V397" t="s">
        <v>7882</v>
      </c>
      <c r="W397" t="s">
        <v>7883</v>
      </c>
      <c r="X397" t="s">
        <v>7884</v>
      </c>
      <c r="Y397" t="s">
        <v>7885</v>
      </c>
      <c r="Z397" t="s">
        <v>7886</v>
      </c>
      <c r="AA397" t="s">
        <v>74</v>
      </c>
      <c r="AB397" t="s">
        <v>7887</v>
      </c>
      <c r="AC397" t="s">
        <v>7888</v>
      </c>
      <c r="AD397" t="s">
        <v>7889</v>
      </c>
      <c r="AE397" t="s">
        <v>7890</v>
      </c>
      <c r="AF397" t="s">
        <v>74</v>
      </c>
      <c r="AG397">
        <v>47</v>
      </c>
      <c r="AH397">
        <v>0</v>
      </c>
      <c r="AI397">
        <v>0</v>
      </c>
      <c r="AJ397">
        <v>1</v>
      </c>
      <c r="AK397">
        <v>1</v>
      </c>
      <c r="AL397" t="s">
        <v>325</v>
      </c>
      <c r="AM397" t="s">
        <v>245</v>
      </c>
      <c r="AN397" t="s">
        <v>246</v>
      </c>
      <c r="AO397" t="s">
        <v>326</v>
      </c>
      <c r="AP397" t="s">
        <v>327</v>
      </c>
      <c r="AQ397" t="s">
        <v>4505</v>
      </c>
      <c r="AR397" t="s">
        <v>329</v>
      </c>
      <c r="AS397" t="s">
        <v>74</v>
      </c>
      <c r="AT397" t="s">
        <v>74</v>
      </c>
      <c r="AU397">
        <v>2023</v>
      </c>
      <c r="AV397">
        <v>14397</v>
      </c>
      <c r="AW397" t="s">
        <v>74</v>
      </c>
      <c r="AX397" t="s">
        <v>74</v>
      </c>
      <c r="AY397" t="s">
        <v>74</v>
      </c>
      <c r="AZ397" t="s">
        <v>74</v>
      </c>
      <c r="BA397" t="s">
        <v>74</v>
      </c>
      <c r="BB397">
        <v>60</v>
      </c>
      <c r="BC397">
        <v>71</v>
      </c>
      <c r="BD397" t="s">
        <v>74</v>
      </c>
      <c r="BE397" t="s">
        <v>7891</v>
      </c>
      <c r="BF397" t="str">
        <f>HYPERLINK("http://dx.doi.org/10.1007/978-3-031-47896-3_5","http://dx.doi.org/10.1007/978-3-031-47896-3_5")</f>
        <v>http://dx.doi.org/10.1007/978-3-031-47896-3_5</v>
      </c>
      <c r="BG397" t="s">
        <v>74</v>
      </c>
      <c r="BH397" t="s">
        <v>74</v>
      </c>
      <c r="BI397">
        <v>12</v>
      </c>
      <c r="BJ397" t="s">
        <v>3083</v>
      </c>
      <c r="BK397" t="s">
        <v>180</v>
      </c>
      <c r="BL397" t="s">
        <v>3084</v>
      </c>
      <c r="BM397" t="s">
        <v>4507</v>
      </c>
      <c r="BN397" t="s">
        <v>74</v>
      </c>
      <c r="BO397" t="s">
        <v>161</v>
      </c>
      <c r="BP397" t="s">
        <v>74</v>
      </c>
      <c r="BQ397" t="s">
        <v>74</v>
      </c>
      <c r="BR397" t="s">
        <v>101</v>
      </c>
      <c r="BS397" t="s">
        <v>7892</v>
      </c>
      <c r="BT397" t="str">
        <f>HYPERLINK("https%3A%2F%2Fwww.webofscience.com%2Fwos%2Fwoscc%2Ffull-record%2FWOS:001160755400005","View Full Record in Web of Science")</f>
        <v>View Full Record in Web of Science</v>
      </c>
    </row>
    <row r="398" spans="1:72" x14ac:dyDescent="0.2">
      <c r="A398" t="s">
        <v>72</v>
      </c>
      <c r="B398" t="s">
        <v>7893</v>
      </c>
      <c r="C398" t="s">
        <v>74</v>
      </c>
      <c r="D398" t="s">
        <v>74</v>
      </c>
      <c r="E398" t="s">
        <v>75</v>
      </c>
      <c r="F398" t="s">
        <v>7894</v>
      </c>
      <c r="G398" t="s">
        <v>74</v>
      </c>
      <c r="H398" t="s">
        <v>74</v>
      </c>
      <c r="I398" t="s">
        <v>7895</v>
      </c>
      <c r="J398" t="s">
        <v>869</v>
      </c>
      <c r="K398" t="s">
        <v>74</v>
      </c>
      <c r="L398" t="s">
        <v>74</v>
      </c>
      <c r="M398" t="s">
        <v>79</v>
      </c>
      <c r="N398" t="s">
        <v>80</v>
      </c>
      <c r="O398" t="s">
        <v>870</v>
      </c>
      <c r="P398" t="s">
        <v>871</v>
      </c>
      <c r="Q398" t="s">
        <v>872</v>
      </c>
      <c r="R398" t="s">
        <v>873</v>
      </c>
      <c r="S398" t="s">
        <v>74</v>
      </c>
      <c r="T398" t="s">
        <v>7896</v>
      </c>
      <c r="U398" t="s">
        <v>7897</v>
      </c>
      <c r="V398" t="s">
        <v>7898</v>
      </c>
      <c r="W398" t="s">
        <v>7899</v>
      </c>
      <c r="X398" t="s">
        <v>7900</v>
      </c>
      <c r="Y398" t="s">
        <v>7901</v>
      </c>
      <c r="Z398" t="s">
        <v>7902</v>
      </c>
      <c r="AA398" t="s">
        <v>74</v>
      </c>
      <c r="AB398" t="s">
        <v>74</v>
      </c>
      <c r="AC398" t="s">
        <v>7903</v>
      </c>
      <c r="AD398" t="s">
        <v>7904</v>
      </c>
      <c r="AE398" t="s">
        <v>7905</v>
      </c>
      <c r="AF398" t="s">
        <v>74</v>
      </c>
      <c r="AG398">
        <v>42</v>
      </c>
      <c r="AH398">
        <v>0</v>
      </c>
      <c r="AI398">
        <v>0</v>
      </c>
      <c r="AJ398">
        <v>0</v>
      </c>
      <c r="AK398">
        <v>0</v>
      </c>
      <c r="AL398" t="s">
        <v>92</v>
      </c>
      <c r="AM398" t="s">
        <v>93</v>
      </c>
      <c r="AN398" t="s">
        <v>94</v>
      </c>
      <c r="AO398" t="s">
        <v>74</v>
      </c>
      <c r="AP398" t="s">
        <v>74</v>
      </c>
      <c r="AQ398" t="s">
        <v>881</v>
      </c>
      <c r="AR398" t="s">
        <v>74</v>
      </c>
      <c r="AS398" t="s">
        <v>74</v>
      </c>
      <c r="AT398" t="s">
        <v>74</v>
      </c>
      <c r="AU398">
        <v>2023</v>
      </c>
      <c r="AV398" t="s">
        <v>74</v>
      </c>
      <c r="AW398" t="s">
        <v>74</v>
      </c>
      <c r="AX398" t="s">
        <v>74</v>
      </c>
      <c r="AY398" t="s">
        <v>74</v>
      </c>
      <c r="AZ398" t="s">
        <v>74</v>
      </c>
      <c r="BA398" t="s">
        <v>74</v>
      </c>
      <c r="BB398">
        <v>1411</v>
      </c>
      <c r="BC398">
        <v>1420</v>
      </c>
      <c r="BD398" t="s">
        <v>74</v>
      </c>
      <c r="BE398" t="s">
        <v>7906</v>
      </c>
      <c r="BF398" t="str">
        <f>HYPERLINK("http://dx.doi.org/10.1145/3583780.3614956","http://dx.doi.org/10.1145/3583780.3614956")</f>
        <v>http://dx.doi.org/10.1145/3583780.3614956</v>
      </c>
      <c r="BG398" t="s">
        <v>74</v>
      </c>
      <c r="BH398" t="s">
        <v>74</v>
      </c>
      <c r="BI398">
        <v>10</v>
      </c>
      <c r="BJ398" t="s">
        <v>883</v>
      </c>
      <c r="BK398" t="s">
        <v>98</v>
      </c>
      <c r="BL398" t="s">
        <v>99</v>
      </c>
      <c r="BM398" t="s">
        <v>884</v>
      </c>
      <c r="BN398" t="s">
        <v>74</v>
      </c>
      <c r="BO398" t="s">
        <v>646</v>
      </c>
      <c r="BP398" t="s">
        <v>74</v>
      </c>
      <c r="BQ398" t="s">
        <v>74</v>
      </c>
      <c r="BR398" t="s">
        <v>101</v>
      </c>
      <c r="BS398" t="s">
        <v>7907</v>
      </c>
      <c r="BT398" t="str">
        <f>HYPERLINK("https%3A%2F%2Fwww.webofscience.com%2Fwos%2Fwoscc%2Ffull-record%2FWOS:001161549501049","View Full Record in Web of Science")</f>
        <v>View Full Record in Web of Science</v>
      </c>
    </row>
    <row r="399" spans="1:72" x14ac:dyDescent="0.2">
      <c r="A399" t="s">
        <v>103</v>
      </c>
      <c r="B399" t="s">
        <v>7908</v>
      </c>
      <c r="C399" t="s">
        <v>74</v>
      </c>
      <c r="D399" t="s">
        <v>74</v>
      </c>
      <c r="E399" t="s">
        <v>74</v>
      </c>
      <c r="F399" t="s">
        <v>7909</v>
      </c>
      <c r="G399" t="s">
        <v>74</v>
      </c>
      <c r="H399" t="s">
        <v>74</v>
      </c>
      <c r="I399" t="s">
        <v>7910</v>
      </c>
      <c r="J399" t="s">
        <v>7911</v>
      </c>
      <c r="K399" t="s">
        <v>74</v>
      </c>
      <c r="L399" t="s">
        <v>74</v>
      </c>
      <c r="M399" t="s">
        <v>79</v>
      </c>
      <c r="N399" t="s">
        <v>108</v>
      </c>
      <c r="O399" t="s">
        <v>74</v>
      </c>
      <c r="P399" t="s">
        <v>74</v>
      </c>
      <c r="Q399" t="s">
        <v>74</v>
      </c>
      <c r="R399" t="s">
        <v>74</v>
      </c>
      <c r="S399" t="s">
        <v>74</v>
      </c>
      <c r="T399" t="s">
        <v>7912</v>
      </c>
      <c r="U399" t="s">
        <v>7913</v>
      </c>
      <c r="V399" t="s">
        <v>7914</v>
      </c>
      <c r="W399" t="s">
        <v>7915</v>
      </c>
      <c r="X399" t="s">
        <v>7916</v>
      </c>
      <c r="Y399" t="s">
        <v>7917</v>
      </c>
      <c r="Z399" t="s">
        <v>7918</v>
      </c>
      <c r="AA399" t="s">
        <v>74</v>
      </c>
      <c r="AB399" t="s">
        <v>74</v>
      </c>
      <c r="AC399" t="s">
        <v>7919</v>
      </c>
      <c r="AD399" t="s">
        <v>7920</v>
      </c>
      <c r="AE399" t="s">
        <v>7921</v>
      </c>
      <c r="AF399" t="s">
        <v>74</v>
      </c>
      <c r="AG399">
        <v>45</v>
      </c>
      <c r="AH399">
        <v>0</v>
      </c>
      <c r="AI399">
        <v>0</v>
      </c>
      <c r="AJ399">
        <v>0</v>
      </c>
      <c r="AK399">
        <v>0</v>
      </c>
      <c r="AL399" t="s">
        <v>7922</v>
      </c>
      <c r="AM399" t="s">
        <v>7923</v>
      </c>
      <c r="AN399" t="s">
        <v>7924</v>
      </c>
      <c r="AO399" t="s">
        <v>7925</v>
      </c>
      <c r="AP399" t="s">
        <v>74</v>
      </c>
      <c r="AQ399" t="s">
        <v>74</v>
      </c>
      <c r="AR399" t="s">
        <v>7926</v>
      </c>
      <c r="AS399" t="s">
        <v>7927</v>
      </c>
      <c r="AT399" t="s">
        <v>74</v>
      </c>
      <c r="AU399">
        <v>2023</v>
      </c>
      <c r="AV399">
        <v>24</v>
      </c>
      <c r="AW399" t="s">
        <v>74</v>
      </c>
      <c r="AX399" t="s">
        <v>74</v>
      </c>
      <c r="AY399" t="s">
        <v>74</v>
      </c>
      <c r="AZ399" t="s">
        <v>74</v>
      </c>
      <c r="BA399" t="s">
        <v>74</v>
      </c>
      <c r="BB399" t="s">
        <v>74</v>
      </c>
      <c r="BC399" t="s">
        <v>74</v>
      </c>
      <c r="BD399">
        <v>29</v>
      </c>
      <c r="BE399" t="s">
        <v>74</v>
      </c>
      <c r="BF399" t="s">
        <v>74</v>
      </c>
      <c r="BG399" t="s">
        <v>74</v>
      </c>
      <c r="BH399" t="s">
        <v>74</v>
      </c>
      <c r="BI399">
        <v>47</v>
      </c>
      <c r="BJ399" t="s">
        <v>7928</v>
      </c>
      <c r="BK399" t="s">
        <v>130</v>
      </c>
      <c r="BL399" t="s">
        <v>1258</v>
      </c>
      <c r="BM399" t="s">
        <v>7929</v>
      </c>
      <c r="BN399" t="s">
        <v>74</v>
      </c>
      <c r="BO399" t="s">
        <v>74</v>
      </c>
      <c r="BP399" t="s">
        <v>74</v>
      </c>
      <c r="BQ399" t="s">
        <v>74</v>
      </c>
      <c r="BR399" t="s">
        <v>101</v>
      </c>
      <c r="BS399" t="s">
        <v>7930</v>
      </c>
      <c r="BT399" t="str">
        <f>HYPERLINK("https%3A%2F%2Fwww.webofscience.com%2Fwos%2Fwoscc%2Ffull-record%2FWOS:001167299500001","View Full Record in Web of Science")</f>
        <v>View Full Record in Web of Science</v>
      </c>
    </row>
    <row r="400" spans="1:72" x14ac:dyDescent="0.2">
      <c r="A400" t="s">
        <v>103</v>
      </c>
      <c r="B400" t="s">
        <v>7931</v>
      </c>
      <c r="C400" t="s">
        <v>74</v>
      </c>
      <c r="D400" t="s">
        <v>74</v>
      </c>
      <c r="E400" t="s">
        <v>74</v>
      </c>
      <c r="F400" t="s">
        <v>7932</v>
      </c>
      <c r="G400" t="s">
        <v>74</v>
      </c>
      <c r="H400" t="s">
        <v>74</v>
      </c>
      <c r="I400" t="s">
        <v>7933</v>
      </c>
      <c r="J400" t="s">
        <v>7934</v>
      </c>
      <c r="K400" t="s">
        <v>74</v>
      </c>
      <c r="L400" t="s">
        <v>74</v>
      </c>
      <c r="M400" t="s">
        <v>79</v>
      </c>
      <c r="N400" t="s">
        <v>138</v>
      </c>
      <c r="O400" t="s">
        <v>74</v>
      </c>
      <c r="P400" t="s">
        <v>74</v>
      </c>
      <c r="Q400" t="s">
        <v>74</v>
      </c>
      <c r="R400" t="s">
        <v>74</v>
      </c>
      <c r="S400" t="s">
        <v>74</v>
      </c>
      <c r="T400" t="s">
        <v>7935</v>
      </c>
      <c r="U400" t="s">
        <v>74</v>
      </c>
      <c r="V400" t="s">
        <v>7936</v>
      </c>
      <c r="W400" t="s">
        <v>7937</v>
      </c>
      <c r="X400" t="s">
        <v>7938</v>
      </c>
      <c r="Y400" t="s">
        <v>7939</v>
      </c>
      <c r="Z400" t="s">
        <v>7940</v>
      </c>
      <c r="AA400" t="s">
        <v>7941</v>
      </c>
      <c r="AB400" t="s">
        <v>7942</v>
      </c>
      <c r="AC400" t="s">
        <v>74</v>
      </c>
      <c r="AD400" t="s">
        <v>74</v>
      </c>
      <c r="AE400" t="s">
        <v>74</v>
      </c>
      <c r="AF400" t="s">
        <v>74</v>
      </c>
      <c r="AG400">
        <v>10</v>
      </c>
      <c r="AH400">
        <v>6</v>
      </c>
      <c r="AI400">
        <v>6</v>
      </c>
      <c r="AJ400">
        <v>35</v>
      </c>
      <c r="AK400">
        <v>43</v>
      </c>
      <c r="AL400" t="s">
        <v>343</v>
      </c>
      <c r="AM400" t="s">
        <v>93</v>
      </c>
      <c r="AN400" t="s">
        <v>344</v>
      </c>
      <c r="AO400" t="s">
        <v>7943</v>
      </c>
      <c r="AP400" t="s">
        <v>7944</v>
      </c>
      <c r="AQ400" t="s">
        <v>74</v>
      </c>
      <c r="AR400" t="s">
        <v>7945</v>
      </c>
      <c r="AS400" t="s">
        <v>7946</v>
      </c>
      <c r="AT400" t="s">
        <v>7947</v>
      </c>
      <c r="AU400">
        <v>2023</v>
      </c>
      <c r="AV400" t="s">
        <v>74</v>
      </c>
      <c r="AW400" t="s">
        <v>74</v>
      </c>
      <c r="AX400" t="s">
        <v>74</v>
      </c>
      <c r="AY400" t="s">
        <v>74</v>
      </c>
      <c r="AZ400" t="s">
        <v>74</v>
      </c>
      <c r="BA400" t="s">
        <v>74</v>
      </c>
      <c r="BB400" t="s">
        <v>74</v>
      </c>
      <c r="BC400" t="s">
        <v>74</v>
      </c>
      <c r="BD400" t="s">
        <v>74</v>
      </c>
      <c r="BE400" t="s">
        <v>7948</v>
      </c>
      <c r="BF400" t="str">
        <f>HYPERLINK("http://dx.doi.org/10.1007/s10439-023-03335-6","http://dx.doi.org/10.1007/s10439-023-03335-6")</f>
        <v>http://dx.doi.org/10.1007/s10439-023-03335-6</v>
      </c>
      <c r="BG400" t="s">
        <v>74</v>
      </c>
      <c r="BH400" t="s">
        <v>255</v>
      </c>
      <c r="BI400">
        <v>5</v>
      </c>
      <c r="BJ400" t="s">
        <v>4718</v>
      </c>
      <c r="BK400" t="s">
        <v>130</v>
      </c>
      <c r="BL400" t="s">
        <v>2823</v>
      </c>
      <c r="BM400" t="s">
        <v>7949</v>
      </c>
      <c r="BN400">
        <v>37540292</v>
      </c>
      <c r="BO400" t="s">
        <v>646</v>
      </c>
      <c r="BP400" t="s">
        <v>74</v>
      </c>
      <c r="BQ400" t="s">
        <v>74</v>
      </c>
      <c r="BR400" t="s">
        <v>101</v>
      </c>
      <c r="BS400" t="s">
        <v>7950</v>
      </c>
      <c r="BT400" t="str">
        <f>HYPERLINK("https%3A%2F%2Fwww.webofscience.com%2Fwos%2Fwoscc%2Ffull-record%2FWOS:001043040500001","View Full Record in Web of Science")</f>
        <v>View Full Record in Web of Science</v>
      </c>
    </row>
    <row r="401" spans="1:72" x14ac:dyDescent="0.2">
      <c r="A401" t="s">
        <v>72</v>
      </c>
      <c r="B401" t="s">
        <v>7951</v>
      </c>
      <c r="C401" t="s">
        <v>74</v>
      </c>
      <c r="D401" t="s">
        <v>7952</v>
      </c>
      <c r="E401" t="s">
        <v>74</v>
      </c>
      <c r="F401" t="s">
        <v>7953</v>
      </c>
      <c r="G401" t="s">
        <v>74</v>
      </c>
      <c r="H401" t="s">
        <v>74</v>
      </c>
      <c r="I401" t="s">
        <v>7954</v>
      </c>
      <c r="J401" t="s">
        <v>7955</v>
      </c>
      <c r="K401" t="s">
        <v>5714</v>
      </c>
      <c r="L401" t="s">
        <v>74</v>
      </c>
      <c r="M401" t="s">
        <v>79</v>
      </c>
      <c r="N401" t="s">
        <v>80</v>
      </c>
      <c r="O401" t="s">
        <v>7956</v>
      </c>
      <c r="P401" t="s">
        <v>1531</v>
      </c>
      <c r="Q401" t="s">
        <v>4495</v>
      </c>
      <c r="R401" t="s">
        <v>5718</v>
      </c>
      <c r="S401" t="s">
        <v>74</v>
      </c>
      <c r="T401" t="s">
        <v>7957</v>
      </c>
      <c r="U401" t="s">
        <v>74</v>
      </c>
      <c r="V401" t="s">
        <v>7958</v>
      </c>
      <c r="W401" t="s">
        <v>7959</v>
      </c>
      <c r="X401" t="s">
        <v>74</v>
      </c>
      <c r="Y401" t="s">
        <v>7960</v>
      </c>
      <c r="Z401" t="s">
        <v>7961</v>
      </c>
      <c r="AA401" t="s">
        <v>74</v>
      </c>
      <c r="AB401" t="s">
        <v>74</v>
      </c>
      <c r="AC401" t="s">
        <v>74</v>
      </c>
      <c r="AD401" t="s">
        <v>74</v>
      </c>
      <c r="AE401" t="s">
        <v>74</v>
      </c>
      <c r="AF401" t="s">
        <v>74</v>
      </c>
      <c r="AG401">
        <v>14</v>
      </c>
      <c r="AH401">
        <v>0</v>
      </c>
      <c r="AI401">
        <v>0</v>
      </c>
      <c r="AJ401">
        <v>2</v>
      </c>
      <c r="AK401">
        <v>2</v>
      </c>
      <c r="AL401" t="s">
        <v>5725</v>
      </c>
      <c r="AM401" t="s">
        <v>5726</v>
      </c>
      <c r="AN401" t="s">
        <v>5727</v>
      </c>
      <c r="AO401" t="s">
        <v>5728</v>
      </c>
      <c r="AP401" t="s">
        <v>5729</v>
      </c>
      <c r="AQ401" t="s">
        <v>7962</v>
      </c>
      <c r="AR401" t="s">
        <v>5731</v>
      </c>
      <c r="AS401" t="s">
        <v>74</v>
      </c>
      <c r="AT401" t="s">
        <v>74</v>
      </c>
      <c r="AU401">
        <v>2023</v>
      </c>
      <c r="AV401">
        <v>12742</v>
      </c>
      <c r="AW401" t="s">
        <v>74</v>
      </c>
      <c r="AX401" t="s">
        <v>74</v>
      </c>
      <c r="AY401" t="s">
        <v>74</v>
      </c>
      <c r="AZ401" t="s">
        <v>74</v>
      </c>
      <c r="BA401" t="s">
        <v>74</v>
      </c>
      <c r="BB401" t="s">
        <v>74</v>
      </c>
      <c r="BC401" t="s">
        <v>74</v>
      </c>
      <c r="BD401" t="s">
        <v>7963</v>
      </c>
      <c r="BE401" t="s">
        <v>7964</v>
      </c>
      <c r="BF401" t="str">
        <f>HYPERLINK("http://dx.doi.org/10.1117/12.2680317","http://dx.doi.org/10.1117/12.2680317")</f>
        <v>http://dx.doi.org/10.1117/12.2680317</v>
      </c>
      <c r="BG401" t="s">
        <v>74</v>
      </c>
      <c r="BH401" t="s">
        <v>74</v>
      </c>
      <c r="BI401">
        <v>11</v>
      </c>
      <c r="BJ401" t="s">
        <v>1851</v>
      </c>
      <c r="BK401" t="s">
        <v>98</v>
      </c>
      <c r="BL401" t="s">
        <v>99</v>
      </c>
      <c r="BM401" t="s">
        <v>7965</v>
      </c>
      <c r="BN401" t="s">
        <v>74</v>
      </c>
      <c r="BO401" t="s">
        <v>74</v>
      </c>
      <c r="BP401" t="s">
        <v>74</v>
      </c>
      <c r="BQ401" t="s">
        <v>74</v>
      </c>
      <c r="BR401" t="s">
        <v>101</v>
      </c>
      <c r="BS401" t="s">
        <v>7966</v>
      </c>
      <c r="BT401" t="str">
        <f>HYPERLINK("https%3A%2F%2Fwww.webofscience.com%2Fwos%2Fwoscc%2Ffull-record%2FWOS:001093760800015","View Full Record in Web of Science")</f>
        <v>View Full Record in Web of Science</v>
      </c>
    </row>
    <row r="402" spans="1:72" x14ac:dyDescent="0.2">
      <c r="A402" t="s">
        <v>103</v>
      </c>
      <c r="B402" t="s">
        <v>7967</v>
      </c>
      <c r="C402" t="s">
        <v>74</v>
      </c>
      <c r="D402" t="s">
        <v>74</v>
      </c>
      <c r="E402" t="s">
        <v>74</v>
      </c>
      <c r="F402" t="s">
        <v>7968</v>
      </c>
      <c r="G402" t="s">
        <v>74</v>
      </c>
      <c r="H402" t="s">
        <v>74</v>
      </c>
      <c r="I402" t="s">
        <v>7969</v>
      </c>
      <c r="J402" t="s">
        <v>6056</v>
      </c>
      <c r="K402" t="s">
        <v>74</v>
      </c>
      <c r="L402" t="s">
        <v>74</v>
      </c>
      <c r="M402" t="s">
        <v>79</v>
      </c>
      <c r="N402" t="s">
        <v>108</v>
      </c>
      <c r="O402" t="s">
        <v>74</v>
      </c>
      <c r="P402" t="s">
        <v>74</v>
      </c>
      <c r="Q402" t="s">
        <v>74</v>
      </c>
      <c r="R402" t="s">
        <v>74</v>
      </c>
      <c r="S402" t="s">
        <v>74</v>
      </c>
      <c r="T402" t="s">
        <v>7970</v>
      </c>
      <c r="U402" t="s">
        <v>74</v>
      </c>
      <c r="V402" t="s">
        <v>7971</v>
      </c>
      <c r="W402" t="s">
        <v>7972</v>
      </c>
      <c r="X402" t="s">
        <v>7973</v>
      </c>
      <c r="Y402" t="s">
        <v>7974</v>
      </c>
      <c r="Z402" t="s">
        <v>4940</v>
      </c>
      <c r="AA402" t="s">
        <v>74</v>
      </c>
      <c r="AB402" t="s">
        <v>7975</v>
      </c>
      <c r="AC402" t="s">
        <v>74</v>
      </c>
      <c r="AD402" t="s">
        <v>74</v>
      </c>
      <c r="AE402" t="s">
        <v>74</v>
      </c>
      <c r="AF402" t="s">
        <v>74</v>
      </c>
      <c r="AG402">
        <v>24</v>
      </c>
      <c r="AH402">
        <v>5</v>
      </c>
      <c r="AI402">
        <v>5</v>
      </c>
      <c r="AJ402">
        <v>63</v>
      </c>
      <c r="AK402">
        <v>82</v>
      </c>
      <c r="AL402" t="s">
        <v>4176</v>
      </c>
      <c r="AM402" t="s">
        <v>4177</v>
      </c>
      <c r="AN402" t="s">
        <v>4178</v>
      </c>
      <c r="AO402" t="s">
        <v>6067</v>
      </c>
      <c r="AP402" t="s">
        <v>74</v>
      </c>
      <c r="AQ402" t="s">
        <v>74</v>
      </c>
      <c r="AR402" t="s">
        <v>6068</v>
      </c>
      <c r="AS402" t="s">
        <v>6069</v>
      </c>
      <c r="AT402" t="s">
        <v>7976</v>
      </c>
      <c r="AU402">
        <v>2023</v>
      </c>
      <c r="AV402">
        <v>25</v>
      </c>
      <c r="AW402" t="s">
        <v>74</v>
      </c>
      <c r="AX402" t="s">
        <v>74</v>
      </c>
      <c r="AY402" t="s">
        <v>74</v>
      </c>
      <c r="AZ402" t="s">
        <v>74</v>
      </c>
      <c r="BA402" t="s">
        <v>74</v>
      </c>
      <c r="BB402" t="s">
        <v>74</v>
      </c>
      <c r="BC402" t="s">
        <v>74</v>
      </c>
      <c r="BD402" t="s">
        <v>7977</v>
      </c>
      <c r="BE402" t="s">
        <v>7978</v>
      </c>
      <c r="BF402" t="str">
        <f>HYPERLINK("http://dx.doi.org/10.2196/48392","http://dx.doi.org/10.2196/48392")</f>
        <v>http://dx.doi.org/10.2196/48392</v>
      </c>
      <c r="BG402" t="s">
        <v>74</v>
      </c>
      <c r="BH402" t="s">
        <v>74</v>
      </c>
      <c r="BI402">
        <v>5</v>
      </c>
      <c r="BJ402" t="s">
        <v>4947</v>
      </c>
      <c r="BK402" t="s">
        <v>130</v>
      </c>
      <c r="BL402" t="s">
        <v>4947</v>
      </c>
      <c r="BM402" t="s">
        <v>7979</v>
      </c>
      <c r="BN402">
        <v>37347508</v>
      </c>
      <c r="BO402" t="s">
        <v>4185</v>
      </c>
      <c r="BP402" t="s">
        <v>74</v>
      </c>
      <c r="BQ402" t="s">
        <v>74</v>
      </c>
      <c r="BR402" t="s">
        <v>101</v>
      </c>
      <c r="BS402" t="s">
        <v>7980</v>
      </c>
      <c r="BT402" t="str">
        <f>HYPERLINK("https%3A%2F%2Fwww.webofscience.com%2Fwos%2Fwoscc%2Ffull-record%2FWOS:001021010800006","View Full Record in Web of Science")</f>
        <v>View Full Record in Web of Science</v>
      </c>
    </row>
    <row r="403" spans="1:72" x14ac:dyDescent="0.2">
      <c r="A403" t="s">
        <v>103</v>
      </c>
      <c r="B403" t="s">
        <v>7981</v>
      </c>
      <c r="C403" t="s">
        <v>74</v>
      </c>
      <c r="D403" t="s">
        <v>74</v>
      </c>
      <c r="E403" t="s">
        <v>74</v>
      </c>
      <c r="F403" t="s">
        <v>7982</v>
      </c>
      <c r="G403" t="s">
        <v>74</v>
      </c>
      <c r="H403" t="s">
        <v>74</v>
      </c>
      <c r="I403" t="s">
        <v>7983</v>
      </c>
      <c r="J403" t="s">
        <v>7984</v>
      </c>
      <c r="K403" t="s">
        <v>74</v>
      </c>
      <c r="L403" t="s">
        <v>74</v>
      </c>
      <c r="M403" t="s">
        <v>79</v>
      </c>
      <c r="N403" t="s">
        <v>138</v>
      </c>
      <c r="O403" t="s">
        <v>74</v>
      </c>
      <c r="P403" t="s">
        <v>74</v>
      </c>
      <c r="Q403" t="s">
        <v>74</v>
      </c>
      <c r="R403" t="s">
        <v>74</v>
      </c>
      <c r="S403" t="s">
        <v>74</v>
      </c>
      <c r="T403" t="s">
        <v>7985</v>
      </c>
      <c r="U403" t="s">
        <v>7986</v>
      </c>
      <c r="V403" t="s">
        <v>7987</v>
      </c>
      <c r="W403" t="s">
        <v>7988</v>
      </c>
      <c r="X403" t="s">
        <v>7989</v>
      </c>
      <c r="Y403" t="s">
        <v>7990</v>
      </c>
      <c r="Z403" t="s">
        <v>7991</v>
      </c>
      <c r="AA403" t="s">
        <v>74</v>
      </c>
      <c r="AB403" t="s">
        <v>7992</v>
      </c>
      <c r="AC403" t="s">
        <v>7993</v>
      </c>
      <c r="AD403" t="s">
        <v>7993</v>
      </c>
      <c r="AE403" t="s">
        <v>7994</v>
      </c>
      <c r="AF403" t="s">
        <v>74</v>
      </c>
      <c r="AG403">
        <v>55</v>
      </c>
      <c r="AH403">
        <v>0</v>
      </c>
      <c r="AI403">
        <v>0</v>
      </c>
      <c r="AJ403">
        <v>4</v>
      </c>
      <c r="AK403">
        <v>4</v>
      </c>
      <c r="AL403" t="s">
        <v>343</v>
      </c>
      <c r="AM403" t="s">
        <v>93</v>
      </c>
      <c r="AN403" t="s">
        <v>344</v>
      </c>
      <c r="AO403" t="s">
        <v>7995</v>
      </c>
      <c r="AP403" t="s">
        <v>7996</v>
      </c>
      <c r="AQ403" t="s">
        <v>74</v>
      </c>
      <c r="AR403" t="s">
        <v>7997</v>
      </c>
      <c r="AS403" t="s">
        <v>7998</v>
      </c>
      <c r="AT403" t="s">
        <v>7999</v>
      </c>
      <c r="AU403">
        <v>2023</v>
      </c>
      <c r="AV403" t="s">
        <v>74</v>
      </c>
      <c r="AW403" t="s">
        <v>74</v>
      </c>
      <c r="AX403" t="s">
        <v>74</v>
      </c>
      <c r="AY403" t="s">
        <v>74</v>
      </c>
      <c r="AZ403" t="s">
        <v>74</v>
      </c>
      <c r="BA403" t="s">
        <v>74</v>
      </c>
      <c r="BB403" t="s">
        <v>74</v>
      </c>
      <c r="BC403" t="s">
        <v>74</v>
      </c>
      <c r="BD403" t="s">
        <v>74</v>
      </c>
      <c r="BE403" t="s">
        <v>8000</v>
      </c>
      <c r="BF403" t="str">
        <f>HYPERLINK("http://dx.doi.org/10.1007/s00371-023-03067-7","http://dx.doi.org/10.1007/s00371-023-03067-7")</f>
        <v>http://dx.doi.org/10.1007/s00371-023-03067-7</v>
      </c>
      <c r="BG403" t="s">
        <v>74</v>
      </c>
      <c r="BH403" t="s">
        <v>278</v>
      </c>
      <c r="BI403">
        <v>16</v>
      </c>
      <c r="BJ403" t="s">
        <v>1563</v>
      </c>
      <c r="BK403" t="s">
        <v>130</v>
      </c>
      <c r="BL403" t="s">
        <v>99</v>
      </c>
      <c r="BM403" t="s">
        <v>8001</v>
      </c>
      <c r="BN403" t="s">
        <v>74</v>
      </c>
      <c r="BO403" t="s">
        <v>646</v>
      </c>
      <c r="BP403" t="s">
        <v>74</v>
      </c>
      <c r="BQ403" t="s">
        <v>74</v>
      </c>
      <c r="BR403" t="s">
        <v>101</v>
      </c>
      <c r="BS403" t="s">
        <v>8002</v>
      </c>
      <c r="BT403" t="str">
        <f>HYPERLINK("https%3A%2F%2Fwww.webofscience.com%2Fwos%2Fwoscc%2Ffull-record%2FWOS:001066148600001","View Full Record in Web of Science")</f>
        <v>View Full Record in Web of Science</v>
      </c>
    </row>
    <row r="404" spans="1:72" x14ac:dyDescent="0.2">
      <c r="A404" t="s">
        <v>72</v>
      </c>
      <c r="B404" t="s">
        <v>8003</v>
      </c>
      <c r="C404" t="s">
        <v>74</v>
      </c>
      <c r="D404" t="s">
        <v>74</v>
      </c>
      <c r="E404" t="s">
        <v>284</v>
      </c>
      <c r="F404" t="s">
        <v>8004</v>
      </c>
      <c r="G404" t="s">
        <v>74</v>
      </c>
      <c r="H404" t="s">
        <v>74</v>
      </c>
      <c r="I404" t="s">
        <v>8005</v>
      </c>
      <c r="J404" t="s">
        <v>6787</v>
      </c>
      <c r="K404" t="s">
        <v>6788</v>
      </c>
      <c r="L404" t="s">
        <v>74</v>
      </c>
      <c r="M404" t="s">
        <v>79</v>
      </c>
      <c r="N404" t="s">
        <v>80</v>
      </c>
      <c r="O404" t="s">
        <v>6789</v>
      </c>
      <c r="P404" t="s">
        <v>6790</v>
      </c>
      <c r="Q404" t="s">
        <v>2167</v>
      </c>
      <c r="R404" t="s">
        <v>6791</v>
      </c>
      <c r="S404" t="s">
        <v>74</v>
      </c>
      <c r="T404" t="s">
        <v>8006</v>
      </c>
      <c r="U404" t="s">
        <v>74</v>
      </c>
      <c r="V404" t="s">
        <v>8007</v>
      </c>
      <c r="W404" t="s">
        <v>8008</v>
      </c>
      <c r="X404" t="s">
        <v>8009</v>
      </c>
      <c r="Y404" t="s">
        <v>8010</v>
      </c>
      <c r="Z404" t="s">
        <v>8011</v>
      </c>
      <c r="AA404" t="s">
        <v>74</v>
      </c>
      <c r="AB404" t="s">
        <v>74</v>
      </c>
      <c r="AC404" t="s">
        <v>8012</v>
      </c>
      <c r="AD404" t="s">
        <v>8013</v>
      </c>
      <c r="AE404" t="s">
        <v>8014</v>
      </c>
      <c r="AF404" t="s">
        <v>74</v>
      </c>
      <c r="AG404">
        <v>9</v>
      </c>
      <c r="AH404">
        <v>0</v>
      </c>
      <c r="AI404">
        <v>0</v>
      </c>
      <c r="AJ404">
        <v>5</v>
      </c>
      <c r="AK404">
        <v>5</v>
      </c>
      <c r="AL404" t="s">
        <v>284</v>
      </c>
      <c r="AM404" t="s">
        <v>93</v>
      </c>
      <c r="AN404" t="s">
        <v>299</v>
      </c>
      <c r="AO404" t="s">
        <v>6801</v>
      </c>
      <c r="AP404" t="s">
        <v>6802</v>
      </c>
      <c r="AQ404" t="s">
        <v>6803</v>
      </c>
      <c r="AR404" t="s">
        <v>6804</v>
      </c>
      <c r="AS404" t="s">
        <v>74</v>
      </c>
      <c r="AT404" t="s">
        <v>74</v>
      </c>
      <c r="AU404">
        <v>2023</v>
      </c>
      <c r="AV404" t="s">
        <v>74</v>
      </c>
      <c r="AW404" t="s">
        <v>74</v>
      </c>
      <c r="AX404" t="s">
        <v>74</v>
      </c>
      <c r="AY404" t="s">
        <v>74</v>
      </c>
      <c r="AZ404" t="s">
        <v>74</v>
      </c>
      <c r="BA404" t="s">
        <v>74</v>
      </c>
      <c r="BB404" t="s">
        <v>74</v>
      </c>
      <c r="BC404" t="s">
        <v>74</v>
      </c>
      <c r="BD404" t="s">
        <v>74</v>
      </c>
      <c r="BE404" t="s">
        <v>8015</v>
      </c>
      <c r="BF404" t="str">
        <f>HYPERLINK("http://dx.doi.org/10.1109/EMBC40787.2023.10340247","http://dx.doi.org/10.1109/EMBC40787.2023.10340247")</f>
        <v>http://dx.doi.org/10.1109/EMBC40787.2023.10340247</v>
      </c>
      <c r="BG404" t="s">
        <v>74</v>
      </c>
      <c r="BH404" t="s">
        <v>74</v>
      </c>
      <c r="BI404">
        <v>4</v>
      </c>
      <c r="BJ404" t="s">
        <v>6806</v>
      </c>
      <c r="BK404" t="s">
        <v>98</v>
      </c>
      <c r="BL404" t="s">
        <v>906</v>
      </c>
      <c r="BM404" t="s">
        <v>6807</v>
      </c>
      <c r="BN404">
        <v>38083718</v>
      </c>
      <c r="BO404" t="s">
        <v>74</v>
      </c>
      <c r="BP404" t="s">
        <v>74</v>
      </c>
      <c r="BQ404" t="s">
        <v>74</v>
      </c>
      <c r="BR404" t="s">
        <v>101</v>
      </c>
      <c r="BS404" t="s">
        <v>8016</v>
      </c>
      <c r="BT404" t="str">
        <f>HYPERLINK("https%3A%2F%2Fwww.webofscience.com%2Fwos%2Fwoscc%2Ffull-record%2FWOS:001133788301071","View Full Record in Web of Science")</f>
        <v>View Full Record in Web of Science</v>
      </c>
    </row>
    <row r="405" spans="1:72" x14ac:dyDescent="0.2">
      <c r="A405" t="s">
        <v>103</v>
      </c>
      <c r="B405" t="s">
        <v>8017</v>
      </c>
      <c r="C405" t="s">
        <v>74</v>
      </c>
      <c r="D405" t="s">
        <v>74</v>
      </c>
      <c r="E405" t="s">
        <v>74</v>
      </c>
      <c r="F405" t="s">
        <v>8018</v>
      </c>
      <c r="G405" t="s">
        <v>74</v>
      </c>
      <c r="H405" t="s">
        <v>74</v>
      </c>
      <c r="I405" t="s">
        <v>8019</v>
      </c>
      <c r="J405" t="s">
        <v>8020</v>
      </c>
      <c r="K405" t="s">
        <v>74</v>
      </c>
      <c r="L405" t="s">
        <v>74</v>
      </c>
      <c r="M405" t="s">
        <v>79</v>
      </c>
      <c r="N405" t="s">
        <v>108</v>
      </c>
      <c r="O405" t="s">
        <v>74</v>
      </c>
      <c r="P405" t="s">
        <v>74</v>
      </c>
      <c r="Q405" t="s">
        <v>74</v>
      </c>
      <c r="R405" t="s">
        <v>74</v>
      </c>
      <c r="S405" t="s">
        <v>74</v>
      </c>
      <c r="T405" t="s">
        <v>8021</v>
      </c>
      <c r="U405" t="s">
        <v>8022</v>
      </c>
      <c r="V405" t="s">
        <v>8023</v>
      </c>
      <c r="W405" t="s">
        <v>8024</v>
      </c>
      <c r="X405" t="s">
        <v>8025</v>
      </c>
      <c r="Y405" t="s">
        <v>8026</v>
      </c>
      <c r="Z405" t="s">
        <v>8027</v>
      </c>
      <c r="AA405" t="s">
        <v>74</v>
      </c>
      <c r="AB405" t="s">
        <v>8028</v>
      </c>
      <c r="AC405" t="s">
        <v>74</v>
      </c>
      <c r="AD405" t="s">
        <v>74</v>
      </c>
      <c r="AE405" t="s">
        <v>74</v>
      </c>
      <c r="AF405" t="s">
        <v>74</v>
      </c>
      <c r="AG405">
        <v>66</v>
      </c>
      <c r="AH405">
        <v>0</v>
      </c>
      <c r="AI405">
        <v>0</v>
      </c>
      <c r="AJ405">
        <v>5</v>
      </c>
      <c r="AK405">
        <v>7</v>
      </c>
      <c r="AL405" t="s">
        <v>483</v>
      </c>
      <c r="AM405" t="s">
        <v>484</v>
      </c>
      <c r="AN405" t="s">
        <v>485</v>
      </c>
      <c r="AO405" t="s">
        <v>8029</v>
      </c>
      <c r="AP405" t="s">
        <v>8030</v>
      </c>
      <c r="AQ405" t="s">
        <v>74</v>
      </c>
      <c r="AR405" t="s">
        <v>8031</v>
      </c>
      <c r="AS405" t="s">
        <v>8032</v>
      </c>
      <c r="AT405" t="s">
        <v>8033</v>
      </c>
      <c r="AU405">
        <v>2024</v>
      </c>
      <c r="AV405">
        <v>17</v>
      </c>
      <c r="AW405">
        <v>1</v>
      </c>
      <c r="AX405" t="s">
        <v>74</v>
      </c>
      <c r="AY405" t="s">
        <v>74</v>
      </c>
      <c r="AZ405" t="s">
        <v>74</v>
      </c>
      <c r="BA405" t="s">
        <v>74</v>
      </c>
      <c r="BB405">
        <v>49</v>
      </c>
      <c r="BC405">
        <v>73</v>
      </c>
      <c r="BD405" t="s">
        <v>74</v>
      </c>
      <c r="BE405" t="s">
        <v>8034</v>
      </c>
      <c r="BF405" t="str">
        <f>HYPERLINK("http://dx.doi.org/10.1108/JPMD-04-2023-0041","http://dx.doi.org/10.1108/JPMD-04-2023-0041")</f>
        <v>http://dx.doi.org/10.1108/JPMD-04-2023-0041</v>
      </c>
      <c r="BG405" t="s">
        <v>74</v>
      </c>
      <c r="BH405" t="s">
        <v>229</v>
      </c>
      <c r="BI405">
        <v>25</v>
      </c>
      <c r="BJ405" t="s">
        <v>2911</v>
      </c>
      <c r="BK405" t="s">
        <v>352</v>
      </c>
      <c r="BL405" t="s">
        <v>618</v>
      </c>
      <c r="BM405" t="s">
        <v>8035</v>
      </c>
      <c r="BN405" t="s">
        <v>74</v>
      </c>
      <c r="BO405" t="s">
        <v>74</v>
      </c>
      <c r="BP405" t="s">
        <v>74</v>
      </c>
      <c r="BQ405" t="s">
        <v>74</v>
      </c>
      <c r="BR405" t="s">
        <v>101</v>
      </c>
      <c r="BS405" t="s">
        <v>8036</v>
      </c>
      <c r="BT405" t="str">
        <f>HYPERLINK("https%3A%2F%2Fwww.webofscience.com%2Fwos%2Fwoscc%2Ffull-record%2FWOS:001033850000001","View Full Record in Web of Science")</f>
        <v>View Full Record in Web of Science</v>
      </c>
    </row>
    <row r="406" spans="1:72" x14ac:dyDescent="0.2">
      <c r="A406" t="s">
        <v>72</v>
      </c>
      <c r="B406" t="s">
        <v>8037</v>
      </c>
      <c r="C406" t="s">
        <v>74</v>
      </c>
      <c r="D406" t="s">
        <v>74</v>
      </c>
      <c r="E406" t="s">
        <v>284</v>
      </c>
      <c r="F406" t="s">
        <v>8038</v>
      </c>
      <c r="G406" t="s">
        <v>74</v>
      </c>
      <c r="H406" t="s">
        <v>74</v>
      </c>
      <c r="I406" t="s">
        <v>8039</v>
      </c>
      <c r="J406" t="s">
        <v>8040</v>
      </c>
      <c r="K406" t="s">
        <v>8041</v>
      </c>
      <c r="L406" t="s">
        <v>74</v>
      </c>
      <c r="M406" t="s">
        <v>79</v>
      </c>
      <c r="N406" t="s">
        <v>80</v>
      </c>
      <c r="O406" t="s">
        <v>8042</v>
      </c>
      <c r="P406" t="s">
        <v>8043</v>
      </c>
      <c r="Q406" t="s">
        <v>8044</v>
      </c>
      <c r="R406" t="s">
        <v>8045</v>
      </c>
      <c r="S406" t="s">
        <v>8046</v>
      </c>
      <c r="T406" t="s">
        <v>8047</v>
      </c>
      <c r="U406" t="s">
        <v>74</v>
      </c>
      <c r="V406" t="s">
        <v>8048</v>
      </c>
      <c r="W406" t="s">
        <v>8049</v>
      </c>
      <c r="X406" t="s">
        <v>8009</v>
      </c>
      <c r="Y406" t="s">
        <v>8050</v>
      </c>
      <c r="Z406" t="s">
        <v>8051</v>
      </c>
      <c r="AA406" t="s">
        <v>74</v>
      </c>
      <c r="AB406" t="s">
        <v>74</v>
      </c>
      <c r="AC406" t="s">
        <v>8052</v>
      </c>
      <c r="AD406" t="s">
        <v>8053</v>
      </c>
      <c r="AE406" t="s">
        <v>8054</v>
      </c>
      <c r="AF406" t="s">
        <v>74</v>
      </c>
      <c r="AG406">
        <v>27</v>
      </c>
      <c r="AH406">
        <v>0</v>
      </c>
      <c r="AI406">
        <v>0</v>
      </c>
      <c r="AJ406">
        <v>7</v>
      </c>
      <c r="AK406">
        <v>10</v>
      </c>
      <c r="AL406" t="s">
        <v>284</v>
      </c>
      <c r="AM406" t="s">
        <v>93</v>
      </c>
      <c r="AN406" t="s">
        <v>299</v>
      </c>
      <c r="AO406" t="s">
        <v>8055</v>
      </c>
      <c r="AP406" t="s">
        <v>74</v>
      </c>
      <c r="AQ406" t="s">
        <v>8056</v>
      </c>
      <c r="AR406" t="s">
        <v>8057</v>
      </c>
      <c r="AS406" t="s">
        <v>74</v>
      </c>
      <c r="AT406" t="s">
        <v>74</v>
      </c>
      <c r="AU406">
        <v>2023</v>
      </c>
      <c r="AV406" t="s">
        <v>74</v>
      </c>
      <c r="AW406" t="s">
        <v>74</v>
      </c>
      <c r="AX406" t="s">
        <v>74</v>
      </c>
      <c r="AY406" t="s">
        <v>74</v>
      </c>
      <c r="AZ406" t="s">
        <v>74</v>
      </c>
      <c r="BA406" t="s">
        <v>74</v>
      </c>
      <c r="BB406" t="s">
        <v>74</v>
      </c>
      <c r="BC406" t="s">
        <v>74</v>
      </c>
      <c r="BD406" t="s">
        <v>74</v>
      </c>
      <c r="BE406" t="s">
        <v>8058</v>
      </c>
      <c r="BF406" t="str">
        <f>HYPERLINK("http://dx.doi.org/10.1109/BCI57258.2023.10078666","http://dx.doi.org/10.1109/BCI57258.2023.10078666")</f>
        <v>http://dx.doi.org/10.1109/BCI57258.2023.10078666</v>
      </c>
      <c r="BG406" t="s">
        <v>74</v>
      </c>
      <c r="BH406" t="s">
        <v>74</v>
      </c>
      <c r="BI406">
        <v>6</v>
      </c>
      <c r="BJ406" t="s">
        <v>5138</v>
      </c>
      <c r="BK406" t="s">
        <v>98</v>
      </c>
      <c r="BL406" t="s">
        <v>99</v>
      </c>
      <c r="BM406" t="s">
        <v>8059</v>
      </c>
      <c r="BN406" t="s">
        <v>74</v>
      </c>
      <c r="BO406" t="s">
        <v>74</v>
      </c>
      <c r="BP406" t="s">
        <v>74</v>
      </c>
      <c r="BQ406" t="s">
        <v>74</v>
      </c>
      <c r="BR406" t="s">
        <v>101</v>
      </c>
      <c r="BS406" t="s">
        <v>8060</v>
      </c>
      <c r="BT406" t="str">
        <f>HYPERLINK("https%3A%2F%2Fwww.webofscience.com%2Fwos%2Fwoscc%2Ffull-record%2FWOS:000982525300043","View Full Record in Web of Science")</f>
        <v>View Full Record in Web of Science</v>
      </c>
    </row>
    <row r="407" spans="1:72" x14ac:dyDescent="0.2">
      <c r="A407" t="s">
        <v>103</v>
      </c>
      <c r="B407" t="s">
        <v>8061</v>
      </c>
      <c r="C407" t="s">
        <v>74</v>
      </c>
      <c r="D407" t="s">
        <v>74</v>
      </c>
      <c r="E407" t="s">
        <v>74</v>
      </c>
      <c r="F407" t="s">
        <v>8062</v>
      </c>
      <c r="G407" t="s">
        <v>74</v>
      </c>
      <c r="H407" t="s">
        <v>74</v>
      </c>
      <c r="I407" t="s">
        <v>8063</v>
      </c>
      <c r="J407" t="s">
        <v>4167</v>
      </c>
      <c r="K407" t="s">
        <v>74</v>
      </c>
      <c r="L407" t="s">
        <v>74</v>
      </c>
      <c r="M407" t="s">
        <v>79</v>
      </c>
      <c r="N407" t="s">
        <v>108</v>
      </c>
      <c r="O407" t="s">
        <v>74</v>
      </c>
      <c r="P407" t="s">
        <v>74</v>
      </c>
      <c r="Q407" t="s">
        <v>74</v>
      </c>
      <c r="R407" t="s">
        <v>74</v>
      </c>
      <c r="S407" t="s">
        <v>74</v>
      </c>
      <c r="T407" t="s">
        <v>8064</v>
      </c>
      <c r="U407" t="s">
        <v>74</v>
      </c>
      <c r="V407" t="s">
        <v>8065</v>
      </c>
      <c r="W407" t="s">
        <v>8066</v>
      </c>
      <c r="X407" t="s">
        <v>8067</v>
      </c>
      <c r="Y407" t="s">
        <v>8068</v>
      </c>
      <c r="Z407" t="s">
        <v>8069</v>
      </c>
      <c r="AA407" t="s">
        <v>74</v>
      </c>
      <c r="AB407" t="s">
        <v>8070</v>
      </c>
      <c r="AC407" t="s">
        <v>74</v>
      </c>
      <c r="AD407" t="s">
        <v>74</v>
      </c>
      <c r="AE407" t="s">
        <v>74</v>
      </c>
      <c r="AF407" t="s">
        <v>74</v>
      </c>
      <c r="AG407">
        <v>27</v>
      </c>
      <c r="AH407">
        <v>0</v>
      </c>
      <c r="AI407">
        <v>0</v>
      </c>
      <c r="AJ407">
        <v>4</v>
      </c>
      <c r="AK407">
        <v>4</v>
      </c>
      <c r="AL407" t="s">
        <v>4176</v>
      </c>
      <c r="AM407" t="s">
        <v>4177</v>
      </c>
      <c r="AN407" t="s">
        <v>4178</v>
      </c>
      <c r="AO407" t="s">
        <v>4179</v>
      </c>
      <c r="AP407" t="s">
        <v>74</v>
      </c>
      <c r="AQ407" t="s">
        <v>74</v>
      </c>
      <c r="AR407" t="s">
        <v>4180</v>
      </c>
      <c r="AS407" t="s">
        <v>4181</v>
      </c>
      <c r="AT407" t="s">
        <v>74</v>
      </c>
      <c r="AU407">
        <v>2023</v>
      </c>
      <c r="AV407">
        <v>9</v>
      </c>
      <c r="AW407" t="s">
        <v>74</v>
      </c>
      <c r="AX407" t="s">
        <v>74</v>
      </c>
      <c r="AY407" t="s">
        <v>74</v>
      </c>
      <c r="AZ407" t="s">
        <v>74</v>
      </c>
      <c r="BA407" t="s">
        <v>74</v>
      </c>
      <c r="BB407" t="s">
        <v>74</v>
      </c>
      <c r="BC407" t="s">
        <v>74</v>
      </c>
      <c r="BD407" t="s">
        <v>8071</v>
      </c>
      <c r="BE407" t="s">
        <v>8072</v>
      </c>
      <c r="BF407" t="str">
        <f>HYPERLINK("http://dx.doi.org/10.2196/50373","http://dx.doi.org/10.2196/50373")</f>
        <v>http://dx.doi.org/10.2196/50373</v>
      </c>
      <c r="BG407" t="s">
        <v>74</v>
      </c>
      <c r="BH407" t="s">
        <v>74</v>
      </c>
      <c r="BI407">
        <v>10</v>
      </c>
      <c r="BJ407" t="s">
        <v>3308</v>
      </c>
      <c r="BK407" t="s">
        <v>352</v>
      </c>
      <c r="BL407" t="s">
        <v>423</v>
      </c>
      <c r="BM407" t="s">
        <v>8073</v>
      </c>
      <c r="BN407">
        <v>38145471</v>
      </c>
      <c r="BO407" t="s">
        <v>1728</v>
      </c>
      <c r="BP407" t="s">
        <v>74</v>
      </c>
      <c r="BQ407" t="s">
        <v>74</v>
      </c>
      <c r="BR407" t="s">
        <v>101</v>
      </c>
      <c r="BS407" t="s">
        <v>8074</v>
      </c>
      <c r="BT407" t="str">
        <f>HYPERLINK("https%3A%2F%2Fwww.webofscience.com%2Fwos%2Fwoscc%2Ffull-record%2FWOS:001146163200001","View Full Record in Web of Science")</f>
        <v>View Full Record in Web of Science</v>
      </c>
    </row>
    <row r="408" spans="1:72" x14ac:dyDescent="0.2">
      <c r="A408" t="s">
        <v>72</v>
      </c>
      <c r="B408" t="s">
        <v>8075</v>
      </c>
      <c r="C408" t="s">
        <v>74</v>
      </c>
      <c r="D408" t="s">
        <v>1030</v>
      </c>
      <c r="E408" t="s">
        <v>74</v>
      </c>
      <c r="F408" t="s">
        <v>8076</v>
      </c>
      <c r="G408" t="s">
        <v>74</v>
      </c>
      <c r="H408" t="s">
        <v>74</v>
      </c>
      <c r="I408" t="s">
        <v>8077</v>
      </c>
      <c r="J408" t="s">
        <v>8078</v>
      </c>
      <c r="K408" t="s">
        <v>1034</v>
      </c>
      <c r="L408" t="s">
        <v>74</v>
      </c>
      <c r="M408" t="s">
        <v>79</v>
      </c>
      <c r="N408" t="s">
        <v>80</v>
      </c>
      <c r="O408" t="s">
        <v>1035</v>
      </c>
      <c r="P408" t="s">
        <v>1036</v>
      </c>
      <c r="Q408" t="s">
        <v>1037</v>
      </c>
      <c r="R408" t="s">
        <v>1038</v>
      </c>
      <c r="S408" t="s">
        <v>74</v>
      </c>
      <c r="T408" t="s">
        <v>8079</v>
      </c>
      <c r="U408" t="s">
        <v>8080</v>
      </c>
      <c r="V408" t="s">
        <v>8081</v>
      </c>
      <c r="W408" t="s">
        <v>8082</v>
      </c>
      <c r="X408" t="s">
        <v>8083</v>
      </c>
      <c r="Y408" t="s">
        <v>8084</v>
      </c>
      <c r="Z408" t="s">
        <v>8085</v>
      </c>
      <c r="AA408" t="s">
        <v>74</v>
      </c>
      <c r="AB408" t="s">
        <v>74</v>
      </c>
      <c r="AC408" t="s">
        <v>8086</v>
      </c>
      <c r="AD408" t="s">
        <v>8086</v>
      </c>
      <c r="AE408" t="s">
        <v>8087</v>
      </c>
      <c r="AF408" t="s">
        <v>74</v>
      </c>
      <c r="AG408">
        <v>37</v>
      </c>
      <c r="AH408">
        <v>0</v>
      </c>
      <c r="AI408">
        <v>0</v>
      </c>
      <c r="AJ408">
        <v>1</v>
      </c>
      <c r="AK408">
        <v>1</v>
      </c>
      <c r="AL408" t="s">
        <v>325</v>
      </c>
      <c r="AM408" t="s">
        <v>245</v>
      </c>
      <c r="AN408" t="s">
        <v>246</v>
      </c>
      <c r="AO408" t="s">
        <v>1042</v>
      </c>
      <c r="AP408" t="s">
        <v>327</v>
      </c>
      <c r="AQ408" t="s">
        <v>8088</v>
      </c>
      <c r="AR408" t="s">
        <v>1044</v>
      </c>
      <c r="AS408" t="s">
        <v>74</v>
      </c>
      <c r="AT408" t="s">
        <v>74</v>
      </c>
      <c r="AU408">
        <v>2023</v>
      </c>
      <c r="AV408">
        <v>14174</v>
      </c>
      <c r="AW408" t="s">
        <v>74</v>
      </c>
      <c r="AX408" t="s">
        <v>74</v>
      </c>
      <c r="AY408" t="s">
        <v>74</v>
      </c>
      <c r="AZ408" t="s">
        <v>74</v>
      </c>
      <c r="BA408" t="s">
        <v>74</v>
      </c>
      <c r="BB408">
        <v>88</v>
      </c>
      <c r="BC408">
        <v>104</v>
      </c>
      <c r="BD408" t="s">
        <v>74</v>
      </c>
      <c r="BE408" t="s">
        <v>8089</v>
      </c>
      <c r="BF408" t="str">
        <f>HYPERLINK("http://dx.doi.org/10.1007/978-3-031-43427-3_6","http://dx.doi.org/10.1007/978-3-031-43427-3_6")</f>
        <v>http://dx.doi.org/10.1007/978-3-031-43427-3_6</v>
      </c>
      <c r="BG408" t="s">
        <v>74</v>
      </c>
      <c r="BH408" t="s">
        <v>74</v>
      </c>
      <c r="BI408">
        <v>17</v>
      </c>
      <c r="BJ408" t="s">
        <v>331</v>
      </c>
      <c r="BK408" t="s">
        <v>98</v>
      </c>
      <c r="BL408" t="s">
        <v>99</v>
      </c>
      <c r="BM408" t="s">
        <v>8090</v>
      </c>
      <c r="BN408" t="s">
        <v>74</v>
      </c>
      <c r="BO408" t="s">
        <v>74</v>
      </c>
      <c r="BP408" t="s">
        <v>74</v>
      </c>
      <c r="BQ408" t="s">
        <v>74</v>
      </c>
      <c r="BR408" t="s">
        <v>101</v>
      </c>
      <c r="BS408" t="s">
        <v>8091</v>
      </c>
      <c r="BT408" t="str">
        <f>HYPERLINK("https%3A%2F%2Fwww.webofscience.com%2Fwos%2Fwoscc%2Ffull-record%2FWOS:001156143700006","View Full Record in Web of Science")</f>
        <v>View Full Record in Web of Science</v>
      </c>
    </row>
    <row r="409" spans="1:72" x14ac:dyDescent="0.2">
      <c r="A409" t="s">
        <v>103</v>
      </c>
      <c r="B409" t="s">
        <v>8092</v>
      </c>
      <c r="C409" t="s">
        <v>74</v>
      </c>
      <c r="D409" t="s">
        <v>74</v>
      </c>
      <c r="E409" t="s">
        <v>74</v>
      </c>
      <c r="F409" t="s">
        <v>8093</v>
      </c>
      <c r="G409" t="s">
        <v>74</v>
      </c>
      <c r="H409" t="s">
        <v>74</v>
      </c>
      <c r="I409" t="s">
        <v>8094</v>
      </c>
      <c r="J409" t="s">
        <v>8095</v>
      </c>
      <c r="K409" t="s">
        <v>74</v>
      </c>
      <c r="L409" t="s">
        <v>74</v>
      </c>
      <c r="M409" t="s">
        <v>79</v>
      </c>
      <c r="N409" t="s">
        <v>108</v>
      </c>
      <c r="O409" t="s">
        <v>74</v>
      </c>
      <c r="P409" t="s">
        <v>74</v>
      </c>
      <c r="Q409" t="s">
        <v>74</v>
      </c>
      <c r="R409" t="s">
        <v>74</v>
      </c>
      <c r="S409" t="s">
        <v>74</v>
      </c>
      <c r="T409" t="s">
        <v>8096</v>
      </c>
      <c r="U409" t="s">
        <v>8097</v>
      </c>
      <c r="V409" t="s">
        <v>8098</v>
      </c>
      <c r="W409" t="s">
        <v>8099</v>
      </c>
      <c r="X409" t="s">
        <v>8100</v>
      </c>
      <c r="Y409" t="s">
        <v>8101</v>
      </c>
      <c r="Z409" t="s">
        <v>8102</v>
      </c>
      <c r="AA409" t="s">
        <v>74</v>
      </c>
      <c r="AB409" t="s">
        <v>8103</v>
      </c>
      <c r="AC409" t="s">
        <v>8104</v>
      </c>
      <c r="AD409" t="s">
        <v>8105</v>
      </c>
      <c r="AE409" t="s">
        <v>8106</v>
      </c>
      <c r="AF409" t="s">
        <v>74</v>
      </c>
      <c r="AG409">
        <v>96</v>
      </c>
      <c r="AH409">
        <v>2</v>
      </c>
      <c r="AI409">
        <v>2</v>
      </c>
      <c r="AJ409">
        <v>2</v>
      </c>
      <c r="AK409">
        <v>2</v>
      </c>
      <c r="AL409" t="s">
        <v>270</v>
      </c>
      <c r="AM409" t="s">
        <v>1424</v>
      </c>
      <c r="AN409" t="s">
        <v>1425</v>
      </c>
      <c r="AO409" t="s">
        <v>8107</v>
      </c>
      <c r="AP409" t="s">
        <v>8108</v>
      </c>
      <c r="AQ409" t="s">
        <v>74</v>
      </c>
      <c r="AR409" t="s">
        <v>8095</v>
      </c>
      <c r="AS409" t="s">
        <v>8109</v>
      </c>
      <c r="AT409" t="s">
        <v>527</v>
      </c>
      <c r="AU409">
        <v>2023</v>
      </c>
      <c r="AV409">
        <v>154</v>
      </c>
      <c r="AW409" t="s">
        <v>74</v>
      </c>
      <c r="AX409" t="s">
        <v>74</v>
      </c>
      <c r="AY409" t="s">
        <v>74</v>
      </c>
      <c r="AZ409" t="s">
        <v>74</v>
      </c>
      <c r="BA409" t="s">
        <v>74</v>
      </c>
      <c r="BB409" t="s">
        <v>74</v>
      </c>
      <c r="BC409" t="s">
        <v>74</v>
      </c>
      <c r="BD409">
        <v>103280</v>
      </c>
      <c r="BE409" t="s">
        <v>8110</v>
      </c>
      <c r="BF409" t="str">
        <f>HYPERLINK("http://dx.doi.org/10.1016/j.futures.2023.103280","http://dx.doi.org/10.1016/j.futures.2023.103280")</f>
        <v>http://dx.doi.org/10.1016/j.futures.2023.103280</v>
      </c>
      <c r="BG409" t="s">
        <v>74</v>
      </c>
      <c r="BH409" t="s">
        <v>157</v>
      </c>
      <c r="BI409">
        <v>20</v>
      </c>
      <c r="BJ409" t="s">
        <v>8111</v>
      </c>
      <c r="BK409" t="s">
        <v>159</v>
      </c>
      <c r="BL409" t="s">
        <v>2019</v>
      </c>
      <c r="BM409" t="s">
        <v>8112</v>
      </c>
      <c r="BN409" t="s">
        <v>74</v>
      </c>
      <c r="BO409" t="s">
        <v>161</v>
      </c>
      <c r="BP409" t="s">
        <v>74</v>
      </c>
      <c r="BQ409" t="s">
        <v>74</v>
      </c>
      <c r="BR409" t="s">
        <v>101</v>
      </c>
      <c r="BS409" t="s">
        <v>8113</v>
      </c>
      <c r="BT409" t="str">
        <f>HYPERLINK("https%3A%2F%2Fwww.webofscience.com%2Fwos%2Fwoscc%2Ffull-record%2FWOS:001112152800001","View Full Record in Web of Science")</f>
        <v>View Full Record in Web of Science</v>
      </c>
    </row>
    <row r="410" spans="1:72" x14ac:dyDescent="0.2">
      <c r="A410" t="s">
        <v>103</v>
      </c>
      <c r="B410" t="s">
        <v>8114</v>
      </c>
      <c r="C410" t="s">
        <v>74</v>
      </c>
      <c r="D410" t="s">
        <v>74</v>
      </c>
      <c r="E410" t="s">
        <v>74</v>
      </c>
      <c r="F410" t="s">
        <v>8115</v>
      </c>
      <c r="G410" t="s">
        <v>74</v>
      </c>
      <c r="H410" t="s">
        <v>74</v>
      </c>
      <c r="I410" t="s">
        <v>8116</v>
      </c>
      <c r="J410" t="s">
        <v>8117</v>
      </c>
      <c r="K410" t="s">
        <v>74</v>
      </c>
      <c r="L410" t="s">
        <v>74</v>
      </c>
      <c r="M410" t="s">
        <v>79</v>
      </c>
      <c r="N410" t="s">
        <v>138</v>
      </c>
      <c r="O410" t="s">
        <v>74</v>
      </c>
      <c r="P410" t="s">
        <v>74</v>
      </c>
      <c r="Q410" t="s">
        <v>74</v>
      </c>
      <c r="R410" t="s">
        <v>74</v>
      </c>
      <c r="S410" t="s">
        <v>74</v>
      </c>
      <c r="T410" t="s">
        <v>8118</v>
      </c>
      <c r="U410" t="s">
        <v>8119</v>
      </c>
      <c r="V410" t="s">
        <v>8120</v>
      </c>
      <c r="W410" t="s">
        <v>8121</v>
      </c>
      <c r="X410" t="s">
        <v>3053</v>
      </c>
      <c r="Y410" t="s">
        <v>8122</v>
      </c>
      <c r="Z410" t="s">
        <v>8123</v>
      </c>
      <c r="AA410" t="s">
        <v>8124</v>
      </c>
      <c r="AB410" t="s">
        <v>8125</v>
      </c>
      <c r="AC410" t="s">
        <v>74</v>
      </c>
      <c r="AD410" t="s">
        <v>74</v>
      </c>
      <c r="AE410" t="s">
        <v>74</v>
      </c>
      <c r="AF410" t="s">
        <v>74</v>
      </c>
      <c r="AG410">
        <v>75</v>
      </c>
      <c r="AH410">
        <v>2</v>
      </c>
      <c r="AI410">
        <v>2</v>
      </c>
      <c r="AJ410">
        <v>78</v>
      </c>
      <c r="AK410">
        <v>104</v>
      </c>
      <c r="AL410" t="s">
        <v>8126</v>
      </c>
      <c r="AM410" t="s">
        <v>8127</v>
      </c>
      <c r="AN410" t="s">
        <v>8128</v>
      </c>
      <c r="AO410" t="s">
        <v>8129</v>
      </c>
      <c r="AP410" t="s">
        <v>8130</v>
      </c>
      <c r="AQ410" t="s">
        <v>74</v>
      </c>
      <c r="AR410" t="s">
        <v>8131</v>
      </c>
      <c r="AS410" t="s">
        <v>8132</v>
      </c>
      <c r="AT410" t="s">
        <v>8133</v>
      </c>
      <c r="AU410">
        <v>2023</v>
      </c>
      <c r="AV410" t="s">
        <v>74</v>
      </c>
      <c r="AW410" t="s">
        <v>74</v>
      </c>
      <c r="AX410" t="s">
        <v>74</v>
      </c>
      <c r="AY410" t="s">
        <v>74</v>
      </c>
      <c r="AZ410" t="s">
        <v>74</v>
      </c>
      <c r="BA410" t="s">
        <v>74</v>
      </c>
      <c r="BB410" t="s">
        <v>74</v>
      </c>
      <c r="BC410" t="s">
        <v>74</v>
      </c>
      <c r="BD410" t="s">
        <v>74</v>
      </c>
      <c r="BE410" t="s">
        <v>8134</v>
      </c>
      <c r="BF410" t="str">
        <f>HYPERLINK("http://dx.doi.org/10.1057/s41307-023-00323-2","http://dx.doi.org/10.1057/s41307-023-00323-2")</f>
        <v>http://dx.doi.org/10.1057/s41307-023-00323-2</v>
      </c>
      <c r="BG410" t="s">
        <v>74</v>
      </c>
      <c r="BH410" t="s">
        <v>229</v>
      </c>
      <c r="BI410">
        <v>21</v>
      </c>
      <c r="BJ410" t="s">
        <v>423</v>
      </c>
      <c r="BK410" t="s">
        <v>159</v>
      </c>
      <c r="BL410" t="s">
        <v>423</v>
      </c>
      <c r="BM410" t="s">
        <v>8135</v>
      </c>
      <c r="BN410" t="s">
        <v>74</v>
      </c>
      <c r="BO410" t="s">
        <v>646</v>
      </c>
      <c r="BP410" t="s">
        <v>74</v>
      </c>
      <c r="BQ410" t="s">
        <v>74</v>
      </c>
      <c r="BR410" t="s">
        <v>101</v>
      </c>
      <c r="BS410" t="s">
        <v>8136</v>
      </c>
      <c r="BT410" t="str">
        <f>HYPERLINK("https%3A%2F%2Fwww.webofscience.com%2Fwos%2Fwoscc%2Ffull-record%2FWOS:001031448800001","View Full Record in Web of Science")</f>
        <v>View Full Record in Web of Science</v>
      </c>
    </row>
    <row r="411" spans="1:72" x14ac:dyDescent="0.2">
      <c r="A411" t="s">
        <v>72</v>
      </c>
      <c r="B411" t="s">
        <v>8137</v>
      </c>
      <c r="C411" t="s">
        <v>74</v>
      </c>
      <c r="D411" t="s">
        <v>74</v>
      </c>
      <c r="E411" t="s">
        <v>284</v>
      </c>
      <c r="F411" t="s">
        <v>8138</v>
      </c>
      <c r="G411" t="s">
        <v>74</v>
      </c>
      <c r="H411" t="s">
        <v>74</v>
      </c>
      <c r="I411" t="s">
        <v>8139</v>
      </c>
      <c r="J411" t="s">
        <v>4821</v>
      </c>
      <c r="K411" t="s">
        <v>4822</v>
      </c>
      <c r="L411" t="s">
        <v>74</v>
      </c>
      <c r="M411" t="s">
        <v>79</v>
      </c>
      <c r="N411" t="s">
        <v>80</v>
      </c>
      <c r="O411" t="s">
        <v>4823</v>
      </c>
      <c r="P411" t="s">
        <v>3682</v>
      </c>
      <c r="Q411" t="s">
        <v>4824</v>
      </c>
      <c r="R411" t="s">
        <v>4825</v>
      </c>
      <c r="S411" t="s">
        <v>74</v>
      </c>
      <c r="T411" t="s">
        <v>8140</v>
      </c>
      <c r="U411" t="s">
        <v>74</v>
      </c>
      <c r="V411" t="s">
        <v>8141</v>
      </c>
      <c r="W411" t="s">
        <v>8142</v>
      </c>
      <c r="X411" t="s">
        <v>8143</v>
      </c>
      <c r="Y411" t="s">
        <v>8144</v>
      </c>
      <c r="Z411" t="s">
        <v>8145</v>
      </c>
      <c r="AA411" t="s">
        <v>74</v>
      </c>
      <c r="AB411" t="s">
        <v>74</v>
      </c>
      <c r="AC411" t="s">
        <v>74</v>
      </c>
      <c r="AD411" t="s">
        <v>74</v>
      </c>
      <c r="AE411" t="s">
        <v>74</v>
      </c>
      <c r="AF411" t="s">
        <v>74</v>
      </c>
      <c r="AG411">
        <v>9</v>
      </c>
      <c r="AH411">
        <v>0</v>
      </c>
      <c r="AI411">
        <v>0</v>
      </c>
      <c r="AJ411">
        <v>29</v>
      </c>
      <c r="AK411">
        <v>29</v>
      </c>
      <c r="AL411" t="s">
        <v>638</v>
      </c>
      <c r="AM411" t="s">
        <v>639</v>
      </c>
      <c r="AN411" t="s">
        <v>640</v>
      </c>
      <c r="AO411" t="s">
        <v>4834</v>
      </c>
      <c r="AP411" t="s">
        <v>74</v>
      </c>
      <c r="AQ411" t="s">
        <v>4835</v>
      </c>
      <c r="AR411" t="s">
        <v>4836</v>
      </c>
      <c r="AS411" t="s">
        <v>74</v>
      </c>
      <c r="AT411" t="s">
        <v>74</v>
      </c>
      <c r="AU411">
        <v>2023</v>
      </c>
      <c r="AV411" t="s">
        <v>74</v>
      </c>
      <c r="AW411" t="s">
        <v>74</v>
      </c>
      <c r="AX411" t="s">
        <v>74</v>
      </c>
      <c r="AY411" t="s">
        <v>74</v>
      </c>
      <c r="AZ411" t="s">
        <v>74</v>
      </c>
      <c r="BA411" t="s">
        <v>74</v>
      </c>
      <c r="BB411">
        <v>168</v>
      </c>
      <c r="BC411">
        <v>170</v>
      </c>
      <c r="BD411" t="s">
        <v>74</v>
      </c>
      <c r="BE411" t="s">
        <v>8146</v>
      </c>
      <c r="BF411" t="str">
        <f>HYPERLINK("http://dx.doi.org/10.1109/ProComm57838.2023.00043","http://dx.doi.org/10.1109/ProComm57838.2023.00043")</f>
        <v>http://dx.doi.org/10.1109/ProComm57838.2023.00043</v>
      </c>
      <c r="BG411" t="s">
        <v>74</v>
      </c>
      <c r="BH411" t="s">
        <v>74</v>
      </c>
      <c r="BI411">
        <v>3</v>
      </c>
      <c r="BJ411" t="s">
        <v>4838</v>
      </c>
      <c r="BK411" t="s">
        <v>180</v>
      </c>
      <c r="BL411" t="s">
        <v>4839</v>
      </c>
      <c r="BM411" t="s">
        <v>4840</v>
      </c>
      <c r="BN411" t="s">
        <v>74</v>
      </c>
      <c r="BO411" t="s">
        <v>74</v>
      </c>
      <c r="BP411" t="s">
        <v>74</v>
      </c>
      <c r="BQ411" t="s">
        <v>74</v>
      </c>
      <c r="BR411" t="s">
        <v>101</v>
      </c>
      <c r="BS411" t="s">
        <v>8147</v>
      </c>
      <c r="BT411" t="str">
        <f>HYPERLINK("https%3A%2F%2Fwww.webofscience.com%2Fwos%2Fwoscc%2Ffull-record%2FWOS:001062047300037","View Full Record in Web of Science")</f>
        <v>View Full Record in Web of Science</v>
      </c>
    </row>
    <row r="412" spans="1:72" x14ac:dyDescent="0.2">
      <c r="A412" t="s">
        <v>103</v>
      </c>
      <c r="B412" t="s">
        <v>8148</v>
      </c>
      <c r="C412" t="s">
        <v>74</v>
      </c>
      <c r="D412" t="s">
        <v>74</v>
      </c>
      <c r="E412" t="s">
        <v>74</v>
      </c>
      <c r="F412" t="s">
        <v>8149</v>
      </c>
      <c r="G412" t="s">
        <v>74</v>
      </c>
      <c r="H412" t="s">
        <v>74</v>
      </c>
      <c r="I412" t="s">
        <v>8150</v>
      </c>
      <c r="J412" t="s">
        <v>8151</v>
      </c>
      <c r="K412" t="s">
        <v>74</v>
      </c>
      <c r="L412" t="s">
        <v>74</v>
      </c>
      <c r="M412" t="s">
        <v>79</v>
      </c>
      <c r="N412" t="s">
        <v>138</v>
      </c>
      <c r="O412" t="s">
        <v>74</v>
      </c>
      <c r="P412" t="s">
        <v>74</v>
      </c>
      <c r="Q412" t="s">
        <v>74</v>
      </c>
      <c r="R412" t="s">
        <v>74</v>
      </c>
      <c r="S412" t="s">
        <v>74</v>
      </c>
      <c r="T412" t="s">
        <v>8152</v>
      </c>
      <c r="U412" t="s">
        <v>8153</v>
      </c>
      <c r="V412" t="s">
        <v>8154</v>
      </c>
      <c r="W412" t="s">
        <v>8155</v>
      </c>
      <c r="X412" t="s">
        <v>8156</v>
      </c>
      <c r="Y412" t="s">
        <v>8157</v>
      </c>
      <c r="Z412" t="s">
        <v>8158</v>
      </c>
      <c r="AA412" t="s">
        <v>8159</v>
      </c>
      <c r="AB412" t="s">
        <v>8160</v>
      </c>
      <c r="AC412" t="s">
        <v>74</v>
      </c>
      <c r="AD412" t="s">
        <v>74</v>
      </c>
      <c r="AE412" t="s">
        <v>74</v>
      </c>
      <c r="AF412" t="s">
        <v>74</v>
      </c>
      <c r="AG412">
        <v>111</v>
      </c>
      <c r="AH412">
        <v>2</v>
      </c>
      <c r="AI412">
        <v>2</v>
      </c>
      <c r="AJ412">
        <v>96</v>
      </c>
      <c r="AK412">
        <v>96</v>
      </c>
      <c r="AL412" t="s">
        <v>1152</v>
      </c>
      <c r="AM412" t="s">
        <v>1153</v>
      </c>
      <c r="AN412" t="s">
        <v>1154</v>
      </c>
      <c r="AO412" t="s">
        <v>8161</v>
      </c>
      <c r="AP412" t="s">
        <v>8162</v>
      </c>
      <c r="AQ412" t="s">
        <v>74</v>
      </c>
      <c r="AR412" t="s">
        <v>8163</v>
      </c>
      <c r="AS412" t="s">
        <v>8164</v>
      </c>
      <c r="AT412" t="s">
        <v>8165</v>
      </c>
      <c r="AU412">
        <v>2023</v>
      </c>
      <c r="AV412" t="s">
        <v>74</v>
      </c>
      <c r="AW412" t="s">
        <v>74</v>
      </c>
      <c r="AX412" t="s">
        <v>74</v>
      </c>
      <c r="AY412" t="s">
        <v>74</v>
      </c>
      <c r="AZ412" t="s">
        <v>74</v>
      </c>
      <c r="BA412" t="s">
        <v>74</v>
      </c>
      <c r="BB412" t="s">
        <v>74</v>
      </c>
      <c r="BC412" t="s">
        <v>74</v>
      </c>
      <c r="BD412" t="s">
        <v>74</v>
      </c>
      <c r="BE412" t="s">
        <v>8166</v>
      </c>
      <c r="BF412" t="str">
        <f>HYPERLINK("http://dx.doi.org/10.1017/err.2023.59","http://dx.doi.org/10.1017/err.2023.59")</f>
        <v>http://dx.doi.org/10.1017/err.2023.59</v>
      </c>
      <c r="BG412" t="s">
        <v>74</v>
      </c>
      <c r="BH412" t="s">
        <v>255</v>
      </c>
      <c r="BI412">
        <v>23</v>
      </c>
      <c r="BJ412" t="s">
        <v>1135</v>
      </c>
      <c r="BK412" t="s">
        <v>352</v>
      </c>
      <c r="BL412" t="s">
        <v>1136</v>
      </c>
      <c r="BM412" t="s">
        <v>8167</v>
      </c>
      <c r="BN412" t="s">
        <v>74</v>
      </c>
      <c r="BO412" t="s">
        <v>161</v>
      </c>
      <c r="BP412" t="s">
        <v>74</v>
      </c>
      <c r="BQ412" t="s">
        <v>74</v>
      </c>
      <c r="BR412" t="s">
        <v>101</v>
      </c>
      <c r="BS412" t="s">
        <v>8168</v>
      </c>
      <c r="BT412" t="str">
        <f>HYPERLINK("https%3A%2F%2Fwww.webofscience.com%2Fwos%2Fwoscc%2Ffull-record%2FWOS:001068213000001","View Full Record in Web of Science")</f>
        <v>View Full Record in Web of Science</v>
      </c>
    </row>
    <row r="413" spans="1:72" x14ac:dyDescent="0.2">
      <c r="A413" t="s">
        <v>103</v>
      </c>
      <c r="B413" t="s">
        <v>8169</v>
      </c>
      <c r="C413" t="s">
        <v>74</v>
      </c>
      <c r="D413" t="s">
        <v>74</v>
      </c>
      <c r="E413" t="s">
        <v>74</v>
      </c>
      <c r="F413" t="s">
        <v>8170</v>
      </c>
      <c r="G413" t="s">
        <v>74</v>
      </c>
      <c r="H413" t="s">
        <v>74</v>
      </c>
      <c r="I413" t="s">
        <v>8171</v>
      </c>
      <c r="J413" t="s">
        <v>8172</v>
      </c>
      <c r="K413" t="s">
        <v>74</v>
      </c>
      <c r="L413" t="s">
        <v>74</v>
      </c>
      <c r="M413" t="s">
        <v>79</v>
      </c>
      <c r="N413" t="s">
        <v>108</v>
      </c>
      <c r="O413" t="s">
        <v>74</v>
      </c>
      <c r="P413" t="s">
        <v>74</v>
      </c>
      <c r="Q413" t="s">
        <v>74</v>
      </c>
      <c r="R413" t="s">
        <v>74</v>
      </c>
      <c r="S413" t="s">
        <v>74</v>
      </c>
      <c r="T413" t="s">
        <v>8173</v>
      </c>
      <c r="U413" t="s">
        <v>74</v>
      </c>
      <c r="V413" t="s">
        <v>8174</v>
      </c>
      <c r="W413" t="s">
        <v>8175</v>
      </c>
      <c r="X413" t="s">
        <v>8176</v>
      </c>
      <c r="Y413" t="s">
        <v>8177</v>
      </c>
      <c r="Z413" t="s">
        <v>8178</v>
      </c>
      <c r="AA413" t="s">
        <v>74</v>
      </c>
      <c r="AB413" t="s">
        <v>8179</v>
      </c>
      <c r="AC413" t="s">
        <v>74</v>
      </c>
      <c r="AD413" t="s">
        <v>74</v>
      </c>
      <c r="AE413" t="s">
        <v>74</v>
      </c>
      <c r="AF413" t="s">
        <v>74</v>
      </c>
      <c r="AG413">
        <v>29</v>
      </c>
      <c r="AH413">
        <v>0</v>
      </c>
      <c r="AI413">
        <v>0</v>
      </c>
      <c r="AJ413">
        <v>21</v>
      </c>
      <c r="AK413">
        <v>28</v>
      </c>
      <c r="AL413" t="s">
        <v>737</v>
      </c>
      <c r="AM413" t="s">
        <v>738</v>
      </c>
      <c r="AN413" t="s">
        <v>739</v>
      </c>
      <c r="AO413" t="s">
        <v>8180</v>
      </c>
      <c r="AP413" t="s">
        <v>8181</v>
      </c>
      <c r="AQ413" t="s">
        <v>74</v>
      </c>
      <c r="AR413" t="s">
        <v>8182</v>
      </c>
      <c r="AS413" t="s">
        <v>8183</v>
      </c>
      <c r="AT413" t="s">
        <v>1908</v>
      </c>
      <c r="AU413">
        <v>2024</v>
      </c>
      <c r="AV413">
        <v>21</v>
      </c>
      <c r="AW413">
        <v>1</v>
      </c>
      <c r="AX413" t="s">
        <v>74</v>
      </c>
      <c r="AY413" t="s">
        <v>74</v>
      </c>
      <c r="AZ413" t="s">
        <v>74</v>
      </c>
      <c r="BA413" t="s">
        <v>74</v>
      </c>
      <c r="BB413">
        <v>26</v>
      </c>
      <c r="BC413">
        <v>37</v>
      </c>
      <c r="BD413" t="s">
        <v>74</v>
      </c>
      <c r="BE413" t="s">
        <v>8184</v>
      </c>
      <c r="BF413" t="str">
        <f>HYPERLINK("http://dx.doi.org/10.1080/14790726.2023.2223176","http://dx.doi.org/10.1080/14790726.2023.2223176")</f>
        <v>http://dx.doi.org/10.1080/14790726.2023.2223176</v>
      </c>
      <c r="BG413" t="s">
        <v>74</v>
      </c>
      <c r="BH413" t="s">
        <v>1910</v>
      </c>
      <c r="BI413">
        <v>12</v>
      </c>
      <c r="BJ413" t="s">
        <v>8185</v>
      </c>
      <c r="BK413" t="s">
        <v>352</v>
      </c>
      <c r="BL413" t="s">
        <v>8185</v>
      </c>
      <c r="BM413" t="s">
        <v>8186</v>
      </c>
      <c r="BN413" t="s">
        <v>74</v>
      </c>
      <c r="BO413" t="s">
        <v>74</v>
      </c>
      <c r="BP413" t="s">
        <v>74</v>
      </c>
      <c r="BQ413" t="s">
        <v>74</v>
      </c>
      <c r="BR413" t="s">
        <v>101</v>
      </c>
      <c r="BS413" t="s">
        <v>8187</v>
      </c>
      <c r="BT413" t="str">
        <f>HYPERLINK("https%3A%2F%2Fwww.webofscience.com%2Fwos%2Fwoscc%2Ffull-record%2FWOS:001011934900001","View Full Record in Web of Science")</f>
        <v>View Full Record in Web of Science</v>
      </c>
    </row>
    <row r="414" spans="1:72" x14ac:dyDescent="0.2">
      <c r="A414" t="s">
        <v>103</v>
      </c>
      <c r="B414" t="s">
        <v>8188</v>
      </c>
      <c r="C414" t="s">
        <v>74</v>
      </c>
      <c r="D414" t="s">
        <v>74</v>
      </c>
      <c r="E414" t="s">
        <v>74</v>
      </c>
      <c r="F414" t="s">
        <v>8189</v>
      </c>
      <c r="G414" t="s">
        <v>74</v>
      </c>
      <c r="H414" t="s">
        <v>74</v>
      </c>
      <c r="I414" t="s">
        <v>8190</v>
      </c>
      <c r="J414" t="s">
        <v>6611</v>
      </c>
      <c r="K414" t="s">
        <v>74</v>
      </c>
      <c r="L414" t="s">
        <v>74</v>
      </c>
      <c r="M414" t="s">
        <v>79</v>
      </c>
      <c r="N414" t="s">
        <v>108</v>
      </c>
      <c r="O414" t="s">
        <v>74</v>
      </c>
      <c r="P414" t="s">
        <v>74</v>
      </c>
      <c r="Q414" t="s">
        <v>74</v>
      </c>
      <c r="R414" t="s">
        <v>74</v>
      </c>
      <c r="S414" t="s">
        <v>74</v>
      </c>
      <c r="T414" t="s">
        <v>8191</v>
      </c>
      <c r="U414" t="s">
        <v>8192</v>
      </c>
      <c r="V414" t="s">
        <v>8193</v>
      </c>
      <c r="W414" t="s">
        <v>8194</v>
      </c>
      <c r="X414" t="s">
        <v>8195</v>
      </c>
      <c r="Y414" t="s">
        <v>8196</v>
      </c>
      <c r="Z414" t="s">
        <v>8197</v>
      </c>
      <c r="AA414" t="s">
        <v>74</v>
      </c>
      <c r="AB414" t="s">
        <v>8198</v>
      </c>
      <c r="AC414" t="s">
        <v>8199</v>
      </c>
      <c r="AD414" t="s">
        <v>8200</v>
      </c>
      <c r="AE414" t="s">
        <v>8201</v>
      </c>
      <c r="AF414" t="s">
        <v>74</v>
      </c>
      <c r="AG414">
        <v>152</v>
      </c>
      <c r="AH414">
        <v>0</v>
      </c>
      <c r="AI414">
        <v>0</v>
      </c>
      <c r="AJ414">
        <v>0</v>
      </c>
      <c r="AK414">
        <v>0</v>
      </c>
      <c r="AL414" t="s">
        <v>638</v>
      </c>
      <c r="AM414" t="s">
        <v>639</v>
      </c>
      <c r="AN414" t="s">
        <v>1557</v>
      </c>
      <c r="AO414" t="s">
        <v>6621</v>
      </c>
      <c r="AP414" t="s">
        <v>6622</v>
      </c>
      <c r="AQ414" t="s">
        <v>74</v>
      </c>
      <c r="AR414" t="s">
        <v>6623</v>
      </c>
      <c r="AS414" t="s">
        <v>6624</v>
      </c>
      <c r="AT414" t="s">
        <v>527</v>
      </c>
      <c r="AU414">
        <v>2023</v>
      </c>
      <c r="AV414">
        <v>45</v>
      </c>
      <c r="AW414">
        <v>12</v>
      </c>
      <c r="AX414" t="s">
        <v>74</v>
      </c>
      <c r="AY414" t="s">
        <v>74</v>
      </c>
      <c r="AZ414" t="s">
        <v>74</v>
      </c>
      <c r="BA414" t="s">
        <v>74</v>
      </c>
      <c r="BB414">
        <v>15477</v>
      </c>
      <c r="BC414">
        <v>15493</v>
      </c>
      <c r="BD414" t="s">
        <v>74</v>
      </c>
      <c r="BE414" t="s">
        <v>8202</v>
      </c>
      <c r="BF414" t="str">
        <f>HYPERLINK("http://dx.doi.org/10.1109/TPAMI.2023.3301451","http://dx.doi.org/10.1109/TPAMI.2023.3301451")</f>
        <v>http://dx.doi.org/10.1109/TPAMI.2023.3301451</v>
      </c>
      <c r="BG414" t="s">
        <v>74</v>
      </c>
      <c r="BH414" t="s">
        <v>74</v>
      </c>
      <c r="BI414">
        <v>17</v>
      </c>
      <c r="BJ414" t="s">
        <v>6627</v>
      </c>
      <c r="BK414" t="s">
        <v>130</v>
      </c>
      <c r="BL414" t="s">
        <v>906</v>
      </c>
      <c r="BM414" t="s">
        <v>8203</v>
      </c>
      <c r="BN414">
        <v>37531306</v>
      </c>
      <c r="BO414" t="s">
        <v>646</v>
      </c>
      <c r="BP414" t="s">
        <v>74</v>
      </c>
      <c r="BQ414" t="s">
        <v>74</v>
      </c>
      <c r="BR414" t="s">
        <v>101</v>
      </c>
      <c r="BS414" t="s">
        <v>8204</v>
      </c>
      <c r="BT414" t="str">
        <f>HYPERLINK("https%3A%2F%2Fwww.webofscience.com%2Fwos%2Fwoscc%2Ffull-record%2FWOS:001104973300088","View Full Record in Web of Science")</f>
        <v>View Full Record in Web of Science</v>
      </c>
    </row>
    <row r="415" spans="1:72" x14ac:dyDescent="0.2">
      <c r="A415" t="s">
        <v>103</v>
      </c>
      <c r="B415" t="s">
        <v>8205</v>
      </c>
      <c r="C415" t="s">
        <v>74</v>
      </c>
      <c r="D415" t="s">
        <v>74</v>
      </c>
      <c r="E415" t="s">
        <v>74</v>
      </c>
      <c r="F415" t="s">
        <v>8206</v>
      </c>
      <c r="G415" t="s">
        <v>74</v>
      </c>
      <c r="H415" t="s">
        <v>74</v>
      </c>
      <c r="I415" t="s">
        <v>8207</v>
      </c>
      <c r="J415" t="s">
        <v>1370</v>
      </c>
      <c r="K415" t="s">
        <v>74</v>
      </c>
      <c r="L415" t="s">
        <v>74</v>
      </c>
      <c r="M415" t="s">
        <v>79</v>
      </c>
      <c r="N415" t="s">
        <v>108</v>
      </c>
      <c r="O415" t="s">
        <v>74</v>
      </c>
      <c r="P415" t="s">
        <v>74</v>
      </c>
      <c r="Q415" t="s">
        <v>74</v>
      </c>
      <c r="R415" t="s">
        <v>74</v>
      </c>
      <c r="S415" t="s">
        <v>74</v>
      </c>
      <c r="T415" t="s">
        <v>8208</v>
      </c>
      <c r="U415" t="s">
        <v>74</v>
      </c>
      <c r="V415" t="s">
        <v>8209</v>
      </c>
      <c r="W415" t="s">
        <v>8210</v>
      </c>
      <c r="X415" t="s">
        <v>8211</v>
      </c>
      <c r="Y415" t="s">
        <v>8212</v>
      </c>
      <c r="Z415" t="s">
        <v>8213</v>
      </c>
      <c r="AA415" t="s">
        <v>74</v>
      </c>
      <c r="AB415" t="s">
        <v>8214</v>
      </c>
      <c r="AC415" t="s">
        <v>8215</v>
      </c>
      <c r="AD415" t="s">
        <v>5504</v>
      </c>
      <c r="AE415" t="s">
        <v>8216</v>
      </c>
      <c r="AF415" t="s">
        <v>74</v>
      </c>
      <c r="AG415">
        <v>46</v>
      </c>
      <c r="AH415">
        <v>2</v>
      </c>
      <c r="AI415">
        <v>2</v>
      </c>
      <c r="AJ415">
        <v>5</v>
      </c>
      <c r="AK415">
        <v>12</v>
      </c>
      <c r="AL415" t="s">
        <v>1379</v>
      </c>
      <c r="AM415" t="s">
        <v>1380</v>
      </c>
      <c r="AN415" t="s">
        <v>1381</v>
      </c>
      <c r="AO415" t="s">
        <v>1382</v>
      </c>
      <c r="AP415" t="s">
        <v>74</v>
      </c>
      <c r="AQ415" t="s">
        <v>74</v>
      </c>
      <c r="AR415" t="s">
        <v>1370</v>
      </c>
      <c r="AS415" t="s">
        <v>1383</v>
      </c>
      <c r="AT415" t="s">
        <v>74</v>
      </c>
      <c r="AU415">
        <v>2023</v>
      </c>
      <c r="AV415">
        <v>11</v>
      </c>
      <c r="AW415" t="s">
        <v>74</v>
      </c>
      <c r="AX415" t="s">
        <v>74</v>
      </c>
      <c r="AY415" t="s">
        <v>74</v>
      </c>
      <c r="AZ415" t="s">
        <v>74</v>
      </c>
      <c r="BA415" t="s">
        <v>74</v>
      </c>
      <c r="BB415">
        <v>5144</v>
      </c>
      <c r="BC415">
        <v>5160</v>
      </c>
      <c r="BD415" t="s">
        <v>74</v>
      </c>
      <c r="BE415" t="s">
        <v>8217</v>
      </c>
      <c r="BF415" t="str">
        <f>HYPERLINK("http://dx.doi.org/10.1109/ACCESS.2023.3236575","http://dx.doi.org/10.1109/ACCESS.2023.3236575")</f>
        <v>http://dx.doi.org/10.1109/ACCESS.2023.3236575</v>
      </c>
      <c r="BG415" t="s">
        <v>74</v>
      </c>
      <c r="BH415" t="s">
        <v>74</v>
      </c>
      <c r="BI415">
        <v>17</v>
      </c>
      <c r="BJ415" t="s">
        <v>1385</v>
      </c>
      <c r="BK415" t="s">
        <v>130</v>
      </c>
      <c r="BL415" t="s">
        <v>1386</v>
      </c>
      <c r="BM415" t="s">
        <v>8218</v>
      </c>
      <c r="BN415" t="s">
        <v>74</v>
      </c>
      <c r="BO415" t="s">
        <v>425</v>
      </c>
      <c r="BP415" t="s">
        <v>74</v>
      </c>
      <c r="BQ415" t="s">
        <v>74</v>
      </c>
      <c r="BR415" t="s">
        <v>101</v>
      </c>
      <c r="BS415" t="s">
        <v>8219</v>
      </c>
      <c r="BT415" t="str">
        <f>HYPERLINK("https%3A%2F%2Fwww.webofscience.com%2Fwos%2Fwoscc%2Ffull-record%2FWOS:000920475200001","View Full Record in Web of Science")</f>
        <v>View Full Record in Web of Science</v>
      </c>
    </row>
    <row r="416" spans="1:72" x14ac:dyDescent="0.2">
      <c r="A416" t="s">
        <v>103</v>
      </c>
      <c r="B416" t="s">
        <v>8220</v>
      </c>
      <c r="C416" t="s">
        <v>74</v>
      </c>
      <c r="D416" t="s">
        <v>74</v>
      </c>
      <c r="E416" t="s">
        <v>74</v>
      </c>
      <c r="F416" t="s">
        <v>8221</v>
      </c>
      <c r="G416" t="s">
        <v>74</v>
      </c>
      <c r="H416" t="s">
        <v>74</v>
      </c>
      <c r="I416" t="s">
        <v>8222</v>
      </c>
      <c r="J416" t="s">
        <v>8223</v>
      </c>
      <c r="K416" t="s">
        <v>74</v>
      </c>
      <c r="L416" t="s">
        <v>74</v>
      </c>
      <c r="M416" t="s">
        <v>79</v>
      </c>
      <c r="N416" t="s">
        <v>108</v>
      </c>
      <c r="O416" t="s">
        <v>74</v>
      </c>
      <c r="P416" t="s">
        <v>74</v>
      </c>
      <c r="Q416" t="s">
        <v>74</v>
      </c>
      <c r="R416" t="s">
        <v>74</v>
      </c>
      <c r="S416" t="s">
        <v>74</v>
      </c>
      <c r="T416" t="s">
        <v>8224</v>
      </c>
      <c r="U416" t="s">
        <v>74</v>
      </c>
      <c r="V416" t="s">
        <v>8225</v>
      </c>
      <c r="W416" t="s">
        <v>8226</v>
      </c>
      <c r="X416" t="s">
        <v>8227</v>
      </c>
      <c r="Y416" t="s">
        <v>8228</v>
      </c>
      <c r="Z416" t="s">
        <v>8229</v>
      </c>
      <c r="AA416" t="s">
        <v>8230</v>
      </c>
      <c r="AB416" t="s">
        <v>8231</v>
      </c>
      <c r="AC416" t="s">
        <v>8232</v>
      </c>
      <c r="AD416" t="s">
        <v>8233</v>
      </c>
      <c r="AE416" t="s">
        <v>8234</v>
      </c>
      <c r="AF416" t="s">
        <v>74</v>
      </c>
      <c r="AG416">
        <v>35</v>
      </c>
      <c r="AH416">
        <v>0</v>
      </c>
      <c r="AI416">
        <v>0</v>
      </c>
      <c r="AJ416">
        <v>4</v>
      </c>
      <c r="AK416">
        <v>4</v>
      </c>
      <c r="AL416" t="s">
        <v>939</v>
      </c>
      <c r="AM416" t="s">
        <v>940</v>
      </c>
      <c r="AN416" t="s">
        <v>941</v>
      </c>
      <c r="AO416" t="s">
        <v>74</v>
      </c>
      <c r="AP416" t="s">
        <v>8235</v>
      </c>
      <c r="AQ416" t="s">
        <v>74</v>
      </c>
      <c r="AR416" t="s">
        <v>8236</v>
      </c>
      <c r="AS416" t="s">
        <v>8237</v>
      </c>
      <c r="AT416" t="s">
        <v>527</v>
      </c>
      <c r="AU416">
        <v>2023</v>
      </c>
      <c r="AV416">
        <v>5</v>
      </c>
      <c r="AW416">
        <v>4</v>
      </c>
      <c r="AX416" t="s">
        <v>74</v>
      </c>
      <c r="AY416" t="s">
        <v>74</v>
      </c>
      <c r="AZ416" t="s">
        <v>74</v>
      </c>
      <c r="BA416" t="s">
        <v>74</v>
      </c>
      <c r="BB416">
        <v>1384</v>
      </c>
      <c r="BC416">
        <v>1399</v>
      </c>
      <c r="BD416" t="s">
        <v>74</v>
      </c>
      <c r="BE416" t="s">
        <v>8238</v>
      </c>
      <c r="BF416" t="str">
        <f>HYPERLINK("http://dx.doi.org/10.3390/vehicles5040076","http://dx.doi.org/10.3390/vehicles5040076")</f>
        <v>http://dx.doi.org/10.3390/vehicles5040076</v>
      </c>
      <c r="BG416" t="s">
        <v>74</v>
      </c>
      <c r="BH416" t="s">
        <v>74</v>
      </c>
      <c r="BI416">
        <v>16</v>
      </c>
      <c r="BJ416" t="s">
        <v>8239</v>
      </c>
      <c r="BK416" t="s">
        <v>352</v>
      </c>
      <c r="BL416" t="s">
        <v>7006</v>
      </c>
      <c r="BM416" t="s">
        <v>8240</v>
      </c>
      <c r="BN416" t="s">
        <v>74</v>
      </c>
      <c r="BO416" t="s">
        <v>425</v>
      </c>
      <c r="BP416" t="s">
        <v>74</v>
      </c>
      <c r="BQ416" t="s">
        <v>74</v>
      </c>
      <c r="BR416" t="s">
        <v>101</v>
      </c>
      <c r="BS416" t="s">
        <v>8241</v>
      </c>
      <c r="BT416" t="str">
        <f>HYPERLINK("https%3A%2F%2Fwww.webofscience.com%2Fwos%2Fwoscc%2Ffull-record%2FWOS:001131087100001","View Full Record in Web of Science")</f>
        <v>View Full Record in Web of Science</v>
      </c>
    </row>
    <row r="417" spans="1:72" x14ac:dyDescent="0.2">
      <c r="A417" t="s">
        <v>72</v>
      </c>
      <c r="B417" t="s">
        <v>8242</v>
      </c>
      <c r="C417" t="s">
        <v>74</v>
      </c>
      <c r="D417" t="s">
        <v>74</v>
      </c>
      <c r="E417" t="s">
        <v>284</v>
      </c>
      <c r="F417" t="s">
        <v>8243</v>
      </c>
      <c r="G417" t="s">
        <v>74</v>
      </c>
      <c r="H417" t="s">
        <v>74</v>
      </c>
      <c r="I417" t="s">
        <v>8244</v>
      </c>
      <c r="J417" t="s">
        <v>8245</v>
      </c>
      <c r="K417" t="s">
        <v>8246</v>
      </c>
      <c r="L417" t="s">
        <v>74</v>
      </c>
      <c r="M417" t="s">
        <v>79</v>
      </c>
      <c r="N417" t="s">
        <v>80</v>
      </c>
      <c r="O417" t="s">
        <v>8247</v>
      </c>
      <c r="P417" t="s">
        <v>8248</v>
      </c>
      <c r="Q417" t="s">
        <v>6017</v>
      </c>
      <c r="R417" t="s">
        <v>8249</v>
      </c>
      <c r="S417" t="s">
        <v>74</v>
      </c>
      <c r="T417" t="s">
        <v>74</v>
      </c>
      <c r="U417" t="s">
        <v>8250</v>
      </c>
      <c r="V417" t="s">
        <v>8251</v>
      </c>
      <c r="W417" t="s">
        <v>8252</v>
      </c>
      <c r="X417" t="s">
        <v>8253</v>
      </c>
      <c r="Y417" t="s">
        <v>8254</v>
      </c>
      <c r="Z417" t="s">
        <v>8255</v>
      </c>
      <c r="AA417" t="s">
        <v>8256</v>
      </c>
      <c r="AB417" t="s">
        <v>8257</v>
      </c>
      <c r="AC417" t="s">
        <v>8258</v>
      </c>
      <c r="AD417" t="s">
        <v>8258</v>
      </c>
      <c r="AE417" t="s">
        <v>8259</v>
      </c>
      <c r="AF417" t="s">
        <v>74</v>
      </c>
      <c r="AG417">
        <v>100</v>
      </c>
      <c r="AH417">
        <v>4</v>
      </c>
      <c r="AI417">
        <v>4</v>
      </c>
      <c r="AJ417">
        <v>9</v>
      </c>
      <c r="AK417">
        <v>9</v>
      </c>
      <c r="AL417" t="s">
        <v>638</v>
      </c>
      <c r="AM417" t="s">
        <v>639</v>
      </c>
      <c r="AN417" t="s">
        <v>640</v>
      </c>
      <c r="AO417" t="s">
        <v>8260</v>
      </c>
      <c r="AP417" t="s">
        <v>74</v>
      </c>
      <c r="AQ417" t="s">
        <v>8261</v>
      </c>
      <c r="AR417" t="s">
        <v>8262</v>
      </c>
      <c r="AS417" t="s">
        <v>74</v>
      </c>
      <c r="AT417" t="s">
        <v>74</v>
      </c>
      <c r="AU417">
        <v>2023</v>
      </c>
      <c r="AV417" t="s">
        <v>74</v>
      </c>
      <c r="AW417" t="s">
        <v>74</v>
      </c>
      <c r="AX417" t="s">
        <v>74</v>
      </c>
      <c r="AY417" t="s">
        <v>74</v>
      </c>
      <c r="AZ417" t="s">
        <v>74</v>
      </c>
      <c r="BA417" t="s">
        <v>74</v>
      </c>
      <c r="BB417">
        <v>9935</v>
      </c>
      <c r="BC417">
        <v>9946</v>
      </c>
      <c r="BD417" t="s">
        <v>74</v>
      </c>
      <c r="BE417" t="s">
        <v>8263</v>
      </c>
      <c r="BF417" t="str">
        <f>HYPERLINK("http://dx.doi.org/10.1109/CVPR52729.2023.00958","http://dx.doi.org/10.1109/CVPR52729.2023.00958")</f>
        <v>http://dx.doi.org/10.1109/CVPR52729.2023.00958</v>
      </c>
      <c r="BG417" t="s">
        <v>74</v>
      </c>
      <c r="BH417" t="s">
        <v>74</v>
      </c>
      <c r="BI417">
        <v>12</v>
      </c>
      <c r="BJ417" t="s">
        <v>304</v>
      </c>
      <c r="BK417" t="s">
        <v>98</v>
      </c>
      <c r="BL417" t="s">
        <v>99</v>
      </c>
      <c r="BM417" t="s">
        <v>8264</v>
      </c>
      <c r="BN417" t="s">
        <v>74</v>
      </c>
      <c r="BO417" t="s">
        <v>646</v>
      </c>
      <c r="BP417" t="s">
        <v>74</v>
      </c>
      <c r="BQ417" t="s">
        <v>74</v>
      </c>
      <c r="BR417" t="s">
        <v>101</v>
      </c>
      <c r="BS417" t="s">
        <v>8265</v>
      </c>
      <c r="BT417" t="str">
        <f>HYPERLINK("https%3A%2F%2Fwww.webofscience.com%2Fwos%2Fwoscc%2Ffull-record%2FWOS:001062522102024","View Full Record in Web of Science")</f>
        <v>View Full Record in Web of Science</v>
      </c>
    </row>
    <row r="418" spans="1:72" x14ac:dyDescent="0.2">
      <c r="A418" t="s">
        <v>72</v>
      </c>
      <c r="B418" t="s">
        <v>8266</v>
      </c>
      <c r="C418" t="s">
        <v>74</v>
      </c>
      <c r="D418" t="s">
        <v>74</v>
      </c>
      <c r="E418" t="s">
        <v>284</v>
      </c>
      <c r="F418" t="s">
        <v>8267</v>
      </c>
      <c r="G418" t="s">
        <v>74</v>
      </c>
      <c r="H418" t="s">
        <v>74</v>
      </c>
      <c r="I418" t="s">
        <v>8268</v>
      </c>
      <c r="J418" t="s">
        <v>8245</v>
      </c>
      <c r="K418" t="s">
        <v>8246</v>
      </c>
      <c r="L418" t="s">
        <v>74</v>
      </c>
      <c r="M418" t="s">
        <v>79</v>
      </c>
      <c r="N418" t="s">
        <v>80</v>
      </c>
      <c r="O418" t="s">
        <v>8247</v>
      </c>
      <c r="P418" t="s">
        <v>8248</v>
      </c>
      <c r="Q418" t="s">
        <v>6017</v>
      </c>
      <c r="R418" t="s">
        <v>8249</v>
      </c>
      <c r="S418" t="s">
        <v>74</v>
      </c>
      <c r="T418" t="s">
        <v>74</v>
      </c>
      <c r="U418" t="s">
        <v>74</v>
      </c>
      <c r="V418" t="s">
        <v>8269</v>
      </c>
      <c r="W418" t="s">
        <v>8270</v>
      </c>
      <c r="X418" t="s">
        <v>8271</v>
      </c>
      <c r="Y418" t="s">
        <v>8272</v>
      </c>
      <c r="Z418" t="s">
        <v>74</v>
      </c>
      <c r="AA418" t="s">
        <v>74</v>
      </c>
      <c r="AB418" t="s">
        <v>8273</v>
      </c>
      <c r="AC418" t="s">
        <v>8274</v>
      </c>
      <c r="AD418" t="s">
        <v>8275</v>
      </c>
      <c r="AE418" t="s">
        <v>8276</v>
      </c>
      <c r="AF418" t="s">
        <v>74</v>
      </c>
      <c r="AG418">
        <v>58</v>
      </c>
      <c r="AH418">
        <v>0</v>
      </c>
      <c r="AI418">
        <v>0</v>
      </c>
      <c r="AJ418">
        <v>8</v>
      </c>
      <c r="AK418">
        <v>8</v>
      </c>
      <c r="AL418" t="s">
        <v>638</v>
      </c>
      <c r="AM418" t="s">
        <v>639</v>
      </c>
      <c r="AN418" t="s">
        <v>640</v>
      </c>
      <c r="AO418" t="s">
        <v>8260</v>
      </c>
      <c r="AP418" t="s">
        <v>74</v>
      </c>
      <c r="AQ418" t="s">
        <v>8261</v>
      </c>
      <c r="AR418" t="s">
        <v>8262</v>
      </c>
      <c r="AS418" t="s">
        <v>74</v>
      </c>
      <c r="AT418" t="s">
        <v>74</v>
      </c>
      <c r="AU418">
        <v>2023</v>
      </c>
      <c r="AV418" t="s">
        <v>74</v>
      </c>
      <c r="AW418" t="s">
        <v>74</v>
      </c>
      <c r="AX418" t="s">
        <v>74</v>
      </c>
      <c r="AY418" t="s">
        <v>74</v>
      </c>
      <c r="AZ418" t="s">
        <v>74</v>
      </c>
      <c r="BA418" t="s">
        <v>74</v>
      </c>
      <c r="BB418">
        <v>11494</v>
      </c>
      <c r="BC418">
        <v>11503</v>
      </c>
      <c r="BD418" t="s">
        <v>74</v>
      </c>
      <c r="BE418" t="s">
        <v>8277</v>
      </c>
      <c r="BF418" t="str">
        <f>HYPERLINK("http://dx.doi.org/10.1109/CVPR52729.2023.01106","http://dx.doi.org/10.1109/CVPR52729.2023.01106")</f>
        <v>http://dx.doi.org/10.1109/CVPR52729.2023.01106</v>
      </c>
      <c r="BG418" t="s">
        <v>74</v>
      </c>
      <c r="BH418" t="s">
        <v>74</v>
      </c>
      <c r="BI418">
        <v>10</v>
      </c>
      <c r="BJ418" t="s">
        <v>304</v>
      </c>
      <c r="BK418" t="s">
        <v>98</v>
      </c>
      <c r="BL418" t="s">
        <v>99</v>
      </c>
      <c r="BM418" t="s">
        <v>8264</v>
      </c>
      <c r="BN418" t="s">
        <v>74</v>
      </c>
      <c r="BO418" t="s">
        <v>646</v>
      </c>
      <c r="BP418" t="s">
        <v>74</v>
      </c>
      <c r="BQ418" t="s">
        <v>74</v>
      </c>
      <c r="BR418" t="s">
        <v>101</v>
      </c>
      <c r="BS418" t="s">
        <v>8278</v>
      </c>
      <c r="BT418" t="str">
        <f>HYPERLINK("https%3A%2F%2Fwww.webofscience.com%2Fwos%2Fwoscc%2Ffull-record%2FWOS:001062522103077","View Full Record in Web of Science")</f>
        <v>View Full Record in Web of Science</v>
      </c>
    </row>
    <row r="419" spans="1:72" x14ac:dyDescent="0.2">
      <c r="A419" t="s">
        <v>103</v>
      </c>
      <c r="B419" t="s">
        <v>8279</v>
      </c>
      <c r="C419" t="s">
        <v>74</v>
      </c>
      <c r="D419" t="s">
        <v>74</v>
      </c>
      <c r="E419" t="s">
        <v>74</v>
      </c>
      <c r="F419" t="s">
        <v>8280</v>
      </c>
      <c r="G419" t="s">
        <v>74</v>
      </c>
      <c r="H419" t="s">
        <v>74</v>
      </c>
      <c r="I419" t="s">
        <v>8281</v>
      </c>
      <c r="J419" t="s">
        <v>2940</v>
      </c>
      <c r="K419" t="s">
        <v>74</v>
      </c>
      <c r="L419" t="s">
        <v>74</v>
      </c>
      <c r="M419" t="s">
        <v>79</v>
      </c>
      <c r="N419" t="s">
        <v>108</v>
      </c>
      <c r="O419" t="s">
        <v>74</v>
      </c>
      <c r="P419" t="s">
        <v>74</v>
      </c>
      <c r="Q419" t="s">
        <v>74</v>
      </c>
      <c r="R419" t="s">
        <v>74</v>
      </c>
      <c r="S419" t="s">
        <v>74</v>
      </c>
      <c r="T419" t="s">
        <v>8282</v>
      </c>
      <c r="U419" t="s">
        <v>8283</v>
      </c>
      <c r="V419" t="s">
        <v>8284</v>
      </c>
      <c r="W419" t="s">
        <v>8285</v>
      </c>
      <c r="X419" t="s">
        <v>3516</v>
      </c>
      <c r="Y419" t="s">
        <v>8286</v>
      </c>
      <c r="Z419" t="s">
        <v>8287</v>
      </c>
      <c r="AA419" t="s">
        <v>74</v>
      </c>
      <c r="AB419" t="s">
        <v>8288</v>
      </c>
      <c r="AC419" t="s">
        <v>74</v>
      </c>
      <c r="AD419" t="s">
        <v>74</v>
      </c>
      <c r="AE419" t="s">
        <v>74</v>
      </c>
      <c r="AF419" t="s">
        <v>74</v>
      </c>
      <c r="AG419">
        <v>31</v>
      </c>
      <c r="AH419">
        <v>0</v>
      </c>
      <c r="AI419">
        <v>0</v>
      </c>
      <c r="AJ419">
        <v>46</v>
      </c>
      <c r="AK419">
        <v>46</v>
      </c>
      <c r="AL419" t="s">
        <v>939</v>
      </c>
      <c r="AM419" t="s">
        <v>940</v>
      </c>
      <c r="AN419" t="s">
        <v>941</v>
      </c>
      <c r="AO419" t="s">
        <v>74</v>
      </c>
      <c r="AP419" t="s">
        <v>2951</v>
      </c>
      <c r="AQ419" t="s">
        <v>74</v>
      </c>
      <c r="AR419" t="s">
        <v>2952</v>
      </c>
      <c r="AS419" t="s">
        <v>2953</v>
      </c>
      <c r="AT419" t="s">
        <v>771</v>
      </c>
      <c r="AU419">
        <v>2023</v>
      </c>
      <c r="AV419">
        <v>13</v>
      </c>
      <c r="AW419">
        <v>9</v>
      </c>
      <c r="AX419" t="s">
        <v>74</v>
      </c>
      <c r="AY419" t="s">
        <v>74</v>
      </c>
      <c r="AZ419" t="s">
        <v>74</v>
      </c>
      <c r="BA419" t="s">
        <v>74</v>
      </c>
      <c r="BB419" t="s">
        <v>74</v>
      </c>
      <c r="BC419" t="s">
        <v>74</v>
      </c>
      <c r="BD419">
        <v>865</v>
      </c>
      <c r="BE419" t="s">
        <v>8289</v>
      </c>
      <c r="BF419" t="str">
        <f>HYPERLINK("http://dx.doi.org/10.3390/educsci13090865","http://dx.doi.org/10.3390/educsci13090865")</f>
        <v>http://dx.doi.org/10.3390/educsci13090865</v>
      </c>
      <c r="BG419" t="s">
        <v>74</v>
      </c>
      <c r="BH419" t="s">
        <v>74</v>
      </c>
      <c r="BI419">
        <v>11</v>
      </c>
      <c r="BJ419" t="s">
        <v>423</v>
      </c>
      <c r="BK419" t="s">
        <v>352</v>
      </c>
      <c r="BL419" t="s">
        <v>423</v>
      </c>
      <c r="BM419" t="s">
        <v>8290</v>
      </c>
      <c r="BN419" t="s">
        <v>74</v>
      </c>
      <c r="BO419" t="s">
        <v>1728</v>
      </c>
      <c r="BP419" t="s">
        <v>74</v>
      </c>
      <c r="BQ419" t="s">
        <v>74</v>
      </c>
      <c r="BR419" t="s">
        <v>101</v>
      </c>
      <c r="BS419" t="s">
        <v>8291</v>
      </c>
      <c r="BT419" t="str">
        <f>HYPERLINK("https%3A%2F%2Fwww.webofscience.com%2Fwos%2Fwoscc%2Ffull-record%2FWOS:001073053500001","View Full Record in Web of Science")</f>
        <v>View Full Record in Web of Science</v>
      </c>
    </row>
    <row r="420" spans="1:72" x14ac:dyDescent="0.2">
      <c r="A420" t="s">
        <v>103</v>
      </c>
      <c r="B420" t="s">
        <v>8292</v>
      </c>
      <c r="C420" t="s">
        <v>74</v>
      </c>
      <c r="D420" t="s">
        <v>74</v>
      </c>
      <c r="E420" t="s">
        <v>74</v>
      </c>
      <c r="F420" t="s">
        <v>8293</v>
      </c>
      <c r="G420" t="s">
        <v>74</v>
      </c>
      <c r="H420" t="s">
        <v>74</v>
      </c>
      <c r="I420" t="s">
        <v>8294</v>
      </c>
      <c r="J420" t="s">
        <v>1370</v>
      </c>
      <c r="K420" t="s">
        <v>74</v>
      </c>
      <c r="L420" t="s">
        <v>74</v>
      </c>
      <c r="M420" t="s">
        <v>79</v>
      </c>
      <c r="N420" t="s">
        <v>108</v>
      </c>
      <c r="O420" t="s">
        <v>74</v>
      </c>
      <c r="P420" t="s">
        <v>74</v>
      </c>
      <c r="Q420" t="s">
        <v>74</v>
      </c>
      <c r="R420" t="s">
        <v>74</v>
      </c>
      <c r="S420" t="s">
        <v>74</v>
      </c>
      <c r="T420" t="s">
        <v>8295</v>
      </c>
      <c r="U420" t="s">
        <v>8296</v>
      </c>
      <c r="V420" t="s">
        <v>8297</v>
      </c>
      <c r="W420" t="s">
        <v>8298</v>
      </c>
      <c r="X420" t="s">
        <v>8299</v>
      </c>
      <c r="Y420" t="s">
        <v>8300</v>
      </c>
      <c r="Z420" t="s">
        <v>8301</v>
      </c>
      <c r="AA420" t="s">
        <v>74</v>
      </c>
      <c r="AB420" t="s">
        <v>8302</v>
      </c>
      <c r="AC420" t="s">
        <v>8303</v>
      </c>
      <c r="AD420" t="s">
        <v>8303</v>
      </c>
      <c r="AE420" t="s">
        <v>8304</v>
      </c>
      <c r="AF420" t="s">
        <v>74</v>
      </c>
      <c r="AG420">
        <v>96</v>
      </c>
      <c r="AH420">
        <v>0</v>
      </c>
      <c r="AI420">
        <v>0</v>
      </c>
      <c r="AJ420">
        <v>6</v>
      </c>
      <c r="AK420">
        <v>12</v>
      </c>
      <c r="AL420" t="s">
        <v>1379</v>
      </c>
      <c r="AM420" t="s">
        <v>1380</v>
      </c>
      <c r="AN420" t="s">
        <v>1381</v>
      </c>
      <c r="AO420" t="s">
        <v>1382</v>
      </c>
      <c r="AP420" t="s">
        <v>74</v>
      </c>
      <c r="AQ420" t="s">
        <v>74</v>
      </c>
      <c r="AR420" t="s">
        <v>1370</v>
      </c>
      <c r="AS420" t="s">
        <v>1383</v>
      </c>
      <c r="AT420" t="s">
        <v>74</v>
      </c>
      <c r="AU420">
        <v>2023</v>
      </c>
      <c r="AV420">
        <v>11</v>
      </c>
      <c r="AW420" t="s">
        <v>74</v>
      </c>
      <c r="AX420" t="s">
        <v>74</v>
      </c>
      <c r="AY420" t="s">
        <v>74</v>
      </c>
      <c r="AZ420" t="s">
        <v>74</v>
      </c>
      <c r="BA420" t="s">
        <v>74</v>
      </c>
      <c r="BB420">
        <v>47304</v>
      </c>
      <c r="BC420">
        <v>47320</v>
      </c>
      <c r="BD420" t="s">
        <v>74</v>
      </c>
      <c r="BE420" t="s">
        <v>8305</v>
      </c>
      <c r="BF420" t="str">
        <f>HYPERLINK("http://dx.doi.org/10.1109/ACCESS.2023.3275134","http://dx.doi.org/10.1109/ACCESS.2023.3275134")</f>
        <v>http://dx.doi.org/10.1109/ACCESS.2023.3275134</v>
      </c>
      <c r="BG420" t="s">
        <v>74</v>
      </c>
      <c r="BH420" t="s">
        <v>74</v>
      </c>
      <c r="BI420">
        <v>17</v>
      </c>
      <c r="BJ420" t="s">
        <v>1385</v>
      </c>
      <c r="BK420" t="s">
        <v>130</v>
      </c>
      <c r="BL420" t="s">
        <v>1386</v>
      </c>
      <c r="BM420" t="s">
        <v>8306</v>
      </c>
      <c r="BN420" t="s">
        <v>74</v>
      </c>
      <c r="BO420" t="s">
        <v>425</v>
      </c>
      <c r="BP420" t="s">
        <v>74</v>
      </c>
      <c r="BQ420" t="s">
        <v>74</v>
      </c>
      <c r="BR420" t="s">
        <v>101</v>
      </c>
      <c r="BS420" t="s">
        <v>8307</v>
      </c>
      <c r="BT420" t="str">
        <f>HYPERLINK("https%3A%2F%2Fwww.webofscience.com%2Fwos%2Fwoscc%2Ffull-record%2FWOS:001010120100001","View Full Record in Web of Science")</f>
        <v>View Full Record in Web of Science</v>
      </c>
    </row>
    <row r="421" spans="1:72" x14ac:dyDescent="0.2">
      <c r="A421" t="s">
        <v>103</v>
      </c>
      <c r="B421" t="s">
        <v>8308</v>
      </c>
      <c r="C421" t="s">
        <v>74</v>
      </c>
      <c r="D421" t="s">
        <v>74</v>
      </c>
      <c r="E421" t="s">
        <v>74</v>
      </c>
      <c r="F421" t="s">
        <v>8309</v>
      </c>
      <c r="G421" t="s">
        <v>74</v>
      </c>
      <c r="H421" t="s">
        <v>74</v>
      </c>
      <c r="I421" t="s">
        <v>8310</v>
      </c>
      <c r="J421" t="s">
        <v>1414</v>
      </c>
      <c r="K421" t="s">
        <v>74</v>
      </c>
      <c r="L421" t="s">
        <v>74</v>
      </c>
      <c r="M421" t="s">
        <v>79</v>
      </c>
      <c r="N421" t="s">
        <v>108</v>
      </c>
      <c r="O421" t="s">
        <v>74</v>
      </c>
      <c r="P421" t="s">
        <v>74</v>
      </c>
      <c r="Q421" t="s">
        <v>74</v>
      </c>
      <c r="R421" t="s">
        <v>74</v>
      </c>
      <c r="S421" t="s">
        <v>74</v>
      </c>
      <c r="T421" t="s">
        <v>8311</v>
      </c>
      <c r="U421" t="s">
        <v>6167</v>
      </c>
      <c r="V421" t="s">
        <v>8312</v>
      </c>
      <c r="W421" t="s">
        <v>8313</v>
      </c>
      <c r="X421" t="s">
        <v>8314</v>
      </c>
      <c r="Y421" t="s">
        <v>8315</v>
      </c>
      <c r="Z421" t="s">
        <v>8316</v>
      </c>
      <c r="AA421" t="s">
        <v>74</v>
      </c>
      <c r="AB421" t="s">
        <v>8317</v>
      </c>
      <c r="AC421" t="s">
        <v>8318</v>
      </c>
      <c r="AD421" t="s">
        <v>8319</v>
      </c>
      <c r="AE421" t="s">
        <v>8320</v>
      </c>
      <c r="AF421" t="s">
        <v>74</v>
      </c>
      <c r="AG421">
        <v>122</v>
      </c>
      <c r="AH421">
        <v>13</v>
      </c>
      <c r="AI421">
        <v>13</v>
      </c>
      <c r="AJ421">
        <v>191</v>
      </c>
      <c r="AK421">
        <v>191</v>
      </c>
      <c r="AL421" t="s">
        <v>270</v>
      </c>
      <c r="AM421" t="s">
        <v>120</v>
      </c>
      <c r="AN421" t="s">
        <v>271</v>
      </c>
      <c r="AO421" t="s">
        <v>1426</v>
      </c>
      <c r="AP421" t="s">
        <v>1427</v>
      </c>
      <c r="AQ421" t="s">
        <v>74</v>
      </c>
      <c r="AR421" t="s">
        <v>1428</v>
      </c>
      <c r="AS421" t="s">
        <v>1429</v>
      </c>
      <c r="AT421" t="s">
        <v>251</v>
      </c>
      <c r="AU421">
        <v>2024</v>
      </c>
      <c r="AV421">
        <v>74</v>
      </c>
      <c r="AW421" t="s">
        <v>74</v>
      </c>
      <c r="AX421" t="s">
        <v>74</v>
      </c>
      <c r="AY421" t="s">
        <v>74</v>
      </c>
      <c r="AZ421" t="s">
        <v>74</v>
      </c>
      <c r="BA421" t="s">
        <v>74</v>
      </c>
      <c r="BB421" t="s">
        <v>74</v>
      </c>
      <c r="BC421" t="s">
        <v>74</v>
      </c>
      <c r="BD421">
        <v>102700</v>
      </c>
      <c r="BE421" t="s">
        <v>8321</v>
      </c>
      <c r="BF421" t="str">
        <f>HYPERLINK("http://dx.doi.org/10.1016/j.ijinfomgt.2023.102700","http://dx.doi.org/10.1016/j.ijinfomgt.2023.102700")</f>
        <v>http://dx.doi.org/10.1016/j.ijinfomgt.2023.102700</v>
      </c>
      <c r="BG421" t="s">
        <v>74</v>
      </c>
      <c r="BH421" t="s">
        <v>278</v>
      </c>
      <c r="BI421">
        <v>14</v>
      </c>
      <c r="BJ421" t="s">
        <v>1016</v>
      </c>
      <c r="BK421" t="s">
        <v>159</v>
      </c>
      <c r="BL421" t="s">
        <v>1016</v>
      </c>
      <c r="BM421" t="s">
        <v>8322</v>
      </c>
      <c r="BN421" t="s">
        <v>74</v>
      </c>
      <c r="BO421" t="s">
        <v>74</v>
      </c>
      <c r="BP421" t="s">
        <v>74</v>
      </c>
      <c r="BQ421" t="s">
        <v>74</v>
      </c>
      <c r="BR421" t="s">
        <v>101</v>
      </c>
      <c r="BS421" t="s">
        <v>8323</v>
      </c>
      <c r="BT421" t="str">
        <f>HYPERLINK("https%3A%2F%2Fwww.webofscience.com%2Fwos%2Fwoscc%2Ffull-record%2FWOS:001080592800001","View Full Record in Web of Science")</f>
        <v>View Full Record in Web of Science</v>
      </c>
    </row>
    <row r="422" spans="1:72" x14ac:dyDescent="0.2">
      <c r="A422" t="s">
        <v>103</v>
      </c>
      <c r="B422" t="s">
        <v>8324</v>
      </c>
      <c r="C422" t="s">
        <v>74</v>
      </c>
      <c r="D422" t="s">
        <v>74</v>
      </c>
      <c r="E422" t="s">
        <v>74</v>
      </c>
      <c r="F422" t="s">
        <v>8325</v>
      </c>
      <c r="G422" t="s">
        <v>74</v>
      </c>
      <c r="H422" t="s">
        <v>74</v>
      </c>
      <c r="I422" t="s">
        <v>8326</v>
      </c>
      <c r="J422" t="s">
        <v>8327</v>
      </c>
      <c r="K422" t="s">
        <v>74</v>
      </c>
      <c r="L422" t="s">
        <v>74</v>
      </c>
      <c r="M422" t="s">
        <v>79</v>
      </c>
      <c r="N422" t="s">
        <v>138</v>
      </c>
      <c r="O422" t="s">
        <v>74</v>
      </c>
      <c r="P422" t="s">
        <v>74</v>
      </c>
      <c r="Q422" t="s">
        <v>74</v>
      </c>
      <c r="R422" t="s">
        <v>74</v>
      </c>
      <c r="S422" t="s">
        <v>74</v>
      </c>
      <c r="T422" t="s">
        <v>8328</v>
      </c>
      <c r="U422" t="s">
        <v>74</v>
      </c>
      <c r="V422" t="s">
        <v>8329</v>
      </c>
      <c r="W422" t="s">
        <v>8330</v>
      </c>
      <c r="X422" t="s">
        <v>1330</v>
      </c>
      <c r="Y422" t="s">
        <v>8331</v>
      </c>
      <c r="Z422" t="s">
        <v>8332</v>
      </c>
      <c r="AA422" t="s">
        <v>8333</v>
      </c>
      <c r="AB422" t="s">
        <v>74</v>
      </c>
      <c r="AC422" t="s">
        <v>74</v>
      </c>
      <c r="AD422" t="s">
        <v>74</v>
      </c>
      <c r="AE422" t="s">
        <v>74</v>
      </c>
      <c r="AF422" t="s">
        <v>74</v>
      </c>
      <c r="AG422">
        <v>10</v>
      </c>
      <c r="AH422">
        <v>0</v>
      </c>
      <c r="AI422">
        <v>0</v>
      </c>
      <c r="AJ422">
        <v>23</v>
      </c>
      <c r="AK422">
        <v>37</v>
      </c>
      <c r="AL422" t="s">
        <v>8334</v>
      </c>
      <c r="AM422" t="s">
        <v>8335</v>
      </c>
      <c r="AN422" t="s">
        <v>8336</v>
      </c>
      <c r="AO422" t="s">
        <v>8337</v>
      </c>
      <c r="AP422" t="s">
        <v>8338</v>
      </c>
      <c r="AQ422" t="s">
        <v>74</v>
      </c>
      <c r="AR422" t="s">
        <v>8339</v>
      </c>
      <c r="AS422" t="s">
        <v>8340</v>
      </c>
      <c r="AT422" t="s">
        <v>8341</v>
      </c>
      <c r="AU422">
        <v>2023</v>
      </c>
      <c r="AV422" t="s">
        <v>74</v>
      </c>
      <c r="AW422" t="s">
        <v>74</v>
      </c>
      <c r="AX422" t="s">
        <v>74</v>
      </c>
      <c r="AY422" t="s">
        <v>74</v>
      </c>
      <c r="AZ422" t="s">
        <v>74</v>
      </c>
      <c r="BA422" t="s">
        <v>74</v>
      </c>
      <c r="BB422" t="s">
        <v>74</v>
      </c>
      <c r="BC422" t="s">
        <v>74</v>
      </c>
      <c r="BD422" t="s">
        <v>74</v>
      </c>
      <c r="BE422" t="s">
        <v>8342</v>
      </c>
      <c r="BF422" t="str">
        <f>HYPERLINK("http://dx.doi.org/10.1071/MA23042","http://dx.doi.org/10.1071/MA23042")</f>
        <v>http://dx.doi.org/10.1071/MA23042</v>
      </c>
      <c r="BG422" t="s">
        <v>74</v>
      </c>
      <c r="BH422" t="s">
        <v>229</v>
      </c>
      <c r="BI422">
        <v>5</v>
      </c>
      <c r="BJ422" t="s">
        <v>8343</v>
      </c>
      <c r="BK422" t="s">
        <v>352</v>
      </c>
      <c r="BL422" t="s">
        <v>8343</v>
      </c>
      <c r="BM422" t="s">
        <v>8344</v>
      </c>
      <c r="BN422" t="s">
        <v>74</v>
      </c>
      <c r="BO422" t="s">
        <v>425</v>
      </c>
      <c r="BP422" t="s">
        <v>74</v>
      </c>
      <c r="BQ422" t="s">
        <v>74</v>
      </c>
      <c r="BR422" t="s">
        <v>101</v>
      </c>
      <c r="BS422" t="s">
        <v>8345</v>
      </c>
      <c r="BT422" t="str">
        <f>HYPERLINK("https%3A%2F%2Fwww.webofscience.com%2Fwos%2Fwoscc%2Ffull-record%2FWOS:001022864300001","View Full Record in Web of Science")</f>
        <v>View Full Record in Web of Science</v>
      </c>
    </row>
    <row r="423" spans="1:72" x14ac:dyDescent="0.2">
      <c r="A423" t="s">
        <v>103</v>
      </c>
      <c r="B423" t="s">
        <v>8346</v>
      </c>
      <c r="C423" t="s">
        <v>74</v>
      </c>
      <c r="D423" t="s">
        <v>74</v>
      </c>
      <c r="E423" t="s">
        <v>74</v>
      </c>
      <c r="F423" t="s">
        <v>8347</v>
      </c>
      <c r="G423" t="s">
        <v>74</v>
      </c>
      <c r="H423" t="s">
        <v>74</v>
      </c>
      <c r="I423" t="s">
        <v>8348</v>
      </c>
      <c r="J423" t="s">
        <v>7461</v>
      </c>
      <c r="K423" t="s">
        <v>74</v>
      </c>
      <c r="L423" t="s">
        <v>74</v>
      </c>
      <c r="M423" t="s">
        <v>79</v>
      </c>
      <c r="N423" t="s">
        <v>108</v>
      </c>
      <c r="O423" t="s">
        <v>74</v>
      </c>
      <c r="P423" t="s">
        <v>74</v>
      </c>
      <c r="Q423" t="s">
        <v>74</v>
      </c>
      <c r="R423" t="s">
        <v>74</v>
      </c>
      <c r="S423" t="s">
        <v>74</v>
      </c>
      <c r="T423" t="s">
        <v>8349</v>
      </c>
      <c r="U423" t="s">
        <v>8350</v>
      </c>
      <c r="V423" t="s">
        <v>8351</v>
      </c>
      <c r="W423" t="s">
        <v>8352</v>
      </c>
      <c r="X423" t="s">
        <v>8353</v>
      </c>
      <c r="Y423" t="s">
        <v>8354</v>
      </c>
      <c r="Z423" t="s">
        <v>8355</v>
      </c>
      <c r="AA423" t="s">
        <v>74</v>
      </c>
      <c r="AB423" t="s">
        <v>74</v>
      </c>
      <c r="AC423" t="s">
        <v>8356</v>
      </c>
      <c r="AD423" t="s">
        <v>8357</v>
      </c>
      <c r="AE423" t="s">
        <v>8358</v>
      </c>
      <c r="AF423" t="s">
        <v>74</v>
      </c>
      <c r="AG423">
        <v>46</v>
      </c>
      <c r="AH423">
        <v>2</v>
      </c>
      <c r="AI423">
        <v>2</v>
      </c>
      <c r="AJ423">
        <v>20</v>
      </c>
      <c r="AK423">
        <v>22</v>
      </c>
      <c r="AL423" t="s">
        <v>939</v>
      </c>
      <c r="AM423" t="s">
        <v>940</v>
      </c>
      <c r="AN423" t="s">
        <v>941</v>
      </c>
      <c r="AO423" t="s">
        <v>74</v>
      </c>
      <c r="AP423" t="s">
        <v>7471</v>
      </c>
      <c r="AQ423" t="s">
        <v>74</v>
      </c>
      <c r="AR423" t="s">
        <v>7472</v>
      </c>
      <c r="AS423" t="s">
        <v>7473</v>
      </c>
      <c r="AT423" t="s">
        <v>791</v>
      </c>
      <c r="AU423">
        <v>2023</v>
      </c>
      <c r="AV423">
        <v>23</v>
      </c>
      <c r="AW423">
        <v>15</v>
      </c>
      <c r="AX423" t="s">
        <v>74</v>
      </c>
      <c r="AY423" t="s">
        <v>74</v>
      </c>
      <c r="AZ423" t="s">
        <v>74</v>
      </c>
      <c r="BA423" t="s">
        <v>74</v>
      </c>
      <c r="BB423" t="s">
        <v>74</v>
      </c>
      <c r="BC423" t="s">
        <v>74</v>
      </c>
      <c r="BD423">
        <v>6844</v>
      </c>
      <c r="BE423" t="s">
        <v>8359</v>
      </c>
      <c r="BF423" t="str">
        <f>HYPERLINK("http://dx.doi.org/10.3390/s23156844","http://dx.doi.org/10.3390/s23156844")</f>
        <v>http://dx.doi.org/10.3390/s23156844</v>
      </c>
      <c r="BG423" t="s">
        <v>74</v>
      </c>
      <c r="BH423" t="s">
        <v>74</v>
      </c>
      <c r="BI423">
        <v>17</v>
      </c>
      <c r="BJ423" t="s">
        <v>7475</v>
      </c>
      <c r="BK423" t="s">
        <v>130</v>
      </c>
      <c r="BL423" t="s">
        <v>7476</v>
      </c>
      <c r="BM423" t="s">
        <v>8360</v>
      </c>
      <c r="BN423">
        <v>37571626</v>
      </c>
      <c r="BO423" t="s">
        <v>1728</v>
      </c>
      <c r="BP423" t="s">
        <v>74</v>
      </c>
      <c r="BQ423" t="s">
        <v>74</v>
      </c>
      <c r="BR423" t="s">
        <v>101</v>
      </c>
      <c r="BS423" t="s">
        <v>8361</v>
      </c>
      <c r="BT423" t="str">
        <f>HYPERLINK("https%3A%2F%2Fwww.webofscience.com%2Fwos%2Fwoscc%2Ffull-record%2FWOS:001045742400001","View Full Record in Web of Science")</f>
        <v>View Full Record in Web of Science</v>
      </c>
    </row>
    <row r="424" spans="1:72" x14ac:dyDescent="0.2">
      <c r="A424" t="s">
        <v>103</v>
      </c>
      <c r="B424" t="s">
        <v>8362</v>
      </c>
      <c r="C424" t="s">
        <v>74</v>
      </c>
      <c r="D424" t="s">
        <v>74</v>
      </c>
      <c r="E424" t="s">
        <v>74</v>
      </c>
      <c r="F424" t="s">
        <v>8363</v>
      </c>
      <c r="G424" t="s">
        <v>74</v>
      </c>
      <c r="H424" t="s">
        <v>74</v>
      </c>
      <c r="I424" t="s">
        <v>8364</v>
      </c>
      <c r="J424" t="s">
        <v>8365</v>
      </c>
      <c r="K424" t="s">
        <v>74</v>
      </c>
      <c r="L424" t="s">
        <v>74</v>
      </c>
      <c r="M424" t="s">
        <v>79</v>
      </c>
      <c r="N424" t="s">
        <v>108</v>
      </c>
      <c r="O424" t="s">
        <v>74</v>
      </c>
      <c r="P424" t="s">
        <v>74</v>
      </c>
      <c r="Q424" t="s">
        <v>74</v>
      </c>
      <c r="R424" t="s">
        <v>74</v>
      </c>
      <c r="S424" t="s">
        <v>74</v>
      </c>
      <c r="T424" t="s">
        <v>8366</v>
      </c>
      <c r="U424" t="s">
        <v>8367</v>
      </c>
      <c r="V424" t="s">
        <v>8368</v>
      </c>
      <c r="W424" t="s">
        <v>8369</v>
      </c>
      <c r="X424" t="s">
        <v>8370</v>
      </c>
      <c r="Y424" t="s">
        <v>8371</v>
      </c>
      <c r="Z424" t="s">
        <v>8372</v>
      </c>
      <c r="AA424" t="s">
        <v>8373</v>
      </c>
      <c r="AB424" t="s">
        <v>8374</v>
      </c>
      <c r="AC424" t="s">
        <v>74</v>
      </c>
      <c r="AD424" t="s">
        <v>74</v>
      </c>
      <c r="AE424" t="s">
        <v>74</v>
      </c>
      <c r="AF424" t="s">
        <v>74</v>
      </c>
      <c r="AG424">
        <v>39</v>
      </c>
      <c r="AH424">
        <v>3</v>
      </c>
      <c r="AI424">
        <v>5</v>
      </c>
      <c r="AJ424">
        <v>10</v>
      </c>
      <c r="AK424">
        <v>24</v>
      </c>
      <c r="AL424" t="s">
        <v>547</v>
      </c>
      <c r="AM424" t="s">
        <v>548</v>
      </c>
      <c r="AN424" t="s">
        <v>549</v>
      </c>
      <c r="AO424" t="s">
        <v>8375</v>
      </c>
      <c r="AP424" t="s">
        <v>74</v>
      </c>
      <c r="AQ424" t="s">
        <v>74</v>
      </c>
      <c r="AR424" t="s">
        <v>8376</v>
      </c>
      <c r="AS424" t="s">
        <v>8377</v>
      </c>
      <c r="AT424" t="s">
        <v>8378</v>
      </c>
      <c r="AU424">
        <v>2023</v>
      </c>
      <c r="AV424">
        <v>14</v>
      </c>
      <c r="AW424">
        <v>3</v>
      </c>
      <c r="AX424" t="s">
        <v>74</v>
      </c>
      <c r="AY424" t="s">
        <v>74</v>
      </c>
      <c r="AZ424" t="s">
        <v>74</v>
      </c>
      <c r="BA424" t="s">
        <v>74</v>
      </c>
      <c r="BB424">
        <v>297</v>
      </c>
      <c r="BC424">
        <v>304</v>
      </c>
      <c r="BD424" t="s">
        <v>74</v>
      </c>
      <c r="BE424" t="s">
        <v>8379</v>
      </c>
      <c r="BF424" t="str">
        <f>HYPERLINK("http://dx.doi.org/10.1021/acsmedchemlett.2c00515","http://dx.doi.org/10.1021/acsmedchemlett.2c00515")</f>
        <v>http://dx.doi.org/10.1021/acsmedchemlett.2c00515</v>
      </c>
      <c r="BG424" t="s">
        <v>74</v>
      </c>
      <c r="BH424" t="s">
        <v>2647</v>
      </c>
      <c r="BI424">
        <v>8</v>
      </c>
      <c r="BJ424" t="s">
        <v>8380</v>
      </c>
      <c r="BK424" t="s">
        <v>6236</v>
      </c>
      <c r="BL424" t="s">
        <v>1726</v>
      </c>
      <c r="BM424" t="s">
        <v>8381</v>
      </c>
      <c r="BN424">
        <v>36923916</v>
      </c>
      <c r="BO424" t="s">
        <v>74</v>
      </c>
      <c r="BP424" t="s">
        <v>74</v>
      </c>
      <c r="BQ424" t="s">
        <v>74</v>
      </c>
      <c r="BR424" t="s">
        <v>101</v>
      </c>
      <c r="BS424" t="s">
        <v>8382</v>
      </c>
      <c r="BT424" t="str">
        <f>HYPERLINK("https%3A%2F%2Fwww.webofscience.com%2Fwos%2Fwoscc%2Ffull-record%2FWOS:000929409600001","View Full Record in Web of Science")</f>
        <v>View Full Record in Web of Science</v>
      </c>
    </row>
    <row r="425" spans="1:72" x14ac:dyDescent="0.2">
      <c r="A425" t="s">
        <v>103</v>
      </c>
      <c r="B425" t="s">
        <v>8383</v>
      </c>
      <c r="C425" t="s">
        <v>74</v>
      </c>
      <c r="D425" t="s">
        <v>74</v>
      </c>
      <c r="E425" t="s">
        <v>74</v>
      </c>
      <c r="F425" t="s">
        <v>8384</v>
      </c>
      <c r="G425" t="s">
        <v>74</v>
      </c>
      <c r="H425" t="s">
        <v>74</v>
      </c>
      <c r="I425" t="s">
        <v>8385</v>
      </c>
      <c r="J425" t="s">
        <v>8386</v>
      </c>
      <c r="K425" t="s">
        <v>74</v>
      </c>
      <c r="L425" t="s">
        <v>74</v>
      </c>
      <c r="M425" t="s">
        <v>79</v>
      </c>
      <c r="N425" t="s">
        <v>138</v>
      </c>
      <c r="O425" t="s">
        <v>74</v>
      </c>
      <c r="P425" t="s">
        <v>74</v>
      </c>
      <c r="Q425" t="s">
        <v>74</v>
      </c>
      <c r="R425" t="s">
        <v>74</v>
      </c>
      <c r="S425" t="s">
        <v>74</v>
      </c>
      <c r="T425" t="s">
        <v>8387</v>
      </c>
      <c r="U425" t="s">
        <v>74</v>
      </c>
      <c r="V425" t="s">
        <v>8388</v>
      </c>
      <c r="W425" t="s">
        <v>8389</v>
      </c>
      <c r="X425" t="s">
        <v>8390</v>
      </c>
      <c r="Y425" t="s">
        <v>8391</v>
      </c>
      <c r="Z425" t="s">
        <v>8392</v>
      </c>
      <c r="AA425" t="s">
        <v>74</v>
      </c>
      <c r="AB425" t="s">
        <v>8393</v>
      </c>
      <c r="AC425" t="s">
        <v>8394</v>
      </c>
      <c r="AD425" t="s">
        <v>8394</v>
      </c>
      <c r="AE425" t="s">
        <v>8395</v>
      </c>
      <c r="AF425" t="s">
        <v>74</v>
      </c>
      <c r="AG425">
        <v>12</v>
      </c>
      <c r="AH425">
        <v>3</v>
      </c>
      <c r="AI425">
        <v>3</v>
      </c>
      <c r="AJ425">
        <v>23</v>
      </c>
      <c r="AK425">
        <v>23</v>
      </c>
      <c r="AL425" t="s">
        <v>2377</v>
      </c>
      <c r="AM425" t="s">
        <v>738</v>
      </c>
      <c r="AN425" t="s">
        <v>2378</v>
      </c>
      <c r="AO425" t="s">
        <v>8396</v>
      </c>
      <c r="AP425" t="s">
        <v>8397</v>
      </c>
      <c r="AQ425" t="s">
        <v>74</v>
      </c>
      <c r="AR425" t="s">
        <v>8398</v>
      </c>
      <c r="AS425" t="s">
        <v>8399</v>
      </c>
      <c r="AT425" t="s">
        <v>8400</v>
      </c>
      <c r="AU425">
        <v>2023</v>
      </c>
      <c r="AV425" t="s">
        <v>74</v>
      </c>
      <c r="AW425" t="s">
        <v>74</v>
      </c>
      <c r="AX425" t="s">
        <v>74</v>
      </c>
      <c r="AY425" t="s">
        <v>74</v>
      </c>
      <c r="AZ425" t="s">
        <v>74</v>
      </c>
      <c r="BA425" t="s">
        <v>74</v>
      </c>
      <c r="BB425" t="s">
        <v>74</v>
      </c>
      <c r="BC425" t="s">
        <v>74</v>
      </c>
      <c r="BD425" t="s">
        <v>74</v>
      </c>
      <c r="BE425" t="s">
        <v>8401</v>
      </c>
      <c r="BF425" t="str">
        <f>HYPERLINK("http://dx.doi.org/10.1080/0142159X.2023.2294703","http://dx.doi.org/10.1080/0142159X.2023.2294703")</f>
        <v>http://dx.doi.org/10.1080/0142159X.2023.2294703</v>
      </c>
      <c r="BG425" t="s">
        <v>74</v>
      </c>
      <c r="BH425" t="s">
        <v>128</v>
      </c>
      <c r="BI425">
        <v>6</v>
      </c>
      <c r="BJ425" t="s">
        <v>8402</v>
      </c>
      <c r="BK425" t="s">
        <v>130</v>
      </c>
      <c r="BL425" t="s">
        <v>8403</v>
      </c>
      <c r="BM425" t="s">
        <v>8404</v>
      </c>
      <c r="BN425">
        <v>38146711</v>
      </c>
      <c r="BO425" t="s">
        <v>1237</v>
      </c>
      <c r="BP425" t="s">
        <v>74</v>
      </c>
      <c r="BQ425" t="s">
        <v>74</v>
      </c>
      <c r="BR425" t="s">
        <v>101</v>
      </c>
      <c r="BS425" t="s">
        <v>8405</v>
      </c>
      <c r="BT425" t="str">
        <f>HYPERLINK("https%3A%2F%2Fwww.webofscience.com%2Fwos%2Fwoscc%2Ffull-record%2FWOS:001135116400001","View Full Record in Web of Science")</f>
        <v>View Full Record in Web of Science</v>
      </c>
    </row>
    <row r="426" spans="1:72" x14ac:dyDescent="0.2">
      <c r="A426" t="s">
        <v>103</v>
      </c>
      <c r="B426" t="s">
        <v>8324</v>
      </c>
      <c r="C426" t="s">
        <v>74</v>
      </c>
      <c r="D426" t="s">
        <v>74</v>
      </c>
      <c r="E426" t="s">
        <v>74</v>
      </c>
      <c r="F426" t="s">
        <v>8325</v>
      </c>
      <c r="G426" t="s">
        <v>74</v>
      </c>
      <c r="H426" t="s">
        <v>74</v>
      </c>
      <c r="I426" t="s">
        <v>8326</v>
      </c>
      <c r="J426" t="s">
        <v>8327</v>
      </c>
      <c r="K426" t="s">
        <v>74</v>
      </c>
      <c r="L426" t="s">
        <v>74</v>
      </c>
      <c r="M426" t="s">
        <v>79</v>
      </c>
      <c r="N426" t="s">
        <v>108</v>
      </c>
      <c r="O426" t="s">
        <v>74</v>
      </c>
      <c r="P426" t="s">
        <v>74</v>
      </c>
      <c r="Q426" t="s">
        <v>74</v>
      </c>
      <c r="R426" t="s">
        <v>74</v>
      </c>
      <c r="S426" t="s">
        <v>74</v>
      </c>
      <c r="T426" t="s">
        <v>8328</v>
      </c>
      <c r="U426" t="s">
        <v>74</v>
      </c>
      <c r="V426" t="s">
        <v>8329</v>
      </c>
      <c r="W426" t="s">
        <v>8330</v>
      </c>
      <c r="X426" t="s">
        <v>1330</v>
      </c>
      <c r="Y426" t="s">
        <v>8331</v>
      </c>
      <c r="Z426" t="s">
        <v>8332</v>
      </c>
      <c r="AA426" t="s">
        <v>8333</v>
      </c>
      <c r="AB426" t="s">
        <v>74</v>
      </c>
      <c r="AC426" t="s">
        <v>74</v>
      </c>
      <c r="AD426" t="s">
        <v>74</v>
      </c>
      <c r="AE426" t="s">
        <v>74</v>
      </c>
      <c r="AF426" t="s">
        <v>74</v>
      </c>
      <c r="AG426">
        <v>10</v>
      </c>
      <c r="AH426">
        <v>0</v>
      </c>
      <c r="AI426">
        <v>0</v>
      </c>
      <c r="AJ426">
        <v>23</v>
      </c>
      <c r="AK426">
        <v>37</v>
      </c>
      <c r="AL426" t="s">
        <v>8334</v>
      </c>
      <c r="AM426" t="s">
        <v>8335</v>
      </c>
      <c r="AN426" t="s">
        <v>8336</v>
      </c>
      <c r="AO426" t="s">
        <v>8337</v>
      </c>
      <c r="AP426" t="s">
        <v>8338</v>
      </c>
      <c r="AQ426" t="s">
        <v>74</v>
      </c>
      <c r="AR426" t="s">
        <v>8339</v>
      </c>
      <c r="AS426" t="s">
        <v>8340</v>
      </c>
      <c r="AT426" t="s">
        <v>74</v>
      </c>
      <c r="AU426">
        <v>2023</v>
      </c>
      <c r="AV426">
        <v>44</v>
      </c>
      <c r="AW426">
        <v>3</v>
      </c>
      <c r="AX426" t="s">
        <v>74</v>
      </c>
      <c r="AY426" t="s">
        <v>74</v>
      </c>
      <c r="AZ426" t="s">
        <v>74</v>
      </c>
      <c r="BA426" t="s">
        <v>74</v>
      </c>
      <c r="BB426">
        <v>144</v>
      </c>
      <c r="BC426">
        <v>148</v>
      </c>
      <c r="BD426" t="s">
        <v>74</v>
      </c>
      <c r="BE426" t="s">
        <v>8342</v>
      </c>
      <c r="BF426" t="str">
        <f>HYPERLINK("http://dx.doi.org/10.1071/MA23042","http://dx.doi.org/10.1071/MA23042")</f>
        <v>http://dx.doi.org/10.1071/MA23042</v>
      </c>
      <c r="BG426" t="s">
        <v>74</v>
      </c>
      <c r="BH426" t="s">
        <v>74</v>
      </c>
      <c r="BI426">
        <v>5</v>
      </c>
      <c r="BJ426" t="s">
        <v>8343</v>
      </c>
      <c r="BK426" t="s">
        <v>352</v>
      </c>
      <c r="BL426" t="s">
        <v>8343</v>
      </c>
      <c r="BM426" t="s">
        <v>8406</v>
      </c>
      <c r="BN426" t="s">
        <v>74</v>
      </c>
      <c r="BO426" t="s">
        <v>425</v>
      </c>
      <c r="BP426" t="s">
        <v>74</v>
      </c>
      <c r="BQ426" t="s">
        <v>74</v>
      </c>
      <c r="BR426" t="s">
        <v>101</v>
      </c>
      <c r="BS426" t="s">
        <v>8407</v>
      </c>
      <c r="BT426" t="str">
        <f>HYPERLINK("https%3A%2F%2Fwww.webofscience.com%2Fwos%2Fwoscc%2Ffull-record%2FWOS:001176478700009","View Full Record in Web of Science")</f>
        <v>View Full Record in Web of Science</v>
      </c>
    </row>
    <row r="427" spans="1:72" x14ac:dyDescent="0.2">
      <c r="A427" t="s">
        <v>103</v>
      </c>
      <c r="B427" t="s">
        <v>8408</v>
      </c>
      <c r="C427" t="s">
        <v>74</v>
      </c>
      <c r="D427" t="s">
        <v>74</v>
      </c>
      <c r="E427" t="s">
        <v>74</v>
      </c>
      <c r="F427" t="s">
        <v>8409</v>
      </c>
      <c r="G427" t="s">
        <v>74</v>
      </c>
      <c r="H427" t="s">
        <v>74</v>
      </c>
      <c r="I427" t="s">
        <v>8410</v>
      </c>
      <c r="J427" t="s">
        <v>4686</v>
      </c>
      <c r="K427" t="s">
        <v>74</v>
      </c>
      <c r="L427" t="s">
        <v>74</v>
      </c>
      <c r="M427" t="s">
        <v>79</v>
      </c>
      <c r="N427" t="s">
        <v>108</v>
      </c>
      <c r="O427" t="s">
        <v>74</v>
      </c>
      <c r="P427" t="s">
        <v>74</v>
      </c>
      <c r="Q427" t="s">
        <v>74</v>
      </c>
      <c r="R427" t="s">
        <v>74</v>
      </c>
      <c r="S427" t="s">
        <v>74</v>
      </c>
      <c r="T427" t="s">
        <v>8411</v>
      </c>
      <c r="U427" t="s">
        <v>8412</v>
      </c>
      <c r="V427" t="s">
        <v>8413</v>
      </c>
      <c r="W427" t="s">
        <v>8414</v>
      </c>
      <c r="X427" t="s">
        <v>74</v>
      </c>
      <c r="Y427" t="s">
        <v>8415</v>
      </c>
      <c r="Z427" t="s">
        <v>8416</v>
      </c>
      <c r="AA427" t="s">
        <v>74</v>
      </c>
      <c r="AB427" t="s">
        <v>8417</v>
      </c>
      <c r="AC427" t="s">
        <v>74</v>
      </c>
      <c r="AD427" t="s">
        <v>74</v>
      </c>
      <c r="AE427" t="s">
        <v>74</v>
      </c>
      <c r="AF427" t="s">
        <v>74</v>
      </c>
      <c r="AG427">
        <v>13</v>
      </c>
      <c r="AH427">
        <v>2</v>
      </c>
      <c r="AI427">
        <v>2</v>
      </c>
      <c r="AJ427">
        <v>8</v>
      </c>
      <c r="AK427">
        <v>8</v>
      </c>
      <c r="AL427" t="s">
        <v>2032</v>
      </c>
      <c r="AM427" t="s">
        <v>149</v>
      </c>
      <c r="AN427" t="s">
        <v>2033</v>
      </c>
      <c r="AO427" t="s">
        <v>74</v>
      </c>
      <c r="AP427" t="s">
        <v>4694</v>
      </c>
      <c r="AQ427" t="s">
        <v>74</v>
      </c>
      <c r="AR427" t="s">
        <v>4695</v>
      </c>
      <c r="AS427" t="s">
        <v>4696</v>
      </c>
      <c r="AT427" t="s">
        <v>8418</v>
      </c>
      <c r="AU427">
        <v>2023</v>
      </c>
      <c r="AV427">
        <v>15</v>
      </c>
      <c r="AW427">
        <v>8</v>
      </c>
      <c r="AX427" t="s">
        <v>74</v>
      </c>
      <c r="AY427" t="s">
        <v>74</v>
      </c>
      <c r="AZ427" t="s">
        <v>74</v>
      </c>
      <c r="BA427" t="s">
        <v>74</v>
      </c>
      <c r="BB427" t="s">
        <v>74</v>
      </c>
      <c r="BC427" t="s">
        <v>74</v>
      </c>
      <c r="BD427" t="s">
        <v>8419</v>
      </c>
      <c r="BE427" t="s">
        <v>8420</v>
      </c>
      <c r="BF427" t="str">
        <f>HYPERLINK("http://dx.doi.org/10.7759/cureus.43106","http://dx.doi.org/10.7759/cureus.43106")</f>
        <v>http://dx.doi.org/10.7759/cureus.43106</v>
      </c>
      <c r="BG427" t="s">
        <v>74</v>
      </c>
      <c r="BH427" t="s">
        <v>74</v>
      </c>
      <c r="BI427">
        <v>13</v>
      </c>
      <c r="BJ427" t="s">
        <v>3440</v>
      </c>
      <c r="BK427" t="s">
        <v>352</v>
      </c>
      <c r="BL427" t="s">
        <v>3441</v>
      </c>
      <c r="BM427" t="s">
        <v>8421</v>
      </c>
      <c r="BN427">
        <v>37692649</v>
      </c>
      <c r="BO427" t="s">
        <v>1728</v>
      </c>
      <c r="BP427" t="s">
        <v>74</v>
      </c>
      <c r="BQ427" t="s">
        <v>74</v>
      </c>
      <c r="BR427" t="s">
        <v>101</v>
      </c>
      <c r="BS427" t="s">
        <v>8422</v>
      </c>
      <c r="BT427" t="str">
        <f>HYPERLINK("https%3A%2F%2Fwww.webofscience.com%2Fwos%2Fwoscc%2Ffull-record%2FWOS:001048028800008","View Full Record in Web of Science")</f>
        <v>View Full Record in Web of Science</v>
      </c>
    </row>
    <row r="428" spans="1:72" x14ac:dyDescent="0.2">
      <c r="A428" t="s">
        <v>103</v>
      </c>
      <c r="B428" t="s">
        <v>8423</v>
      </c>
      <c r="C428" t="s">
        <v>74</v>
      </c>
      <c r="D428" t="s">
        <v>74</v>
      </c>
      <c r="E428" t="s">
        <v>74</v>
      </c>
      <c r="F428" t="s">
        <v>8424</v>
      </c>
      <c r="G428" t="s">
        <v>74</v>
      </c>
      <c r="H428" t="s">
        <v>74</v>
      </c>
      <c r="I428" t="s">
        <v>8425</v>
      </c>
      <c r="J428" t="s">
        <v>8426</v>
      </c>
      <c r="K428" t="s">
        <v>74</v>
      </c>
      <c r="L428" t="s">
        <v>74</v>
      </c>
      <c r="M428" t="s">
        <v>79</v>
      </c>
      <c r="N428" t="s">
        <v>108</v>
      </c>
      <c r="O428" t="s">
        <v>74</v>
      </c>
      <c r="P428" t="s">
        <v>74</v>
      </c>
      <c r="Q428" t="s">
        <v>74</v>
      </c>
      <c r="R428" t="s">
        <v>74</v>
      </c>
      <c r="S428" t="s">
        <v>74</v>
      </c>
      <c r="T428" t="s">
        <v>8427</v>
      </c>
      <c r="U428" t="s">
        <v>74</v>
      </c>
      <c r="V428" t="s">
        <v>8428</v>
      </c>
      <c r="W428" t="s">
        <v>8429</v>
      </c>
      <c r="X428" t="s">
        <v>541</v>
      </c>
      <c r="Y428" t="s">
        <v>8430</v>
      </c>
      <c r="Z428" t="s">
        <v>8431</v>
      </c>
      <c r="AA428" t="s">
        <v>74</v>
      </c>
      <c r="AB428" t="s">
        <v>74</v>
      </c>
      <c r="AC428" t="s">
        <v>8432</v>
      </c>
      <c r="AD428" t="s">
        <v>6006</v>
      </c>
      <c r="AE428" t="s">
        <v>8433</v>
      </c>
      <c r="AF428" t="s">
        <v>74</v>
      </c>
      <c r="AG428">
        <v>63</v>
      </c>
      <c r="AH428">
        <v>0</v>
      </c>
      <c r="AI428">
        <v>0</v>
      </c>
      <c r="AJ428">
        <v>9</v>
      </c>
      <c r="AK428">
        <v>9</v>
      </c>
      <c r="AL428" t="s">
        <v>1152</v>
      </c>
      <c r="AM428" t="s">
        <v>1153</v>
      </c>
      <c r="AN428" t="s">
        <v>1154</v>
      </c>
      <c r="AO428" t="s">
        <v>8434</v>
      </c>
      <c r="AP428" t="s">
        <v>74</v>
      </c>
      <c r="AQ428" t="s">
        <v>74</v>
      </c>
      <c r="AR428" t="s">
        <v>8435</v>
      </c>
      <c r="AS428" t="s">
        <v>8436</v>
      </c>
      <c r="AT428" t="s">
        <v>4334</v>
      </c>
      <c r="AU428">
        <v>2023</v>
      </c>
      <c r="AV428">
        <v>9</v>
      </c>
      <c r="AW428" t="s">
        <v>74</v>
      </c>
      <c r="AX428" t="s">
        <v>74</v>
      </c>
      <c r="AY428" t="s">
        <v>74</v>
      </c>
      <c r="AZ428" t="s">
        <v>74</v>
      </c>
      <c r="BA428" t="s">
        <v>74</v>
      </c>
      <c r="BB428" t="s">
        <v>74</v>
      </c>
      <c r="BC428" t="s">
        <v>74</v>
      </c>
      <c r="BD428" t="s">
        <v>8437</v>
      </c>
      <c r="BE428" t="s">
        <v>8438</v>
      </c>
      <c r="BF428" t="str">
        <f>HYPERLINK("http://dx.doi.org/10.1017/dsj.2023.25","http://dx.doi.org/10.1017/dsj.2023.25")</f>
        <v>http://dx.doi.org/10.1017/dsj.2023.25</v>
      </c>
      <c r="BG428" t="s">
        <v>74</v>
      </c>
      <c r="BH428" t="s">
        <v>74</v>
      </c>
      <c r="BI428">
        <v>31</v>
      </c>
      <c r="BJ428" t="s">
        <v>8439</v>
      </c>
      <c r="BK428" t="s">
        <v>352</v>
      </c>
      <c r="BL428" t="s">
        <v>2823</v>
      </c>
      <c r="BM428" t="s">
        <v>8440</v>
      </c>
      <c r="BN428" t="s">
        <v>74</v>
      </c>
      <c r="BO428" t="s">
        <v>425</v>
      </c>
      <c r="BP428" t="s">
        <v>74</v>
      </c>
      <c r="BQ428" t="s">
        <v>74</v>
      </c>
      <c r="BR428" t="s">
        <v>101</v>
      </c>
      <c r="BS428" t="s">
        <v>8441</v>
      </c>
      <c r="BT428" t="str">
        <f>HYPERLINK("https%3A%2F%2Fwww.webofscience.com%2Fwos%2Fwoscc%2Ffull-record%2FWOS:001067718500001","View Full Record in Web of Science")</f>
        <v>View Full Record in Web of Science</v>
      </c>
    </row>
    <row r="429" spans="1:72" x14ac:dyDescent="0.2">
      <c r="A429" t="s">
        <v>103</v>
      </c>
      <c r="B429" t="s">
        <v>8442</v>
      </c>
      <c r="C429" t="s">
        <v>74</v>
      </c>
      <c r="D429" t="s">
        <v>74</v>
      </c>
      <c r="E429" t="s">
        <v>74</v>
      </c>
      <c r="F429" t="s">
        <v>8443</v>
      </c>
      <c r="G429" t="s">
        <v>74</v>
      </c>
      <c r="H429" t="s">
        <v>74</v>
      </c>
      <c r="I429" t="s">
        <v>8444</v>
      </c>
      <c r="J429" t="s">
        <v>824</v>
      </c>
      <c r="K429" t="s">
        <v>74</v>
      </c>
      <c r="L429" t="s">
        <v>74</v>
      </c>
      <c r="M429" t="s">
        <v>79</v>
      </c>
      <c r="N429" t="s">
        <v>108</v>
      </c>
      <c r="O429" t="s">
        <v>74</v>
      </c>
      <c r="P429" t="s">
        <v>74</v>
      </c>
      <c r="Q429" t="s">
        <v>74</v>
      </c>
      <c r="R429" t="s">
        <v>74</v>
      </c>
      <c r="S429" t="s">
        <v>74</v>
      </c>
      <c r="T429" t="s">
        <v>8445</v>
      </c>
      <c r="U429" t="s">
        <v>74</v>
      </c>
      <c r="V429" t="s">
        <v>8446</v>
      </c>
      <c r="W429" t="s">
        <v>8447</v>
      </c>
      <c r="X429" t="s">
        <v>8448</v>
      </c>
      <c r="Y429" t="s">
        <v>8449</v>
      </c>
      <c r="Z429" t="s">
        <v>8450</v>
      </c>
      <c r="AA429" t="s">
        <v>74</v>
      </c>
      <c r="AB429" t="s">
        <v>8451</v>
      </c>
      <c r="AC429" t="s">
        <v>74</v>
      </c>
      <c r="AD429" t="s">
        <v>74</v>
      </c>
      <c r="AE429" t="s">
        <v>74</v>
      </c>
      <c r="AF429" t="s">
        <v>74</v>
      </c>
      <c r="AG429">
        <v>27</v>
      </c>
      <c r="AH429">
        <v>1</v>
      </c>
      <c r="AI429">
        <v>1</v>
      </c>
      <c r="AJ429">
        <v>23</v>
      </c>
      <c r="AK429">
        <v>23</v>
      </c>
      <c r="AL429" t="s">
        <v>833</v>
      </c>
      <c r="AM429" t="s">
        <v>834</v>
      </c>
      <c r="AN429" t="s">
        <v>835</v>
      </c>
      <c r="AO429" t="s">
        <v>836</v>
      </c>
      <c r="AP429" t="s">
        <v>837</v>
      </c>
      <c r="AQ429" t="s">
        <v>74</v>
      </c>
      <c r="AR429" t="s">
        <v>838</v>
      </c>
      <c r="AS429" t="s">
        <v>839</v>
      </c>
      <c r="AT429" t="s">
        <v>74</v>
      </c>
      <c r="AU429">
        <v>2023</v>
      </c>
      <c r="AV429">
        <v>39</v>
      </c>
      <c r="AW429">
        <v>5</v>
      </c>
      <c r="AX429" t="s">
        <v>74</v>
      </c>
      <c r="AY429" t="s">
        <v>74</v>
      </c>
      <c r="AZ429" t="s">
        <v>74</v>
      </c>
      <c r="BA429" t="s">
        <v>74</v>
      </c>
      <c r="BB429">
        <v>82</v>
      </c>
      <c r="BC429">
        <v>100</v>
      </c>
      <c r="BD429" t="s">
        <v>74</v>
      </c>
      <c r="BE429" t="s">
        <v>8452</v>
      </c>
      <c r="BF429" t="str">
        <f>HYPERLINK("http://dx.doi.org/10.14742/ajet.8896","http://dx.doi.org/10.14742/ajet.8896")</f>
        <v>http://dx.doi.org/10.14742/ajet.8896</v>
      </c>
      <c r="BG429" t="s">
        <v>74</v>
      </c>
      <c r="BH429" t="s">
        <v>74</v>
      </c>
      <c r="BI429">
        <v>19</v>
      </c>
      <c r="BJ429" t="s">
        <v>423</v>
      </c>
      <c r="BK429" t="s">
        <v>159</v>
      </c>
      <c r="BL429" t="s">
        <v>423</v>
      </c>
      <c r="BM429" t="s">
        <v>841</v>
      </c>
      <c r="BN429" t="s">
        <v>74</v>
      </c>
      <c r="BO429" t="s">
        <v>425</v>
      </c>
      <c r="BP429" t="s">
        <v>74</v>
      </c>
      <c r="BQ429" t="s">
        <v>74</v>
      </c>
      <c r="BR429" t="s">
        <v>101</v>
      </c>
      <c r="BS429" t="s">
        <v>8453</v>
      </c>
      <c r="BT429" t="str">
        <f>HYPERLINK("https%3A%2F%2Fwww.webofscience.com%2Fwos%2Fwoscc%2Ffull-record%2FWOS:001132966400005","View Full Record in Web of Science")</f>
        <v>View Full Record in Web of Science</v>
      </c>
    </row>
    <row r="430" spans="1:72" x14ac:dyDescent="0.2">
      <c r="A430" t="s">
        <v>103</v>
      </c>
      <c r="B430" t="s">
        <v>8454</v>
      </c>
      <c r="C430" t="s">
        <v>74</v>
      </c>
      <c r="D430" t="s">
        <v>74</v>
      </c>
      <c r="E430" t="s">
        <v>74</v>
      </c>
      <c r="F430" t="s">
        <v>8455</v>
      </c>
      <c r="G430" t="s">
        <v>74</v>
      </c>
      <c r="H430" t="s">
        <v>74</v>
      </c>
      <c r="I430" t="s">
        <v>8456</v>
      </c>
      <c r="J430" t="s">
        <v>8457</v>
      </c>
      <c r="K430" t="s">
        <v>74</v>
      </c>
      <c r="L430" t="s">
        <v>74</v>
      </c>
      <c r="M430" t="s">
        <v>79</v>
      </c>
      <c r="N430" t="s">
        <v>108</v>
      </c>
      <c r="O430" t="s">
        <v>74</v>
      </c>
      <c r="P430" t="s">
        <v>74</v>
      </c>
      <c r="Q430" t="s">
        <v>74</v>
      </c>
      <c r="R430" t="s">
        <v>74</v>
      </c>
      <c r="S430" t="s">
        <v>74</v>
      </c>
      <c r="T430" t="s">
        <v>8458</v>
      </c>
      <c r="U430" t="s">
        <v>74</v>
      </c>
      <c r="V430" t="s">
        <v>8459</v>
      </c>
      <c r="W430" t="s">
        <v>8460</v>
      </c>
      <c r="X430" t="s">
        <v>8461</v>
      </c>
      <c r="Y430" t="s">
        <v>8462</v>
      </c>
      <c r="Z430" t="s">
        <v>8463</v>
      </c>
      <c r="AA430" t="s">
        <v>74</v>
      </c>
      <c r="AB430" t="s">
        <v>8464</v>
      </c>
      <c r="AC430" t="s">
        <v>8465</v>
      </c>
      <c r="AD430" t="s">
        <v>8466</v>
      </c>
      <c r="AE430" t="s">
        <v>8467</v>
      </c>
      <c r="AF430" t="s">
        <v>74</v>
      </c>
      <c r="AG430">
        <v>26</v>
      </c>
      <c r="AH430">
        <v>2</v>
      </c>
      <c r="AI430">
        <v>2</v>
      </c>
      <c r="AJ430">
        <v>9</v>
      </c>
      <c r="AK430">
        <v>11</v>
      </c>
      <c r="AL430" t="s">
        <v>939</v>
      </c>
      <c r="AM430" t="s">
        <v>940</v>
      </c>
      <c r="AN430" t="s">
        <v>941</v>
      </c>
      <c r="AO430" t="s">
        <v>74</v>
      </c>
      <c r="AP430" t="s">
        <v>8468</v>
      </c>
      <c r="AQ430" t="s">
        <v>74</v>
      </c>
      <c r="AR430" t="s">
        <v>8469</v>
      </c>
      <c r="AS430" t="s">
        <v>8470</v>
      </c>
      <c r="AT430" t="s">
        <v>126</v>
      </c>
      <c r="AU430">
        <v>2023</v>
      </c>
      <c r="AV430">
        <v>24</v>
      </c>
      <c r="AW430">
        <v>6</v>
      </c>
      <c r="AX430" t="s">
        <v>74</v>
      </c>
      <c r="AY430" t="s">
        <v>74</v>
      </c>
      <c r="AZ430" t="s">
        <v>74</v>
      </c>
      <c r="BA430" t="s">
        <v>74</v>
      </c>
      <c r="BB430" t="s">
        <v>74</v>
      </c>
      <c r="BC430" t="s">
        <v>74</v>
      </c>
      <c r="BD430">
        <v>5323</v>
      </c>
      <c r="BE430" t="s">
        <v>8471</v>
      </c>
      <c r="BF430" t="str">
        <f>HYPERLINK("http://dx.doi.org/10.3390/ijms24065323","http://dx.doi.org/10.3390/ijms24065323")</f>
        <v>http://dx.doi.org/10.3390/ijms24065323</v>
      </c>
      <c r="BG430" t="s">
        <v>74</v>
      </c>
      <c r="BH430" t="s">
        <v>74</v>
      </c>
      <c r="BI430">
        <v>11</v>
      </c>
      <c r="BJ430" t="s">
        <v>8472</v>
      </c>
      <c r="BK430" t="s">
        <v>130</v>
      </c>
      <c r="BL430" t="s">
        <v>8473</v>
      </c>
      <c r="BM430" t="s">
        <v>8474</v>
      </c>
      <c r="BN430">
        <v>36982398</v>
      </c>
      <c r="BO430" t="s">
        <v>4185</v>
      </c>
      <c r="BP430" t="s">
        <v>74</v>
      </c>
      <c r="BQ430" t="s">
        <v>74</v>
      </c>
      <c r="BR430" t="s">
        <v>101</v>
      </c>
      <c r="BS430" t="s">
        <v>8475</v>
      </c>
      <c r="BT430" t="str">
        <f>HYPERLINK("https%3A%2F%2Fwww.webofscience.com%2Fwos%2Fwoscc%2Ffull-record%2FWOS:000956539700001","View Full Record in Web of Science")</f>
        <v>View Full Record in Web of Science</v>
      </c>
    </row>
    <row r="431" spans="1:72" x14ac:dyDescent="0.2">
      <c r="A431" t="s">
        <v>103</v>
      </c>
      <c r="B431" t="s">
        <v>8476</v>
      </c>
      <c r="C431" t="s">
        <v>74</v>
      </c>
      <c r="D431" t="s">
        <v>74</v>
      </c>
      <c r="E431" t="s">
        <v>74</v>
      </c>
      <c r="F431" t="s">
        <v>8477</v>
      </c>
      <c r="G431" t="s">
        <v>74</v>
      </c>
      <c r="H431" t="s">
        <v>74</v>
      </c>
      <c r="I431" t="s">
        <v>8478</v>
      </c>
      <c r="J431" t="s">
        <v>8479</v>
      </c>
      <c r="K431" t="s">
        <v>74</v>
      </c>
      <c r="L431" t="s">
        <v>74</v>
      </c>
      <c r="M431" t="s">
        <v>79</v>
      </c>
      <c r="N431" t="s">
        <v>108</v>
      </c>
      <c r="O431" t="s">
        <v>74</v>
      </c>
      <c r="P431" t="s">
        <v>74</v>
      </c>
      <c r="Q431" t="s">
        <v>74</v>
      </c>
      <c r="R431" t="s">
        <v>74</v>
      </c>
      <c r="S431" t="s">
        <v>74</v>
      </c>
      <c r="T431" t="s">
        <v>74</v>
      </c>
      <c r="U431" t="s">
        <v>8480</v>
      </c>
      <c r="V431" t="s">
        <v>8481</v>
      </c>
      <c r="W431" t="s">
        <v>8482</v>
      </c>
      <c r="X431" t="s">
        <v>8483</v>
      </c>
      <c r="Y431" t="s">
        <v>8484</v>
      </c>
      <c r="Z431" t="s">
        <v>8485</v>
      </c>
      <c r="AA431" t="s">
        <v>74</v>
      </c>
      <c r="AB431" t="s">
        <v>74</v>
      </c>
      <c r="AC431" t="s">
        <v>74</v>
      </c>
      <c r="AD431" t="s">
        <v>74</v>
      </c>
      <c r="AE431" t="s">
        <v>74</v>
      </c>
      <c r="AF431" t="s">
        <v>74</v>
      </c>
      <c r="AG431">
        <v>44</v>
      </c>
      <c r="AH431">
        <v>1</v>
      </c>
      <c r="AI431">
        <v>1</v>
      </c>
      <c r="AJ431">
        <v>1</v>
      </c>
      <c r="AK431">
        <v>1</v>
      </c>
      <c r="AL431" t="s">
        <v>8486</v>
      </c>
      <c r="AM431" t="s">
        <v>1153</v>
      </c>
      <c r="AN431" t="s">
        <v>8487</v>
      </c>
      <c r="AO431" t="s">
        <v>8488</v>
      </c>
      <c r="AP431" t="s">
        <v>8489</v>
      </c>
      <c r="AQ431" t="s">
        <v>74</v>
      </c>
      <c r="AR431" t="s">
        <v>8490</v>
      </c>
      <c r="AS431" t="s">
        <v>8491</v>
      </c>
      <c r="AT431" t="s">
        <v>8418</v>
      </c>
      <c r="AU431">
        <v>2023</v>
      </c>
      <c r="AV431">
        <v>33</v>
      </c>
      <c r="AW431">
        <v>15</v>
      </c>
      <c r="AX431" t="s">
        <v>74</v>
      </c>
      <c r="AY431" t="s">
        <v>74</v>
      </c>
      <c r="AZ431" t="s">
        <v>74</v>
      </c>
      <c r="BA431" t="s">
        <v>74</v>
      </c>
      <c r="BB431" t="s">
        <v>8492</v>
      </c>
      <c r="BC431" t="s">
        <v>8493</v>
      </c>
      <c r="BD431" t="s">
        <v>74</v>
      </c>
      <c r="BE431" t="s">
        <v>74</v>
      </c>
      <c r="BF431" t="s">
        <v>74</v>
      </c>
      <c r="BG431" t="s">
        <v>74</v>
      </c>
      <c r="BH431" t="s">
        <v>74</v>
      </c>
      <c r="BI431">
        <v>5</v>
      </c>
      <c r="BJ431" t="s">
        <v>8494</v>
      </c>
      <c r="BK431" t="s">
        <v>130</v>
      </c>
      <c r="BL431" t="s">
        <v>8495</v>
      </c>
      <c r="BM431" t="s">
        <v>8496</v>
      </c>
      <c r="BN431">
        <v>37552937</v>
      </c>
      <c r="BO431" t="s">
        <v>1237</v>
      </c>
      <c r="BP431" t="s">
        <v>74</v>
      </c>
      <c r="BQ431" t="s">
        <v>74</v>
      </c>
      <c r="BR431" t="s">
        <v>101</v>
      </c>
      <c r="BS431" t="s">
        <v>8497</v>
      </c>
      <c r="BT431" t="str">
        <f>HYPERLINK("https%3A%2F%2Fwww.webofscience.com%2Fwos%2Fwoscc%2Ffull-record%2FWOS:001140317300001","View Full Record in Web of Science")</f>
        <v>View Full Record in Web of Science</v>
      </c>
    </row>
    <row r="432" spans="1:72" x14ac:dyDescent="0.2">
      <c r="A432" t="s">
        <v>72</v>
      </c>
      <c r="B432" t="s">
        <v>8498</v>
      </c>
      <c r="C432" t="s">
        <v>74</v>
      </c>
      <c r="D432" t="s">
        <v>8499</v>
      </c>
      <c r="E432" t="s">
        <v>74</v>
      </c>
      <c r="F432" t="s">
        <v>8500</v>
      </c>
      <c r="G432" t="s">
        <v>74</v>
      </c>
      <c r="H432" t="s">
        <v>74</v>
      </c>
      <c r="I432" t="s">
        <v>8501</v>
      </c>
      <c r="J432" t="s">
        <v>8502</v>
      </c>
      <c r="K432" t="s">
        <v>74</v>
      </c>
      <c r="L432" t="s">
        <v>74</v>
      </c>
      <c r="M432" t="s">
        <v>79</v>
      </c>
      <c r="N432" t="s">
        <v>80</v>
      </c>
      <c r="O432" t="s">
        <v>8503</v>
      </c>
      <c r="P432" t="s">
        <v>8504</v>
      </c>
      <c r="Q432" t="s">
        <v>1639</v>
      </c>
      <c r="R432" t="s">
        <v>8505</v>
      </c>
      <c r="S432" t="s">
        <v>74</v>
      </c>
      <c r="T432" t="s">
        <v>8506</v>
      </c>
      <c r="U432" t="s">
        <v>74</v>
      </c>
      <c r="V432" t="s">
        <v>8507</v>
      </c>
      <c r="W432" t="s">
        <v>8508</v>
      </c>
      <c r="X432" t="s">
        <v>8509</v>
      </c>
      <c r="Y432" t="s">
        <v>8510</v>
      </c>
      <c r="Z432" t="s">
        <v>8511</v>
      </c>
      <c r="AA432" t="s">
        <v>74</v>
      </c>
      <c r="AB432" t="s">
        <v>8512</v>
      </c>
      <c r="AC432" t="s">
        <v>8513</v>
      </c>
      <c r="AD432" t="s">
        <v>8514</v>
      </c>
      <c r="AE432" t="s">
        <v>8515</v>
      </c>
      <c r="AF432" t="s">
        <v>74</v>
      </c>
      <c r="AG432">
        <v>51</v>
      </c>
      <c r="AH432">
        <v>0</v>
      </c>
      <c r="AI432">
        <v>0</v>
      </c>
      <c r="AJ432">
        <v>0</v>
      </c>
      <c r="AK432">
        <v>0</v>
      </c>
      <c r="AL432" t="s">
        <v>92</v>
      </c>
      <c r="AM432" t="s">
        <v>93</v>
      </c>
      <c r="AN432" t="s">
        <v>94</v>
      </c>
      <c r="AO432" t="s">
        <v>74</v>
      </c>
      <c r="AP432" t="s">
        <v>74</v>
      </c>
      <c r="AQ432" t="s">
        <v>8516</v>
      </c>
      <c r="AR432" t="s">
        <v>74</v>
      </c>
      <c r="AS432" t="s">
        <v>74</v>
      </c>
      <c r="AT432" t="s">
        <v>74</v>
      </c>
      <c r="AU432">
        <v>2023</v>
      </c>
      <c r="AV432" t="s">
        <v>74</v>
      </c>
      <c r="AW432" t="s">
        <v>74</v>
      </c>
      <c r="AX432" t="s">
        <v>74</v>
      </c>
      <c r="AY432" t="s">
        <v>74</v>
      </c>
      <c r="AZ432" t="s">
        <v>74</v>
      </c>
      <c r="BA432" t="s">
        <v>74</v>
      </c>
      <c r="BB432">
        <v>534</v>
      </c>
      <c r="BC432">
        <v>545</v>
      </c>
      <c r="BD432" t="s">
        <v>74</v>
      </c>
      <c r="BE432" t="s">
        <v>8517</v>
      </c>
      <c r="BF432" t="str">
        <f>HYPERLINK("http://dx.doi.org/10.1145/3589132.3625641","http://dx.doi.org/10.1145/3589132.3625641")</f>
        <v>http://dx.doi.org/10.1145/3589132.3625641</v>
      </c>
      <c r="BG432" t="s">
        <v>74</v>
      </c>
      <c r="BH432" t="s">
        <v>74</v>
      </c>
      <c r="BI432">
        <v>12</v>
      </c>
      <c r="BJ432" t="s">
        <v>8518</v>
      </c>
      <c r="BK432" t="s">
        <v>98</v>
      </c>
      <c r="BL432" t="s">
        <v>8519</v>
      </c>
      <c r="BM432" t="s">
        <v>8520</v>
      </c>
      <c r="BN432" t="s">
        <v>74</v>
      </c>
      <c r="BO432" t="s">
        <v>2568</v>
      </c>
      <c r="BP432" t="s">
        <v>74</v>
      </c>
      <c r="BQ432" t="s">
        <v>74</v>
      </c>
      <c r="BR432" t="s">
        <v>101</v>
      </c>
      <c r="BS432" t="s">
        <v>8521</v>
      </c>
      <c r="BT432" t="str">
        <f>HYPERLINK("https%3A%2F%2Fwww.webofscience.com%2Fwos%2Fwoscc%2Ffull-record%2FWOS:001156830400091","View Full Record in Web of Science")</f>
        <v>View Full Record in Web of Science</v>
      </c>
    </row>
    <row r="433" spans="1:72" x14ac:dyDescent="0.2">
      <c r="A433" t="s">
        <v>103</v>
      </c>
      <c r="B433" t="s">
        <v>8522</v>
      </c>
      <c r="C433" t="s">
        <v>74</v>
      </c>
      <c r="D433" t="s">
        <v>74</v>
      </c>
      <c r="E433" t="s">
        <v>74</v>
      </c>
      <c r="F433" t="s">
        <v>8523</v>
      </c>
      <c r="G433" t="s">
        <v>74</v>
      </c>
      <c r="H433" t="s">
        <v>74</v>
      </c>
      <c r="I433" t="s">
        <v>8524</v>
      </c>
      <c r="J433" t="s">
        <v>5807</v>
      </c>
      <c r="K433" t="s">
        <v>74</v>
      </c>
      <c r="L433" t="s">
        <v>74</v>
      </c>
      <c r="M433" t="s">
        <v>79</v>
      </c>
      <c r="N433" t="s">
        <v>108</v>
      </c>
      <c r="O433" t="s">
        <v>74</v>
      </c>
      <c r="P433" t="s">
        <v>74</v>
      </c>
      <c r="Q433" t="s">
        <v>74</v>
      </c>
      <c r="R433" t="s">
        <v>74</v>
      </c>
      <c r="S433" t="s">
        <v>74</v>
      </c>
      <c r="T433" t="s">
        <v>8525</v>
      </c>
      <c r="U433" t="s">
        <v>8526</v>
      </c>
      <c r="V433" t="s">
        <v>8527</v>
      </c>
      <c r="W433" t="s">
        <v>8528</v>
      </c>
      <c r="X433" t="s">
        <v>8529</v>
      </c>
      <c r="Y433" t="s">
        <v>8530</v>
      </c>
      <c r="Z433" t="s">
        <v>8531</v>
      </c>
      <c r="AA433" t="s">
        <v>74</v>
      </c>
      <c r="AB433" t="s">
        <v>8532</v>
      </c>
      <c r="AC433" t="s">
        <v>8533</v>
      </c>
      <c r="AD433" t="s">
        <v>8534</v>
      </c>
      <c r="AE433" t="s">
        <v>8535</v>
      </c>
      <c r="AF433" t="s">
        <v>74</v>
      </c>
      <c r="AG433">
        <v>52</v>
      </c>
      <c r="AH433">
        <v>0</v>
      </c>
      <c r="AI433">
        <v>0</v>
      </c>
      <c r="AJ433">
        <v>5</v>
      </c>
      <c r="AK433">
        <v>5</v>
      </c>
      <c r="AL433" t="s">
        <v>4176</v>
      </c>
      <c r="AM433" t="s">
        <v>4177</v>
      </c>
      <c r="AN433" t="s">
        <v>4178</v>
      </c>
      <c r="AO433" t="s">
        <v>5816</v>
      </c>
      <c r="AP433" t="s">
        <v>74</v>
      </c>
      <c r="AQ433" t="s">
        <v>74</v>
      </c>
      <c r="AR433" t="s">
        <v>5817</v>
      </c>
      <c r="AS433" t="s">
        <v>5818</v>
      </c>
      <c r="AT433" t="s">
        <v>74</v>
      </c>
      <c r="AU433">
        <v>2023</v>
      </c>
      <c r="AV433">
        <v>10</v>
      </c>
      <c r="AW433" t="s">
        <v>74</v>
      </c>
      <c r="AX433" t="s">
        <v>74</v>
      </c>
      <c r="AY433" t="s">
        <v>74</v>
      </c>
      <c r="AZ433" t="s">
        <v>74</v>
      </c>
      <c r="BA433" t="s">
        <v>74</v>
      </c>
      <c r="BB433" t="s">
        <v>74</v>
      </c>
      <c r="BC433" t="s">
        <v>74</v>
      </c>
      <c r="BD433" t="s">
        <v>8536</v>
      </c>
      <c r="BE433" t="s">
        <v>8537</v>
      </c>
      <c r="BF433" t="str">
        <f>HYPERLINK("http://dx.doi.org/10.2196/49132","http://dx.doi.org/10.2196/49132")</f>
        <v>http://dx.doi.org/10.2196/49132</v>
      </c>
      <c r="BG433" t="s">
        <v>74</v>
      </c>
      <c r="BH433" t="s">
        <v>74</v>
      </c>
      <c r="BI433">
        <v>20</v>
      </c>
      <c r="BJ433" t="s">
        <v>5821</v>
      </c>
      <c r="BK433" t="s">
        <v>130</v>
      </c>
      <c r="BL433" t="s">
        <v>5821</v>
      </c>
      <c r="BM433" t="s">
        <v>8538</v>
      </c>
      <c r="BN433">
        <v>37847539</v>
      </c>
      <c r="BO433" t="s">
        <v>1728</v>
      </c>
      <c r="BP433" t="s">
        <v>74</v>
      </c>
      <c r="BQ433" t="s">
        <v>74</v>
      </c>
      <c r="BR433" t="s">
        <v>101</v>
      </c>
      <c r="BS433" t="s">
        <v>8539</v>
      </c>
      <c r="BT433" t="str">
        <f>HYPERLINK("https%3A%2F%2Fwww.webofscience.com%2Fwos%2Fwoscc%2Ffull-record%2FWOS:001104536100002","View Full Record in Web of Science")</f>
        <v>View Full Record in Web of Science</v>
      </c>
    </row>
    <row r="434" spans="1:72" x14ac:dyDescent="0.2">
      <c r="A434" t="s">
        <v>103</v>
      </c>
      <c r="B434" t="s">
        <v>8540</v>
      </c>
      <c r="C434" t="s">
        <v>74</v>
      </c>
      <c r="D434" t="s">
        <v>74</v>
      </c>
      <c r="E434" t="s">
        <v>74</v>
      </c>
      <c r="F434" t="s">
        <v>8541</v>
      </c>
      <c r="G434" t="s">
        <v>74</v>
      </c>
      <c r="H434" t="s">
        <v>74</v>
      </c>
      <c r="I434" t="s">
        <v>8542</v>
      </c>
      <c r="J434" t="s">
        <v>8543</v>
      </c>
      <c r="K434" t="s">
        <v>74</v>
      </c>
      <c r="L434" t="s">
        <v>74</v>
      </c>
      <c r="M434" t="s">
        <v>79</v>
      </c>
      <c r="N434" t="s">
        <v>108</v>
      </c>
      <c r="O434" t="s">
        <v>74</v>
      </c>
      <c r="P434" t="s">
        <v>74</v>
      </c>
      <c r="Q434" t="s">
        <v>74</v>
      </c>
      <c r="R434" t="s">
        <v>74</v>
      </c>
      <c r="S434" t="s">
        <v>74</v>
      </c>
      <c r="T434" t="s">
        <v>8544</v>
      </c>
      <c r="U434" t="s">
        <v>8545</v>
      </c>
      <c r="V434" t="s">
        <v>8546</v>
      </c>
      <c r="W434" t="s">
        <v>8547</v>
      </c>
      <c r="X434" t="s">
        <v>8548</v>
      </c>
      <c r="Y434" t="s">
        <v>8549</v>
      </c>
      <c r="Z434" t="s">
        <v>8550</v>
      </c>
      <c r="AA434" t="s">
        <v>8551</v>
      </c>
      <c r="AB434" t="s">
        <v>8552</v>
      </c>
      <c r="AC434" t="s">
        <v>74</v>
      </c>
      <c r="AD434" t="s">
        <v>74</v>
      </c>
      <c r="AE434" t="s">
        <v>74</v>
      </c>
      <c r="AF434" t="s">
        <v>74</v>
      </c>
      <c r="AG434">
        <v>35</v>
      </c>
      <c r="AH434">
        <v>3</v>
      </c>
      <c r="AI434">
        <v>3</v>
      </c>
      <c r="AJ434">
        <v>3</v>
      </c>
      <c r="AK434">
        <v>5</v>
      </c>
      <c r="AL434" t="s">
        <v>939</v>
      </c>
      <c r="AM434" t="s">
        <v>940</v>
      </c>
      <c r="AN434" t="s">
        <v>941</v>
      </c>
      <c r="AO434" t="s">
        <v>74</v>
      </c>
      <c r="AP434" t="s">
        <v>8553</v>
      </c>
      <c r="AQ434" t="s">
        <v>74</v>
      </c>
      <c r="AR434" t="s">
        <v>8554</v>
      </c>
      <c r="AS434" t="s">
        <v>8555</v>
      </c>
      <c r="AT434" t="s">
        <v>126</v>
      </c>
      <c r="AU434">
        <v>2023</v>
      </c>
      <c r="AV434">
        <v>13</v>
      </c>
      <c r="AW434">
        <v>3</v>
      </c>
      <c r="AX434" t="s">
        <v>74</v>
      </c>
      <c r="AY434" t="s">
        <v>74</v>
      </c>
      <c r="AZ434" t="s">
        <v>74</v>
      </c>
      <c r="BA434" t="s">
        <v>74</v>
      </c>
      <c r="BB434" t="s">
        <v>74</v>
      </c>
      <c r="BC434" t="s">
        <v>74</v>
      </c>
      <c r="BD434">
        <v>547</v>
      </c>
      <c r="BE434" t="s">
        <v>8556</v>
      </c>
      <c r="BF434" t="str">
        <f>HYPERLINK("http://dx.doi.org/10.3390/jpm13030547","http://dx.doi.org/10.3390/jpm13030547")</f>
        <v>http://dx.doi.org/10.3390/jpm13030547</v>
      </c>
      <c r="BG434" t="s">
        <v>74</v>
      </c>
      <c r="BH434" t="s">
        <v>74</v>
      </c>
      <c r="BI434">
        <v>12</v>
      </c>
      <c r="BJ434" t="s">
        <v>8557</v>
      </c>
      <c r="BK434" t="s">
        <v>130</v>
      </c>
      <c r="BL434" t="s">
        <v>8558</v>
      </c>
      <c r="BM434" t="s">
        <v>8559</v>
      </c>
      <c r="BN434">
        <v>36983728</v>
      </c>
      <c r="BO434" t="s">
        <v>4337</v>
      </c>
      <c r="BP434" t="s">
        <v>74</v>
      </c>
      <c r="BQ434" t="s">
        <v>74</v>
      </c>
      <c r="BR434" t="s">
        <v>101</v>
      </c>
      <c r="BS434" t="s">
        <v>8560</v>
      </c>
      <c r="BT434" t="str">
        <f>HYPERLINK("https%3A%2F%2Fwww.webofscience.com%2Fwos%2Fwoscc%2Ffull-record%2FWOS:000958447300001","View Full Record in Web of Science")</f>
        <v>View Full Record in Web of Science</v>
      </c>
    </row>
    <row r="435" spans="1:72" x14ac:dyDescent="0.2">
      <c r="A435" t="s">
        <v>72</v>
      </c>
      <c r="B435" t="s">
        <v>8561</v>
      </c>
      <c r="C435" t="s">
        <v>74</v>
      </c>
      <c r="D435" t="s">
        <v>8562</v>
      </c>
      <c r="E435" t="s">
        <v>74</v>
      </c>
      <c r="F435" t="s">
        <v>8563</v>
      </c>
      <c r="G435" t="s">
        <v>74</v>
      </c>
      <c r="H435" t="s">
        <v>74</v>
      </c>
      <c r="I435" t="s">
        <v>8564</v>
      </c>
      <c r="J435" t="s">
        <v>8565</v>
      </c>
      <c r="K435" t="s">
        <v>1034</v>
      </c>
      <c r="L435" t="s">
        <v>74</v>
      </c>
      <c r="M435" t="s">
        <v>79</v>
      </c>
      <c r="N435" t="s">
        <v>80</v>
      </c>
      <c r="O435" t="s">
        <v>8566</v>
      </c>
      <c r="P435" t="s">
        <v>8567</v>
      </c>
      <c r="Q435" t="s">
        <v>8568</v>
      </c>
      <c r="R435" t="s">
        <v>8569</v>
      </c>
      <c r="S435" t="s">
        <v>74</v>
      </c>
      <c r="T435" t="s">
        <v>8570</v>
      </c>
      <c r="U435" t="s">
        <v>74</v>
      </c>
      <c r="V435" t="s">
        <v>8571</v>
      </c>
      <c r="W435" t="s">
        <v>8572</v>
      </c>
      <c r="X435" t="s">
        <v>8573</v>
      </c>
      <c r="Y435" t="s">
        <v>8574</v>
      </c>
      <c r="Z435" t="s">
        <v>8575</v>
      </c>
      <c r="AA435" t="s">
        <v>74</v>
      </c>
      <c r="AB435" t="s">
        <v>8576</v>
      </c>
      <c r="AC435" t="s">
        <v>8577</v>
      </c>
      <c r="AD435" t="s">
        <v>8577</v>
      </c>
      <c r="AE435" t="s">
        <v>8578</v>
      </c>
      <c r="AF435" t="s">
        <v>74</v>
      </c>
      <c r="AG435">
        <v>32</v>
      </c>
      <c r="AH435">
        <v>0</v>
      </c>
      <c r="AI435">
        <v>0</v>
      </c>
      <c r="AJ435">
        <v>4</v>
      </c>
      <c r="AK435">
        <v>4</v>
      </c>
      <c r="AL435" t="s">
        <v>325</v>
      </c>
      <c r="AM435" t="s">
        <v>245</v>
      </c>
      <c r="AN435" t="s">
        <v>246</v>
      </c>
      <c r="AO435" t="s">
        <v>1042</v>
      </c>
      <c r="AP435" t="s">
        <v>327</v>
      </c>
      <c r="AQ435" t="s">
        <v>8579</v>
      </c>
      <c r="AR435" t="s">
        <v>1044</v>
      </c>
      <c r="AS435" t="s">
        <v>74</v>
      </c>
      <c r="AT435" t="s">
        <v>74</v>
      </c>
      <c r="AU435">
        <v>2023</v>
      </c>
      <c r="AV435">
        <v>13718</v>
      </c>
      <c r="AW435" t="s">
        <v>74</v>
      </c>
      <c r="AX435" t="s">
        <v>74</v>
      </c>
      <c r="AY435" t="s">
        <v>74</v>
      </c>
      <c r="AZ435" t="s">
        <v>74</v>
      </c>
      <c r="BA435" t="s">
        <v>74</v>
      </c>
      <c r="BB435">
        <v>121</v>
      </c>
      <c r="BC435">
        <v>136</v>
      </c>
      <c r="BD435" t="s">
        <v>74</v>
      </c>
      <c r="BE435" t="s">
        <v>8580</v>
      </c>
      <c r="BF435" t="str">
        <f>HYPERLINK("http://dx.doi.org/10.1007/978-3-031-26422-1_8","http://dx.doi.org/10.1007/978-3-031-26422-1_8")</f>
        <v>http://dx.doi.org/10.1007/978-3-031-26422-1_8</v>
      </c>
      <c r="BG435" t="s">
        <v>74</v>
      </c>
      <c r="BH435" t="s">
        <v>74</v>
      </c>
      <c r="BI435">
        <v>16</v>
      </c>
      <c r="BJ435" t="s">
        <v>3012</v>
      </c>
      <c r="BK435" t="s">
        <v>98</v>
      </c>
      <c r="BL435" t="s">
        <v>99</v>
      </c>
      <c r="BM435" t="s">
        <v>8581</v>
      </c>
      <c r="BN435" t="s">
        <v>74</v>
      </c>
      <c r="BO435" t="s">
        <v>74</v>
      </c>
      <c r="BP435" t="s">
        <v>74</v>
      </c>
      <c r="BQ435" t="s">
        <v>74</v>
      </c>
      <c r="BR435" t="s">
        <v>101</v>
      </c>
      <c r="BS435" t="s">
        <v>8582</v>
      </c>
      <c r="BT435" t="str">
        <f>HYPERLINK("https%3A%2F%2Fwww.webofscience.com%2Fwos%2Fwoscc%2Ffull-record%2FWOS:000999152800008","View Full Record in Web of Science")</f>
        <v>View Full Record in Web of Science</v>
      </c>
    </row>
    <row r="436" spans="1:72" x14ac:dyDescent="0.2">
      <c r="A436" t="s">
        <v>103</v>
      </c>
      <c r="B436" t="s">
        <v>8583</v>
      </c>
      <c r="C436" t="s">
        <v>74</v>
      </c>
      <c r="D436" t="s">
        <v>74</v>
      </c>
      <c r="E436" t="s">
        <v>74</v>
      </c>
      <c r="F436" t="s">
        <v>8584</v>
      </c>
      <c r="G436" t="s">
        <v>74</v>
      </c>
      <c r="H436" t="s">
        <v>74</v>
      </c>
      <c r="I436" t="s">
        <v>8585</v>
      </c>
      <c r="J436" t="s">
        <v>8586</v>
      </c>
      <c r="K436" t="s">
        <v>74</v>
      </c>
      <c r="L436" t="s">
        <v>74</v>
      </c>
      <c r="M436" t="s">
        <v>79</v>
      </c>
      <c r="N436" t="s">
        <v>108</v>
      </c>
      <c r="O436" t="s">
        <v>74</v>
      </c>
      <c r="P436" t="s">
        <v>74</v>
      </c>
      <c r="Q436" t="s">
        <v>74</v>
      </c>
      <c r="R436" t="s">
        <v>74</v>
      </c>
      <c r="S436" t="s">
        <v>74</v>
      </c>
      <c r="T436" t="s">
        <v>74</v>
      </c>
      <c r="U436" t="s">
        <v>8587</v>
      </c>
      <c r="V436" t="s">
        <v>8588</v>
      </c>
      <c r="W436" t="s">
        <v>8589</v>
      </c>
      <c r="X436" t="s">
        <v>8590</v>
      </c>
      <c r="Y436" t="s">
        <v>8591</v>
      </c>
      <c r="Z436" t="s">
        <v>8592</v>
      </c>
      <c r="AA436" t="s">
        <v>8593</v>
      </c>
      <c r="AB436" t="s">
        <v>8594</v>
      </c>
      <c r="AC436" t="s">
        <v>8595</v>
      </c>
      <c r="AD436" t="s">
        <v>8596</v>
      </c>
      <c r="AE436" t="s">
        <v>8597</v>
      </c>
      <c r="AF436" t="s">
        <v>74</v>
      </c>
      <c r="AG436">
        <v>63</v>
      </c>
      <c r="AH436">
        <v>0</v>
      </c>
      <c r="AI436">
        <v>0</v>
      </c>
      <c r="AJ436">
        <v>0</v>
      </c>
      <c r="AK436">
        <v>0</v>
      </c>
      <c r="AL436" t="s">
        <v>8598</v>
      </c>
      <c r="AM436" t="s">
        <v>8599</v>
      </c>
      <c r="AN436" t="s">
        <v>8600</v>
      </c>
      <c r="AO436" t="s">
        <v>8601</v>
      </c>
      <c r="AP436" t="s">
        <v>8602</v>
      </c>
      <c r="AQ436" t="s">
        <v>74</v>
      </c>
      <c r="AR436" t="s">
        <v>8603</v>
      </c>
      <c r="AS436" t="s">
        <v>8604</v>
      </c>
      <c r="AT436" t="s">
        <v>8605</v>
      </c>
      <c r="AU436">
        <v>2023</v>
      </c>
      <c r="AV436">
        <v>108</v>
      </c>
      <c r="AW436">
        <v>9</v>
      </c>
      <c r="AX436" t="s">
        <v>74</v>
      </c>
      <c r="AY436" t="s">
        <v>74</v>
      </c>
      <c r="AZ436" t="s">
        <v>74</v>
      </c>
      <c r="BA436" t="s">
        <v>74</v>
      </c>
      <c r="BB436" t="s">
        <v>74</v>
      </c>
      <c r="BC436" t="s">
        <v>74</v>
      </c>
      <c r="BD436">
        <v>94030</v>
      </c>
      <c r="BE436" t="s">
        <v>8606</v>
      </c>
      <c r="BF436" t="str">
        <f>HYPERLINK("http://dx.doi.org/10.1103/PhysRevD.108.094030","http://dx.doi.org/10.1103/PhysRevD.108.094030")</f>
        <v>http://dx.doi.org/10.1103/PhysRevD.108.094030</v>
      </c>
      <c r="BG436" t="s">
        <v>74</v>
      </c>
      <c r="BH436" t="s">
        <v>74</v>
      </c>
      <c r="BI436">
        <v>14</v>
      </c>
      <c r="BJ436" t="s">
        <v>8607</v>
      </c>
      <c r="BK436" t="s">
        <v>130</v>
      </c>
      <c r="BL436" t="s">
        <v>8608</v>
      </c>
      <c r="BM436" t="s">
        <v>8609</v>
      </c>
      <c r="BN436" t="s">
        <v>74</v>
      </c>
      <c r="BO436" t="s">
        <v>1214</v>
      </c>
      <c r="BP436" t="s">
        <v>74</v>
      </c>
      <c r="BQ436" t="s">
        <v>74</v>
      </c>
      <c r="BR436" t="s">
        <v>101</v>
      </c>
      <c r="BS436" t="s">
        <v>8610</v>
      </c>
      <c r="BT436" t="str">
        <f>HYPERLINK("https%3A%2F%2Fwww.webofscience.com%2Fwos%2Fwoscc%2Ffull-record%2FWOS:001132219900021","View Full Record in Web of Science")</f>
        <v>View Full Record in Web of Science</v>
      </c>
    </row>
    <row r="437" spans="1:72" x14ac:dyDescent="0.2">
      <c r="A437" t="s">
        <v>103</v>
      </c>
      <c r="B437" t="s">
        <v>8611</v>
      </c>
      <c r="C437" t="s">
        <v>74</v>
      </c>
      <c r="D437" t="s">
        <v>74</v>
      </c>
      <c r="E437" t="s">
        <v>74</v>
      </c>
      <c r="F437" t="s">
        <v>8612</v>
      </c>
      <c r="G437" t="s">
        <v>74</v>
      </c>
      <c r="H437" t="s">
        <v>74</v>
      </c>
      <c r="I437" t="s">
        <v>8613</v>
      </c>
      <c r="J437" t="s">
        <v>2433</v>
      </c>
      <c r="K437" t="s">
        <v>74</v>
      </c>
      <c r="L437" t="s">
        <v>74</v>
      </c>
      <c r="M437" t="s">
        <v>79</v>
      </c>
      <c r="N437" t="s">
        <v>108</v>
      </c>
      <c r="O437" t="s">
        <v>74</v>
      </c>
      <c r="P437" t="s">
        <v>74</v>
      </c>
      <c r="Q437" t="s">
        <v>74</v>
      </c>
      <c r="R437" t="s">
        <v>74</v>
      </c>
      <c r="S437" t="s">
        <v>74</v>
      </c>
      <c r="T437" t="s">
        <v>8614</v>
      </c>
      <c r="U437" t="s">
        <v>74</v>
      </c>
      <c r="V437" t="s">
        <v>8615</v>
      </c>
      <c r="W437" t="s">
        <v>8616</v>
      </c>
      <c r="X437" t="s">
        <v>8617</v>
      </c>
      <c r="Y437" t="s">
        <v>8618</v>
      </c>
      <c r="Z437" t="s">
        <v>8619</v>
      </c>
      <c r="AA437" t="s">
        <v>74</v>
      </c>
      <c r="AB437" t="s">
        <v>8620</v>
      </c>
      <c r="AC437" t="s">
        <v>74</v>
      </c>
      <c r="AD437" t="s">
        <v>74</v>
      </c>
      <c r="AE437" t="s">
        <v>74</v>
      </c>
      <c r="AF437" t="s">
        <v>74</v>
      </c>
      <c r="AG437">
        <v>31</v>
      </c>
      <c r="AH437">
        <v>0</v>
      </c>
      <c r="AI437">
        <v>0</v>
      </c>
      <c r="AJ437">
        <v>8</v>
      </c>
      <c r="AK437">
        <v>10</v>
      </c>
      <c r="AL437" t="s">
        <v>939</v>
      </c>
      <c r="AM437" t="s">
        <v>940</v>
      </c>
      <c r="AN437" t="s">
        <v>941</v>
      </c>
      <c r="AO437" t="s">
        <v>74</v>
      </c>
      <c r="AP437" t="s">
        <v>2444</v>
      </c>
      <c r="AQ437" t="s">
        <v>74</v>
      </c>
      <c r="AR437" t="s">
        <v>2445</v>
      </c>
      <c r="AS437" t="s">
        <v>2446</v>
      </c>
      <c r="AT437" t="s">
        <v>615</v>
      </c>
      <c r="AU437">
        <v>2023</v>
      </c>
      <c r="AV437">
        <v>13</v>
      </c>
      <c r="AW437">
        <v>14</v>
      </c>
      <c r="AX437" t="s">
        <v>74</v>
      </c>
      <c r="AY437" t="s">
        <v>74</v>
      </c>
      <c r="AZ437" t="s">
        <v>74</v>
      </c>
      <c r="BA437" t="s">
        <v>74</v>
      </c>
      <c r="BB437" t="s">
        <v>74</v>
      </c>
      <c r="BC437" t="s">
        <v>74</v>
      </c>
      <c r="BD437">
        <v>8211</v>
      </c>
      <c r="BE437" t="s">
        <v>8621</v>
      </c>
      <c r="BF437" t="str">
        <f>HYPERLINK("http://dx.doi.org/10.3390/app13148211","http://dx.doi.org/10.3390/app13148211")</f>
        <v>http://dx.doi.org/10.3390/app13148211</v>
      </c>
      <c r="BG437" t="s">
        <v>74</v>
      </c>
      <c r="BH437" t="s">
        <v>74</v>
      </c>
      <c r="BI437">
        <v>18</v>
      </c>
      <c r="BJ437" t="s">
        <v>2448</v>
      </c>
      <c r="BK437" t="s">
        <v>130</v>
      </c>
      <c r="BL437" t="s">
        <v>2449</v>
      </c>
      <c r="BM437" t="s">
        <v>8622</v>
      </c>
      <c r="BN437" t="s">
        <v>74</v>
      </c>
      <c r="BO437" t="s">
        <v>1071</v>
      </c>
      <c r="BP437" t="s">
        <v>74</v>
      </c>
      <c r="BQ437" t="s">
        <v>74</v>
      </c>
      <c r="BR437" t="s">
        <v>101</v>
      </c>
      <c r="BS437" t="s">
        <v>8623</v>
      </c>
      <c r="BT437" t="str">
        <f>HYPERLINK("https%3A%2F%2Fwww.webofscience.com%2Fwos%2Fwoscc%2Ffull-record%2FWOS:001034942600001","View Full Record in Web of Science")</f>
        <v>View Full Record in Web of Science</v>
      </c>
    </row>
    <row r="438" spans="1:72" x14ac:dyDescent="0.2">
      <c r="A438" t="s">
        <v>103</v>
      </c>
      <c r="B438" t="s">
        <v>8624</v>
      </c>
      <c r="C438" t="s">
        <v>74</v>
      </c>
      <c r="D438" t="s">
        <v>74</v>
      </c>
      <c r="E438" t="s">
        <v>74</v>
      </c>
      <c r="F438" t="s">
        <v>8625</v>
      </c>
      <c r="G438" t="s">
        <v>74</v>
      </c>
      <c r="H438" t="s">
        <v>74</v>
      </c>
      <c r="I438" t="s">
        <v>8626</v>
      </c>
      <c r="J438" t="s">
        <v>4568</v>
      </c>
      <c r="K438" t="s">
        <v>74</v>
      </c>
      <c r="L438" t="s">
        <v>74</v>
      </c>
      <c r="M438" t="s">
        <v>79</v>
      </c>
      <c r="N438" t="s">
        <v>108</v>
      </c>
      <c r="O438" t="s">
        <v>74</v>
      </c>
      <c r="P438" t="s">
        <v>74</v>
      </c>
      <c r="Q438" t="s">
        <v>74</v>
      </c>
      <c r="R438" t="s">
        <v>74</v>
      </c>
      <c r="S438" t="s">
        <v>74</v>
      </c>
      <c r="T438" t="s">
        <v>8627</v>
      </c>
      <c r="U438" t="s">
        <v>8628</v>
      </c>
      <c r="V438" t="s">
        <v>8629</v>
      </c>
      <c r="W438" t="s">
        <v>8630</v>
      </c>
      <c r="X438" t="s">
        <v>8631</v>
      </c>
      <c r="Y438" t="s">
        <v>8632</v>
      </c>
      <c r="Z438" t="s">
        <v>8633</v>
      </c>
      <c r="AA438" t="s">
        <v>8634</v>
      </c>
      <c r="AB438" t="s">
        <v>8635</v>
      </c>
      <c r="AC438" t="s">
        <v>8636</v>
      </c>
      <c r="AD438" t="s">
        <v>8637</v>
      </c>
      <c r="AE438" t="s">
        <v>8638</v>
      </c>
      <c r="AF438" t="s">
        <v>74</v>
      </c>
      <c r="AG438">
        <v>117</v>
      </c>
      <c r="AH438">
        <v>1</v>
      </c>
      <c r="AI438">
        <v>1</v>
      </c>
      <c r="AJ438">
        <v>6</v>
      </c>
      <c r="AK438">
        <v>6</v>
      </c>
      <c r="AL438" t="s">
        <v>119</v>
      </c>
      <c r="AM438" t="s">
        <v>120</v>
      </c>
      <c r="AN438" t="s">
        <v>121</v>
      </c>
      <c r="AO438" t="s">
        <v>4581</v>
      </c>
      <c r="AP438" t="s">
        <v>4582</v>
      </c>
      <c r="AQ438" t="s">
        <v>74</v>
      </c>
      <c r="AR438" t="s">
        <v>4583</v>
      </c>
      <c r="AS438" t="s">
        <v>4584</v>
      </c>
      <c r="AT438" t="s">
        <v>527</v>
      </c>
      <c r="AU438">
        <v>2023</v>
      </c>
      <c r="AV438">
        <v>167</v>
      </c>
      <c r="AW438" t="s">
        <v>74</v>
      </c>
      <c r="AX438" t="s">
        <v>74</v>
      </c>
      <c r="AY438" t="s">
        <v>74</v>
      </c>
      <c r="AZ438" t="s">
        <v>74</v>
      </c>
      <c r="BA438" t="s">
        <v>74</v>
      </c>
      <c r="BB438" t="s">
        <v>74</v>
      </c>
      <c r="BC438" t="s">
        <v>74</v>
      </c>
      <c r="BD438">
        <v>107655</v>
      </c>
      <c r="BE438" t="s">
        <v>8639</v>
      </c>
      <c r="BF438" t="str">
        <f>HYPERLINK("http://dx.doi.org/10.1016/j.compbiomed.2023.107655","http://dx.doi.org/10.1016/j.compbiomed.2023.107655")</f>
        <v>http://dx.doi.org/10.1016/j.compbiomed.2023.107655</v>
      </c>
      <c r="BG438" t="s">
        <v>74</v>
      </c>
      <c r="BH438" t="s">
        <v>157</v>
      </c>
      <c r="BI438">
        <v>12</v>
      </c>
      <c r="BJ438" t="s">
        <v>4586</v>
      </c>
      <c r="BK438" t="s">
        <v>130</v>
      </c>
      <c r="BL438" t="s">
        <v>4587</v>
      </c>
      <c r="BM438" t="s">
        <v>8640</v>
      </c>
      <c r="BN438">
        <v>37976830</v>
      </c>
      <c r="BO438" t="s">
        <v>161</v>
      </c>
      <c r="BP438" t="s">
        <v>74</v>
      </c>
      <c r="BQ438" t="s">
        <v>74</v>
      </c>
      <c r="BR438" t="s">
        <v>101</v>
      </c>
      <c r="BS438" t="s">
        <v>8641</v>
      </c>
      <c r="BT438" t="str">
        <f>HYPERLINK("https%3A%2F%2Fwww.webofscience.com%2Fwos%2Fwoscc%2Ffull-record%2FWOS:001113573700001","View Full Record in Web of Science")</f>
        <v>View Full Record in Web of Science</v>
      </c>
    </row>
    <row r="439" spans="1:72" x14ac:dyDescent="0.2">
      <c r="A439" t="s">
        <v>103</v>
      </c>
      <c r="B439" t="s">
        <v>8642</v>
      </c>
      <c r="C439" t="s">
        <v>74</v>
      </c>
      <c r="D439" t="s">
        <v>74</v>
      </c>
      <c r="E439" t="s">
        <v>74</v>
      </c>
      <c r="F439" t="s">
        <v>8643</v>
      </c>
      <c r="G439" t="s">
        <v>74</v>
      </c>
      <c r="H439" t="s">
        <v>74</v>
      </c>
      <c r="I439" t="s">
        <v>8644</v>
      </c>
      <c r="J439" t="s">
        <v>1593</v>
      </c>
      <c r="K439" t="s">
        <v>74</v>
      </c>
      <c r="L439" t="s">
        <v>74</v>
      </c>
      <c r="M439" t="s">
        <v>79</v>
      </c>
      <c r="N439" t="s">
        <v>138</v>
      </c>
      <c r="O439" t="s">
        <v>74</v>
      </c>
      <c r="P439" t="s">
        <v>74</v>
      </c>
      <c r="Q439" t="s">
        <v>74</v>
      </c>
      <c r="R439" t="s">
        <v>74</v>
      </c>
      <c r="S439" t="s">
        <v>74</v>
      </c>
      <c r="T439" t="s">
        <v>74</v>
      </c>
      <c r="U439" t="s">
        <v>74</v>
      </c>
      <c r="V439" t="s">
        <v>74</v>
      </c>
      <c r="W439" t="s">
        <v>8645</v>
      </c>
      <c r="X439" t="s">
        <v>74</v>
      </c>
      <c r="Y439" t="s">
        <v>8646</v>
      </c>
      <c r="Z439" t="s">
        <v>74</v>
      </c>
      <c r="AA439" t="s">
        <v>74</v>
      </c>
      <c r="AB439" t="s">
        <v>74</v>
      </c>
      <c r="AC439" t="s">
        <v>74</v>
      </c>
      <c r="AD439" t="s">
        <v>74</v>
      </c>
      <c r="AE439" t="s">
        <v>74</v>
      </c>
      <c r="AF439" t="s">
        <v>74</v>
      </c>
      <c r="AG439">
        <v>28</v>
      </c>
      <c r="AH439">
        <v>0</v>
      </c>
      <c r="AI439">
        <v>0</v>
      </c>
      <c r="AJ439">
        <v>1</v>
      </c>
      <c r="AK439">
        <v>1</v>
      </c>
      <c r="AL439" t="s">
        <v>737</v>
      </c>
      <c r="AM439" t="s">
        <v>738</v>
      </c>
      <c r="AN439" t="s">
        <v>739</v>
      </c>
      <c r="AO439" t="s">
        <v>1599</v>
      </c>
      <c r="AP439" t="s">
        <v>1600</v>
      </c>
      <c r="AQ439" t="s">
        <v>74</v>
      </c>
      <c r="AR439" t="s">
        <v>1601</v>
      </c>
      <c r="AS439" t="s">
        <v>1602</v>
      </c>
      <c r="AT439" t="s">
        <v>8647</v>
      </c>
      <c r="AU439">
        <v>2023</v>
      </c>
      <c r="AV439" t="s">
        <v>74</v>
      </c>
      <c r="AW439" t="s">
        <v>74</v>
      </c>
      <c r="AX439" t="s">
        <v>74</v>
      </c>
      <c r="AY439" t="s">
        <v>74</v>
      </c>
      <c r="AZ439" t="s">
        <v>74</v>
      </c>
      <c r="BA439" t="s">
        <v>74</v>
      </c>
      <c r="BB439" t="s">
        <v>74</v>
      </c>
      <c r="BC439" t="s">
        <v>74</v>
      </c>
      <c r="BD439" t="s">
        <v>74</v>
      </c>
      <c r="BE439" t="s">
        <v>8648</v>
      </c>
      <c r="BF439" t="str">
        <f>HYPERLINK("http://dx.doi.org/10.1080/03071847.2023.2282863","http://dx.doi.org/10.1080/03071847.2023.2282863")</f>
        <v>http://dx.doi.org/10.1080/03071847.2023.2282863</v>
      </c>
      <c r="BG439" t="s">
        <v>74</v>
      </c>
      <c r="BH439" t="s">
        <v>157</v>
      </c>
      <c r="BI439">
        <v>8</v>
      </c>
      <c r="BJ439" t="s">
        <v>1605</v>
      </c>
      <c r="BK439" t="s">
        <v>352</v>
      </c>
      <c r="BL439" t="s">
        <v>1136</v>
      </c>
      <c r="BM439" t="s">
        <v>8649</v>
      </c>
      <c r="BN439" t="s">
        <v>74</v>
      </c>
      <c r="BO439" t="s">
        <v>74</v>
      </c>
      <c r="BP439" t="s">
        <v>74</v>
      </c>
      <c r="BQ439" t="s">
        <v>74</v>
      </c>
      <c r="BR439" t="s">
        <v>101</v>
      </c>
      <c r="BS439" t="s">
        <v>8650</v>
      </c>
      <c r="BT439" t="str">
        <f>HYPERLINK("https%3A%2F%2Fwww.webofscience.com%2Fwos%2Fwoscc%2Ffull-record%2FWOS:001113192000001","View Full Record in Web of Science")</f>
        <v>View Full Record in Web of Science</v>
      </c>
    </row>
    <row r="440" spans="1:72" x14ac:dyDescent="0.2">
      <c r="A440" t="s">
        <v>103</v>
      </c>
      <c r="B440" t="s">
        <v>8651</v>
      </c>
      <c r="C440" t="s">
        <v>74</v>
      </c>
      <c r="D440" t="s">
        <v>74</v>
      </c>
      <c r="E440" t="s">
        <v>74</v>
      </c>
      <c r="F440" t="s">
        <v>8652</v>
      </c>
      <c r="G440" t="s">
        <v>74</v>
      </c>
      <c r="H440" t="s">
        <v>74</v>
      </c>
      <c r="I440" t="s">
        <v>8653</v>
      </c>
      <c r="J440" t="s">
        <v>8654</v>
      </c>
      <c r="K440" t="s">
        <v>74</v>
      </c>
      <c r="L440" t="s">
        <v>74</v>
      </c>
      <c r="M440" t="s">
        <v>79</v>
      </c>
      <c r="N440" t="s">
        <v>108</v>
      </c>
      <c r="O440" t="s">
        <v>74</v>
      </c>
      <c r="P440" t="s">
        <v>74</v>
      </c>
      <c r="Q440" t="s">
        <v>74</v>
      </c>
      <c r="R440" t="s">
        <v>74</v>
      </c>
      <c r="S440" t="s">
        <v>74</v>
      </c>
      <c r="T440" t="s">
        <v>8655</v>
      </c>
      <c r="U440" t="s">
        <v>74</v>
      </c>
      <c r="V440" t="s">
        <v>8656</v>
      </c>
      <c r="W440" t="s">
        <v>8657</v>
      </c>
      <c r="X440" t="s">
        <v>8658</v>
      </c>
      <c r="Y440" t="s">
        <v>8659</v>
      </c>
      <c r="Z440" t="s">
        <v>8660</v>
      </c>
      <c r="AA440" t="s">
        <v>8661</v>
      </c>
      <c r="AB440" t="s">
        <v>8662</v>
      </c>
      <c r="AC440" t="s">
        <v>74</v>
      </c>
      <c r="AD440" t="s">
        <v>74</v>
      </c>
      <c r="AE440" t="s">
        <v>74</v>
      </c>
      <c r="AF440" t="s">
        <v>74</v>
      </c>
      <c r="AG440">
        <v>27</v>
      </c>
      <c r="AH440">
        <v>7</v>
      </c>
      <c r="AI440">
        <v>7</v>
      </c>
      <c r="AJ440">
        <v>101</v>
      </c>
      <c r="AK440">
        <v>122</v>
      </c>
      <c r="AL440" t="s">
        <v>8663</v>
      </c>
      <c r="AM440" t="s">
        <v>149</v>
      </c>
      <c r="AN440" t="s">
        <v>8664</v>
      </c>
      <c r="AO440" t="s">
        <v>8665</v>
      </c>
      <c r="AP440" t="s">
        <v>74</v>
      </c>
      <c r="AQ440" t="s">
        <v>74</v>
      </c>
      <c r="AR440" t="s">
        <v>8666</v>
      </c>
      <c r="AS440" t="s">
        <v>8667</v>
      </c>
      <c r="AT440" t="s">
        <v>8668</v>
      </c>
      <c r="AU440">
        <v>2023</v>
      </c>
      <c r="AV440">
        <v>10</v>
      </c>
      <c r="AW440">
        <v>8</v>
      </c>
      <c r="AX440" t="s">
        <v>74</v>
      </c>
      <c r="AY440" t="s">
        <v>74</v>
      </c>
      <c r="AZ440" t="s">
        <v>74</v>
      </c>
      <c r="BA440" t="s">
        <v>74</v>
      </c>
      <c r="BB440" t="s">
        <v>74</v>
      </c>
      <c r="BC440" t="s">
        <v>74</v>
      </c>
      <c r="BD440">
        <v>230658</v>
      </c>
      <c r="BE440" t="s">
        <v>8669</v>
      </c>
      <c r="BF440" t="str">
        <f>HYPERLINK("http://dx.doi.org/10.1098/rsos.230658","http://dx.doi.org/10.1098/rsos.230658")</f>
        <v>http://dx.doi.org/10.1098/rsos.230658</v>
      </c>
      <c r="BG440" t="s">
        <v>74</v>
      </c>
      <c r="BH440" t="s">
        <v>74</v>
      </c>
      <c r="BI440">
        <v>11</v>
      </c>
      <c r="BJ440" t="s">
        <v>5686</v>
      </c>
      <c r="BK440" t="s">
        <v>130</v>
      </c>
      <c r="BL440" t="s">
        <v>5687</v>
      </c>
      <c r="BM440" t="s">
        <v>8670</v>
      </c>
      <c r="BN440">
        <v>37621662</v>
      </c>
      <c r="BO440" t="s">
        <v>1071</v>
      </c>
      <c r="BP440" t="s">
        <v>74</v>
      </c>
      <c r="BQ440" t="s">
        <v>74</v>
      </c>
      <c r="BR440" t="s">
        <v>101</v>
      </c>
      <c r="BS440" t="s">
        <v>8671</v>
      </c>
      <c r="BT440" t="str">
        <f>HYPERLINK("https%3A%2F%2Fwww.webofscience.com%2Fwos%2Fwoscc%2Ffull-record%2FWOS:001052826700003","View Full Record in Web of Science")</f>
        <v>View Full Record in Web of Science</v>
      </c>
    </row>
    <row r="441" spans="1:72" x14ac:dyDescent="0.2">
      <c r="A441" t="s">
        <v>103</v>
      </c>
      <c r="B441" t="s">
        <v>8672</v>
      </c>
      <c r="C441" t="s">
        <v>74</v>
      </c>
      <c r="D441" t="s">
        <v>74</v>
      </c>
      <c r="E441" t="s">
        <v>74</v>
      </c>
      <c r="F441" t="s">
        <v>8673</v>
      </c>
      <c r="G441" t="s">
        <v>74</v>
      </c>
      <c r="H441" t="s">
        <v>74</v>
      </c>
      <c r="I441" t="s">
        <v>8674</v>
      </c>
      <c r="J441" t="s">
        <v>3527</v>
      </c>
      <c r="K441" t="s">
        <v>74</v>
      </c>
      <c r="L441" t="s">
        <v>74</v>
      </c>
      <c r="M441" t="s">
        <v>79</v>
      </c>
      <c r="N441" t="s">
        <v>108</v>
      </c>
      <c r="O441" t="s">
        <v>74</v>
      </c>
      <c r="P441" t="s">
        <v>74</v>
      </c>
      <c r="Q441" t="s">
        <v>74</v>
      </c>
      <c r="R441" t="s">
        <v>74</v>
      </c>
      <c r="S441" t="s">
        <v>74</v>
      </c>
      <c r="T441" t="s">
        <v>8675</v>
      </c>
      <c r="U441" t="s">
        <v>74</v>
      </c>
      <c r="V441" t="s">
        <v>8676</v>
      </c>
      <c r="W441" t="s">
        <v>8677</v>
      </c>
      <c r="X441" t="s">
        <v>8678</v>
      </c>
      <c r="Y441" t="s">
        <v>8679</v>
      </c>
      <c r="Z441" t="s">
        <v>8680</v>
      </c>
      <c r="AA441" t="s">
        <v>3221</v>
      </c>
      <c r="AB441" t="s">
        <v>8681</v>
      </c>
      <c r="AC441" t="s">
        <v>74</v>
      </c>
      <c r="AD441" t="s">
        <v>74</v>
      </c>
      <c r="AE441" t="s">
        <v>74</v>
      </c>
      <c r="AF441" t="s">
        <v>74</v>
      </c>
      <c r="AG441">
        <v>17</v>
      </c>
      <c r="AH441">
        <v>11</v>
      </c>
      <c r="AI441">
        <v>11</v>
      </c>
      <c r="AJ441">
        <v>48</v>
      </c>
      <c r="AK441">
        <v>48</v>
      </c>
      <c r="AL441" t="s">
        <v>3537</v>
      </c>
      <c r="AM441" t="s">
        <v>3538</v>
      </c>
      <c r="AN441" t="s">
        <v>3539</v>
      </c>
      <c r="AO441" t="s">
        <v>3540</v>
      </c>
      <c r="AP441" t="s">
        <v>74</v>
      </c>
      <c r="AQ441" t="s">
        <v>74</v>
      </c>
      <c r="AR441" t="s">
        <v>3541</v>
      </c>
      <c r="AS441" t="s">
        <v>3542</v>
      </c>
      <c r="AT441" t="s">
        <v>74</v>
      </c>
      <c r="AU441">
        <v>2023</v>
      </c>
      <c r="AV441">
        <v>20</v>
      </c>
      <c r="AW441">
        <v>5</v>
      </c>
      <c r="AX441" t="s">
        <v>74</v>
      </c>
      <c r="AY441" t="s">
        <v>74</v>
      </c>
      <c r="AZ441" t="s">
        <v>74</v>
      </c>
      <c r="BA441" t="s">
        <v>74</v>
      </c>
      <c r="BB441" t="s">
        <v>74</v>
      </c>
      <c r="BC441" t="s">
        <v>74</v>
      </c>
      <c r="BD441">
        <v>2</v>
      </c>
      <c r="BE441" t="s">
        <v>74</v>
      </c>
      <c r="BF441" t="s">
        <v>74</v>
      </c>
      <c r="BG441" t="s">
        <v>74</v>
      </c>
      <c r="BH441" t="s">
        <v>74</v>
      </c>
      <c r="BI441">
        <v>20</v>
      </c>
      <c r="BJ441" t="s">
        <v>423</v>
      </c>
      <c r="BK441" t="s">
        <v>352</v>
      </c>
      <c r="BL441" t="s">
        <v>423</v>
      </c>
      <c r="BM441" t="s">
        <v>8682</v>
      </c>
      <c r="BN441" t="s">
        <v>74</v>
      </c>
      <c r="BO441" t="s">
        <v>74</v>
      </c>
      <c r="BP441" t="s">
        <v>74</v>
      </c>
      <c r="BQ441" t="s">
        <v>74</v>
      </c>
      <c r="BR441" t="s">
        <v>101</v>
      </c>
      <c r="BS441" t="s">
        <v>8683</v>
      </c>
      <c r="BT441" t="str">
        <f>HYPERLINK("https%3A%2F%2Fwww.webofscience.com%2Fwos%2Fwoscc%2Ffull-record%2FWOS:001060245600002","View Full Record in Web of Science")</f>
        <v>View Full Record in Web of Science</v>
      </c>
    </row>
    <row r="442" spans="1:72" x14ac:dyDescent="0.2">
      <c r="A442" t="s">
        <v>103</v>
      </c>
      <c r="B442" t="s">
        <v>8684</v>
      </c>
      <c r="C442" t="s">
        <v>74</v>
      </c>
      <c r="D442" t="s">
        <v>74</v>
      </c>
      <c r="E442" t="s">
        <v>74</v>
      </c>
      <c r="F442" t="s">
        <v>8685</v>
      </c>
      <c r="G442" t="s">
        <v>74</v>
      </c>
      <c r="H442" t="s">
        <v>74</v>
      </c>
      <c r="I442" t="s">
        <v>8686</v>
      </c>
      <c r="J442" t="s">
        <v>8687</v>
      </c>
      <c r="K442" t="s">
        <v>74</v>
      </c>
      <c r="L442" t="s">
        <v>74</v>
      </c>
      <c r="M442" t="s">
        <v>79</v>
      </c>
      <c r="N442" t="s">
        <v>108</v>
      </c>
      <c r="O442" t="s">
        <v>74</v>
      </c>
      <c r="P442" t="s">
        <v>74</v>
      </c>
      <c r="Q442" t="s">
        <v>74</v>
      </c>
      <c r="R442" t="s">
        <v>74</v>
      </c>
      <c r="S442" t="s">
        <v>74</v>
      </c>
      <c r="T442" t="s">
        <v>8688</v>
      </c>
      <c r="U442" t="s">
        <v>8689</v>
      </c>
      <c r="V442" t="s">
        <v>8690</v>
      </c>
      <c r="W442" t="s">
        <v>8691</v>
      </c>
      <c r="X442" t="s">
        <v>8692</v>
      </c>
      <c r="Y442" t="s">
        <v>8693</v>
      </c>
      <c r="Z442" t="s">
        <v>8694</v>
      </c>
      <c r="AA442" t="s">
        <v>8695</v>
      </c>
      <c r="AB442" t="s">
        <v>8696</v>
      </c>
      <c r="AC442" t="s">
        <v>8697</v>
      </c>
      <c r="AD442" t="s">
        <v>8698</v>
      </c>
      <c r="AE442" t="s">
        <v>8699</v>
      </c>
      <c r="AF442" t="s">
        <v>74</v>
      </c>
      <c r="AG442">
        <v>27</v>
      </c>
      <c r="AH442">
        <v>13</v>
      </c>
      <c r="AI442">
        <v>13</v>
      </c>
      <c r="AJ442">
        <v>78</v>
      </c>
      <c r="AK442">
        <v>105</v>
      </c>
      <c r="AL442" t="s">
        <v>1379</v>
      </c>
      <c r="AM442" t="s">
        <v>1380</v>
      </c>
      <c r="AN442" t="s">
        <v>1381</v>
      </c>
      <c r="AO442" t="s">
        <v>8700</v>
      </c>
      <c r="AP442" t="s">
        <v>8701</v>
      </c>
      <c r="AQ442" t="s">
        <v>74</v>
      </c>
      <c r="AR442" t="s">
        <v>8702</v>
      </c>
      <c r="AS442" t="s">
        <v>8703</v>
      </c>
      <c r="AT442" t="s">
        <v>251</v>
      </c>
      <c r="AU442">
        <v>2023</v>
      </c>
      <c r="AV442">
        <v>19</v>
      </c>
      <c r="AW442">
        <v>2</v>
      </c>
      <c r="AX442" t="s">
        <v>74</v>
      </c>
      <c r="AY442" t="s">
        <v>74</v>
      </c>
      <c r="AZ442" t="s">
        <v>74</v>
      </c>
      <c r="BA442" t="s">
        <v>74</v>
      </c>
      <c r="BB442">
        <v>2192</v>
      </c>
      <c r="BC442">
        <v>2199</v>
      </c>
      <c r="BD442" t="s">
        <v>74</v>
      </c>
      <c r="BE442" t="s">
        <v>8704</v>
      </c>
      <c r="BF442" t="str">
        <f>HYPERLINK("http://dx.doi.org/10.1109/TII.2022.3193733","http://dx.doi.org/10.1109/TII.2022.3193733")</f>
        <v>http://dx.doi.org/10.1109/TII.2022.3193733</v>
      </c>
      <c r="BG442" t="s">
        <v>74</v>
      </c>
      <c r="BH442" t="s">
        <v>74</v>
      </c>
      <c r="BI442">
        <v>8</v>
      </c>
      <c r="BJ442" t="s">
        <v>8705</v>
      </c>
      <c r="BK442" t="s">
        <v>130</v>
      </c>
      <c r="BL442" t="s">
        <v>131</v>
      </c>
      <c r="BM442" t="s">
        <v>8706</v>
      </c>
      <c r="BN442" t="s">
        <v>74</v>
      </c>
      <c r="BO442" t="s">
        <v>74</v>
      </c>
      <c r="BP442" t="s">
        <v>74</v>
      </c>
      <c r="BQ442" t="s">
        <v>74</v>
      </c>
      <c r="BR442" t="s">
        <v>101</v>
      </c>
      <c r="BS442" t="s">
        <v>8707</v>
      </c>
      <c r="BT442" t="str">
        <f>HYPERLINK("https%3A%2F%2Fwww.webofscience.com%2Fwos%2Fwoscc%2Ffull-record%2FWOS:000926964700104","View Full Record in Web of Science")</f>
        <v>View Full Record in Web of Science</v>
      </c>
    </row>
    <row r="443" spans="1:72" x14ac:dyDescent="0.2">
      <c r="A443" t="s">
        <v>103</v>
      </c>
      <c r="B443" t="s">
        <v>8708</v>
      </c>
      <c r="C443" t="s">
        <v>74</v>
      </c>
      <c r="D443" t="s">
        <v>74</v>
      </c>
      <c r="E443" t="s">
        <v>74</v>
      </c>
      <c r="F443" t="s">
        <v>8709</v>
      </c>
      <c r="G443" t="s">
        <v>74</v>
      </c>
      <c r="H443" t="s">
        <v>74</v>
      </c>
      <c r="I443" t="s">
        <v>8710</v>
      </c>
      <c r="J443" t="s">
        <v>1370</v>
      </c>
      <c r="K443" t="s">
        <v>74</v>
      </c>
      <c r="L443" t="s">
        <v>74</v>
      </c>
      <c r="M443" t="s">
        <v>79</v>
      </c>
      <c r="N443" t="s">
        <v>108</v>
      </c>
      <c r="O443" t="s">
        <v>74</v>
      </c>
      <c r="P443" t="s">
        <v>74</v>
      </c>
      <c r="Q443" t="s">
        <v>74</v>
      </c>
      <c r="R443" t="s">
        <v>74</v>
      </c>
      <c r="S443" t="s">
        <v>74</v>
      </c>
      <c r="T443" t="s">
        <v>8711</v>
      </c>
      <c r="U443" t="s">
        <v>74</v>
      </c>
      <c r="V443" t="s">
        <v>8712</v>
      </c>
      <c r="W443" t="s">
        <v>8713</v>
      </c>
      <c r="X443" t="s">
        <v>8714</v>
      </c>
      <c r="Y443" t="s">
        <v>8715</v>
      </c>
      <c r="Z443" t="s">
        <v>8716</v>
      </c>
      <c r="AA443" t="s">
        <v>74</v>
      </c>
      <c r="AB443" t="s">
        <v>8717</v>
      </c>
      <c r="AC443" t="s">
        <v>74</v>
      </c>
      <c r="AD443" t="s">
        <v>74</v>
      </c>
      <c r="AE443" t="s">
        <v>74</v>
      </c>
      <c r="AF443" t="s">
        <v>74</v>
      </c>
      <c r="AG443">
        <v>72</v>
      </c>
      <c r="AH443">
        <v>0</v>
      </c>
      <c r="AI443">
        <v>0</v>
      </c>
      <c r="AJ443">
        <v>0</v>
      </c>
      <c r="AK443">
        <v>0</v>
      </c>
      <c r="AL443" t="s">
        <v>1379</v>
      </c>
      <c r="AM443" t="s">
        <v>1380</v>
      </c>
      <c r="AN443" t="s">
        <v>1381</v>
      </c>
      <c r="AO443" t="s">
        <v>1382</v>
      </c>
      <c r="AP443" t="s">
        <v>74</v>
      </c>
      <c r="AQ443" t="s">
        <v>74</v>
      </c>
      <c r="AR443" t="s">
        <v>1370</v>
      </c>
      <c r="AS443" t="s">
        <v>1383</v>
      </c>
      <c r="AT443" t="s">
        <v>74</v>
      </c>
      <c r="AU443">
        <v>2023</v>
      </c>
      <c r="AV443">
        <v>11</v>
      </c>
      <c r="AW443" t="s">
        <v>74</v>
      </c>
      <c r="AX443" t="s">
        <v>74</v>
      </c>
      <c r="AY443" t="s">
        <v>74</v>
      </c>
      <c r="AZ443" t="s">
        <v>74</v>
      </c>
      <c r="BA443" t="s">
        <v>74</v>
      </c>
      <c r="BB443">
        <v>116919</v>
      </c>
      <c r="BC443">
        <v>116931</v>
      </c>
      <c r="BD443" t="s">
        <v>74</v>
      </c>
      <c r="BE443" t="s">
        <v>8718</v>
      </c>
      <c r="BF443" t="str">
        <f>HYPERLINK("http://dx.doi.org/10.1109/ACCESS.2023.3326418","http://dx.doi.org/10.1109/ACCESS.2023.3326418")</f>
        <v>http://dx.doi.org/10.1109/ACCESS.2023.3326418</v>
      </c>
      <c r="BG443" t="s">
        <v>74</v>
      </c>
      <c r="BH443" t="s">
        <v>74</v>
      </c>
      <c r="BI443">
        <v>13</v>
      </c>
      <c r="BJ443" t="s">
        <v>1385</v>
      </c>
      <c r="BK443" t="s">
        <v>130</v>
      </c>
      <c r="BL443" t="s">
        <v>1386</v>
      </c>
      <c r="BM443" t="s">
        <v>8719</v>
      </c>
      <c r="BN443" t="s">
        <v>74</v>
      </c>
      <c r="BO443" t="s">
        <v>425</v>
      </c>
      <c r="BP443" t="s">
        <v>74</v>
      </c>
      <c r="BQ443" t="s">
        <v>74</v>
      </c>
      <c r="BR443" t="s">
        <v>101</v>
      </c>
      <c r="BS443" t="s">
        <v>8720</v>
      </c>
      <c r="BT443" t="str">
        <f>HYPERLINK("https%3A%2F%2Fwww.webofscience.com%2Fwos%2Fwoscc%2Ffull-record%2FWOS:001096960600001","View Full Record in Web of Science")</f>
        <v>View Full Record in Web of Science</v>
      </c>
    </row>
    <row r="444" spans="1:72" x14ac:dyDescent="0.2">
      <c r="A444" t="s">
        <v>103</v>
      </c>
      <c r="B444" t="s">
        <v>8721</v>
      </c>
      <c r="C444" t="s">
        <v>74</v>
      </c>
      <c r="D444" t="s">
        <v>74</v>
      </c>
      <c r="E444" t="s">
        <v>74</v>
      </c>
      <c r="F444" t="s">
        <v>8722</v>
      </c>
      <c r="G444" t="s">
        <v>74</v>
      </c>
      <c r="H444" t="s">
        <v>74</v>
      </c>
      <c r="I444" t="s">
        <v>8723</v>
      </c>
      <c r="J444" t="s">
        <v>6611</v>
      </c>
      <c r="K444" t="s">
        <v>74</v>
      </c>
      <c r="L444" t="s">
        <v>74</v>
      </c>
      <c r="M444" t="s">
        <v>79</v>
      </c>
      <c r="N444" t="s">
        <v>108</v>
      </c>
      <c r="O444" t="s">
        <v>74</v>
      </c>
      <c r="P444" t="s">
        <v>74</v>
      </c>
      <c r="Q444" t="s">
        <v>74</v>
      </c>
      <c r="R444" t="s">
        <v>74</v>
      </c>
      <c r="S444" t="s">
        <v>74</v>
      </c>
      <c r="T444" t="s">
        <v>8724</v>
      </c>
      <c r="U444" t="s">
        <v>8725</v>
      </c>
      <c r="V444" t="s">
        <v>8726</v>
      </c>
      <c r="W444" t="s">
        <v>8727</v>
      </c>
      <c r="X444" t="s">
        <v>8728</v>
      </c>
      <c r="Y444" t="s">
        <v>8729</v>
      </c>
      <c r="Z444" t="s">
        <v>8730</v>
      </c>
      <c r="AA444" t="s">
        <v>74</v>
      </c>
      <c r="AB444" t="s">
        <v>8731</v>
      </c>
      <c r="AC444" t="s">
        <v>8732</v>
      </c>
      <c r="AD444" t="s">
        <v>8733</v>
      </c>
      <c r="AE444" t="s">
        <v>8734</v>
      </c>
      <c r="AF444" t="s">
        <v>74</v>
      </c>
      <c r="AG444">
        <v>304</v>
      </c>
      <c r="AH444">
        <v>1</v>
      </c>
      <c r="AI444">
        <v>1</v>
      </c>
      <c r="AJ444">
        <v>3</v>
      </c>
      <c r="AK444">
        <v>3</v>
      </c>
      <c r="AL444" t="s">
        <v>638</v>
      </c>
      <c r="AM444" t="s">
        <v>639</v>
      </c>
      <c r="AN444" t="s">
        <v>1557</v>
      </c>
      <c r="AO444" t="s">
        <v>6621</v>
      </c>
      <c r="AP444" t="s">
        <v>6622</v>
      </c>
      <c r="AQ444" t="s">
        <v>74</v>
      </c>
      <c r="AR444" t="s">
        <v>6623</v>
      </c>
      <c r="AS444" t="s">
        <v>6624</v>
      </c>
      <c r="AT444" t="s">
        <v>527</v>
      </c>
      <c r="AU444">
        <v>2023</v>
      </c>
      <c r="AV444">
        <v>45</v>
      </c>
      <c r="AW444">
        <v>12</v>
      </c>
      <c r="AX444" t="s">
        <v>74</v>
      </c>
      <c r="AY444" t="s">
        <v>74</v>
      </c>
      <c r="AZ444" t="s">
        <v>74</v>
      </c>
      <c r="BA444" t="s">
        <v>74</v>
      </c>
      <c r="BB444">
        <v>15098</v>
      </c>
      <c r="BC444">
        <v>15119</v>
      </c>
      <c r="BD444" t="s">
        <v>74</v>
      </c>
      <c r="BE444" t="s">
        <v>8735</v>
      </c>
      <c r="BF444" t="str">
        <f>HYPERLINK("http://dx.doi.org/10.1109/TPAMI.2023.3305243","http://dx.doi.org/10.1109/TPAMI.2023.3305243")</f>
        <v>http://dx.doi.org/10.1109/TPAMI.2023.3305243</v>
      </c>
      <c r="BG444" t="s">
        <v>74</v>
      </c>
      <c r="BH444" t="s">
        <v>74</v>
      </c>
      <c r="BI444">
        <v>22</v>
      </c>
      <c r="BJ444" t="s">
        <v>6627</v>
      </c>
      <c r="BK444" t="s">
        <v>130</v>
      </c>
      <c r="BL444" t="s">
        <v>906</v>
      </c>
      <c r="BM444" t="s">
        <v>8203</v>
      </c>
      <c r="BN444">
        <v>37624713</v>
      </c>
      <c r="BO444" t="s">
        <v>646</v>
      </c>
      <c r="BP444" t="s">
        <v>74</v>
      </c>
      <c r="BQ444" t="s">
        <v>74</v>
      </c>
      <c r="BR444" t="s">
        <v>101</v>
      </c>
      <c r="BS444" t="s">
        <v>8736</v>
      </c>
      <c r="BT444" t="str">
        <f>HYPERLINK("https%3A%2F%2Fwww.webofscience.com%2Fwos%2Fwoscc%2Ffull-record%2FWOS:001104973300065","View Full Record in Web of Science")</f>
        <v>View Full Record in Web of Science</v>
      </c>
    </row>
    <row r="445" spans="1:72" x14ac:dyDescent="0.2">
      <c r="A445" t="s">
        <v>103</v>
      </c>
      <c r="B445" t="s">
        <v>8737</v>
      </c>
      <c r="C445" t="s">
        <v>74</v>
      </c>
      <c r="D445" t="s">
        <v>74</v>
      </c>
      <c r="E445" t="s">
        <v>74</v>
      </c>
      <c r="F445" t="s">
        <v>8738</v>
      </c>
      <c r="G445" t="s">
        <v>74</v>
      </c>
      <c r="H445" t="s">
        <v>74</v>
      </c>
      <c r="I445" t="s">
        <v>8739</v>
      </c>
      <c r="J445" t="s">
        <v>6573</v>
      </c>
      <c r="K445" t="s">
        <v>74</v>
      </c>
      <c r="L445" t="s">
        <v>74</v>
      </c>
      <c r="M445" t="s">
        <v>79</v>
      </c>
      <c r="N445" t="s">
        <v>108</v>
      </c>
      <c r="O445" t="s">
        <v>74</v>
      </c>
      <c r="P445" t="s">
        <v>74</v>
      </c>
      <c r="Q445" t="s">
        <v>74</v>
      </c>
      <c r="R445" t="s">
        <v>74</v>
      </c>
      <c r="S445" t="s">
        <v>74</v>
      </c>
      <c r="T445" t="s">
        <v>8740</v>
      </c>
      <c r="U445" t="s">
        <v>74</v>
      </c>
      <c r="V445" t="s">
        <v>8741</v>
      </c>
      <c r="W445" t="s">
        <v>8742</v>
      </c>
      <c r="X445" t="s">
        <v>8743</v>
      </c>
      <c r="Y445" t="s">
        <v>8744</v>
      </c>
      <c r="Z445" t="s">
        <v>8745</v>
      </c>
      <c r="AA445" t="s">
        <v>8746</v>
      </c>
      <c r="AB445" t="s">
        <v>8747</v>
      </c>
      <c r="AC445" t="s">
        <v>74</v>
      </c>
      <c r="AD445" t="s">
        <v>74</v>
      </c>
      <c r="AE445" t="s">
        <v>74</v>
      </c>
      <c r="AF445" t="s">
        <v>74</v>
      </c>
      <c r="AG445">
        <v>65</v>
      </c>
      <c r="AH445">
        <v>1</v>
      </c>
      <c r="AI445">
        <v>1</v>
      </c>
      <c r="AJ445">
        <v>3</v>
      </c>
      <c r="AK445">
        <v>3</v>
      </c>
      <c r="AL445" t="s">
        <v>6584</v>
      </c>
      <c r="AM445" t="s">
        <v>149</v>
      </c>
      <c r="AN445" t="s">
        <v>6585</v>
      </c>
      <c r="AO445" t="s">
        <v>6586</v>
      </c>
      <c r="AP445" t="s">
        <v>6587</v>
      </c>
      <c r="AQ445" t="s">
        <v>74</v>
      </c>
      <c r="AR445" t="s">
        <v>6588</v>
      </c>
      <c r="AS445" t="s">
        <v>6589</v>
      </c>
      <c r="AT445" t="s">
        <v>527</v>
      </c>
      <c r="AU445">
        <v>2023</v>
      </c>
      <c r="AV445">
        <v>35</v>
      </c>
      <c r="AW445">
        <v>34</v>
      </c>
      <c r="AX445" t="s">
        <v>74</v>
      </c>
      <c r="AY445" t="s">
        <v>74</v>
      </c>
      <c r="AZ445" t="s">
        <v>74</v>
      </c>
      <c r="BA445" t="s">
        <v>74</v>
      </c>
      <c r="BB445">
        <v>24369</v>
      </c>
      <c r="BC445">
        <v>24388</v>
      </c>
      <c r="BD445" t="s">
        <v>74</v>
      </c>
      <c r="BE445" t="s">
        <v>8748</v>
      </c>
      <c r="BF445" t="str">
        <f>HYPERLINK("http://dx.doi.org/10.1007/s00521-023-08989-w","http://dx.doi.org/10.1007/s00521-023-08989-w")</f>
        <v>http://dx.doi.org/10.1007/s00521-023-08989-w</v>
      </c>
      <c r="BG445" t="s">
        <v>74</v>
      </c>
      <c r="BH445" t="s">
        <v>1886</v>
      </c>
      <c r="BI445">
        <v>20</v>
      </c>
      <c r="BJ445" t="s">
        <v>304</v>
      </c>
      <c r="BK445" t="s">
        <v>130</v>
      </c>
      <c r="BL445" t="s">
        <v>99</v>
      </c>
      <c r="BM445" t="s">
        <v>8749</v>
      </c>
      <c r="BN445" t="s">
        <v>74</v>
      </c>
      <c r="BO445" t="s">
        <v>4863</v>
      </c>
      <c r="BP445" t="s">
        <v>74</v>
      </c>
      <c r="BQ445" t="s">
        <v>74</v>
      </c>
      <c r="BR445" t="s">
        <v>101</v>
      </c>
      <c r="BS445" t="s">
        <v>8750</v>
      </c>
      <c r="BT445" t="str">
        <f>HYPERLINK("https%3A%2F%2Fwww.webofscience.com%2Fwos%2Fwoscc%2Ffull-record%2FWOS:001077141300010","View Full Record in Web of Science")</f>
        <v>View Full Record in Web of Science</v>
      </c>
    </row>
    <row r="446" spans="1:72" x14ac:dyDescent="0.2">
      <c r="A446" t="s">
        <v>103</v>
      </c>
      <c r="B446" t="s">
        <v>8751</v>
      </c>
      <c r="C446" t="s">
        <v>74</v>
      </c>
      <c r="D446" t="s">
        <v>74</v>
      </c>
      <c r="E446" t="s">
        <v>74</v>
      </c>
      <c r="F446" t="s">
        <v>8752</v>
      </c>
      <c r="G446" t="s">
        <v>74</v>
      </c>
      <c r="H446" t="s">
        <v>74</v>
      </c>
      <c r="I446" t="s">
        <v>8753</v>
      </c>
      <c r="J446" t="s">
        <v>8754</v>
      </c>
      <c r="K446" t="s">
        <v>74</v>
      </c>
      <c r="L446" t="s">
        <v>74</v>
      </c>
      <c r="M446" t="s">
        <v>79</v>
      </c>
      <c r="N446" t="s">
        <v>108</v>
      </c>
      <c r="O446" t="s">
        <v>74</v>
      </c>
      <c r="P446" t="s">
        <v>74</v>
      </c>
      <c r="Q446" t="s">
        <v>74</v>
      </c>
      <c r="R446" t="s">
        <v>74</v>
      </c>
      <c r="S446" t="s">
        <v>74</v>
      </c>
      <c r="T446" t="s">
        <v>8755</v>
      </c>
      <c r="U446" t="s">
        <v>74</v>
      </c>
      <c r="V446" t="s">
        <v>8756</v>
      </c>
      <c r="W446" t="s">
        <v>8757</v>
      </c>
      <c r="X446" t="s">
        <v>8758</v>
      </c>
      <c r="Y446" t="s">
        <v>8759</v>
      </c>
      <c r="Z446" t="s">
        <v>8760</v>
      </c>
      <c r="AA446" t="s">
        <v>74</v>
      </c>
      <c r="AB446" t="s">
        <v>8761</v>
      </c>
      <c r="AC446" t="s">
        <v>74</v>
      </c>
      <c r="AD446" t="s">
        <v>74</v>
      </c>
      <c r="AE446" t="s">
        <v>74</v>
      </c>
      <c r="AF446" t="s">
        <v>74</v>
      </c>
      <c r="AG446">
        <v>75</v>
      </c>
      <c r="AH446">
        <v>63</v>
      </c>
      <c r="AI446">
        <v>63</v>
      </c>
      <c r="AJ446">
        <v>225</v>
      </c>
      <c r="AK446">
        <v>317</v>
      </c>
      <c r="AL446" t="s">
        <v>764</v>
      </c>
      <c r="AM446" t="s">
        <v>765</v>
      </c>
      <c r="AN446" t="s">
        <v>766</v>
      </c>
      <c r="AO446" t="s">
        <v>8762</v>
      </c>
      <c r="AP446" t="s">
        <v>74</v>
      </c>
      <c r="AQ446" t="s">
        <v>74</v>
      </c>
      <c r="AR446" t="s">
        <v>8754</v>
      </c>
      <c r="AS446" t="s">
        <v>8763</v>
      </c>
      <c r="AT446" t="s">
        <v>445</v>
      </c>
      <c r="AU446">
        <v>2023</v>
      </c>
      <c r="AV446">
        <v>90</v>
      </c>
      <c r="AW446" t="s">
        <v>74</v>
      </c>
      <c r="AX446" t="s">
        <v>74</v>
      </c>
      <c r="AY446" t="s">
        <v>74</v>
      </c>
      <c r="AZ446" t="s">
        <v>74</v>
      </c>
      <c r="BA446" t="s">
        <v>74</v>
      </c>
      <c r="BB446" t="s">
        <v>74</v>
      </c>
      <c r="BC446" t="s">
        <v>74</v>
      </c>
      <c r="BD446">
        <v>104512</v>
      </c>
      <c r="BE446" t="s">
        <v>8764</v>
      </c>
      <c r="BF446" t="str">
        <f>HYPERLINK("http://dx.doi.org/10.1016/j.ebiom.2023.104512","http://dx.doi.org/10.1016/j.ebiom.2023.104512")</f>
        <v>http://dx.doi.org/10.1016/j.ebiom.2023.104512</v>
      </c>
      <c r="BG446" t="s">
        <v>74</v>
      </c>
      <c r="BH446" t="s">
        <v>1431</v>
      </c>
      <c r="BI446">
        <v>12</v>
      </c>
      <c r="BJ446" t="s">
        <v>8765</v>
      </c>
      <c r="BK446" t="s">
        <v>130</v>
      </c>
      <c r="BL446" t="s">
        <v>8766</v>
      </c>
      <c r="BM446" t="s">
        <v>8767</v>
      </c>
      <c r="BN446">
        <v>36924620</v>
      </c>
      <c r="BO446" t="s">
        <v>3333</v>
      </c>
      <c r="BP446" t="s">
        <v>1434</v>
      </c>
      <c r="BQ446" t="s">
        <v>1912</v>
      </c>
      <c r="BR446" t="s">
        <v>101</v>
      </c>
      <c r="BS446" t="s">
        <v>8768</v>
      </c>
      <c r="BT446" t="str">
        <f>HYPERLINK("https%3A%2F%2Fwww.webofscience.com%2Fwos%2Fwoscc%2Ffull-record%2FWOS:000951710800001","View Full Record in Web of Science")</f>
        <v>View Full Record in Web of Science</v>
      </c>
    </row>
    <row r="447" spans="1:72" x14ac:dyDescent="0.2">
      <c r="A447" t="s">
        <v>72</v>
      </c>
      <c r="B447" t="s">
        <v>8769</v>
      </c>
      <c r="C447" t="s">
        <v>74</v>
      </c>
      <c r="D447" t="s">
        <v>74</v>
      </c>
      <c r="E447" t="s">
        <v>75</v>
      </c>
      <c r="F447" t="s">
        <v>8770</v>
      </c>
      <c r="G447" t="s">
        <v>74</v>
      </c>
      <c r="H447" t="s">
        <v>74</v>
      </c>
      <c r="I447" t="s">
        <v>8771</v>
      </c>
      <c r="J447" t="s">
        <v>869</v>
      </c>
      <c r="K447" t="s">
        <v>74</v>
      </c>
      <c r="L447" t="s">
        <v>74</v>
      </c>
      <c r="M447" t="s">
        <v>79</v>
      </c>
      <c r="N447" t="s">
        <v>80</v>
      </c>
      <c r="O447" t="s">
        <v>870</v>
      </c>
      <c r="P447" t="s">
        <v>871</v>
      </c>
      <c r="Q447" t="s">
        <v>872</v>
      </c>
      <c r="R447" t="s">
        <v>873</v>
      </c>
      <c r="S447" t="s">
        <v>74</v>
      </c>
      <c r="T447" t="s">
        <v>8772</v>
      </c>
      <c r="U447" t="s">
        <v>74</v>
      </c>
      <c r="V447" t="s">
        <v>8773</v>
      </c>
      <c r="W447" t="s">
        <v>8774</v>
      </c>
      <c r="X447" t="s">
        <v>74</v>
      </c>
      <c r="Y447" t="s">
        <v>8775</v>
      </c>
      <c r="Z447" t="s">
        <v>8776</v>
      </c>
      <c r="AA447" t="s">
        <v>74</v>
      </c>
      <c r="AB447" t="s">
        <v>74</v>
      </c>
      <c r="AC447" t="s">
        <v>74</v>
      </c>
      <c r="AD447" t="s">
        <v>74</v>
      </c>
      <c r="AE447" t="s">
        <v>74</v>
      </c>
      <c r="AF447" t="s">
        <v>74</v>
      </c>
      <c r="AG447">
        <v>0</v>
      </c>
      <c r="AH447">
        <v>0</v>
      </c>
      <c r="AI447">
        <v>0</v>
      </c>
      <c r="AJ447">
        <v>0</v>
      </c>
      <c r="AK447">
        <v>0</v>
      </c>
      <c r="AL447" t="s">
        <v>92</v>
      </c>
      <c r="AM447" t="s">
        <v>93</v>
      </c>
      <c r="AN447" t="s">
        <v>94</v>
      </c>
      <c r="AO447" t="s">
        <v>74</v>
      </c>
      <c r="AP447" t="s">
        <v>74</v>
      </c>
      <c r="AQ447" t="s">
        <v>881</v>
      </c>
      <c r="AR447" t="s">
        <v>74</v>
      </c>
      <c r="AS447" t="s">
        <v>74</v>
      </c>
      <c r="AT447" t="s">
        <v>74</v>
      </c>
      <c r="AU447">
        <v>2023</v>
      </c>
      <c r="AV447" t="s">
        <v>74</v>
      </c>
      <c r="AW447" t="s">
        <v>74</v>
      </c>
      <c r="AX447" t="s">
        <v>74</v>
      </c>
      <c r="AY447" t="s">
        <v>74</v>
      </c>
      <c r="AZ447" t="s">
        <v>74</v>
      </c>
      <c r="BA447" t="s">
        <v>74</v>
      </c>
      <c r="BB447">
        <v>5244</v>
      </c>
      <c r="BC447">
        <v>5245</v>
      </c>
      <c r="BD447" t="s">
        <v>74</v>
      </c>
      <c r="BE447" t="s">
        <v>8777</v>
      </c>
      <c r="BF447" t="str">
        <f>HYPERLINK("http://dx.doi.org/10.1145/3583780.3615506","http://dx.doi.org/10.1145/3583780.3615506")</f>
        <v>http://dx.doi.org/10.1145/3583780.3615506</v>
      </c>
      <c r="BG447" t="s">
        <v>74</v>
      </c>
      <c r="BH447" t="s">
        <v>74</v>
      </c>
      <c r="BI447">
        <v>2</v>
      </c>
      <c r="BJ447" t="s">
        <v>883</v>
      </c>
      <c r="BK447" t="s">
        <v>98</v>
      </c>
      <c r="BL447" t="s">
        <v>99</v>
      </c>
      <c r="BM447" t="s">
        <v>884</v>
      </c>
      <c r="BN447" t="s">
        <v>74</v>
      </c>
      <c r="BO447" t="s">
        <v>74</v>
      </c>
      <c r="BP447" t="s">
        <v>74</v>
      </c>
      <c r="BQ447" t="s">
        <v>74</v>
      </c>
      <c r="BR447" t="s">
        <v>101</v>
      </c>
      <c r="BS447" t="s">
        <v>8778</v>
      </c>
      <c r="BT447" t="str">
        <f>HYPERLINK("https%3A%2F%2Fwww.webofscience.com%2Fwos%2Fwoscc%2Ffull-record%2FWOS:001161549505056","View Full Record in Web of Science")</f>
        <v>View Full Record in Web of Science</v>
      </c>
    </row>
    <row r="448" spans="1:72" x14ac:dyDescent="0.2">
      <c r="A448" t="s">
        <v>103</v>
      </c>
      <c r="B448" t="s">
        <v>8779</v>
      </c>
      <c r="C448" t="s">
        <v>74</v>
      </c>
      <c r="D448" t="s">
        <v>74</v>
      </c>
      <c r="E448" t="s">
        <v>74</v>
      </c>
      <c r="F448" t="s">
        <v>8780</v>
      </c>
      <c r="G448" t="s">
        <v>74</v>
      </c>
      <c r="H448" t="s">
        <v>74</v>
      </c>
      <c r="I448" t="s">
        <v>8781</v>
      </c>
      <c r="J448" t="s">
        <v>7461</v>
      </c>
      <c r="K448" t="s">
        <v>74</v>
      </c>
      <c r="L448" t="s">
        <v>74</v>
      </c>
      <c r="M448" t="s">
        <v>79</v>
      </c>
      <c r="N448" t="s">
        <v>108</v>
      </c>
      <c r="O448" t="s">
        <v>74</v>
      </c>
      <c r="P448" t="s">
        <v>74</v>
      </c>
      <c r="Q448" t="s">
        <v>74</v>
      </c>
      <c r="R448" t="s">
        <v>74</v>
      </c>
      <c r="S448" t="s">
        <v>74</v>
      </c>
      <c r="T448" t="s">
        <v>8782</v>
      </c>
      <c r="U448" t="s">
        <v>74</v>
      </c>
      <c r="V448" t="s">
        <v>8783</v>
      </c>
      <c r="W448" t="s">
        <v>8784</v>
      </c>
      <c r="X448" t="s">
        <v>8785</v>
      </c>
      <c r="Y448" t="s">
        <v>8786</v>
      </c>
      <c r="Z448" t="s">
        <v>8787</v>
      </c>
      <c r="AA448" t="s">
        <v>74</v>
      </c>
      <c r="AB448" t="s">
        <v>8788</v>
      </c>
      <c r="AC448" t="s">
        <v>74</v>
      </c>
      <c r="AD448" t="s">
        <v>74</v>
      </c>
      <c r="AE448" t="s">
        <v>74</v>
      </c>
      <c r="AF448" t="s">
        <v>74</v>
      </c>
      <c r="AG448">
        <v>55</v>
      </c>
      <c r="AH448">
        <v>1</v>
      </c>
      <c r="AI448">
        <v>1</v>
      </c>
      <c r="AJ448">
        <v>8</v>
      </c>
      <c r="AK448">
        <v>9</v>
      </c>
      <c r="AL448" t="s">
        <v>939</v>
      </c>
      <c r="AM448" t="s">
        <v>940</v>
      </c>
      <c r="AN448" t="s">
        <v>941</v>
      </c>
      <c r="AO448" t="s">
        <v>74</v>
      </c>
      <c r="AP448" t="s">
        <v>7471</v>
      </c>
      <c r="AQ448" t="s">
        <v>74</v>
      </c>
      <c r="AR448" t="s">
        <v>7472</v>
      </c>
      <c r="AS448" t="s">
        <v>7473</v>
      </c>
      <c r="AT448" t="s">
        <v>791</v>
      </c>
      <c r="AU448">
        <v>2023</v>
      </c>
      <c r="AV448">
        <v>23</v>
      </c>
      <c r="AW448">
        <v>15</v>
      </c>
      <c r="AX448" t="s">
        <v>74</v>
      </c>
      <c r="AY448" t="s">
        <v>74</v>
      </c>
      <c r="AZ448" t="s">
        <v>74</v>
      </c>
      <c r="BA448" t="s">
        <v>74</v>
      </c>
      <c r="BB448" t="s">
        <v>74</v>
      </c>
      <c r="BC448" t="s">
        <v>74</v>
      </c>
      <c r="BD448">
        <v>6858</v>
      </c>
      <c r="BE448" t="s">
        <v>8789</v>
      </c>
      <c r="BF448" t="str">
        <f>HYPERLINK("http://dx.doi.org/10.3390/s23156858","http://dx.doi.org/10.3390/s23156858")</f>
        <v>http://dx.doi.org/10.3390/s23156858</v>
      </c>
      <c r="BG448" t="s">
        <v>74</v>
      </c>
      <c r="BH448" t="s">
        <v>74</v>
      </c>
      <c r="BI448">
        <v>16</v>
      </c>
      <c r="BJ448" t="s">
        <v>7475</v>
      </c>
      <c r="BK448" t="s">
        <v>130</v>
      </c>
      <c r="BL448" t="s">
        <v>7476</v>
      </c>
      <c r="BM448" t="s">
        <v>8790</v>
      </c>
      <c r="BN448">
        <v>37571641</v>
      </c>
      <c r="BO448" t="s">
        <v>4185</v>
      </c>
      <c r="BP448" t="s">
        <v>74</v>
      </c>
      <c r="BQ448" t="s">
        <v>74</v>
      </c>
      <c r="BR448" t="s">
        <v>101</v>
      </c>
      <c r="BS448" t="s">
        <v>8791</v>
      </c>
      <c r="BT448" t="str">
        <f>HYPERLINK("https%3A%2F%2Fwww.webofscience.com%2Fwos%2Fwoscc%2Ffull-record%2FWOS:001045839300001","View Full Record in Web of Science")</f>
        <v>View Full Record in Web of Science</v>
      </c>
    </row>
    <row r="449" spans="1:72" x14ac:dyDescent="0.2">
      <c r="A449" t="s">
        <v>103</v>
      </c>
      <c r="B449" t="s">
        <v>8792</v>
      </c>
      <c r="C449" t="s">
        <v>74</v>
      </c>
      <c r="D449" t="s">
        <v>74</v>
      </c>
      <c r="E449" t="s">
        <v>74</v>
      </c>
      <c r="F449" t="s">
        <v>8793</v>
      </c>
      <c r="G449" t="s">
        <v>74</v>
      </c>
      <c r="H449" t="s">
        <v>74</v>
      </c>
      <c r="I449" t="s">
        <v>8794</v>
      </c>
      <c r="J449" t="s">
        <v>2433</v>
      </c>
      <c r="K449" t="s">
        <v>74</v>
      </c>
      <c r="L449" t="s">
        <v>74</v>
      </c>
      <c r="M449" t="s">
        <v>79</v>
      </c>
      <c r="N449" t="s">
        <v>108</v>
      </c>
      <c r="O449" t="s">
        <v>74</v>
      </c>
      <c r="P449" t="s">
        <v>74</v>
      </c>
      <c r="Q449" t="s">
        <v>74</v>
      </c>
      <c r="R449" t="s">
        <v>74</v>
      </c>
      <c r="S449" t="s">
        <v>74</v>
      </c>
      <c r="T449" t="s">
        <v>8795</v>
      </c>
      <c r="U449" t="s">
        <v>74</v>
      </c>
      <c r="V449" t="s">
        <v>8796</v>
      </c>
      <c r="W449" t="s">
        <v>8797</v>
      </c>
      <c r="X449" t="s">
        <v>8798</v>
      </c>
      <c r="Y449" t="s">
        <v>8799</v>
      </c>
      <c r="Z449" t="s">
        <v>8800</v>
      </c>
      <c r="AA449" t="s">
        <v>74</v>
      </c>
      <c r="AB449" t="s">
        <v>8801</v>
      </c>
      <c r="AC449" t="s">
        <v>8802</v>
      </c>
      <c r="AD449" t="s">
        <v>8802</v>
      </c>
      <c r="AE449" t="s">
        <v>8803</v>
      </c>
      <c r="AF449" t="s">
        <v>74</v>
      </c>
      <c r="AG449">
        <v>34</v>
      </c>
      <c r="AH449">
        <v>1</v>
      </c>
      <c r="AI449">
        <v>1</v>
      </c>
      <c r="AJ449">
        <v>9</v>
      </c>
      <c r="AK449">
        <v>9</v>
      </c>
      <c r="AL449" t="s">
        <v>939</v>
      </c>
      <c r="AM449" t="s">
        <v>940</v>
      </c>
      <c r="AN449" t="s">
        <v>941</v>
      </c>
      <c r="AO449" t="s">
        <v>74</v>
      </c>
      <c r="AP449" t="s">
        <v>2444</v>
      </c>
      <c r="AQ449" t="s">
        <v>74</v>
      </c>
      <c r="AR449" t="s">
        <v>2445</v>
      </c>
      <c r="AS449" t="s">
        <v>2446</v>
      </c>
      <c r="AT449" t="s">
        <v>5524</v>
      </c>
      <c r="AU449">
        <v>2023</v>
      </c>
      <c r="AV449">
        <v>13</v>
      </c>
      <c r="AW449">
        <v>11</v>
      </c>
      <c r="AX449" t="s">
        <v>74</v>
      </c>
      <c r="AY449" t="s">
        <v>74</v>
      </c>
      <c r="AZ449" t="s">
        <v>74</v>
      </c>
      <c r="BA449" t="s">
        <v>74</v>
      </c>
      <c r="BB449" t="s">
        <v>74</v>
      </c>
      <c r="BC449" t="s">
        <v>74</v>
      </c>
      <c r="BD449">
        <v>6487</v>
      </c>
      <c r="BE449" t="s">
        <v>8804</v>
      </c>
      <c r="BF449" t="str">
        <f>HYPERLINK("http://dx.doi.org/10.3390/app13116487","http://dx.doi.org/10.3390/app13116487")</f>
        <v>http://dx.doi.org/10.3390/app13116487</v>
      </c>
      <c r="BG449" t="s">
        <v>74</v>
      </c>
      <c r="BH449" t="s">
        <v>74</v>
      </c>
      <c r="BI449">
        <v>13</v>
      </c>
      <c r="BJ449" t="s">
        <v>2448</v>
      </c>
      <c r="BK449" t="s">
        <v>130</v>
      </c>
      <c r="BL449" t="s">
        <v>2449</v>
      </c>
      <c r="BM449" t="s">
        <v>8805</v>
      </c>
      <c r="BN449" t="s">
        <v>74</v>
      </c>
      <c r="BO449" t="s">
        <v>4185</v>
      </c>
      <c r="BP449" t="s">
        <v>74</v>
      </c>
      <c r="BQ449" t="s">
        <v>74</v>
      </c>
      <c r="BR449" t="s">
        <v>101</v>
      </c>
      <c r="BS449" t="s">
        <v>8806</v>
      </c>
      <c r="BT449" t="str">
        <f>HYPERLINK("https%3A%2F%2Fwww.webofscience.com%2Fwos%2Fwoscc%2Ffull-record%2FWOS:001006656300001","View Full Record in Web of Science")</f>
        <v>View Full Record in Web of Science</v>
      </c>
    </row>
    <row r="450" spans="1:72" x14ac:dyDescent="0.2">
      <c r="A450" t="s">
        <v>103</v>
      </c>
      <c r="B450" t="s">
        <v>8807</v>
      </c>
      <c r="C450" t="s">
        <v>74</v>
      </c>
      <c r="D450" t="s">
        <v>74</v>
      </c>
      <c r="E450" t="s">
        <v>74</v>
      </c>
      <c r="F450" t="s">
        <v>8808</v>
      </c>
      <c r="G450" t="s">
        <v>74</v>
      </c>
      <c r="H450" t="s">
        <v>74</v>
      </c>
      <c r="I450" t="s">
        <v>8809</v>
      </c>
      <c r="J450" t="s">
        <v>8810</v>
      </c>
      <c r="K450" t="s">
        <v>74</v>
      </c>
      <c r="L450" t="s">
        <v>74</v>
      </c>
      <c r="M450" t="s">
        <v>79</v>
      </c>
      <c r="N450" t="s">
        <v>108</v>
      </c>
      <c r="O450" t="s">
        <v>74</v>
      </c>
      <c r="P450" t="s">
        <v>74</v>
      </c>
      <c r="Q450" t="s">
        <v>74</v>
      </c>
      <c r="R450" t="s">
        <v>74</v>
      </c>
      <c r="S450" t="s">
        <v>74</v>
      </c>
      <c r="T450" t="s">
        <v>8811</v>
      </c>
      <c r="U450" t="s">
        <v>74</v>
      </c>
      <c r="V450" t="s">
        <v>8812</v>
      </c>
      <c r="W450" t="s">
        <v>8813</v>
      </c>
      <c r="X450" t="s">
        <v>8814</v>
      </c>
      <c r="Y450" t="s">
        <v>8815</v>
      </c>
      <c r="Z450" t="s">
        <v>8816</v>
      </c>
      <c r="AA450" t="s">
        <v>8817</v>
      </c>
      <c r="AB450" t="s">
        <v>8818</v>
      </c>
      <c r="AC450" t="s">
        <v>8819</v>
      </c>
      <c r="AD450" t="s">
        <v>8819</v>
      </c>
      <c r="AE450" t="s">
        <v>8819</v>
      </c>
      <c r="AF450" t="s">
        <v>74</v>
      </c>
      <c r="AG450">
        <v>10</v>
      </c>
      <c r="AH450">
        <v>1</v>
      </c>
      <c r="AI450">
        <v>1</v>
      </c>
      <c r="AJ450">
        <v>14</v>
      </c>
      <c r="AK450">
        <v>14</v>
      </c>
      <c r="AL450" t="s">
        <v>4235</v>
      </c>
      <c r="AM450" t="s">
        <v>369</v>
      </c>
      <c r="AN450" t="s">
        <v>4236</v>
      </c>
      <c r="AO450" t="s">
        <v>8820</v>
      </c>
      <c r="AP450" t="s">
        <v>8821</v>
      </c>
      <c r="AQ450" t="s">
        <v>74</v>
      </c>
      <c r="AR450" t="s">
        <v>8810</v>
      </c>
      <c r="AS450" t="s">
        <v>8822</v>
      </c>
      <c r="AT450" t="s">
        <v>8823</v>
      </c>
      <c r="AU450">
        <v>2024</v>
      </c>
      <c r="AV450">
        <v>11</v>
      </c>
      <c r="AW450">
        <v>1</v>
      </c>
      <c r="AX450" t="s">
        <v>74</v>
      </c>
      <c r="AY450" t="s">
        <v>74</v>
      </c>
      <c r="AZ450" t="s">
        <v>74</v>
      </c>
      <c r="BA450" t="s">
        <v>74</v>
      </c>
      <c r="BB450">
        <v>102</v>
      </c>
      <c r="BC450">
        <v>105</v>
      </c>
      <c r="BD450" t="s">
        <v>74</v>
      </c>
      <c r="BE450" t="s">
        <v>8824</v>
      </c>
      <c r="BF450" t="str">
        <f>HYPERLINK("http://dx.doi.org/10.1515/dx-2023-0116","http://dx.doi.org/10.1515/dx-2023-0116")</f>
        <v>http://dx.doi.org/10.1515/dx-2023-0116</v>
      </c>
      <c r="BG450" t="s">
        <v>74</v>
      </c>
      <c r="BH450" t="s">
        <v>1886</v>
      </c>
      <c r="BI450">
        <v>4</v>
      </c>
      <c r="BJ450" t="s">
        <v>3440</v>
      </c>
      <c r="BK450" t="s">
        <v>352</v>
      </c>
      <c r="BL450" t="s">
        <v>3441</v>
      </c>
      <c r="BM450" t="s">
        <v>8825</v>
      </c>
      <c r="BN450">
        <v>37779351</v>
      </c>
      <c r="BO450" t="s">
        <v>74</v>
      </c>
      <c r="BP450" t="s">
        <v>74</v>
      </c>
      <c r="BQ450" t="s">
        <v>74</v>
      </c>
      <c r="BR450" t="s">
        <v>101</v>
      </c>
      <c r="BS450" t="s">
        <v>8826</v>
      </c>
      <c r="BT450" t="str">
        <f>HYPERLINK("https%3A%2F%2Fwww.webofscience.com%2Fwos%2Fwoscc%2Ffull-record%2FWOS:001077103200001","View Full Record in Web of Science")</f>
        <v>View Full Record in Web of Science</v>
      </c>
    </row>
    <row r="451" spans="1:72" x14ac:dyDescent="0.2">
      <c r="A451" t="s">
        <v>72</v>
      </c>
      <c r="B451" t="s">
        <v>8827</v>
      </c>
      <c r="C451" t="s">
        <v>74</v>
      </c>
      <c r="D451" t="s">
        <v>8828</v>
      </c>
      <c r="E451" t="s">
        <v>74</v>
      </c>
      <c r="F451" t="s">
        <v>8829</v>
      </c>
      <c r="G451" t="s">
        <v>74</v>
      </c>
      <c r="H451" t="s">
        <v>74</v>
      </c>
      <c r="I451" t="s">
        <v>8830</v>
      </c>
      <c r="J451" t="s">
        <v>8831</v>
      </c>
      <c r="K451" t="s">
        <v>1034</v>
      </c>
      <c r="L451" t="s">
        <v>74</v>
      </c>
      <c r="M451" t="s">
        <v>79</v>
      </c>
      <c r="N451" t="s">
        <v>80</v>
      </c>
      <c r="O451" t="s">
        <v>8832</v>
      </c>
      <c r="P451" t="s">
        <v>8833</v>
      </c>
      <c r="Q451" t="s">
        <v>8834</v>
      </c>
      <c r="R451" t="s">
        <v>8835</v>
      </c>
      <c r="S451" t="s">
        <v>8836</v>
      </c>
      <c r="T451" t="s">
        <v>8837</v>
      </c>
      <c r="U451" t="s">
        <v>8838</v>
      </c>
      <c r="V451" t="s">
        <v>8839</v>
      </c>
      <c r="W451" t="s">
        <v>8840</v>
      </c>
      <c r="X451" t="s">
        <v>8841</v>
      </c>
      <c r="Y451" t="s">
        <v>8842</v>
      </c>
      <c r="Z451" t="s">
        <v>8843</v>
      </c>
      <c r="AA451" t="s">
        <v>74</v>
      </c>
      <c r="AB451" t="s">
        <v>74</v>
      </c>
      <c r="AC451" t="s">
        <v>8844</v>
      </c>
      <c r="AD451" t="s">
        <v>8845</v>
      </c>
      <c r="AE451" t="s">
        <v>8846</v>
      </c>
      <c r="AF451" t="s">
        <v>74</v>
      </c>
      <c r="AG451">
        <v>29</v>
      </c>
      <c r="AH451">
        <v>0</v>
      </c>
      <c r="AI451">
        <v>0</v>
      </c>
      <c r="AJ451">
        <v>0</v>
      </c>
      <c r="AK451">
        <v>0</v>
      </c>
      <c r="AL451" t="s">
        <v>325</v>
      </c>
      <c r="AM451" t="s">
        <v>245</v>
      </c>
      <c r="AN451" t="s">
        <v>246</v>
      </c>
      <c r="AO451" t="s">
        <v>1042</v>
      </c>
      <c r="AP451" t="s">
        <v>327</v>
      </c>
      <c r="AQ451" t="s">
        <v>8847</v>
      </c>
      <c r="AR451" t="s">
        <v>1044</v>
      </c>
      <c r="AS451" t="s">
        <v>74</v>
      </c>
      <c r="AT451" t="s">
        <v>74</v>
      </c>
      <c r="AU451">
        <v>2023</v>
      </c>
      <c r="AV451">
        <v>14281</v>
      </c>
      <c r="AW451" t="s">
        <v>74</v>
      </c>
      <c r="AX451" t="s">
        <v>74</v>
      </c>
      <c r="AY451" t="s">
        <v>74</v>
      </c>
      <c r="AZ451" t="s">
        <v>74</v>
      </c>
      <c r="BA451" t="s">
        <v>74</v>
      </c>
      <c r="BB451">
        <v>3</v>
      </c>
      <c r="BC451">
        <v>10</v>
      </c>
      <c r="BD451" t="s">
        <v>74</v>
      </c>
      <c r="BE451" t="s">
        <v>8848</v>
      </c>
      <c r="BF451" t="str">
        <f>HYPERLINK("http://dx.doi.org/10.1007/978-3-031-43619-2_1","http://dx.doi.org/10.1007/978-3-031-43619-2_1")</f>
        <v>http://dx.doi.org/10.1007/978-3-031-43619-2_1</v>
      </c>
      <c r="BG451" t="s">
        <v>74</v>
      </c>
      <c r="BH451" t="s">
        <v>74</v>
      </c>
      <c r="BI451">
        <v>8</v>
      </c>
      <c r="BJ451" t="s">
        <v>8849</v>
      </c>
      <c r="BK451" t="s">
        <v>98</v>
      </c>
      <c r="BL451" t="s">
        <v>1320</v>
      </c>
      <c r="BM451" t="s">
        <v>8850</v>
      </c>
      <c r="BN451" t="s">
        <v>74</v>
      </c>
      <c r="BO451" t="s">
        <v>74</v>
      </c>
      <c r="BP451" t="s">
        <v>74</v>
      </c>
      <c r="BQ451" t="s">
        <v>74</v>
      </c>
      <c r="BR451" t="s">
        <v>101</v>
      </c>
      <c r="BS451" t="s">
        <v>8851</v>
      </c>
      <c r="BT451" t="str">
        <f>HYPERLINK("https%3A%2F%2Fwww.webofscience.com%2Fwos%2Fwoscc%2Ffull-record%2FWOS:001157340700001","View Full Record in Web of Science")</f>
        <v>View Full Record in Web of Science</v>
      </c>
    </row>
    <row r="452" spans="1:72" x14ac:dyDescent="0.2">
      <c r="A452" t="s">
        <v>103</v>
      </c>
      <c r="B452" t="s">
        <v>8852</v>
      </c>
      <c r="C452" t="s">
        <v>74</v>
      </c>
      <c r="D452" t="s">
        <v>74</v>
      </c>
      <c r="E452" t="s">
        <v>74</v>
      </c>
      <c r="F452" t="s">
        <v>8853</v>
      </c>
      <c r="G452" t="s">
        <v>74</v>
      </c>
      <c r="H452" t="s">
        <v>74</v>
      </c>
      <c r="I452" t="s">
        <v>8854</v>
      </c>
      <c r="J452" t="s">
        <v>4059</v>
      </c>
      <c r="K452" t="s">
        <v>74</v>
      </c>
      <c r="L452" t="s">
        <v>74</v>
      </c>
      <c r="M452" t="s">
        <v>79</v>
      </c>
      <c r="N452" t="s">
        <v>138</v>
      </c>
      <c r="O452" t="s">
        <v>74</v>
      </c>
      <c r="P452" t="s">
        <v>74</v>
      </c>
      <c r="Q452" t="s">
        <v>74</v>
      </c>
      <c r="R452" t="s">
        <v>74</v>
      </c>
      <c r="S452" t="s">
        <v>74</v>
      </c>
      <c r="T452" t="s">
        <v>8855</v>
      </c>
      <c r="U452" t="s">
        <v>74</v>
      </c>
      <c r="V452" t="s">
        <v>8856</v>
      </c>
      <c r="W452" t="s">
        <v>8857</v>
      </c>
      <c r="X452" t="s">
        <v>74</v>
      </c>
      <c r="Y452" t="s">
        <v>8858</v>
      </c>
      <c r="Z452" t="s">
        <v>8859</v>
      </c>
      <c r="AA452" t="s">
        <v>74</v>
      </c>
      <c r="AB452" t="s">
        <v>8860</v>
      </c>
      <c r="AC452" t="s">
        <v>8861</v>
      </c>
      <c r="AD452" t="s">
        <v>8861</v>
      </c>
      <c r="AE452" t="s">
        <v>8862</v>
      </c>
      <c r="AF452" t="s">
        <v>74</v>
      </c>
      <c r="AG452">
        <v>37</v>
      </c>
      <c r="AH452">
        <v>0</v>
      </c>
      <c r="AI452">
        <v>0</v>
      </c>
      <c r="AJ452">
        <v>11</v>
      </c>
      <c r="AK452">
        <v>11</v>
      </c>
      <c r="AL452" t="s">
        <v>148</v>
      </c>
      <c r="AM452" t="s">
        <v>149</v>
      </c>
      <c r="AN452" t="s">
        <v>150</v>
      </c>
      <c r="AO452" t="s">
        <v>4068</v>
      </c>
      <c r="AP452" t="s">
        <v>4069</v>
      </c>
      <c r="AQ452" t="s">
        <v>74</v>
      </c>
      <c r="AR452" t="s">
        <v>4070</v>
      </c>
      <c r="AS452" t="s">
        <v>4071</v>
      </c>
      <c r="AT452" t="s">
        <v>8863</v>
      </c>
      <c r="AU452">
        <v>2023</v>
      </c>
      <c r="AV452" t="s">
        <v>74</v>
      </c>
      <c r="AW452" t="s">
        <v>74</v>
      </c>
      <c r="AX452" t="s">
        <v>74</v>
      </c>
      <c r="AY452" t="s">
        <v>74</v>
      </c>
      <c r="AZ452" t="s">
        <v>74</v>
      </c>
      <c r="BA452" t="s">
        <v>74</v>
      </c>
      <c r="BB452" t="s">
        <v>74</v>
      </c>
      <c r="BC452" t="s">
        <v>74</v>
      </c>
      <c r="BD452" t="s">
        <v>74</v>
      </c>
      <c r="BE452" t="s">
        <v>8864</v>
      </c>
      <c r="BF452" t="str">
        <f>HYPERLINK("http://dx.doi.org/10.1177/14780771231209458","http://dx.doi.org/10.1177/14780771231209458")</f>
        <v>http://dx.doi.org/10.1177/14780771231209458</v>
      </c>
      <c r="BG452" t="s">
        <v>74</v>
      </c>
      <c r="BH452" t="s">
        <v>1886</v>
      </c>
      <c r="BI452">
        <v>20</v>
      </c>
      <c r="BJ452" t="s">
        <v>4073</v>
      </c>
      <c r="BK452" t="s">
        <v>352</v>
      </c>
      <c r="BL452" t="s">
        <v>4073</v>
      </c>
      <c r="BM452" t="s">
        <v>8865</v>
      </c>
      <c r="BN452" t="s">
        <v>74</v>
      </c>
      <c r="BO452" t="s">
        <v>74</v>
      </c>
      <c r="BP452" t="s">
        <v>74</v>
      </c>
      <c r="BQ452" t="s">
        <v>74</v>
      </c>
      <c r="BR452" t="s">
        <v>101</v>
      </c>
      <c r="BS452" t="s">
        <v>8866</v>
      </c>
      <c r="BT452" t="str">
        <f>HYPERLINK("https%3A%2F%2Fwww.webofscience.com%2Fwos%2Fwoscc%2Ffull-record%2FWOS:001090258700001","View Full Record in Web of Science")</f>
        <v>View Full Record in Web of Science</v>
      </c>
    </row>
    <row r="453" spans="1:72" x14ac:dyDescent="0.2">
      <c r="A453" t="s">
        <v>103</v>
      </c>
      <c r="B453" t="s">
        <v>8867</v>
      </c>
      <c r="C453" t="s">
        <v>74</v>
      </c>
      <c r="D453" t="s">
        <v>74</v>
      </c>
      <c r="E453" t="s">
        <v>74</v>
      </c>
      <c r="F453" t="s">
        <v>8868</v>
      </c>
      <c r="G453" t="s">
        <v>74</v>
      </c>
      <c r="H453" t="s">
        <v>74</v>
      </c>
      <c r="I453" t="s">
        <v>8869</v>
      </c>
      <c r="J453" t="s">
        <v>8870</v>
      </c>
      <c r="K453" t="s">
        <v>74</v>
      </c>
      <c r="L453" t="s">
        <v>74</v>
      </c>
      <c r="M453" t="s">
        <v>79</v>
      </c>
      <c r="N453" t="s">
        <v>108</v>
      </c>
      <c r="O453" t="s">
        <v>74</v>
      </c>
      <c r="P453" t="s">
        <v>74</v>
      </c>
      <c r="Q453" t="s">
        <v>74</v>
      </c>
      <c r="R453" t="s">
        <v>74</v>
      </c>
      <c r="S453" t="s">
        <v>74</v>
      </c>
      <c r="T453" t="s">
        <v>74</v>
      </c>
      <c r="U453" t="s">
        <v>74</v>
      </c>
      <c r="V453" t="s">
        <v>8871</v>
      </c>
      <c r="W453" t="s">
        <v>8872</v>
      </c>
      <c r="X453" t="s">
        <v>8873</v>
      </c>
      <c r="Y453" t="s">
        <v>8874</v>
      </c>
      <c r="Z453" t="s">
        <v>8875</v>
      </c>
      <c r="AA453" t="s">
        <v>8876</v>
      </c>
      <c r="AB453" t="s">
        <v>8877</v>
      </c>
      <c r="AC453" t="s">
        <v>8878</v>
      </c>
      <c r="AD453" t="s">
        <v>8879</v>
      </c>
      <c r="AE453" t="s">
        <v>8880</v>
      </c>
      <c r="AF453" t="s">
        <v>74</v>
      </c>
      <c r="AG453">
        <v>16</v>
      </c>
      <c r="AH453">
        <v>1</v>
      </c>
      <c r="AI453">
        <v>1</v>
      </c>
      <c r="AJ453">
        <v>7</v>
      </c>
      <c r="AK453">
        <v>10</v>
      </c>
      <c r="AL453" t="s">
        <v>8881</v>
      </c>
      <c r="AM453" t="s">
        <v>1153</v>
      </c>
      <c r="AN453" t="s">
        <v>8882</v>
      </c>
      <c r="AO453" t="s">
        <v>8883</v>
      </c>
      <c r="AP453" t="s">
        <v>8884</v>
      </c>
      <c r="AQ453" t="s">
        <v>74</v>
      </c>
      <c r="AR453" t="s">
        <v>8870</v>
      </c>
      <c r="AS453" t="s">
        <v>8885</v>
      </c>
      <c r="AT453" t="s">
        <v>2407</v>
      </c>
      <c r="AU453">
        <v>2023</v>
      </c>
      <c r="AV453">
        <v>56</v>
      </c>
      <c r="AW453">
        <v>1</v>
      </c>
      <c r="AX453" t="s">
        <v>74</v>
      </c>
      <c r="AY453" t="s">
        <v>74</v>
      </c>
      <c r="AZ453" t="s">
        <v>74</v>
      </c>
      <c r="BA453" t="s">
        <v>74</v>
      </c>
      <c r="BB453">
        <v>76</v>
      </c>
      <c r="BC453" t="s">
        <v>8886</v>
      </c>
      <c r="BD453" t="s">
        <v>74</v>
      </c>
      <c r="BE453" t="s">
        <v>8887</v>
      </c>
      <c r="BF453" t="str">
        <f>HYPERLINK("http://dx.doi.org/10.1162/leon_a_02291","http://dx.doi.org/10.1162/leon_a_02291")</f>
        <v>http://dx.doi.org/10.1162/leon_a_02291</v>
      </c>
      <c r="BG453" t="s">
        <v>74</v>
      </c>
      <c r="BH453" t="s">
        <v>74</v>
      </c>
      <c r="BI453">
        <v>6</v>
      </c>
      <c r="BJ453" t="s">
        <v>2648</v>
      </c>
      <c r="BK453" t="s">
        <v>2649</v>
      </c>
      <c r="BL453" t="s">
        <v>2648</v>
      </c>
      <c r="BM453" t="s">
        <v>8888</v>
      </c>
      <c r="BN453" t="s">
        <v>74</v>
      </c>
      <c r="BO453" t="s">
        <v>1214</v>
      </c>
      <c r="BP453" t="s">
        <v>74</v>
      </c>
      <c r="BQ453" t="s">
        <v>74</v>
      </c>
      <c r="BR453" t="s">
        <v>101</v>
      </c>
      <c r="BS453" t="s">
        <v>8889</v>
      </c>
      <c r="BT453" t="str">
        <f>HYPERLINK("https%3A%2F%2Fwww.webofscience.com%2Fwos%2Fwoscc%2Ffull-record%2FWOS:000999675200014","View Full Record in Web of Science")</f>
        <v>View Full Record in Web of Science</v>
      </c>
    </row>
    <row r="454" spans="1:72" x14ac:dyDescent="0.2">
      <c r="A454" t="s">
        <v>103</v>
      </c>
      <c r="B454" t="s">
        <v>8890</v>
      </c>
      <c r="C454" t="s">
        <v>74</v>
      </c>
      <c r="D454" t="s">
        <v>74</v>
      </c>
      <c r="E454" t="s">
        <v>74</v>
      </c>
      <c r="F454" t="s">
        <v>8891</v>
      </c>
      <c r="G454" t="s">
        <v>74</v>
      </c>
      <c r="H454" t="s">
        <v>74</v>
      </c>
      <c r="I454" t="s">
        <v>8892</v>
      </c>
      <c r="J454" t="s">
        <v>1698</v>
      </c>
      <c r="K454" t="s">
        <v>74</v>
      </c>
      <c r="L454" t="s">
        <v>74</v>
      </c>
      <c r="M454" t="s">
        <v>79</v>
      </c>
      <c r="N454" t="s">
        <v>108</v>
      </c>
      <c r="O454" t="s">
        <v>74</v>
      </c>
      <c r="P454" t="s">
        <v>74</v>
      </c>
      <c r="Q454" t="s">
        <v>74</v>
      </c>
      <c r="R454" t="s">
        <v>74</v>
      </c>
      <c r="S454" t="s">
        <v>74</v>
      </c>
      <c r="T454" t="s">
        <v>8893</v>
      </c>
      <c r="U454" t="s">
        <v>74</v>
      </c>
      <c r="V454" t="s">
        <v>8894</v>
      </c>
      <c r="W454" t="s">
        <v>8895</v>
      </c>
      <c r="X454" t="s">
        <v>8896</v>
      </c>
      <c r="Y454" t="s">
        <v>8897</v>
      </c>
      <c r="Z454" t="s">
        <v>8898</v>
      </c>
      <c r="AA454" t="s">
        <v>74</v>
      </c>
      <c r="AB454" t="s">
        <v>8899</v>
      </c>
      <c r="AC454" t="s">
        <v>8900</v>
      </c>
      <c r="AD454" t="s">
        <v>8900</v>
      </c>
      <c r="AE454" t="s">
        <v>8900</v>
      </c>
      <c r="AF454" t="s">
        <v>74</v>
      </c>
      <c r="AG454">
        <v>41</v>
      </c>
      <c r="AH454">
        <v>1</v>
      </c>
      <c r="AI454">
        <v>1</v>
      </c>
      <c r="AJ454">
        <v>182</v>
      </c>
      <c r="AK454">
        <v>182</v>
      </c>
      <c r="AL454" t="s">
        <v>343</v>
      </c>
      <c r="AM454" t="s">
        <v>93</v>
      </c>
      <c r="AN454" t="s">
        <v>344</v>
      </c>
      <c r="AO454" t="s">
        <v>1705</v>
      </c>
      <c r="AP454" t="s">
        <v>74</v>
      </c>
      <c r="AQ454" t="s">
        <v>74</v>
      </c>
      <c r="AR454" t="s">
        <v>1706</v>
      </c>
      <c r="AS454" t="s">
        <v>1707</v>
      </c>
      <c r="AT454" t="s">
        <v>8901</v>
      </c>
      <c r="AU454">
        <v>2023</v>
      </c>
      <c r="AV454">
        <v>20</v>
      </c>
      <c r="AW454">
        <v>1</v>
      </c>
      <c r="AX454" t="s">
        <v>74</v>
      </c>
      <c r="AY454" t="s">
        <v>74</v>
      </c>
      <c r="AZ454" t="s">
        <v>74</v>
      </c>
      <c r="BA454" t="s">
        <v>74</v>
      </c>
      <c r="BB454" t="s">
        <v>74</v>
      </c>
      <c r="BC454" t="s">
        <v>74</v>
      </c>
      <c r="BD454">
        <v>57</v>
      </c>
      <c r="BE454" t="s">
        <v>8902</v>
      </c>
      <c r="BF454" t="str">
        <f>HYPERLINK("http://dx.doi.org/10.1186/s41239-023-00425-2","http://dx.doi.org/10.1186/s41239-023-00425-2")</f>
        <v>http://dx.doi.org/10.1186/s41239-023-00425-2</v>
      </c>
      <c r="BG454" t="s">
        <v>74</v>
      </c>
      <c r="BH454" t="s">
        <v>74</v>
      </c>
      <c r="BI454">
        <v>20</v>
      </c>
      <c r="BJ454" t="s">
        <v>423</v>
      </c>
      <c r="BK454" t="s">
        <v>159</v>
      </c>
      <c r="BL454" t="s">
        <v>423</v>
      </c>
      <c r="BM454" t="s">
        <v>8903</v>
      </c>
      <c r="BN454" t="s">
        <v>74</v>
      </c>
      <c r="BO454" t="s">
        <v>425</v>
      </c>
      <c r="BP454" t="s">
        <v>74</v>
      </c>
      <c r="BQ454" t="s">
        <v>74</v>
      </c>
      <c r="BR454" t="s">
        <v>101</v>
      </c>
      <c r="BS454" t="s">
        <v>8904</v>
      </c>
      <c r="BT454" t="str">
        <f>HYPERLINK("https%3A%2F%2Fwww.webofscience.com%2Fwos%2Fwoscc%2Ffull-record%2FWOS:001087884500001","View Full Record in Web of Science")</f>
        <v>View Full Record in Web of Science</v>
      </c>
    </row>
    <row r="455" spans="1:72" x14ac:dyDescent="0.2">
      <c r="A455" t="s">
        <v>103</v>
      </c>
      <c r="B455" t="s">
        <v>8905</v>
      </c>
      <c r="C455" t="s">
        <v>74</v>
      </c>
      <c r="D455" t="s">
        <v>74</v>
      </c>
      <c r="E455" t="s">
        <v>74</v>
      </c>
      <c r="F455" t="s">
        <v>8906</v>
      </c>
      <c r="G455" t="s">
        <v>74</v>
      </c>
      <c r="H455" t="s">
        <v>74</v>
      </c>
      <c r="I455" t="s">
        <v>8907</v>
      </c>
      <c r="J455" t="s">
        <v>8908</v>
      </c>
      <c r="K455" t="s">
        <v>74</v>
      </c>
      <c r="L455" t="s">
        <v>74</v>
      </c>
      <c r="M455" t="s">
        <v>79</v>
      </c>
      <c r="N455" t="s">
        <v>108</v>
      </c>
      <c r="O455" t="s">
        <v>74</v>
      </c>
      <c r="P455" t="s">
        <v>74</v>
      </c>
      <c r="Q455" t="s">
        <v>74</v>
      </c>
      <c r="R455" t="s">
        <v>74</v>
      </c>
      <c r="S455" t="s">
        <v>74</v>
      </c>
      <c r="T455" t="s">
        <v>8909</v>
      </c>
      <c r="U455" t="s">
        <v>74</v>
      </c>
      <c r="V455" t="s">
        <v>8910</v>
      </c>
      <c r="W455" t="s">
        <v>8911</v>
      </c>
      <c r="X455" t="s">
        <v>8912</v>
      </c>
      <c r="Y455" t="s">
        <v>8913</v>
      </c>
      <c r="Z455" t="s">
        <v>8914</v>
      </c>
      <c r="AA455" t="s">
        <v>74</v>
      </c>
      <c r="AB455" t="s">
        <v>74</v>
      </c>
      <c r="AC455" t="s">
        <v>8915</v>
      </c>
      <c r="AD455" t="s">
        <v>8916</v>
      </c>
      <c r="AE455" t="s">
        <v>8917</v>
      </c>
      <c r="AF455" t="s">
        <v>74</v>
      </c>
      <c r="AG455">
        <v>20</v>
      </c>
      <c r="AH455">
        <v>1</v>
      </c>
      <c r="AI455">
        <v>1</v>
      </c>
      <c r="AJ455">
        <v>4</v>
      </c>
      <c r="AK455">
        <v>4</v>
      </c>
      <c r="AL455" t="s">
        <v>939</v>
      </c>
      <c r="AM455" t="s">
        <v>940</v>
      </c>
      <c r="AN455" t="s">
        <v>941</v>
      </c>
      <c r="AO455" t="s">
        <v>74</v>
      </c>
      <c r="AP455" t="s">
        <v>8918</v>
      </c>
      <c r="AQ455" t="s">
        <v>74</v>
      </c>
      <c r="AR455" t="s">
        <v>8919</v>
      </c>
      <c r="AS455" t="s">
        <v>8920</v>
      </c>
      <c r="AT455" t="s">
        <v>771</v>
      </c>
      <c r="AU455">
        <v>2023</v>
      </c>
      <c r="AV455">
        <v>12</v>
      </c>
      <c r="AW455">
        <v>18</v>
      </c>
      <c r="AX455" t="s">
        <v>74</v>
      </c>
      <c r="AY455" t="s">
        <v>74</v>
      </c>
      <c r="AZ455" t="s">
        <v>74</v>
      </c>
      <c r="BA455" t="s">
        <v>74</v>
      </c>
      <c r="BB455" t="s">
        <v>74</v>
      </c>
      <c r="BC455" t="s">
        <v>74</v>
      </c>
      <c r="BD455">
        <v>3771</v>
      </c>
      <c r="BE455" t="s">
        <v>8921</v>
      </c>
      <c r="BF455" t="str">
        <f>HYPERLINK("http://dx.doi.org/10.3390/electronics12183771","http://dx.doi.org/10.3390/electronics12183771")</f>
        <v>http://dx.doi.org/10.3390/electronics12183771</v>
      </c>
      <c r="BG455" t="s">
        <v>74</v>
      </c>
      <c r="BH455" t="s">
        <v>74</v>
      </c>
      <c r="BI455">
        <v>14</v>
      </c>
      <c r="BJ455" t="s">
        <v>8922</v>
      </c>
      <c r="BK455" t="s">
        <v>130</v>
      </c>
      <c r="BL455" t="s">
        <v>8923</v>
      </c>
      <c r="BM455" t="s">
        <v>8924</v>
      </c>
      <c r="BN455" t="s">
        <v>74</v>
      </c>
      <c r="BO455" t="s">
        <v>425</v>
      </c>
      <c r="BP455" t="s">
        <v>74</v>
      </c>
      <c r="BQ455" t="s">
        <v>74</v>
      </c>
      <c r="BR455" t="s">
        <v>101</v>
      </c>
      <c r="BS455" t="s">
        <v>8925</v>
      </c>
      <c r="BT455" t="str">
        <f>HYPERLINK("https%3A%2F%2Fwww.webofscience.com%2Fwos%2Fwoscc%2Ffull-record%2FWOS:001074080800001","View Full Record in Web of Science")</f>
        <v>View Full Record in Web of Science</v>
      </c>
    </row>
    <row r="456" spans="1:72" x14ac:dyDescent="0.2">
      <c r="A456" t="s">
        <v>103</v>
      </c>
      <c r="B456" t="s">
        <v>8926</v>
      </c>
      <c r="C456" t="s">
        <v>74</v>
      </c>
      <c r="D456" t="s">
        <v>74</v>
      </c>
      <c r="E456" t="s">
        <v>74</v>
      </c>
      <c r="F456" t="s">
        <v>8927</v>
      </c>
      <c r="G456" t="s">
        <v>74</v>
      </c>
      <c r="H456" t="s">
        <v>74</v>
      </c>
      <c r="I456" t="s">
        <v>8928</v>
      </c>
      <c r="J456" t="s">
        <v>2392</v>
      </c>
      <c r="K456" t="s">
        <v>74</v>
      </c>
      <c r="L456" t="s">
        <v>74</v>
      </c>
      <c r="M456" t="s">
        <v>79</v>
      </c>
      <c r="N456" t="s">
        <v>108</v>
      </c>
      <c r="O456" t="s">
        <v>74</v>
      </c>
      <c r="P456" t="s">
        <v>74</v>
      </c>
      <c r="Q456" t="s">
        <v>74</v>
      </c>
      <c r="R456" t="s">
        <v>74</v>
      </c>
      <c r="S456" t="s">
        <v>74</v>
      </c>
      <c r="T456" t="s">
        <v>8929</v>
      </c>
      <c r="U456" t="s">
        <v>74</v>
      </c>
      <c r="V456" t="s">
        <v>8930</v>
      </c>
      <c r="W456" t="s">
        <v>8931</v>
      </c>
      <c r="X456" t="s">
        <v>8932</v>
      </c>
      <c r="Y456" t="s">
        <v>8933</v>
      </c>
      <c r="Z456" t="s">
        <v>8934</v>
      </c>
      <c r="AA456" t="s">
        <v>8935</v>
      </c>
      <c r="AB456" t="s">
        <v>8936</v>
      </c>
      <c r="AC456" t="s">
        <v>8937</v>
      </c>
      <c r="AD456" t="s">
        <v>8938</v>
      </c>
      <c r="AE456" t="s">
        <v>8939</v>
      </c>
      <c r="AF456" t="s">
        <v>74</v>
      </c>
      <c r="AG456">
        <v>40</v>
      </c>
      <c r="AH456">
        <v>12</v>
      </c>
      <c r="AI456">
        <v>12</v>
      </c>
      <c r="AJ456">
        <v>32</v>
      </c>
      <c r="AK456">
        <v>59</v>
      </c>
      <c r="AL456" t="s">
        <v>1379</v>
      </c>
      <c r="AM456" t="s">
        <v>1380</v>
      </c>
      <c r="AN456" t="s">
        <v>1381</v>
      </c>
      <c r="AO456" t="s">
        <v>2404</v>
      </c>
      <c r="AP456" t="s">
        <v>74</v>
      </c>
      <c r="AQ456" t="s">
        <v>74</v>
      </c>
      <c r="AR456" t="s">
        <v>2405</v>
      </c>
      <c r="AS456" t="s">
        <v>2406</v>
      </c>
      <c r="AT456" t="s">
        <v>6625</v>
      </c>
      <c r="AU456">
        <v>2023</v>
      </c>
      <c r="AV456">
        <v>10</v>
      </c>
      <c r="AW456">
        <v>5</v>
      </c>
      <c r="AX456" t="s">
        <v>74</v>
      </c>
      <c r="AY456" t="s">
        <v>74</v>
      </c>
      <c r="AZ456" t="s">
        <v>74</v>
      </c>
      <c r="BA456" t="s">
        <v>74</v>
      </c>
      <c r="BB456">
        <v>3749</v>
      </c>
      <c r="BC456">
        <v>3762</v>
      </c>
      <c r="BD456" t="s">
        <v>74</v>
      </c>
      <c r="BE456" t="s">
        <v>8940</v>
      </c>
      <c r="BF456" t="str">
        <f>HYPERLINK("http://dx.doi.org/10.1109/JIOT.2022.3172114","http://dx.doi.org/10.1109/JIOT.2022.3172114")</f>
        <v>http://dx.doi.org/10.1109/JIOT.2022.3172114</v>
      </c>
      <c r="BG456" t="s">
        <v>74</v>
      </c>
      <c r="BH456" t="s">
        <v>74</v>
      </c>
      <c r="BI456">
        <v>14</v>
      </c>
      <c r="BJ456" t="s">
        <v>1385</v>
      </c>
      <c r="BK456" t="s">
        <v>130</v>
      </c>
      <c r="BL456" t="s">
        <v>1386</v>
      </c>
      <c r="BM456" t="s">
        <v>8941</v>
      </c>
      <c r="BN456" t="s">
        <v>74</v>
      </c>
      <c r="BO456" t="s">
        <v>646</v>
      </c>
      <c r="BP456" t="s">
        <v>74</v>
      </c>
      <c r="BQ456" t="s">
        <v>74</v>
      </c>
      <c r="BR456" t="s">
        <v>101</v>
      </c>
      <c r="BS456" t="s">
        <v>8942</v>
      </c>
      <c r="BT456" t="str">
        <f>HYPERLINK("https%3A%2F%2Fwww.webofscience.com%2Fwos%2Fwoscc%2Ffull-record%2FWOS:000965291400001","View Full Record in Web of Science")</f>
        <v>View Full Record in Web of Science</v>
      </c>
    </row>
    <row r="457" spans="1:72" x14ac:dyDescent="0.2">
      <c r="A457" t="s">
        <v>72</v>
      </c>
      <c r="B457" t="s">
        <v>8943</v>
      </c>
      <c r="C457" t="s">
        <v>74</v>
      </c>
      <c r="D457" t="s">
        <v>2161</v>
      </c>
      <c r="E457" t="s">
        <v>74</v>
      </c>
      <c r="F457" t="s">
        <v>8944</v>
      </c>
      <c r="G457" t="s">
        <v>74</v>
      </c>
      <c r="H457" t="s">
        <v>74</v>
      </c>
      <c r="I457" t="s">
        <v>8945</v>
      </c>
      <c r="J457" t="s">
        <v>8946</v>
      </c>
      <c r="K457" t="s">
        <v>74</v>
      </c>
      <c r="L457" t="s">
        <v>74</v>
      </c>
      <c r="M457" t="s">
        <v>79</v>
      </c>
      <c r="N457" t="s">
        <v>80</v>
      </c>
      <c r="O457" t="s">
        <v>4780</v>
      </c>
      <c r="P457" t="s">
        <v>914</v>
      </c>
      <c r="Q457" t="s">
        <v>4781</v>
      </c>
      <c r="R457" t="s">
        <v>3661</v>
      </c>
      <c r="S457" t="s">
        <v>74</v>
      </c>
      <c r="T457" t="s">
        <v>8947</v>
      </c>
      <c r="U457" t="s">
        <v>74</v>
      </c>
      <c r="V457" t="s">
        <v>8948</v>
      </c>
      <c r="W457" t="s">
        <v>8949</v>
      </c>
      <c r="X457" t="s">
        <v>6773</v>
      </c>
      <c r="Y457" t="s">
        <v>8950</v>
      </c>
      <c r="Z457" t="s">
        <v>8951</v>
      </c>
      <c r="AA457" t="s">
        <v>74</v>
      </c>
      <c r="AB457" t="s">
        <v>74</v>
      </c>
      <c r="AC457" t="s">
        <v>8952</v>
      </c>
      <c r="AD457" t="s">
        <v>8953</v>
      </c>
      <c r="AE457" t="s">
        <v>8954</v>
      </c>
      <c r="AF457" t="s">
        <v>74</v>
      </c>
      <c r="AG457">
        <v>8</v>
      </c>
      <c r="AH457">
        <v>0</v>
      </c>
      <c r="AI457">
        <v>0</v>
      </c>
      <c r="AJ457">
        <v>1</v>
      </c>
      <c r="AK457">
        <v>1</v>
      </c>
      <c r="AL457" t="s">
        <v>92</v>
      </c>
      <c r="AM457" t="s">
        <v>93</v>
      </c>
      <c r="AN457" t="s">
        <v>94</v>
      </c>
      <c r="AO457" t="s">
        <v>74</v>
      </c>
      <c r="AP457" t="s">
        <v>74</v>
      </c>
      <c r="AQ457" t="s">
        <v>8955</v>
      </c>
      <c r="AR457" t="s">
        <v>74</v>
      </c>
      <c r="AS457" t="s">
        <v>74</v>
      </c>
      <c r="AT457" t="s">
        <v>74</v>
      </c>
      <c r="AU457">
        <v>2023</v>
      </c>
      <c r="AV457" t="s">
        <v>74</v>
      </c>
      <c r="AW457" t="s">
        <v>74</v>
      </c>
      <c r="AX457" t="s">
        <v>74</v>
      </c>
      <c r="AY457" t="s">
        <v>74</v>
      </c>
      <c r="AZ457" t="s">
        <v>74</v>
      </c>
      <c r="BA457" t="s">
        <v>74</v>
      </c>
      <c r="BB457" t="s">
        <v>74</v>
      </c>
      <c r="BC457" t="s">
        <v>74</v>
      </c>
      <c r="BD457">
        <v>35</v>
      </c>
      <c r="BE457" t="s">
        <v>8956</v>
      </c>
      <c r="BF457" t="str">
        <f>HYPERLINK("http://dx.doi.org/10.1145/3588028.3603685","http://dx.doi.org/10.1145/3588028.3603685")</f>
        <v>http://dx.doi.org/10.1145/3588028.3603685</v>
      </c>
      <c r="BG457" t="s">
        <v>74</v>
      </c>
      <c r="BH457" t="s">
        <v>74</v>
      </c>
      <c r="BI457">
        <v>2</v>
      </c>
      <c r="BJ457" t="s">
        <v>331</v>
      </c>
      <c r="BK457" t="s">
        <v>98</v>
      </c>
      <c r="BL457" t="s">
        <v>99</v>
      </c>
      <c r="BM457" t="s">
        <v>8957</v>
      </c>
      <c r="BN457" t="s">
        <v>74</v>
      </c>
      <c r="BO457" t="s">
        <v>74</v>
      </c>
      <c r="BP457" t="s">
        <v>74</v>
      </c>
      <c r="BQ457" t="s">
        <v>74</v>
      </c>
      <c r="BR457" t="s">
        <v>101</v>
      </c>
      <c r="BS457" t="s">
        <v>8958</v>
      </c>
      <c r="BT457" t="str">
        <f>HYPERLINK("https%3A%2F%2Fwww.webofscience.com%2Fwos%2Fwoscc%2Ffull-record%2FWOS:001117713300035","View Full Record in Web of Science")</f>
        <v>View Full Record in Web of Science</v>
      </c>
    </row>
    <row r="458" spans="1:72" x14ac:dyDescent="0.2">
      <c r="A458" t="s">
        <v>72</v>
      </c>
      <c r="B458" t="s">
        <v>8959</v>
      </c>
      <c r="C458" t="s">
        <v>74</v>
      </c>
      <c r="D458" t="s">
        <v>3598</v>
      </c>
      <c r="E458" t="s">
        <v>74</v>
      </c>
      <c r="F458" t="s">
        <v>8960</v>
      </c>
      <c r="G458" t="s">
        <v>74</v>
      </c>
      <c r="H458" t="s">
        <v>74</v>
      </c>
      <c r="I458" t="s">
        <v>8961</v>
      </c>
      <c r="J458" t="s">
        <v>3601</v>
      </c>
      <c r="K458" t="s">
        <v>312</v>
      </c>
      <c r="L458" t="s">
        <v>74</v>
      </c>
      <c r="M458" t="s">
        <v>79</v>
      </c>
      <c r="N458" t="s">
        <v>80</v>
      </c>
      <c r="O458" t="s">
        <v>3602</v>
      </c>
      <c r="P458" t="s">
        <v>3603</v>
      </c>
      <c r="Q458" t="s">
        <v>3604</v>
      </c>
      <c r="R458" t="s">
        <v>74</v>
      </c>
      <c r="S458" t="s">
        <v>74</v>
      </c>
      <c r="T458" t="s">
        <v>8962</v>
      </c>
      <c r="U458" t="s">
        <v>74</v>
      </c>
      <c r="V458" t="s">
        <v>8963</v>
      </c>
      <c r="W458" t="s">
        <v>8964</v>
      </c>
      <c r="X458" t="s">
        <v>8965</v>
      </c>
      <c r="Y458" t="s">
        <v>8966</v>
      </c>
      <c r="Z458" t="s">
        <v>8967</v>
      </c>
      <c r="AA458" t="s">
        <v>74</v>
      </c>
      <c r="AB458" t="s">
        <v>74</v>
      </c>
      <c r="AC458" t="s">
        <v>74</v>
      </c>
      <c r="AD458" t="s">
        <v>74</v>
      </c>
      <c r="AE458" t="s">
        <v>74</v>
      </c>
      <c r="AF458" t="s">
        <v>74</v>
      </c>
      <c r="AG458">
        <v>22</v>
      </c>
      <c r="AH458">
        <v>0</v>
      </c>
      <c r="AI458">
        <v>0</v>
      </c>
      <c r="AJ458">
        <v>6</v>
      </c>
      <c r="AK458">
        <v>6</v>
      </c>
      <c r="AL458" t="s">
        <v>325</v>
      </c>
      <c r="AM458" t="s">
        <v>245</v>
      </c>
      <c r="AN458" t="s">
        <v>246</v>
      </c>
      <c r="AO458" t="s">
        <v>326</v>
      </c>
      <c r="AP458" t="s">
        <v>327</v>
      </c>
      <c r="AQ458" t="s">
        <v>3614</v>
      </c>
      <c r="AR458" t="s">
        <v>329</v>
      </c>
      <c r="AS458" t="s">
        <v>74</v>
      </c>
      <c r="AT458" t="s">
        <v>74</v>
      </c>
      <c r="AU458">
        <v>2023</v>
      </c>
      <c r="AV458">
        <v>13988</v>
      </c>
      <c r="AW458" t="s">
        <v>74</v>
      </c>
      <c r="AX458" t="s">
        <v>74</v>
      </c>
      <c r="AY458" t="s">
        <v>74</v>
      </c>
      <c r="AZ458" t="s">
        <v>74</v>
      </c>
      <c r="BA458" t="s">
        <v>74</v>
      </c>
      <c r="BB458">
        <v>292</v>
      </c>
      <c r="BC458">
        <v>307</v>
      </c>
      <c r="BD458" t="s">
        <v>74</v>
      </c>
      <c r="BE458" t="s">
        <v>8968</v>
      </c>
      <c r="BF458" t="str">
        <f>HYPERLINK("http://dx.doi.org/10.1007/978-3-031-29956-8_19","http://dx.doi.org/10.1007/978-3-031-29956-8_19")</f>
        <v>http://dx.doi.org/10.1007/978-3-031-29956-8_19</v>
      </c>
      <c r="BG458" t="s">
        <v>74</v>
      </c>
      <c r="BH458" t="s">
        <v>74</v>
      </c>
      <c r="BI458">
        <v>16</v>
      </c>
      <c r="BJ458" t="s">
        <v>1851</v>
      </c>
      <c r="BK458" t="s">
        <v>98</v>
      </c>
      <c r="BL458" t="s">
        <v>99</v>
      </c>
      <c r="BM458" t="s">
        <v>3616</v>
      </c>
      <c r="BN458" t="s">
        <v>74</v>
      </c>
      <c r="BO458" t="s">
        <v>646</v>
      </c>
      <c r="BP458" t="s">
        <v>74</v>
      </c>
      <c r="BQ458" t="s">
        <v>74</v>
      </c>
      <c r="BR458" t="s">
        <v>101</v>
      </c>
      <c r="BS458" t="s">
        <v>8969</v>
      </c>
      <c r="BT458" t="str">
        <f>HYPERLINK("https%3A%2F%2Fwww.webofscience.com%2Fwos%2Fwoscc%2Ffull-record%2FWOS:000999872400019","View Full Record in Web of Science")</f>
        <v>View Full Record in Web of Science</v>
      </c>
    </row>
    <row r="459" spans="1:72" x14ac:dyDescent="0.2">
      <c r="A459" t="s">
        <v>103</v>
      </c>
      <c r="B459" t="s">
        <v>8970</v>
      </c>
      <c r="C459" t="s">
        <v>74</v>
      </c>
      <c r="D459" t="s">
        <v>74</v>
      </c>
      <c r="E459" t="s">
        <v>74</v>
      </c>
      <c r="F459" t="s">
        <v>8971</v>
      </c>
      <c r="G459" t="s">
        <v>74</v>
      </c>
      <c r="H459" t="s">
        <v>74</v>
      </c>
      <c r="I459" t="s">
        <v>8972</v>
      </c>
      <c r="J459" t="s">
        <v>8973</v>
      </c>
      <c r="K459" t="s">
        <v>74</v>
      </c>
      <c r="L459" t="s">
        <v>74</v>
      </c>
      <c r="M459" t="s">
        <v>79</v>
      </c>
      <c r="N459" t="s">
        <v>108</v>
      </c>
      <c r="O459" t="s">
        <v>74</v>
      </c>
      <c r="P459" t="s">
        <v>74</v>
      </c>
      <c r="Q459" t="s">
        <v>74</v>
      </c>
      <c r="R459" t="s">
        <v>74</v>
      </c>
      <c r="S459" t="s">
        <v>74</v>
      </c>
      <c r="T459" t="s">
        <v>8974</v>
      </c>
      <c r="U459" t="s">
        <v>8810</v>
      </c>
      <c r="V459" t="s">
        <v>8975</v>
      </c>
      <c r="W459" t="s">
        <v>8976</v>
      </c>
      <c r="X459" t="s">
        <v>1054</v>
      </c>
      <c r="Y459" t="s">
        <v>8977</v>
      </c>
      <c r="Z459" t="s">
        <v>8978</v>
      </c>
      <c r="AA459" t="s">
        <v>8979</v>
      </c>
      <c r="AB459" t="s">
        <v>8980</v>
      </c>
      <c r="AC459" t="s">
        <v>74</v>
      </c>
      <c r="AD459" t="s">
        <v>74</v>
      </c>
      <c r="AE459" t="s">
        <v>74</v>
      </c>
      <c r="AF459" t="s">
        <v>74</v>
      </c>
      <c r="AG459">
        <v>119</v>
      </c>
      <c r="AH459">
        <v>0</v>
      </c>
      <c r="AI459">
        <v>0</v>
      </c>
      <c r="AJ459">
        <v>8</v>
      </c>
      <c r="AK459">
        <v>8</v>
      </c>
      <c r="AL459" t="s">
        <v>8981</v>
      </c>
      <c r="AM459" t="s">
        <v>8982</v>
      </c>
      <c r="AN459" t="s">
        <v>8983</v>
      </c>
      <c r="AO459" t="s">
        <v>8984</v>
      </c>
      <c r="AP459" t="s">
        <v>74</v>
      </c>
      <c r="AQ459" t="s">
        <v>74</v>
      </c>
      <c r="AR459" t="s">
        <v>8985</v>
      </c>
      <c r="AS459" t="s">
        <v>8986</v>
      </c>
      <c r="AT459" t="s">
        <v>74</v>
      </c>
      <c r="AU459">
        <v>2023</v>
      </c>
      <c r="AV459">
        <v>12</v>
      </c>
      <c r="AW459">
        <v>1</v>
      </c>
      <c r="AX459" t="s">
        <v>74</v>
      </c>
      <c r="AY459" t="s">
        <v>74</v>
      </c>
      <c r="AZ459" t="s">
        <v>74</v>
      </c>
      <c r="BA459" t="s">
        <v>74</v>
      </c>
      <c r="BB459" t="s">
        <v>74</v>
      </c>
      <c r="BC459" t="s">
        <v>74</v>
      </c>
      <c r="BD459" t="s">
        <v>8987</v>
      </c>
      <c r="BE459" t="s">
        <v>8988</v>
      </c>
      <c r="BF459" t="str">
        <f>HYPERLINK("http://dx.doi.org/10.14201/adcaij.31704","http://dx.doi.org/10.14201/adcaij.31704")</f>
        <v>http://dx.doi.org/10.14201/adcaij.31704</v>
      </c>
      <c r="BG459" t="s">
        <v>74</v>
      </c>
      <c r="BH459" t="s">
        <v>74</v>
      </c>
      <c r="BI459">
        <v>43</v>
      </c>
      <c r="BJ459" t="s">
        <v>304</v>
      </c>
      <c r="BK459" t="s">
        <v>352</v>
      </c>
      <c r="BL459" t="s">
        <v>99</v>
      </c>
      <c r="BM459" t="s">
        <v>8989</v>
      </c>
      <c r="BN459" t="s">
        <v>74</v>
      </c>
      <c r="BO459" t="s">
        <v>74</v>
      </c>
      <c r="BP459" t="s">
        <v>74</v>
      </c>
      <c r="BQ459" t="s">
        <v>74</v>
      </c>
      <c r="BR459" t="s">
        <v>101</v>
      </c>
      <c r="BS459" t="s">
        <v>8990</v>
      </c>
      <c r="BT459" t="str">
        <f>HYPERLINK("https%3A%2F%2Fwww.webofscience.com%2Fwos%2Fwoscc%2Ffull-record%2FWOS:001129068700001","View Full Record in Web of Science")</f>
        <v>View Full Record in Web of Science</v>
      </c>
    </row>
    <row r="460" spans="1:72" x14ac:dyDescent="0.2">
      <c r="A460" t="s">
        <v>103</v>
      </c>
      <c r="B460" t="s">
        <v>8991</v>
      </c>
      <c r="C460" t="s">
        <v>74</v>
      </c>
      <c r="D460" t="s">
        <v>74</v>
      </c>
      <c r="E460" t="s">
        <v>74</v>
      </c>
      <c r="F460" t="s">
        <v>8992</v>
      </c>
      <c r="G460" t="s">
        <v>74</v>
      </c>
      <c r="H460" t="s">
        <v>74</v>
      </c>
      <c r="I460" t="s">
        <v>8993</v>
      </c>
      <c r="J460" t="s">
        <v>8994</v>
      </c>
      <c r="K460" t="s">
        <v>74</v>
      </c>
      <c r="L460" t="s">
        <v>74</v>
      </c>
      <c r="M460" t="s">
        <v>79</v>
      </c>
      <c r="N460" t="s">
        <v>108</v>
      </c>
      <c r="O460" t="s">
        <v>74</v>
      </c>
      <c r="P460" t="s">
        <v>74</v>
      </c>
      <c r="Q460" t="s">
        <v>74</v>
      </c>
      <c r="R460" t="s">
        <v>74</v>
      </c>
      <c r="S460" t="s">
        <v>74</v>
      </c>
      <c r="T460" t="s">
        <v>8995</v>
      </c>
      <c r="U460" t="s">
        <v>74</v>
      </c>
      <c r="V460" t="s">
        <v>8996</v>
      </c>
      <c r="W460" t="s">
        <v>8997</v>
      </c>
      <c r="X460" t="s">
        <v>8998</v>
      </c>
      <c r="Y460" t="s">
        <v>8999</v>
      </c>
      <c r="Z460" t="s">
        <v>74</v>
      </c>
      <c r="AA460" t="s">
        <v>74</v>
      </c>
      <c r="AB460" t="s">
        <v>74</v>
      </c>
      <c r="AC460" t="s">
        <v>74</v>
      </c>
      <c r="AD460" t="s">
        <v>74</v>
      </c>
      <c r="AE460" t="s">
        <v>74</v>
      </c>
      <c r="AF460" t="s">
        <v>74</v>
      </c>
      <c r="AG460">
        <v>54</v>
      </c>
      <c r="AH460">
        <v>1</v>
      </c>
      <c r="AI460">
        <v>1</v>
      </c>
      <c r="AJ460">
        <v>13</v>
      </c>
      <c r="AK460">
        <v>15</v>
      </c>
      <c r="AL460" t="s">
        <v>9000</v>
      </c>
      <c r="AM460" t="s">
        <v>9001</v>
      </c>
      <c r="AN460" t="s">
        <v>9002</v>
      </c>
      <c r="AO460" t="s">
        <v>9003</v>
      </c>
      <c r="AP460" t="s">
        <v>9004</v>
      </c>
      <c r="AQ460" t="s">
        <v>74</v>
      </c>
      <c r="AR460" t="s">
        <v>9005</v>
      </c>
      <c r="AS460" t="s">
        <v>9006</v>
      </c>
      <c r="AT460" t="s">
        <v>9007</v>
      </c>
      <c r="AU460">
        <v>2023</v>
      </c>
      <c r="AV460">
        <v>95</v>
      </c>
      <c r="AW460">
        <v>2</v>
      </c>
      <c r="AX460" t="s">
        <v>74</v>
      </c>
      <c r="AY460" t="s">
        <v>74</v>
      </c>
      <c r="AZ460" t="s">
        <v>74</v>
      </c>
      <c r="BA460" t="s">
        <v>74</v>
      </c>
      <c r="BB460">
        <v>281</v>
      </c>
      <c r="BC460">
        <v>303</v>
      </c>
      <c r="BD460" t="s">
        <v>74</v>
      </c>
      <c r="BE460" t="s">
        <v>9008</v>
      </c>
      <c r="BF460" t="str">
        <f>HYPERLINK("http://dx.doi.org/10.1215/00029831-10575077","http://dx.doi.org/10.1215/00029831-10575077")</f>
        <v>http://dx.doi.org/10.1215/00029831-10575077</v>
      </c>
      <c r="BG460" t="s">
        <v>74</v>
      </c>
      <c r="BH460" t="s">
        <v>74</v>
      </c>
      <c r="BI460">
        <v>23</v>
      </c>
      <c r="BJ460" t="s">
        <v>9009</v>
      </c>
      <c r="BK460" t="s">
        <v>2649</v>
      </c>
      <c r="BL460" t="s">
        <v>8185</v>
      </c>
      <c r="BM460" t="s">
        <v>9010</v>
      </c>
      <c r="BN460" t="s">
        <v>74</v>
      </c>
      <c r="BO460" t="s">
        <v>1237</v>
      </c>
      <c r="BP460" t="s">
        <v>74</v>
      </c>
      <c r="BQ460" t="s">
        <v>74</v>
      </c>
      <c r="BR460" t="s">
        <v>101</v>
      </c>
      <c r="BS460" t="s">
        <v>9011</v>
      </c>
      <c r="BT460" t="str">
        <f>HYPERLINK("https%3A%2F%2Fwww.webofscience.com%2Fwos%2Fwoscc%2Ffull-record%2FWOS:001054394400005","View Full Record in Web of Science")</f>
        <v>View Full Record in Web of Science</v>
      </c>
    </row>
    <row r="461" spans="1:72" x14ac:dyDescent="0.2">
      <c r="A461" t="s">
        <v>103</v>
      </c>
      <c r="B461" t="s">
        <v>9012</v>
      </c>
      <c r="C461" t="s">
        <v>74</v>
      </c>
      <c r="D461" t="s">
        <v>74</v>
      </c>
      <c r="E461" t="s">
        <v>74</v>
      </c>
      <c r="F461" t="s">
        <v>9013</v>
      </c>
      <c r="G461" t="s">
        <v>74</v>
      </c>
      <c r="H461" t="s">
        <v>74</v>
      </c>
      <c r="I461" t="s">
        <v>9014</v>
      </c>
      <c r="J461" t="s">
        <v>9015</v>
      </c>
      <c r="K461" t="s">
        <v>74</v>
      </c>
      <c r="L461" t="s">
        <v>74</v>
      </c>
      <c r="M461" t="s">
        <v>79</v>
      </c>
      <c r="N461" t="s">
        <v>138</v>
      </c>
      <c r="O461" t="s">
        <v>74</v>
      </c>
      <c r="P461" t="s">
        <v>74</v>
      </c>
      <c r="Q461" t="s">
        <v>74</v>
      </c>
      <c r="R461" t="s">
        <v>74</v>
      </c>
      <c r="S461" t="s">
        <v>74</v>
      </c>
      <c r="T461" t="s">
        <v>9016</v>
      </c>
      <c r="U461" t="s">
        <v>9017</v>
      </c>
      <c r="V461" t="s">
        <v>9018</v>
      </c>
      <c r="W461" t="s">
        <v>9019</v>
      </c>
      <c r="X461" t="s">
        <v>9020</v>
      </c>
      <c r="Y461" t="s">
        <v>9021</v>
      </c>
      <c r="Z461" t="s">
        <v>9022</v>
      </c>
      <c r="AA461" t="s">
        <v>2903</v>
      </c>
      <c r="AB461" t="s">
        <v>9023</v>
      </c>
      <c r="AC461" t="s">
        <v>74</v>
      </c>
      <c r="AD461" t="s">
        <v>74</v>
      </c>
      <c r="AE461" t="s">
        <v>74</v>
      </c>
      <c r="AF461" t="s">
        <v>74</v>
      </c>
      <c r="AG461">
        <v>46</v>
      </c>
      <c r="AH461">
        <v>3</v>
      </c>
      <c r="AI461">
        <v>3</v>
      </c>
      <c r="AJ461">
        <v>64</v>
      </c>
      <c r="AK461">
        <v>64</v>
      </c>
      <c r="AL461" t="s">
        <v>483</v>
      </c>
      <c r="AM461" t="s">
        <v>484</v>
      </c>
      <c r="AN461" t="s">
        <v>485</v>
      </c>
      <c r="AO461" t="s">
        <v>9024</v>
      </c>
      <c r="AP461" t="s">
        <v>9025</v>
      </c>
      <c r="AQ461" t="s">
        <v>74</v>
      </c>
      <c r="AR461" t="s">
        <v>9026</v>
      </c>
      <c r="AS461" t="s">
        <v>9027</v>
      </c>
      <c r="AT461" t="s">
        <v>3844</v>
      </c>
      <c r="AU461">
        <v>2023</v>
      </c>
      <c r="AV461" t="s">
        <v>74</v>
      </c>
      <c r="AW461" t="s">
        <v>74</v>
      </c>
      <c r="AX461" t="s">
        <v>74</v>
      </c>
      <c r="AY461" t="s">
        <v>74</v>
      </c>
      <c r="AZ461" t="s">
        <v>74</v>
      </c>
      <c r="BA461" t="s">
        <v>74</v>
      </c>
      <c r="BB461" t="s">
        <v>74</v>
      </c>
      <c r="BC461" t="s">
        <v>74</v>
      </c>
      <c r="BD461" t="s">
        <v>74</v>
      </c>
      <c r="BE461" t="s">
        <v>9028</v>
      </c>
      <c r="BF461" t="str">
        <f>HYPERLINK("http://dx.doi.org/10.1108/TR-07-2023-0489","http://dx.doi.org/10.1108/TR-07-2023-0489")</f>
        <v>http://dx.doi.org/10.1108/TR-07-2023-0489</v>
      </c>
      <c r="BG461" t="s">
        <v>74</v>
      </c>
      <c r="BH461" t="s">
        <v>157</v>
      </c>
      <c r="BI461">
        <v>20</v>
      </c>
      <c r="BJ461" t="s">
        <v>2911</v>
      </c>
      <c r="BK461" t="s">
        <v>159</v>
      </c>
      <c r="BL461" t="s">
        <v>618</v>
      </c>
      <c r="BM461" t="s">
        <v>9029</v>
      </c>
      <c r="BN461" t="s">
        <v>74</v>
      </c>
      <c r="BO461" t="s">
        <v>74</v>
      </c>
      <c r="BP461" t="s">
        <v>74</v>
      </c>
      <c r="BQ461" t="s">
        <v>74</v>
      </c>
      <c r="BR461" t="s">
        <v>101</v>
      </c>
      <c r="BS461" t="s">
        <v>9030</v>
      </c>
      <c r="BT461" t="str">
        <f>HYPERLINK("https%3A%2F%2Fwww.webofscience.com%2Fwos%2Fwoscc%2Ffull-record%2FWOS:001096013900001","View Full Record in Web of Science")</f>
        <v>View Full Record in Web of Science</v>
      </c>
    </row>
    <row r="462" spans="1:72" x14ac:dyDescent="0.2">
      <c r="A462" t="s">
        <v>72</v>
      </c>
      <c r="B462" t="s">
        <v>9031</v>
      </c>
      <c r="C462" t="s">
        <v>74</v>
      </c>
      <c r="D462" t="s">
        <v>74</v>
      </c>
      <c r="E462" t="s">
        <v>284</v>
      </c>
      <c r="F462" t="s">
        <v>9032</v>
      </c>
      <c r="G462" t="s">
        <v>74</v>
      </c>
      <c r="H462" t="s">
        <v>74</v>
      </c>
      <c r="I462" t="s">
        <v>9033</v>
      </c>
      <c r="J462" t="s">
        <v>9034</v>
      </c>
      <c r="K462" t="s">
        <v>9035</v>
      </c>
      <c r="L462" t="s">
        <v>74</v>
      </c>
      <c r="M462" t="s">
        <v>79</v>
      </c>
      <c r="N462" t="s">
        <v>80</v>
      </c>
      <c r="O462" t="s">
        <v>9036</v>
      </c>
      <c r="P462" t="s">
        <v>4345</v>
      </c>
      <c r="Q462" t="s">
        <v>4346</v>
      </c>
      <c r="R462" t="s">
        <v>9037</v>
      </c>
      <c r="S462" t="s">
        <v>74</v>
      </c>
      <c r="T462" t="s">
        <v>9038</v>
      </c>
      <c r="U462" t="s">
        <v>74</v>
      </c>
      <c r="V462" t="s">
        <v>9039</v>
      </c>
      <c r="W462" t="s">
        <v>9040</v>
      </c>
      <c r="X462" t="s">
        <v>9041</v>
      </c>
      <c r="Y462" t="s">
        <v>9042</v>
      </c>
      <c r="Z462" t="s">
        <v>9043</v>
      </c>
      <c r="AA462" t="s">
        <v>74</v>
      </c>
      <c r="AB462" t="s">
        <v>74</v>
      </c>
      <c r="AC462" t="s">
        <v>9044</v>
      </c>
      <c r="AD462" t="s">
        <v>9045</v>
      </c>
      <c r="AE462" t="s">
        <v>9046</v>
      </c>
      <c r="AF462" t="s">
        <v>74</v>
      </c>
      <c r="AG462">
        <v>38</v>
      </c>
      <c r="AH462">
        <v>0</v>
      </c>
      <c r="AI462">
        <v>0</v>
      </c>
      <c r="AJ462">
        <v>1</v>
      </c>
      <c r="AK462">
        <v>1</v>
      </c>
      <c r="AL462" t="s">
        <v>638</v>
      </c>
      <c r="AM462" t="s">
        <v>639</v>
      </c>
      <c r="AN462" t="s">
        <v>640</v>
      </c>
      <c r="AO462" t="s">
        <v>9047</v>
      </c>
      <c r="AP462" t="s">
        <v>9048</v>
      </c>
      <c r="AQ462" t="s">
        <v>9049</v>
      </c>
      <c r="AR462" t="s">
        <v>9050</v>
      </c>
      <c r="AS462" t="s">
        <v>74</v>
      </c>
      <c r="AT462" t="s">
        <v>74</v>
      </c>
      <c r="AU462">
        <v>2023</v>
      </c>
      <c r="AV462" t="s">
        <v>74</v>
      </c>
      <c r="AW462" t="s">
        <v>74</v>
      </c>
      <c r="AX462" t="s">
        <v>74</v>
      </c>
      <c r="AY462" t="s">
        <v>74</v>
      </c>
      <c r="AZ462" t="s">
        <v>74</v>
      </c>
      <c r="BA462" t="s">
        <v>74</v>
      </c>
      <c r="BB462">
        <v>221</v>
      </c>
      <c r="BC462">
        <v>225</v>
      </c>
      <c r="BD462" t="s">
        <v>74</v>
      </c>
      <c r="BE462" t="s">
        <v>9051</v>
      </c>
      <c r="BF462" t="str">
        <f>HYPERLINK("http://dx.doi.org/10.1109/VIS54172.2023.00053","http://dx.doi.org/10.1109/VIS54172.2023.00053")</f>
        <v>http://dx.doi.org/10.1109/VIS54172.2023.00053</v>
      </c>
      <c r="BG462" t="s">
        <v>74</v>
      </c>
      <c r="BH462" t="s">
        <v>74</v>
      </c>
      <c r="BI462">
        <v>5</v>
      </c>
      <c r="BJ462" t="s">
        <v>331</v>
      </c>
      <c r="BK462" t="s">
        <v>98</v>
      </c>
      <c r="BL462" t="s">
        <v>99</v>
      </c>
      <c r="BM462" t="s">
        <v>9052</v>
      </c>
      <c r="BN462" t="s">
        <v>74</v>
      </c>
      <c r="BO462" t="s">
        <v>74</v>
      </c>
      <c r="BP462" t="s">
        <v>74</v>
      </c>
      <c r="BQ462" t="s">
        <v>74</v>
      </c>
      <c r="BR462" t="s">
        <v>101</v>
      </c>
      <c r="BS462" t="s">
        <v>9053</v>
      </c>
      <c r="BT462" t="str">
        <f>HYPERLINK("https%3A%2F%2Fwww.webofscience.com%2Fwos%2Fwoscc%2Ffull-record%2FWOS:001137142800045","View Full Record in Web of Science")</f>
        <v>View Full Record in Web of Science</v>
      </c>
    </row>
    <row r="463" spans="1:72" x14ac:dyDescent="0.2">
      <c r="A463" t="s">
        <v>103</v>
      </c>
      <c r="B463" t="s">
        <v>9054</v>
      </c>
      <c r="C463" t="s">
        <v>74</v>
      </c>
      <c r="D463" t="s">
        <v>74</v>
      </c>
      <c r="E463" t="s">
        <v>74</v>
      </c>
      <c r="F463" t="s">
        <v>9055</v>
      </c>
      <c r="G463" t="s">
        <v>74</v>
      </c>
      <c r="H463" t="s">
        <v>74</v>
      </c>
      <c r="I463" t="s">
        <v>9056</v>
      </c>
      <c r="J463" t="s">
        <v>9057</v>
      </c>
      <c r="K463" t="s">
        <v>74</v>
      </c>
      <c r="L463" t="s">
        <v>74</v>
      </c>
      <c r="M463" t="s">
        <v>79</v>
      </c>
      <c r="N463" t="s">
        <v>108</v>
      </c>
      <c r="O463" t="s">
        <v>74</v>
      </c>
      <c r="P463" t="s">
        <v>74</v>
      </c>
      <c r="Q463" t="s">
        <v>74</v>
      </c>
      <c r="R463" t="s">
        <v>74</v>
      </c>
      <c r="S463" t="s">
        <v>74</v>
      </c>
      <c r="T463" t="s">
        <v>9058</v>
      </c>
      <c r="U463" t="s">
        <v>74</v>
      </c>
      <c r="V463" t="s">
        <v>74</v>
      </c>
      <c r="W463" t="s">
        <v>9059</v>
      </c>
      <c r="X463" t="s">
        <v>9060</v>
      </c>
      <c r="Y463" t="s">
        <v>9061</v>
      </c>
      <c r="Z463" t="s">
        <v>9062</v>
      </c>
      <c r="AA463" t="s">
        <v>74</v>
      </c>
      <c r="AB463" t="s">
        <v>74</v>
      </c>
      <c r="AC463" t="s">
        <v>9063</v>
      </c>
      <c r="AD463" t="s">
        <v>9060</v>
      </c>
      <c r="AE463" t="s">
        <v>9064</v>
      </c>
      <c r="AF463" t="s">
        <v>74</v>
      </c>
      <c r="AG463">
        <v>26</v>
      </c>
      <c r="AH463">
        <v>0</v>
      </c>
      <c r="AI463">
        <v>0</v>
      </c>
      <c r="AJ463">
        <v>64</v>
      </c>
      <c r="AK463">
        <v>64</v>
      </c>
      <c r="AL463" t="s">
        <v>119</v>
      </c>
      <c r="AM463" t="s">
        <v>120</v>
      </c>
      <c r="AN463" t="s">
        <v>121</v>
      </c>
      <c r="AO463" t="s">
        <v>9065</v>
      </c>
      <c r="AP463" t="s">
        <v>9066</v>
      </c>
      <c r="AQ463" t="s">
        <v>74</v>
      </c>
      <c r="AR463" t="s">
        <v>9067</v>
      </c>
      <c r="AS463" t="s">
        <v>9068</v>
      </c>
      <c r="AT463" t="s">
        <v>771</v>
      </c>
      <c r="AU463">
        <v>2023</v>
      </c>
      <c r="AV463">
        <v>102</v>
      </c>
      <c r="AW463" t="s">
        <v>74</v>
      </c>
      <c r="AX463" t="s">
        <v>74</v>
      </c>
      <c r="AY463" t="s">
        <v>74</v>
      </c>
      <c r="AZ463" t="s">
        <v>74</v>
      </c>
      <c r="BA463" t="s">
        <v>74</v>
      </c>
      <c r="BB463" t="s">
        <v>74</v>
      </c>
      <c r="BC463" t="s">
        <v>74</v>
      </c>
      <c r="BD463">
        <v>103642</v>
      </c>
      <c r="BE463" t="s">
        <v>9069</v>
      </c>
      <c r="BF463" t="str">
        <f>HYPERLINK("http://dx.doi.org/10.1016/j.annals.2023.103642","http://dx.doi.org/10.1016/j.annals.2023.103642")</f>
        <v>http://dx.doi.org/10.1016/j.annals.2023.103642</v>
      </c>
      <c r="BG463" t="s">
        <v>74</v>
      </c>
      <c r="BH463" t="s">
        <v>255</v>
      </c>
      <c r="BI463">
        <v>4</v>
      </c>
      <c r="BJ463" t="s">
        <v>9070</v>
      </c>
      <c r="BK463" t="s">
        <v>159</v>
      </c>
      <c r="BL463" t="s">
        <v>9071</v>
      </c>
      <c r="BM463" t="s">
        <v>9072</v>
      </c>
      <c r="BN463" t="s">
        <v>74</v>
      </c>
      <c r="BO463" t="s">
        <v>74</v>
      </c>
      <c r="BP463" t="s">
        <v>74</v>
      </c>
      <c r="BQ463" t="s">
        <v>74</v>
      </c>
      <c r="BR463" t="s">
        <v>101</v>
      </c>
      <c r="BS463" t="s">
        <v>9073</v>
      </c>
      <c r="BT463" t="str">
        <f>HYPERLINK("https%3A%2F%2Fwww.webofscience.com%2Fwos%2Fwoscc%2Ffull-record%2FWOS:001064933500001","View Full Record in Web of Science")</f>
        <v>View Full Record in Web of Science</v>
      </c>
    </row>
    <row r="464" spans="1:72" x14ac:dyDescent="0.2">
      <c r="A464" t="s">
        <v>103</v>
      </c>
      <c r="B464" t="s">
        <v>9074</v>
      </c>
      <c r="C464" t="s">
        <v>74</v>
      </c>
      <c r="D464" t="s">
        <v>74</v>
      </c>
      <c r="E464" t="s">
        <v>74</v>
      </c>
      <c r="F464" t="s">
        <v>9075</v>
      </c>
      <c r="G464" t="s">
        <v>74</v>
      </c>
      <c r="H464" t="s">
        <v>74</v>
      </c>
      <c r="I464" t="s">
        <v>9076</v>
      </c>
      <c r="J464" t="s">
        <v>9077</v>
      </c>
      <c r="K464" t="s">
        <v>74</v>
      </c>
      <c r="L464" t="s">
        <v>74</v>
      </c>
      <c r="M464" t="s">
        <v>79</v>
      </c>
      <c r="N464" t="s">
        <v>108</v>
      </c>
      <c r="O464" t="s">
        <v>74</v>
      </c>
      <c r="P464" t="s">
        <v>74</v>
      </c>
      <c r="Q464" t="s">
        <v>74</v>
      </c>
      <c r="R464" t="s">
        <v>74</v>
      </c>
      <c r="S464" t="s">
        <v>74</v>
      </c>
      <c r="T464" t="s">
        <v>9078</v>
      </c>
      <c r="U464" t="s">
        <v>9079</v>
      </c>
      <c r="V464" t="s">
        <v>9080</v>
      </c>
      <c r="W464" t="s">
        <v>9081</v>
      </c>
      <c r="X464" t="s">
        <v>9082</v>
      </c>
      <c r="Y464" t="s">
        <v>9083</v>
      </c>
      <c r="Z464" t="s">
        <v>9084</v>
      </c>
      <c r="AA464" t="s">
        <v>74</v>
      </c>
      <c r="AB464" t="s">
        <v>9085</v>
      </c>
      <c r="AC464" t="s">
        <v>74</v>
      </c>
      <c r="AD464" t="s">
        <v>74</v>
      </c>
      <c r="AE464" t="s">
        <v>74</v>
      </c>
      <c r="AF464" t="s">
        <v>74</v>
      </c>
      <c r="AG464">
        <v>89</v>
      </c>
      <c r="AH464">
        <v>0</v>
      </c>
      <c r="AI464">
        <v>0</v>
      </c>
      <c r="AJ464">
        <v>5</v>
      </c>
      <c r="AK464">
        <v>17</v>
      </c>
      <c r="AL464" t="s">
        <v>638</v>
      </c>
      <c r="AM464" t="s">
        <v>639</v>
      </c>
      <c r="AN464" t="s">
        <v>1557</v>
      </c>
      <c r="AO464" t="s">
        <v>9086</v>
      </c>
      <c r="AP464" t="s">
        <v>9087</v>
      </c>
      <c r="AQ464" t="s">
        <v>74</v>
      </c>
      <c r="AR464" t="s">
        <v>9088</v>
      </c>
      <c r="AS464" t="s">
        <v>9089</v>
      </c>
      <c r="AT464" t="s">
        <v>2407</v>
      </c>
      <c r="AU464">
        <v>2023</v>
      </c>
      <c r="AV464">
        <v>29</v>
      </c>
      <c r="AW464">
        <v>2</v>
      </c>
      <c r="AX464" t="s">
        <v>74</v>
      </c>
      <c r="AY464" t="s">
        <v>74</v>
      </c>
      <c r="AZ464" t="s">
        <v>74</v>
      </c>
      <c r="BA464" t="s">
        <v>74</v>
      </c>
      <c r="BB464">
        <v>1400</v>
      </c>
      <c r="BC464">
        <v>1414</v>
      </c>
      <c r="BD464" t="s">
        <v>74</v>
      </c>
      <c r="BE464" t="s">
        <v>9090</v>
      </c>
      <c r="BF464" t="str">
        <f>HYPERLINK("http://dx.doi.org/10.1109/TVCG.2021.3115902","http://dx.doi.org/10.1109/TVCG.2021.3115902")</f>
        <v>http://dx.doi.org/10.1109/TVCG.2021.3115902</v>
      </c>
      <c r="BG464" t="s">
        <v>74</v>
      </c>
      <c r="BH464" t="s">
        <v>74</v>
      </c>
      <c r="BI464">
        <v>15</v>
      </c>
      <c r="BJ464" t="s">
        <v>1563</v>
      </c>
      <c r="BK464" t="s">
        <v>130</v>
      </c>
      <c r="BL464" t="s">
        <v>99</v>
      </c>
      <c r="BM464" t="s">
        <v>9091</v>
      </c>
      <c r="BN464">
        <v>34582351</v>
      </c>
      <c r="BO464" t="s">
        <v>74</v>
      </c>
      <c r="BP464" t="s">
        <v>74</v>
      </c>
      <c r="BQ464" t="s">
        <v>74</v>
      </c>
      <c r="BR464" t="s">
        <v>101</v>
      </c>
      <c r="BS464" t="s">
        <v>9092</v>
      </c>
      <c r="BT464" t="str">
        <f>HYPERLINK("https%3A%2F%2Fwww.webofscience.com%2Fwos%2Fwoscc%2Ffull-record%2FWOS:000906475100009","View Full Record in Web of Science")</f>
        <v>View Full Record in Web of Science</v>
      </c>
    </row>
    <row r="465" spans="1:72" x14ac:dyDescent="0.2">
      <c r="A465" t="s">
        <v>103</v>
      </c>
      <c r="B465" t="s">
        <v>9093</v>
      </c>
      <c r="C465" t="s">
        <v>74</v>
      </c>
      <c r="D465" t="s">
        <v>74</v>
      </c>
      <c r="E465" t="s">
        <v>74</v>
      </c>
      <c r="F465" t="s">
        <v>9094</v>
      </c>
      <c r="G465" t="s">
        <v>74</v>
      </c>
      <c r="H465" t="s">
        <v>74</v>
      </c>
      <c r="I465" t="s">
        <v>9095</v>
      </c>
      <c r="J465" t="s">
        <v>537</v>
      </c>
      <c r="K465" t="s">
        <v>74</v>
      </c>
      <c r="L465" t="s">
        <v>74</v>
      </c>
      <c r="M465" t="s">
        <v>79</v>
      </c>
      <c r="N465" t="s">
        <v>108</v>
      </c>
      <c r="O465" t="s">
        <v>74</v>
      </c>
      <c r="P465" t="s">
        <v>74</v>
      </c>
      <c r="Q465" t="s">
        <v>74</v>
      </c>
      <c r="R465" t="s">
        <v>74</v>
      </c>
      <c r="S465" t="s">
        <v>74</v>
      </c>
      <c r="T465" t="s">
        <v>9096</v>
      </c>
      <c r="U465" t="s">
        <v>9097</v>
      </c>
      <c r="V465" t="s">
        <v>9098</v>
      </c>
      <c r="W465" t="s">
        <v>9099</v>
      </c>
      <c r="X465" t="s">
        <v>9100</v>
      </c>
      <c r="Y465" t="s">
        <v>9101</v>
      </c>
      <c r="Z465" t="s">
        <v>9102</v>
      </c>
      <c r="AA465" t="s">
        <v>9103</v>
      </c>
      <c r="AB465" t="s">
        <v>9104</v>
      </c>
      <c r="AC465" t="s">
        <v>9105</v>
      </c>
      <c r="AD465" t="s">
        <v>9105</v>
      </c>
      <c r="AE465" t="s">
        <v>9106</v>
      </c>
      <c r="AF465" t="s">
        <v>74</v>
      </c>
      <c r="AG465">
        <v>75</v>
      </c>
      <c r="AH465">
        <v>1</v>
      </c>
      <c r="AI465">
        <v>1</v>
      </c>
      <c r="AJ465">
        <v>86</v>
      </c>
      <c r="AK465">
        <v>86</v>
      </c>
      <c r="AL465" t="s">
        <v>547</v>
      </c>
      <c r="AM465" t="s">
        <v>548</v>
      </c>
      <c r="AN465" t="s">
        <v>549</v>
      </c>
      <c r="AO465" t="s">
        <v>550</v>
      </c>
      <c r="AP465" t="s">
        <v>551</v>
      </c>
      <c r="AQ465" t="s">
        <v>74</v>
      </c>
      <c r="AR465" t="s">
        <v>552</v>
      </c>
      <c r="AS465" t="s">
        <v>553</v>
      </c>
      <c r="AT465" t="s">
        <v>5073</v>
      </c>
      <c r="AU465">
        <v>2023</v>
      </c>
      <c r="AV465">
        <v>100</v>
      </c>
      <c r="AW465">
        <v>10</v>
      </c>
      <c r="AX465" t="s">
        <v>74</v>
      </c>
      <c r="AY465" t="s">
        <v>74</v>
      </c>
      <c r="AZ465" t="s">
        <v>74</v>
      </c>
      <c r="BA465" t="s">
        <v>74</v>
      </c>
      <c r="BB465">
        <v>3806</v>
      </c>
      <c r="BC465">
        <v>3817</v>
      </c>
      <c r="BD465" t="s">
        <v>74</v>
      </c>
      <c r="BE465" t="s">
        <v>9107</v>
      </c>
      <c r="BF465" t="str">
        <f>HYPERLINK("http://dx.doi.org/10.1021/acs.jchemed.3c00664","http://dx.doi.org/10.1021/acs.jchemed.3c00664")</f>
        <v>http://dx.doi.org/10.1021/acs.jchemed.3c00664</v>
      </c>
      <c r="BG465" t="s">
        <v>74</v>
      </c>
      <c r="BH465" t="s">
        <v>278</v>
      </c>
      <c r="BI465">
        <v>12</v>
      </c>
      <c r="BJ465" t="s">
        <v>556</v>
      </c>
      <c r="BK465" t="s">
        <v>130</v>
      </c>
      <c r="BL465" t="s">
        <v>557</v>
      </c>
      <c r="BM465" t="s">
        <v>9108</v>
      </c>
      <c r="BN465" t="s">
        <v>74</v>
      </c>
      <c r="BO465" t="s">
        <v>74</v>
      </c>
      <c r="BP465" t="s">
        <v>74</v>
      </c>
      <c r="BQ465" t="s">
        <v>74</v>
      </c>
      <c r="BR465" t="s">
        <v>101</v>
      </c>
      <c r="BS465" t="s">
        <v>9109</v>
      </c>
      <c r="BT465" t="str">
        <f>HYPERLINK("https%3A%2F%2Fwww.webofscience.com%2Fwos%2Fwoscc%2Ffull-record%2FWOS:001070107700001","View Full Record in Web of Science")</f>
        <v>View Full Record in Web of Science</v>
      </c>
    </row>
    <row r="466" spans="1:72" x14ac:dyDescent="0.2">
      <c r="A466" t="s">
        <v>103</v>
      </c>
      <c r="B466" t="s">
        <v>9110</v>
      </c>
      <c r="C466" t="s">
        <v>74</v>
      </c>
      <c r="D466" t="s">
        <v>74</v>
      </c>
      <c r="E466" t="s">
        <v>74</v>
      </c>
      <c r="F466" t="s">
        <v>9111</v>
      </c>
      <c r="G466" t="s">
        <v>74</v>
      </c>
      <c r="H466" t="s">
        <v>74</v>
      </c>
      <c r="I466" t="s">
        <v>9112</v>
      </c>
      <c r="J466" t="s">
        <v>9113</v>
      </c>
      <c r="K466" t="s">
        <v>74</v>
      </c>
      <c r="L466" t="s">
        <v>74</v>
      </c>
      <c r="M466" t="s">
        <v>79</v>
      </c>
      <c r="N466" t="s">
        <v>108</v>
      </c>
      <c r="O466" t="s">
        <v>74</v>
      </c>
      <c r="P466" t="s">
        <v>74</v>
      </c>
      <c r="Q466" t="s">
        <v>74</v>
      </c>
      <c r="R466" t="s">
        <v>74</v>
      </c>
      <c r="S466" t="s">
        <v>74</v>
      </c>
      <c r="T466" t="s">
        <v>74</v>
      </c>
      <c r="U466" t="s">
        <v>74</v>
      </c>
      <c r="V466" t="s">
        <v>9114</v>
      </c>
      <c r="W466" t="s">
        <v>9115</v>
      </c>
      <c r="X466" t="s">
        <v>9116</v>
      </c>
      <c r="Y466" t="s">
        <v>9117</v>
      </c>
      <c r="Z466" t="s">
        <v>9118</v>
      </c>
      <c r="AA466" t="s">
        <v>74</v>
      </c>
      <c r="AB466" t="s">
        <v>9119</v>
      </c>
      <c r="AC466" t="s">
        <v>74</v>
      </c>
      <c r="AD466" t="s">
        <v>74</v>
      </c>
      <c r="AE466" t="s">
        <v>74</v>
      </c>
      <c r="AF466" t="s">
        <v>74</v>
      </c>
      <c r="AG466">
        <v>28</v>
      </c>
      <c r="AH466">
        <v>2</v>
      </c>
      <c r="AI466">
        <v>2</v>
      </c>
      <c r="AJ466">
        <v>144</v>
      </c>
      <c r="AK466">
        <v>182</v>
      </c>
      <c r="AL466" t="s">
        <v>3165</v>
      </c>
      <c r="AM466" t="s">
        <v>3166</v>
      </c>
      <c r="AN466" t="s">
        <v>3167</v>
      </c>
      <c r="AO466" t="s">
        <v>9120</v>
      </c>
      <c r="AP466" t="s">
        <v>9121</v>
      </c>
      <c r="AQ466" t="s">
        <v>74</v>
      </c>
      <c r="AR466" t="s">
        <v>9122</v>
      </c>
      <c r="AS466" t="s">
        <v>9123</v>
      </c>
      <c r="AT466" t="s">
        <v>527</v>
      </c>
      <c r="AU466">
        <v>2023</v>
      </c>
      <c r="AV466">
        <v>57</v>
      </c>
      <c r="AW466">
        <v>4</v>
      </c>
      <c r="AX466" t="s">
        <v>74</v>
      </c>
      <c r="AY466" t="s">
        <v>74</v>
      </c>
      <c r="AZ466" t="s">
        <v>74</v>
      </c>
      <c r="BA466" t="s">
        <v>74</v>
      </c>
      <c r="BB466">
        <v>1571</v>
      </c>
      <c r="BC466">
        <v>1582</v>
      </c>
      <c r="BD466" t="s">
        <v>74</v>
      </c>
      <c r="BE466" t="s">
        <v>9124</v>
      </c>
      <c r="BF466" t="str">
        <f>HYPERLINK("http://dx.doi.org/10.1002/tesq.3253","http://dx.doi.org/10.1002/tesq.3253")</f>
        <v>http://dx.doi.org/10.1002/tesq.3253</v>
      </c>
      <c r="BG466" t="s">
        <v>74</v>
      </c>
      <c r="BH466" t="s">
        <v>255</v>
      </c>
      <c r="BI466">
        <v>12</v>
      </c>
      <c r="BJ466" t="s">
        <v>2862</v>
      </c>
      <c r="BK466" t="s">
        <v>159</v>
      </c>
      <c r="BL466" t="s">
        <v>2862</v>
      </c>
      <c r="BM466" t="s">
        <v>9125</v>
      </c>
      <c r="BN466" t="s">
        <v>74</v>
      </c>
      <c r="BO466" t="s">
        <v>74</v>
      </c>
      <c r="BP466" t="s">
        <v>74</v>
      </c>
      <c r="BQ466" t="s">
        <v>74</v>
      </c>
      <c r="BR466" t="s">
        <v>101</v>
      </c>
      <c r="BS466" t="s">
        <v>9126</v>
      </c>
      <c r="BT466" t="str">
        <f>HYPERLINK("https%3A%2F%2Fwww.webofscience.com%2Fwos%2Fwoscc%2Ffull-record%2FWOS:001041684200001","View Full Record in Web of Science")</f>
        <v>View Full Record in Web of Science</v>
      </c>
    </row>
    <row r="467" spans="1:72" x14ac:dyDescent="0.2">
      <c r="A467" t="s">
        <v>103</v>
      </c>
      <c r="B467" t="s">
        <v>9127</v>
      </c>
      <c r="C467" t="s">
        <v>74</v>
      </c>
      <c r="D467" t="s">
        <v>74</v>
      </c>
      <c r="E467" t="s">
        <v>74</v>
      </c>
      <c r="F467" t="s">
        <v>9128</v>
      </c>
      <c r="G467" t="s">
        <v>74</v>
      </c>
      <c r="H467" t="s">
        <v>74</v>
      </c>
      <c r="I467" t="s">
        <v>9129</v>
      </c>
      <c r="J467" t="s">
        <v>9130</v>
      </c>
      <c r="K467" t="s">
        <v>74</v>
      </c>
      <c r="L467" t="s">
        <v>74</v>
      </c>
      <c r="M467" t="s">
        <v>79</v>
      </c>
      <c r="N467" t="s">
        <v>108</v>
      </c>
      <c r="O467" t="s">
        <v>74</v>
      </c>
      <c r="P467" t="s">
        <v>74</v>
      </c>
      <c r="Q467" t="s">
        <v>74</v>
      </c>
      <c r="R467" t="s">
        <v>74</v>
      </c>
      <c r="S467" t="s">
        <v>74</v>
      </c>
      <c r="T467" t="s">
        <v>9131</v>
      </c>
      <c r="U467" t="s">
        <v>74</v>
      </c>
      <c r="V467" t="s">
        <v>9132</v>
      </c>
      <c r="W467" t="s">
        <v>9133</v>
      </c>
      <c r="X467" t="s">
        <v>9134</v>
      </c>
      <c r="Y467" t="s">
        <v>9135</v>
      </c>
      <c r="Z467" t="s">
        <v>9136</v>
      </c>
      <c r="AA467" t="s">
        <v>74</v>
      </c>
      <c r="AB467" t="s">
        <v>74</v>
      </c>
      <c r="AC467" t="s">
        <v>74</v>
      </c>
      <c r="AD467" t="s">
        <v>74</v>
      </c>
      <c r="AE467" t="s">
        <v>74</v>
      </c>
      <c r="AF467" t="s">
        <v>74</v>
      </c>
      <c r="AG467">
        <v>11</v>
      </c>
      <c r="AH467">
        <v>0</v>
      </c>
      <c r="AI467">
        <v>0</v>
      </c>
      <c r="AJ467">
        <v>24</v>
      </c>
      <c r="AK467">
        <v>24</v>
      </c>
      <c r="AL467" t="s">
        <v>119</v>
      </c>
      <c r="AM467" t="s">
        <v>120</v>
      </c>
      <c r="AN467" t="s">
        <v>121</v>
      </c>
      <c r="AO467" t="s">
        <v>9137</v>
      </c>
      <c r="AP467" t="s">
        <v>9138</v>
      </c>
      <c r="AQ467" t="s">
        <v>74</v>
      </c>
      <c r="AR467" t="s">
        <v>9139</v>
      </c>
      <c r="AS467" t="s">
        <v>9140</v>
      </c>
      <c r="AT467" t="s">
        <v>251</v>
      </c>
      <c r="AU467">
        <v>2024</v>
      </c>
      <c r="AV467">
        <v>217</v>
      </c>
      <c r="AW467" t="s">
        <v>74</v>
      </c>
      <c r="AX467" t="s">
        <v>74</v>
      </c>
      <c r="AY467" t="s">
        <v>74</v>
      </c>
      <c r="AZ467" t="s">
        <v>74</v>
      </c>
      <c r="BA467" t="s">
        <v>74</v>
      </c>
      <c r="BB467" t="s">
        <v>74</v>
      </c>
      <c r="BC467" t="s">
        <v>74</v>
      </c>
      <c r="BD467">
        <v>112434</v>
      </c>
      <c r="BE467" t="s">
        <v>9141</v>
      </c>
      <c r="BF467" t="str">
        <f>HYPERLINK("http://dx.doi.org/10.1016/j.paid.2023.112434","http://dx.doi.org/10.1016/j.paid.2023.112434")</f>
        <v>http://dx.doi.org/10.1016/j.paid.2023.112434</v>
      </c>
      <c r="BG467" t="s">
        <v>74</v>
      </c>
      <c r="BH467" t="s">
        <v>1886</v>
      </c>
      <c r="BI467">
        <v>4</v>
      </c>
      <c r="BJ467" t="s">
        <v>9142</v>
      </c>
      <c r="BK467" t="s">
        <v>159</v>
      </c>
      <c r="BL467" t="s">
        <v>1162</v>
      </c>
      <c r="BM467" t="s">
        <v>9143</v>
      </c>
      <c r="BN467" t="s">
        <v>74</v>
      </c>
      <c r="BO467" t="s">
        <v>74</v>
      </c>
      <c r="BP467" t="s">
        <v>74</v>
      </c>
      <c r="BQ467" t="s">
        <v>74</v>
      </c>
      <c r="BR467" t="s">
        <v>101</v>
      </c>
      <c r="BS467" t="s">
        <v>9144</v>
      </c>
      <c r="BT467" t="str">
        <f>HYPERLINK("https%3A%2F%2Fwww.webofscience.com%2Fwos%2Fwoscc%2Ffull-record%2FWOS:001091009800001","View Full Record in Web of Science")</f>
        <v>View Full Record in Web of Science</v>
      </c>
    </row>
    <row r="468" spans="1:72" x14ac:dyDescent="0.2">
      <c r="A468" t="s">
        <v>103</v>
      </c>
      <c r="B468" t="s">
        <v>9145</v>
      </c>
      <c r="C468" t="s">
        <v>74</v>
      </c>
      <c r="D468" t="s">
        <v>74</v>
      </c>
      <c r="E468" t="s">
        <v>74</v>
      </c>
      <c r="F468" t="s">
        <v>9146</v>
      </c>
      <c r="G468" t="s">
        <v>74</v>
      </c>
      <c r="H468" t="s">
        <v>74</v>
      </c>
      <c r="I468" t="s">
        <v>9147</v>
      </c>
      <c r="J468" t="s">
        <v>9148</v>
      </c>
      <c r="K468" t="s">
        <v>74</v>
      </c>
      <c r="L468" t="s">
        <v>74</v>
      </c>
      <c r="M468" t="s">
        <v>79</v>
      </c>
      <c r="N468" t="s">
        <v>138</v>
      </c>
      <c r="O468" t="s">
        <v>74</v>
      </c>
      <c r="P468" t="s">
        <v>74</v>
      </c>
      <c r="Q468" t="s">
        <v>74</v>
      </c>
      <c r="R468" t="s">
        <v>74</v>
      </c>
      <c r="S468" t="s">
        <v>74</v>
      </c>
      <c r="T468" t="s">
        <v>9149</v>
      </c>
      <c r="U468" t="s">
        <v>74</v>
      </c>
      <c r="V468" t="s">
        <v>9150</v>
      </c>
      <c r="W468" t="s">
        <v>9151</v>
      </c>
      <c r="X468" t="s">
        <v>9152</v>
      </c>
      <c r="Y468" t="s">
        <v>9153</v>
      </c>
      <c r="Z468" t="s">
        <v>9154</v>
      </c>
      <c r="AA468" t="s">
        <v>9155</v>
      </c>
      <c r="AB468" t="s">
        <v>9156</v>
      </c>
      <c r="AC468" t="s">
        <v>74</v>
      </c>
      <c r="AD468" t="s">
        <v>74</v>
      </c>
      <c r="AE468" t="s">
        <v>74</v>
      </c>
      <c r="AF468" t="s">
        <v>74</v>
      </c>
      <c r="AG468">
        <v>33</v>
      </c>
      <c r="AH468">
        <v>0</v>
      </c>
      <c r="AI468">
        <v>0</v>
      </c>
      <c r="AJ468">
        <v>55</v>
      </c>
      <c r="AK468">
        <v>61</v>
      </c>
      <c r="AL468" t="s">
        <v>483</v>
      </c>
      <c r="AM468" t="s">
        <v>484</v>
      </c>
      <c r="AN468" t="s">
        <v>485</v>
      </c>
      <c r="AO468" t="s">
        <v>9157</v>
      </c>
      <c r="AP468" t="s">
        <v>9158</v>
      </c>
      <c r="AQ468" t="s">
        <v>74</v>
      </c>
      <c r="AR468" t="s">
        <v>9159</v>
      </c>
      <c r="AS468" t="s">
        <v>9160</v>
      </c>
      <c r="AT468" t="s">
        <v>9161</v>
      </c>
      <c r="AU468">
        <v>2023</v>
      </c>
      <c r="AV468" t="s">
        <v>74</v>
      </c>
      <c r="AW468" t="s">
        <v>74</v>
      </c>
      <c r="AX468" t="s">
        <v>74</v>
      </c>
      <c r="AY468" t="s">
        <v>74</v>
      </c>
      <c r="AZ468" t="s">
        <v>74</v>
      </c>
      <c r="BA468" t="s">
        <v>74</v>
      </c>
      <c r="BB468" t="s">
        <v>74</v>
      </c>
      <c r="BC468" t="s">
        <v>74</v>
      </c>
      <c r="BD468" t="s">
        <v>74</v>
      </c>
      <c r="BE468" t="s">
        <v>9162</v>
      </c>
      <c r="BF468" t="str">
        <f>HYPERLINK("http://dx.doi.org/10.1108/OHI-04-2023-0079","http://dx.doi.org/10.1108/OHI-04-2023-0079")</f>
        <v>http://dx.doi.org/10.1108/OHI-04-2023-0079</v>
      </c>
      <c r="BG468" t="s">
        <v>74</v>
      </c>
      <c r="BH468" t="s">
        <v>255</v>
      </c>
      <c r="BI468">
        <v>21</v>
      </c>
      <c r="BJ468" t="s">
        <v>9163</v>
      </c>
      <c r="BK468" t="s">
        <v>530</v>
      </c>
      <c r="BL468" t="s">
        <v>9164</v>
      </c>
      <c r="BM468" t="s">
        <v>9165</v>
      </c>
      <c r="BN468" t="s">
        <v>74</v>
      </c>
      <c r="BO468" t="s">
        <v>74</v>
      </c>
      <c r="BP468" t="s">
        <v>74</v>
      </c>
      <c r="BQ468" t="s">
        <v>74</v>
      </c>
      <c r="BR468" t="s">
        <v>101</v>
      </c>
      <c r="BS468" t="s">
        <v>9166</v>
      </c>
      <c r="BT468" t="str">
        <f>HYPERLINK("https%3A%2F%2Fwww.webofscience.com%2Fwos%2Fwoscc%2Ffull-record%2FWOS:001040629200001","View Full Record in Web of Science")</f>
        <v>View Full Record in Web of Science</v>
      </c>
    </row>
    <row r="469" spans="1:72" x14ac:dyDescent="0.2">
      <c r="A469" t="s">
        <v>103</v>
      </c>
      <c r="B469" t="s">
        <v>9167</v>
      </c>
      <c r="C469" t="s">
        <v>74</v>
      </c>
      <c r="D469" t="s">
        <v>74</v>
      </c>
      <c r="E469" t="s">
        <v>74</v>
      </c>
      <c r="F469" t="s">
        <v>9168</v>
      </c>
      <c r="G469" t="s">
        <v>74</v>
      </c>
      <c r="H469" t="s">
        <v>74</v>
      </c>
      <c r="I469" t="s">
        <v>9169</v>
      </c>
      <c r="J469" t="s">
        <v>4059</v>
      </c>
      <c r="K469" t="s">
        <v>74</v>
      </c>
      <c r="L469" t="s">
        <v>74</v>
      </c>
      <c r="M469" t="s">
        <v>79</v>
      </c>
      <c r="N469" t="s">
        <v>108</v>
      </c>
      <c r="O469" t="s">
        <v>74</v>
      </c>
      <c r="P469" t="s">
        <v>74</v>
      </c>
      <c r="Q469" t="s">
        <v>74</v>
      </c>
      <c r="R469" t="s">
        <v>74</v>
      </c>
      <c r="S469" t="s">
        <v>74</v>
      </c>
      <c r="T469" t="s">
        <v>9170</v>
      </c>
      <c r="U469" t="s">
        <v>9171</v>
      </c>
      <c r="V469" t="s">
        <v>9172</v>
      </c>
      <c r="W469" t="s">
        <v>9173</v>
      </c>
      <c r="X469" t="s">
        <v>9174</v>
      </c>
      <c r="Y469" t="s">
        <v>9175</v>
      </c>
      <c r="Z469" t="s">
        <v>9176</v>
      </c>
      <c r="AA469" t="s">
        <v>9177</v>
      </c>
      <c r="AB469" t="s">
        <v>9178</v>
      </c>
      <c r="AC469" t="s">
        <v>9179</v>
      </c>
      <c r="AD469" t="s">
        <v>9179</v>
      </c>
      <c r="AE469" t="s">
        <v>9180</v>
      </c>
      <c r="AF469" t="s">
        <v>74</v>
      </c>
      <c r="AG469">
        <v>85</v>
      </c>
      <c r="AH469">
        <v>0</v>
      </c>
      <c r="AI469">
        <v>0</v>
      </c>
      <c r="AJ469">
        <v>9</v>
      </c>
      <c r="AK469">
        <v>11</v>
      </c>
      <c r="AL469" t="s">
        <v>148</v>
      </c>
      <c r="AM469" t="s">
        <v>149</v>
      </c>
      <c r="AN469" t="s">
        <v>150</v>
      </c>
      <c r="AO469" t="s">
        <v>4068</v>
      </c>
      <c r="AP469" t="s">
        <v>4069</v>
      </c>
      <c r="AQ469" t="s">
        <v>74</v>
      </c>
      <c r="AR469" t="s">
        <v>4070</v>
      </c>
      <c r="AS469" t="s">
        <v>4071</v>
      </c>
      <c r="AT469" t="s">
        <v>2582</v>
      </c>
      <c r="AU469">
        <v>2023</v>
      </c>
      <c r="AV469">
        <v>21</v>
      </c>
      <c r="AW469">
        <v>2</v>
      </c>
      <c r="AX469" t="s">
        <v>74</v>
      </c>
      <c r="AY469" t="s">
        <v>74</v>
      </c>
      <c r="AZ469" t="s">
        <v>253</v>
      </c>
      <c r="BA469" t="s">
        <v>74</v>
      </c>
      <c r="BB469">
        <v>315</v>
      </c>
      <c r="BC469">
        <v>336</v>
      </c>
      <c r="BD469" t="s">
        <v>74</v>
      </c>
      <c r="BE469" t="s">
        <v>9181</v>
      </c>
      <c r="BF469" t="str">
        <f>HYPERLINK("http://dx.doi.org/10.1177/14780771231168229","http://dx.doi.org/10.1177/14780771231168229")</f>
        <v>http://dx.doi.org/10.1177/14780771231168229</v>
      </c>
      <c r="BG469" t="s">
        <v>74</v>
      </c>
      <c r="BH469" t="s">
        <v>793</v>
      </c>
      <c r="BI469">
        <v>22</v>
      </c>
      <c r="BJ469" t="s">
        <v>4073</v>
      </c>
      <c r="BK469" t="s">
        <v>352</v>
      </c>
      <c r="BL469" t="s">
        <v>4073</v>
      </c>
      <c r="BM469" t="s">
        <v>4074</v>
      </c>
      <c r="BN469" t="s">
        <v>74</v>
      </c>
      <c r="BO469" t="s">
        <v>208</v>
      </c>
      <c r="BP469" t="s">
        <v>74</v>
      </c>
      <c r="BQ469" t="s">
        <v>74</v>
      </c>
      <c r="BR469" t="s">
        <v>101</v>
      </c>
      <c r="BS469" t="s">
        <v>9182</v>
      </c>
      <c r="BT469" t="str">
        <f>HYPERLINK("https%3A%2F%2Fwww.webofscience.com%2Fwos%2Fwoscc%2Ffull-record%2FWOS:000977899300001","View Full Record in Web of Science")</f>
        <v>View Full Record in Web of Science</v>
      </c>
    </row>
    <row r="470" spans="1:72" x14ac:dyDescent="0.2">
      <c r="A470" t="s">
        <v>103</v>
      </c>
      <c r="B470" t="s">
        <v>9183</v>
      </c>
      <c r="C470" t="s">
        <v>74</v>
      </c>
      <c r="D470" t="s">
        <v>74</v>
      </c>
      <c r="E470" t="s">
        <v>74</v>
      </c>
      <c r="F470" t="s">
        <v>9184</v>
      </c>
      <c r="G470" t="s">
        <v>74</v>
      </c>
      <c r="H470" t="s">
        <v>74</v>
      </c>
      <c r="I470" t="s">
        <v>9185</v>
      </c>
      <c r="J470" t="s">
        <v>7520</v>
      </c>
      <c r="K470" t="s">
        <v>74</v>
      </c>
      <c r="L470" t="s">
        <v>74</v>
      </c>
      <c r="M470" t="s">
        <v>79</v>
      </c>
      <c r="N470" t="s">
        <v>138</v>
      </c>
      <c r="O470" t="s">
        <v>74</v>
      </c>
      <c r="P470" t="s">
        <v>74</v>
      </c>
      <c r="Q470" t="s">
        <v>74</v>
      </c>
      <c r="R470" t="s">
        <v>74</v>
      </c>
      <c r="S470" t="s">
        <v>74</v>
      </c>
      <c r="T470" t="s">
        <v>9186</v>
      </c>
      <c r="U470" t="s">
        <v>9187</v>
      </c>
      <c r="V470" t="s">
        <v>9188</v>
      </c>
      <c r="W470" t="s">
        <v>9189</v>
      </c>
      <c r="X470" t="s">
        <v>9190</v>
      </c>
      <c r="Y470" t="s">
        <v>9191</v>
      </c>
      <c r="Z470" t="s">
        <v>9192</v>
      </c>
      <c r="AA470" t="s">
        <v>9193</v>
      </c>
      <c r="AB470" t="s">
        <v>9194</v>
      </c>
      <c r="AC470" t="s">
        <v>9195</v>
      </c>
      <c r="AD470" t="s">
        <v>6006</v>
      </c>
      <c r="AE470" t="s">
        <v>9196</v>
      </c>
      <c r="AF470" t="s">
        <v>74</v>
      </c>
      <c r="AG470">
        <v>59</v>
      </c>
      <c r="AH470">
        <v>0</v>
      </c>
      <c r="AI470">
        <v>0</v>
      </c>
      <c r="AJ470">
        <v>3</v>
      </c>
      <c r="AK470">
        <v>6</v>
      </c>
      <c r="AL470" t="s">
        <v>1379</v>
      </c>
      <c r="AM470" t="s">
        <v>1380</v>
      </c>
      <c r="AN470" t="s">
        <v>1381</v>
      </c>
      <c r="AO470" t="s">
        <v>7532</v>
      </c>
      <c r="AP470" t="s">
        <v>7533</v>
      </c>
      <c r="AQ470" t="s">
        <v>74</v>
      </c>
      <c r="AR470" t="s">
        <v>7534</v>
      </c>
      <c r="AS470" t="s">
        <v>7535</v>
      </c>
      <c r="AT470" t="s">
        <v>9197</v>
      </c>
      <c r="AU470">
        <v>2023</v>
      </c>
      <c r="AV470" t="s">
        <v>74</v>
      </c>
      <c r="AW470" t="s">
        <v>74</v>
      </c>
      <c r="AX470" t="s">
        <v>74</v>
      </c>
      <c r="AY470" t="s">
        <v>74</v>
      </c>
      <c r="AZ470" t="s">
        <v>74</v>
      </c>
      <c r="BA470" t="s">
        <v>74</v>
      </c>
      <c r="BB470" t="s">
        <v>74</v>
      </c>
      <c r="BC470" t="s">
        <v>74</v>
      </c>
      <c r="BD470" t="s">
        <v>74</v>
      </c>
      <c r="BE470" t="s">
        <v>9198</v>
      </c>
      <c r="BF470" t="str">
        <f>HYPERLINK("http://dx.doi.org/10.1109/TNNLS.2023.3251096","http://dx.doi.org/10.1109/TNNLS.2023.3251096")</f>
        <v>http://dx.doi.org/10.1109/TNNLS.2023.3251096</v>
      </c>
      <c r="BG470" t="s">
        <v>74</v>
      </c>
      <c r="BH470" t="s">
        <v>1431</v>
      </c>
      <c r="BI470">
        <v>15</v>
      </c>
      <c r="BJ470" t="s">
        <v>7537</v>
      </c>
      <c r="BK470" t="s">
        <v>130</v>
      </c>
      <c r="BL470" t="s">
        <v>906</v>
      </c>
      <c r="BM470" t="s">
        <v>9199</v>
      </c>
      <c r="BN470">
        <v>37028381</v>
      </c>
      <c r="BO470" t="s">
        <v>646</v>
      </c>
      <c r="BP470" t="s">
        <v>74</v>
      </c>
      <c r="BQ470" t="s">
        <v>74</v>
      </c>
      <c r="BR470" t="s">
        <v>101</v>
      </c>
      <c r="BS470" t="s">
        <v>9200</v>
      </c>
      <c r="BT470" t="str">
        <f>HYPERLINK("https%3A%2F%2Fwww.webofscience.com%2Fwos%2Fwoscc%2Ffull-record%2FWOS:000953949000001","View Full Record in Web of Science")</f>
        <v>View Full Record in Web of Science</v>
      </c>
    </row>
    <row r="471" spans="1:72" x14ac:dyDescent="0.2">
      <c r="A471" t="s">
        <v>103</v>
      </c>
      <c r="B471" t="s">
        <v>9201</v>
      </c>
      <c r="C471" t="s">
        <v>74</v>
      </c>
      <c r="D471" t="s">
        <v>74</v>
      </c>
      <c r="E471" t="s">
        <v>74</v>
      </c>
      <c r="F471" t="s">
        <v>9202</v>
      </c>
      <c r="G471" t="s">
        <v>74</v>
      </c>
      <c r="H471" t="s">
        <v>74</v>
      </c>
      <c r="I471" t="s">
        <v>9203</v>
      </c>
      <c r="J471" t="s">
        <v>9204</v>
      </c>
      <c r="K471" t="s">
        <v>74</v>
      </c>
      <c r="L471" t="s">
        <v>74</v>
      </c>
      <c r="M471" t="s">
        <v>79</v>
      </c>
      <c r="N471" t="s">
        <v>108</v>
      </c>
      <c r="O471" t="s">
        <v>74</v>
      </c>
      <c r="P471" t="s">
        <v>74</v>
      </c>
      <c r="Q471" t="s">
        <v>74</v>
      </c>
      <c r="R471" t="s">
        <v>74</v>
      </c>
      <c r="S471" t="s">
        <v>74</v>
      </c>
      <c r="T471" t="s">
        <v>9205</v>
      </c>
      <c r="U471" t="s">
        <v>74</v>
      </c>
      <c r="V471" t="s">
        <v>9206</v>
      </c>
      <c r="W471" t="s">
        <v>9207</v>
      </c>
      <c r="X471" t="s">
        <v>9208</v>
      </c>
      <c r="Y471" t="s">
        <v>9209</v>
      </c>
      <c r="Z471" t="s">
        <v>9210</v>
      </c>
      <c r="AA471" t="s">
        <v>74</v>
      </c>
      <c r="AB471" t="s">
        <v>74</v>
      </c>
      <c r="AC471" t="s">
        <v>9211</v>
      </c>
      <c r="AD471" t="s">
        <v>9212</v>
      </c>
      <c r="AE471" t="s">
        <v>9213</v>
      </c>
      <c r="AF471" t="s">
        <v>74</v>
      </c>
      <c r="AG471">
        <v>66</v>
      </c>
      <c r="AH471">
        <v>0</v>
      </c>
      <c r="AI471">
        <v>0</v>
      </c>
      <c r="AJ471">
        <v>9</v>
      </c>
      <c r="AK471">
        <v>9</v>
      </c>
      <c r="AL471" t="s">
        <v>9214</v>
      </c>
      <c r="AM471" t="s">
        <v>9215</v>
      </c>
      <c r="AN471" t="s">
        <v>9216</v>
      </c>
      <c r="AO471" t="s">
        <v>9217</v>
      </c>
      <c r="AP471" t="s">
        <v>74</v>
      </c>
      <c r="AQ471" t="s">
        <v>74</v>
      </c>
      <c r="AR471" t="s">
        <v>9218</v>
      </c>
      <c r="AS471" t="s">
        <v>9218</v>
      </c>
      <c r="AT471" t="s">
        <v>74</v>
      </c>
      <c r="AU471">
        <v>2023</v>
      </c>
      <c r="AV471">
        <v>29</v>
      </c>
      <c r="AW471">
        <v>2</v>
      </c>
      <c r="AX471" t="s">
        <v>74</v>
      </c>
      <c r="AY471" t="s">
        <v>74</v>
      </c>
      <c r="AZ471" t="s">
        <v>74</v>
      </c>
      <c r="BA471" t="s">
        <v>74</v>
      </c>
      <c r="BB471" t="s">
        <v>74</v>
      </c>
      <c r="BC471" t="s">
        <v>74</v>
      </c>
      <c r="BD471" t="s">
        <v>74</v>
      </c>
      <c r="BE471" t="s">
        <v>9219</v>
      </c>
      <c r="BF471" t="str">
        <f>HYPERLINK("http://dx.doi.org/10.30827/relieve.v29i2.29134","http://dx.doi.org/10.30827/relieve.v29i2.29134")</f>
        <v>http://dx.doi.org/10.30827/relieve.v29i2.29134</v>
      </c>
      <c r="BG471" t="s">
        <v>74</v>
      </c>
      <c r="BH471" t="s">
        <v>74</v>
      </c>
      <c r="BI471">
        <v>19</v>
      </c>
      <c r="BJ471" t="s">
        <v>423</v>
      </c>
      <c r="BK471" t="s">
        <v>352</v>
      </c>
      <c r="BL471" t="s">
        <v>423</v>
      </c>
      <c r="BM471" t="s">
        <v>9220</v>
      </c>
      <c r="BN471" t="s">
        <v>74</v>
      </c>
      <c r="BO471" t="s">
        <v>425</v>
      </c>
      <c r="BP471" t="s">
        <v>74</v>
      </c>
      <c r="BQ471" t="s">
        <v>74</v>
      </c>
      <c r="BR471" t="s">
        <v>101</v>
      </c>
      <c r="BS471" t="s">
        <v>9221</v>
      </c>
      <c r="BT471" t="str">
        <f>HYPERLINK("https%3A%2F%2Fwww.webofscience.com%2Fwos%2Fwoscc%2Ffull-record%2FWOS:001171855700008","View Full Record in Web of Science")</f>
        <v>View Full Record in Web of Science</v>
      </c>
    </row>
    <row r="472" spans="1:72" x14ac:dyDescent="0.2">
      <c r="A472" t="s">
        <v>103</v>
      </c>
      <c r="B472" t="s">
        <v>9222</v>
      </c>
      <c r="C472" t="s">
        <v>74</v>
      </c>
      <c r="D472" t="s">
        <v>74</v>
      </c>
      <c r="E472" t="s">
        <v>74</v>
      </c>
      <c r="F472" t="s">
        <v>9223</v>
      </c>
      <c r="G472" t="s">
        <v>74</v>
      </c>
      <c r="H472" t="s">
        <v>74</v>
      </c>
      <c r="I472" t="s">
        <v>9224</v>
      </c>
      <c r="J472" t="s">
        <v>408</v>
      </c>
      <c r="K472" t="s">
        <v>74</v>
      </c>
      <c r="L472" t="s">
        <v>74</v>
      </c>
      <c r="M472" t="s">
        <v>79</v>
      </c>
      <c r="N472" t="s">
        <v>108</v>
      </c>
      <c r="O472" t="s">
        <v>74</v>
      </c>
      <c r="P472" t="s">
        <v>74</v>
      </c>
      <c r="Q472" t="s">
        <v>74</v>
      </c>
      <c r="R472" t="s">
        <v>74</v>
      </c>
      <c r="S472" t="s">
        <v>74</v>
      </c>
      <c r="T472" t="s">
        <v>74</v>
      </c>
      <c r="U472" t="s">
        <v>9225</v>
      </c>
      <c r="V472" t="s">
        <v>9226</v>
      </c>
      <c r="W472" t="s">
        <v>9227</v>
      </c>
      <c r="X472" t="s">
        <v>1146</v>
      </c>
      <c r="Y472" t="s">
        <v>9228</v>
      </c>
      <c r="Z472" t="s">
        <v>9229</v>
      </c>
      <c r="AA472" t="s">
        <v>74</v>
      </c>
      <c r="AB472" t="s">
        <v>9230</v>
      </c>
      <c r="AC472" t="s">
        <v>9231</v>
      </c>
      <c r="AD472" t="s">
        <v>9232</v>
      </c>
      <c r="AE472" t="s">
        <v>9233</v>
      </c>
      <c r="AF472" t="s">
        <v>74</v>
      </c>
      <c r="AG472">
        <v>31</v>
      </c>
      <c r="AH472">
        <v>38</v>
      </c>
      <c r="AI472">
        <v>38</v>
      </c>
      <c r="AJ472">
        <v>221</v>
      </c>
      <c r="AK472">
        <v>250</v>
      </c>
      <c r="AL472" t="s">
        <v>9234</v>
      </c>
      <c r="AM472" t="s">
        <v>548</v>
      </c>
      <c r="AN472" t="s">
        <v>9235</v>
      </c>
      <c r="AO472" t="s">
        <v>9236</v>
      </c>
      <c r="AP472" t="s">
        <v>9237</v>
      </c>
      <c r="AQ472" t="s">
        <v>74</v>
      </c>
      <c r="AR472" t="s">
        <v>408</v>
      </c>
      <c r="AS472" t="s">
        <v>9238</v>
      </c>
      <c r="AT472" t="s">
        <v>9239</v>
      </c>
      <c r="AU472">
        <v>2023</v>
      </c>
      <c r="AV472">
        <v>381</v>
      </c>
      <c r="AW472">
        <v>6654</v>
      </c>
      <c r="AX472" t="s">
        <v>74</v>
      </c>
      <c r="AY472" t="s">
        <v>74</v>
      </c>
      <c r="AZ472" t="s">
        <v>253</v>
      </c>
      <c r="BA472" t="s">
        <v>74</v>
      </c>
      <c r="BB472">
        <v>187</v>
      </c>
      <c r="BC472">
        <v>192</v>
      </c>
      <c r="BD472" t="s">
        <v>74</v>
      </c>
      <c r="BE472" t="s">
        <v>9240</v>
      </c>
      <c r="BF472" t="str">
        <f>HYPERLINK("http://dx.doi.org/10.1126/science.adh2586","http://dx.doi.org/10.1126/science.adh2586")</f>
        <v>http://dx.doi.org/10.1126/science.adh2586</v>
      </c>
      <c r="BG472" t="s">
        <v>74</v>
      </c>
      <c r="BH472" t="s">
        <v>74</v>
      </c>
      <c r="BI472">
        <v>6</v>
      </c>
      <c r="BJ472" t="s">
        <v>5686</v>
      </c>
      <c r="BK472" t="s">
        <v>130</v>
      </c>
      <c r="BL472" t="s">
        <v>5687</v>
      </c>
      <c r="BM472" t="s">
        <v>9241</v>
      </c>
      <c r="BN472">
        <v>37440646</v>
      </c>
      <c r="BO472" t="s">
        <v>74</v>
      </c>
      <c r="BP472" t="s">
        <v>1434</v>
      </c>
      <c r="BQ472" t="s">
        <v>1912</v>
      </c>
      <c r="BR472" t="s">
        <v>101</v>
      </c>
      <c r="BS472" t="s">
        <v>9242</v>
      </c>
      <c r="BT472" t="str">
        <f>HYPERLINK("https%3A%2F%2Fwww.webofscience.com%2Fwos%2Fwoscc%2Ffull-record%2FWOS:001058656200004","View Full Record in Web of Science")</f>
        <v>View Full Record in Web of Science</v>
      </c>
    </row>
    <row r="473" spans="1:72" x14ac:dyDescent="0.2">
      <c r="A473" t="s">
        <v>103</v>
      </c>
      <c r="B473" t="s">
        <v>9243</v>
      </c>
      <c r="C473" t="s">
        <v>74</v>
      </c>
      <c r="D473" t="s">
        <v>74</v>
      </c>
      <c r="E473" t="s">
        <v>74</v>
      </c>
      <c r="F473" t="s">
        <v>9244</v>
      </c>
      <c r="G473" t="s">
        <v>74</v>
      </c>
      <c r="H473" t="s">
        <v>74</v>
      </c>
      <c r="I473" t="s">
        <v>9245</v>
      </c>
      <c r="J473" t="s">
        <v>8327</v>
      </c>
      <c r="K473" t="s">
        <v>74</v>
      </c>
      <c r="L473" t="s">
        <v>74</v>
      </c>
      <c r="M473" t="s">
        <v>79</v>
      </c>
      <c r="N473" t="s">
        <v>138</v>
      </c>
      <c r="O473" t="s">
        <v>74</v>
      </c>
      <c r="P473" t="s">
        <v>74</v>
      </c>
      <c r="Q473" t="s">
        <v>74</v>
      </c>
      <c r="R473" t="s">
        <v>74</v>
      </c>
      <c r="S473" t="s">
        <v>74</v>
      </c>
      <c r="T473" t="s">
        <v>74</v>
      </c>
      <c r="U473" t="s">
        <v>74</v>
      </c>
      <c r="V473" t="s">
        <v>9246</v>
      </c>
      <c r="W473" t="s">
        <v>9247</v>
      </c>
      <c r="X473" t="s">
        <v>9248</v>
      </c>
      <c r="Y473" t="s">
        <v>9249</v>
      </c>
      <c r="Z473" t="s">
        <v>9250</v>
      </c>
      <c r="AA473" t="s">
        <v>74</v>
      </c>
      <c r="AB473" t="s">
        <v>9251</v>
      </c>
      <c r="AC473" t="s">
        <v>74</v>
      </c>
      <c r="AD473" t="s">
        <v>74</v>
      </c>
      <c r="AE473" t="s">
        <v>74</v>
      </c>
      <c r="AF473" t="s">
        <v>74</v>
      </c>
      <c r="AG473">
        <v>13</v>
      </c>
      <c r="AH473">
        <v>0</v>
      </c>
      <c r="AI473">
        <v>0</v>
      </c>
      <c r="AJ473">
        <v>35</v>
      </c>
      <c r="AK473">
        <v>51</v>
      </c>
      <c r="AL473" t="s">
        <v>8334</v>
      </c>
      <c r="AM473" t="s">
        <v>8335</v>
      </c>
      <c r="AN473" t="s">
        <v>8336</v>
      </c>
      <c r="AO473" t="s">
        <v>8337</v>
      </c>
      <c r="AP473" t="s">
        <v>8338</v>
      </c>
      <c r="AQ473" t="s">
        <v>74</v>
      </c>
      <c r="AR473" t="s">
        <v>8339</v>
      </c>
      <c r="AS473" t="s">
        <v>8340</v>
      </c>
      <c r="AT473" t="s">
        <v>9252</v>
      </c>
      <c r="AU473">
        <v>2023</v>
      </c>
      <c r="AV473" t="s">
        <v>74</v>
      </c>
      <c r="AW473" t="s">
        <v>74</v>
      </c>
      <c r="AX473" t="s">
        <v>74</v>
      </c>
      <c r="AY473" t="s">
        <v>74</v>
      </c>
      <c r="AZ473" t="s">
        <v>74</v>
      </c>
      <c r="BA473" t="s">
        <v>74</v>
      </c>
      <c r="BB473" t="s">
        <v>74</v>
      </c>
      <c r="BC473" t="s">
        <v>74</v>
      </c>
      <c r="BD473" t="s">
        <v>74</v>
      </c>
      <c r="BE473" t="s">
        <v>9253</v>
      </c>
      <c r="BF473" t="str">
        <f>HYPERLINK("http://dx.doi.org/10.1071/MA23036","http://dx.doi.org/10.1071/MA23036")</f>
        <v>http://dx.doi.org/10.1071/MA23036</v>
      </c>
      <c r="BG473" t="s">
        <v>74</v>
      </c>
      <c r="BH473" t="s">
        <v>229</v>
      </c>
      <c r="BI473">
        <v>3</v>
      </c>
      <c r="BJ473" t="s">
        <v>8343</v>
      </c>
      <c r="BK473" t="s">
        <v>352</v>
      </c>
      <c r="BL473" t="s">
        <v>8343</v>
      </c>
      <c r="BM473" t="s">
        <v>9254</v>
      </c>
      <c r="BN473" t="s">
        <v>74</v>
      </c>
      <c r="BO473" t="s">
        <v>9255</v>
      </c>
      <c r="BP473" t="s">
        <v>74</v>
      </c>
      <c r="BQ473" t="s">
        <v>74</v>
      </c>
      <c r="BR473" t="s">
        <v>101</v>
      </c>
      <c r="BS473" t="s">
        <v>9256</v>
      </c>
      <c r="BT473" t="str">
        <f>HYPERLINK("https%3A%2F%2Fwww.webofscience.com%2Fwos%2Fwoscc%2Ffull-record%2FWOS:001027882700001","View Full Record in Web of Science")</f>
        <v>View Full Record in Web of Science</v>
      </c>
    </row>
    <row r="474" spans="1:72" x14ac:dyDescent="0.2">
      <c r="A474" t="s">
        <v>103</v>
      </c>
      <c r="B474" t="s">
        <v>9243</v>
      </c>
      <c r="C474" t="s">
        <v>74</v>
      </c>
      <c r="D474" t="s">
        <v>74</v>
      </c>
      <c r="E474" t="s">
        <v>74</v>
      </c>
      <c r="F474" t="s">
        <v>9244</v>
      </c>
      <c r="G474" t="s">
        <v>74</v>
      </c>
      <c r="H474" t="s">
        <v>74</v>
      </c>
      <c r="I474" t="s">
        <v>9245</v>
      </c>
      <c r="J474" t="s">
        <v>8327</v>
      </c>
      <c r="K474" t="s">
        <v>74</v>
      </c>
      <c r="L474" t="s">
        <v>74</v>
      </c>
      <c r="M474" t="s">
        <v>79</v>
      </c>
      <c r="N474" t="s">
        <v>108</v>
      </c>
      <c r="O474" t="s">
        <v>74</v>
      </c>
      <c r="P474" t="s">
        <v>74</v>
      </c>
      <c r="Q474" t="s">
        <v>74</v>
      </c>
      <c r="R474" t="s">
        <v>74</v>
      </c>
      <c r="S474" t="s">
        <v>74</v>
      </c>
      <c r="T474" t="s">
        <v>74</v>
      </c>
      <c r="U474" t="s">
        <v>74</v>
      </c>
      <c r="V474" t="s">
        <v>9246</v>
      </c>
      <c r="W474" t="s">
        <v>9247</v>
      </c>
      <c r="X474" t="s">
        <v>9248</v>
      </c>
      <c r="Y474" t="s">
        <v>9249</v>
      </c>
      <c r="Z474" t="s">
        <v>9250</v>
      </c>
      <c r="AA474" t="s">
        <v>74</v>
      </c>
      <c r="AB474" t="s">
        <v>9251</v>
      </c>
      <c r="AC474" t="s">
        <v>74</v>
      </c>
      <c r="AD474" t="s">
        <v>74</v>
      </c>
      <c r="AE474" t="s">
        <v>74</v>
      </c>
      <c r="AF474" t="s">
        <v>74</v>
      </c>
      <c r="AG474">
        <v>13</v>
      </c>
      <c r="AH474">
        <v>0</v>
      </c>
      <c r="AI474">
        <v>0</v>
      </c>
      <c r="AJ474">
        <v>35</v>
      </c>
      <c r="AK474">
        <v>51</v>
      </c>
      <c r="AL474" t="s">
        <v>8334</v>
      </c>
      <c r="AM474" t="s">
        <v>8335</v>
      </c>
      <c r="AN474" t="s">
        <v>8336</v>
      </c>
      <c r="AO474" t="s">
        <v>8337</v>
      </c>
      <c r="AP474" t="s">
        <v>8338</v>
      </c>
      <c r="AQ474" t="s">
        <v>74</v>
      </c>
      <c r="AR474" t="s">
        <v>8339</v>
      </c>
      <c r="AS474" t="s">
        <v>8340</v>
      </c>
      <c r="AT474" t="s">
        <v>74</v>
      </c>
      <c r="AU474">
        <v>2023</v>
      </c>
      <c r="AV474">
        <v>44</v>
      </c>
      <c r="AW474">
        <v>3</v>
      </c>
      <c r="AX474" t="s">
        <v>74</v>
      </c>
      <c r="AY474" t="s">
        <v>74</v>
      </c>
      <c r="AZ474" t="s">
        <v>74</v>
      </c>
      <c r="BA474" t="s">
        <v>74</v>
      </c>
      <c r="BB474">
        <v>124</v>
      </c>
      <c r="BC474">
        <v>126</v>
      </c>
      <c r="BD474" t="s">
        <v>74</v>
      </c>
      <c r="BE474" t="s">
        <v>9253</v>
      </c>
      <c r="BF474" t="str">
        <f>HYPERLINK("http://dx.doi.org/10.1071/MA23036","http://dx.doi.org/10.1071/MA23036")</f>
        <v>http://dx.doi.org/10.1071/MA23036</v>
      </c>
      <c r="BG474" t="s">
        <v>74</v>
      </c>
      <c r="BH474" t="s">
        <v>74</v>
      </c>
      <c r="BI474">
        <v>3</v>
      </c>
      <c r="BJ474" t="s">
        <v>8343</v>
      </c>
      <c r="BK474" t="s">
        <v>352</v>
      </c>
      <c r="BL474" t="s">
        <v>8343</v>
      </c>
      <c r="BM474" t="s">
        <v>8406</v>
      </c>
      <c r="BN474" t="s">
        <v>74</v>
      </c>
      <c r="BO474" t="s">
        <v>819</v>
      </c>
      <c r="BP474" t="s">
        <v>74</v>
      </c>
      <c r="BQ474" t="s">
        <v>74</v>
      </c>
      <c r="BR474" t="s">
        <v>101</v>
      </c>
      <c r="BS474" t="s">
        <v>9257</v>
      </c>
      <c r="BT474" t="str">
        <f>HYPERLINK("https%3A%2F%2Fwww.webofscience.com%2Fwos%2Fwoscc%2Ffull-record%2FWOS:001176478700004","View Full Record in Web of Science")</f>
        <v>View Full Record in Web of Science</v>
      </c>
    </row>
    <row r="475" spans="1:72" x14ac:dyDescent="0.2">
      <c r="A475" t="s">
        <v>103</v>
      </c>
      <c r="B475" t="s">
        <v>9258</v>
      </c>
      <c r="C475" t="s">
        <v>74</v>
      </c>
      <c r="D475" t="s">
        <v>74</v>
      </c>
      <c r="E475" t="s">
        <v>74</v>
      </c>
      <c r="F475" t="s">
        <v>9259</v>
      </c>
      <c r="G475" t="s">
        <v>74</v>
      </c>
      <c r="H475" t="s">
        <v>74</v>
      </c>
      <c r="I475" t="s">
        <v>9260</v>
      </c>
      <c r="J475" t="s">
        <v>9261</v>
      </c>
      <c r="K475" t="s">
        <v>74</v>
      </c>
      <c r="L475" t="s">
        <v>74</v>
      </c>
      <c r="M475" t="s">
        <v>79</v>
      </c>
      <c r="N475" t="s">
        <v>108</v>
      </c>
      <c r="O475" t="s">
        <v>74</v>
      </c>
      <c r="P475" t="s">
        <v>74</v>
      </c>
      <c r="Q475" t="s">
        <v>74</v>
      </c>
      <c r="R475" t="s">
        <v>74</v>
      </c>
      <c r="S475" t="s">
        <v>74</v>
      </c>
      <c r="T475" t="s">
        <v>9262</v>
      </c>
      <c r="U475" t="s">
        <v>74</v>
      </c>
      <c r="V475" t="s">
        <v>9263</v>
      </c>
      <c r="W475" t="s">
        <v>9264</v>
      </c>
      <c r="X475" t="s">
        <v>3357</v>
      </c>
      <c r="Y475" t="s">
        <v>9265</v>
      </c>
      <c r="Z475" t="s">
        <v>9266</v>
      </c>
      <c r="AA475" t="s">
        <v>74</v>
      </c>
      <c r="AB475" t="s">
        <v>9267</v>
      </c>
      <c r="AC475" t="s">
        <v>9268</v>
      </c>
      <c r="AD475" t="s">
        <v>9269</v>
      </c>
      <c r="AE475" t="s">
        <v>9270</v>
      </c>
      <c r="AF475" t="s">
        <v>74</v>
      </c>
      <c r="AG475">
        <v>33</v>
      </c>
      <c r="AH475">
        <v>2</v>
      </c>
      <c r="AI475">
        <v>2</v>
      </c>
      <c r="AJ475">
        <v>11</v>
      </c>
      <c r="AK475">
        <v>18</v>
      </c>
      <c r="AL475" t="s">
        <v>939</v>
      </c>
      <c r="AM475" t="s">
        <v>940</v>
      </c>
      <c r="AN475" t="s">
        <v>941</v>
      </c>
      <c r="AO475" t="s">
        <v>74</v>
      </c>
      <c r="AP475" t="s">
        <v>9271</v>
      </c>
      <c r="AQ475" t="s">
        <v>74</v>
      </c>
      <c r="AR475" t="s">
        <v>9261</v>
      </c>
      <c r="AS475" t="s">
        <v>9272</v>
      </c>
      <c r="AT475" t="s">
        <v>251</v>
      </c>
      <c r="AU475">
        <v>2023</v>
      </c>
      <c r="AV475">
        <v>16</v>
      </c>
      <c r="AW475">
        <v>4</v>
      </c>
      <c r="AX475" t="s">
        <v>74</v>
      </c>
      <c r="AY475" t="s">
        <v>74</v>
      </c>
      <c r="AZ475" t="s">
        <v>74</v>
      </c>
      <c r="BA475" t="s">
        <v>74</v>
      </c>
      <c r="BB475" t="s">
        <v>74</v>
      </c>
      <c r="BC475" t="s">
        <v>74</v>
      </c>
      <c r="BD475">
        <v>1636</v>
      </c>
      <c r="BE475" t="s">
        <v>9273</v>
      </c>
      <c r="BF475" t="str">
        <f>HYPERLINK("http://dx.doi.org/10.3390/en16041636","http://dx.doi.org/10.3390/en16041636")</f>
        <v>http://dx.doi.org/10.3390/en16041636</v>
      </c>
      <c r="BG475" t="s">
        <v>74</v>
      </c>
      <c r="BH475" t="s">
        <v>74</v>
      </c>
      <c r="BI475">
        <v>20</v>
      </c>
      <c r="BJ475" t="s">
        <v>9274</v>
      </c>
      <c r="BK475" t="s">
        <v>130</v>
      </c>
      <c r="BL475" t="s">
        <v>9274</v>
      </c>
      <c r="BM475" t="s">
        <v>9275</v>
      </c>
      <c r="BN475" t="s">
        <v>74</v>
      </c>
      <c r="BO475" t="s">
        <v>4185</v>
      </c>
      <c r="BP475" t="s">
        <v>74</v>
      </c>
      <c r="BQ475" t="s">
        <v>74</v>
      </c>
      <c r="BR475" t="s">
        <v>101</v>
      </c>
      <c r="BS475" t="s">
        <v>9276</v>
      </c>
      <c r="BT475" t="str">
        <f>HYPERLINK("https%3A%2F%2Fwww.webofscience.com%2Fwos%2Fwoscc%2Ffull-record%2FWOS:000938891900001","View Full Record in Web of Science")</f>
        <v>View Full Record in Web of Science</v>
      </c>
    </row>
    <row r="476" spans="1:72" x14ac:dyDescent="0.2">
      <c r="A476" t="s">
        <v>72</v>
      </c>
      <c r="B476" t="s">
        <v>9277</v>
      </c>
      <c r="C476" t="s">
        <v>74</v>
      </c>
      <c r="D476" t="s">
        <v>74</v>
      </c>
      <c r="E476" t="s">
        <v>75</v>
      </c>
      <c r="F476" t="s">
        <v>9278</v>
      </c>
      <c r="G476" t="s">
        <v>74</v>
      </c>
      <c r="H476" t="s">
        <v>74</v>
      </c>
      <c r="I476" t="s">
        <v>9279</v>
      </c>
      <c r="J476" t="s">
        <v>166</v>
      </c>
      <c r="K476" t="s">
        <v>74</v>
      </c>
      <c r="L476" t="s">
        <v>74</v>
      </c>
      <c r="M476" t="s">
        <v>79</v>
      </c>
      <c r="N476" t="s">
        <v>80</v>
      </c>
      <c r="O476" t="s">
        <v>167</v>
      </c>
      <c r="P476" t="s">
        <v>168</v>
      </c>
      <c r="Q476" t="s">
        <v>169</v>
      </c>
      <c r="R476" t="s">
        <v>170</v>
      </c>
      <c r="S476" t="s">
        <v>74</v>
      </c>
      <c r="T476" t="s">
        <v>9280</v>
      </c>
      <c r="U476" t="s">
        <v>74</v>
      </c>
      <c r="V476" t="s">
        <v>9281</v>
      </c>
      <c r="W476" t="s">
        <v>9282</v>
      </c>
      <c r="X476" t="s">
        <v>9283</v>
      </c>
      <c r="Y476" t="s">
        <v>9284</v>
      </c>
      <c r="Z476" t="s">
        <v>9285</v>
      </c>
      <c r="AA476" t="s">
        <v>74</v>
      </c>
      <c r="AB476" t="s">
        <v>74</v>
      </c>
      <c r="AC476" t="s">
        <v>9286</v>
      </c>
      <c r="AD476" t="s">
        <v>9286</v>
      </c>
      <c r="AE476" t="s">
        <v>9287</v>
      </c>
      <c r="AF476" t="s">
        <v>74</v>
      </c>
      <c r="AG476">
        <v>7</v>
      </c>
      <c r="AH476">
        <v>0</v>
      </c>
      <c r="AI476">
        <v>0</v>
      </c>
      <c r="AJ476">
        <v>1</v>
      </c>
      <c r="AK476">
        <v>1</v>
      </c>
      <c r="AL476" t="s">
        <v>92</v>
      </c>
      <c r="AM476" t="s">
        <v>93</v>
      </c>
      <c r="AN476" t="s">
        <v>94</v>
      </c>
      <c r="AO476" t="s">
        <v>74</v>
      </c>
      <c r="AP476" t="s">
        <v>74</v>
      </c>
      <c r="AQ476" t="s">
        <v>177</v>
      </c>
      <c r="AR476" t="s">
        <v>74</v>
      </c>
      <c r="AS476" t="s">
        <v>74</v>
      </c>
      <c r="AT476" t="s">
        <v>74</v>
      </c>
      <c r="AU476">
        <v>2023</v>
      </c>
      <c r="AV476" t="s">
        <v>74</v>
      </c>
      <c r="AW476" t="s">
        <v>74</v>
      </c>
      <c r="AX476" t="s">
        <v>74</v>
      </c>
      <c r="AY476" t="s">
        <v>74</v>
      </c>
      <c r="AZ476" t="s">
        <v>74</v>
      </c>
      <c r="BA476" t="s">
        <v>74</v>
      </c>
      <c r="BB476">
        <v>239</v>
      </c>
      <c r="BC476">
        <v>242</v>
      </c>
      <c r="BD476" t="s">
        <v>74</v>
      </c>
      <c r="BE476" t="s">
        <v>9288</v>
      </c>
      <c r="BF476" t="str">
        <f>HYPERLINK("http://dx.doi.org/10.1145/3591196.3593508","http://dx.doi.org/10.1145/3591196.3593508")</f>
        <v>http://dx.doi.org/10.1145/3591196.3593508</v>
      </c>
      <c r="BG476" t="s">
        <v>74</v>
      </c>
      <c r="BH476" t="s">
        <v>74</v>
      </c>
      <c r="BI476">
        <v>4</v>
      </c>
      <c r="BJ476" t="s">
        <v>179</v>
      </c>
      <c r="BK476" t="s">
        <v>180</v>
      </c>
      <c r="BL476" t="s">
        <v>181</v>
      </c>
      <c r="BM476" t="s">
        <v>182</v>
      </c>
      <c r="BN476" t="s">
        <v>74</v>
      </c>
      <c r="BO476" t="s">
        <v>74</v>
      </c>
      <c r="BP476" t="s">
        <v>74</v>
      </c>
      <c r="BQ476" t="s">
        <v>74</v>
      </c>
      <c r="BR476" t="s">
        <v>101</v>
      </c>
      <c r="BS476" t="s">
        <v>9289</v>
      </c>
      <c r="BT476" t="str">
        <f>HYPERLINK("https%3A%2F%2Fwww.webofscience.com%2Fwos%2Fwoscc%2Ffull-record%2FWOS:001119074200029","View Full Record in Web of Science")</f>
        <v>View Full Record in Web of Science</v>
      </c>
    </row>
    <row r="477" spans="1:72" x14ac:dyDescent="0.2">
      <c r="A477" t="s">
        <v>103</v>
      </c>
      <c r="B477" t="s">
        <v>9290</v>
      </c>
      <c r="C477" t="s">
        <v>74</v>
      </c>
      <c r="D477" t="s">
        <v>74</v>
      </c>
      <c r="E477" t="s">
        <v>74</v>
      </c>
      <c r="F477" t="s">
        <v>9291</v>
      </c>
      <c r="G477" t="s">
        <v>74</v>
      </c>
      <c r="H477" t="s">
        <v>74</v>
      </c>
      <c r="I477" t="s">
        <v>9292</v>
      </c>
      <c r="J477" t="s">
        <v>9293</v>
      </c>
      <c r="K477" t="s">
        <v>74</v>
      </c>
      <c r="L477" t="s">
        <v>74</v>
      </c>
      <c r="M477" t="s">
        <v>79</v>
      </c>
      <c r="N477" t="s">
        <v>108</v>
      </c>
      <c r="O477" t="s">
        <v>74</v>
      </c>
      <c r="P477" t="s">
        <v>74</v>
      </c>
      <c r="Q477" t="s">
        <v>74</v>
      </c>
      <c r="R477" t="s">
        <v>74</v>
      </c>
      <c r="S477" t="s">
        <v>74</v>
      </c>
      <c r="T477" t="s">
        <v>9294</v>
      </c>
      <c r="U477" t="s">
        <v>74</v>
      </c>
      <c r="V477" t="s">
        <v>9295</v>
      </c>
      <c r="W477" t="s">
        <v>9296</v>
      </c>
      <c r="X477" t="s">
        <v>9297</v>
      </c>
      <c r="Y477" t="s">
        <v>9298</v>
      </c>
      <c r="Z477" t="s">
        <v>9299</v>
      </c>
      <c r="AA477" t="s">
        <v>74</v>
      </c>
      <c r="AB477" t="s">
        <v>9300</v>
      </c>
      <c r="AC477" t="s">
        <v>9301</v>
      </c>
      <c r="AD477" t="s">
        <v>9302</v>
      </c>
      <c r="AE477" t="s">
        <v>9303</v>
      </c>
      <c r="AF477" t="s">
        <v>74</v>
      </c>
      <c r="AG477">
        <v>11</v>
      </c>
      <c r="AH477">
        <v>3</v>
      </c>
      <c r="AI477">
        <v>3</v>
      </c>
      <c r="AJ477">
        <v>10</v>
      </c>
      <c r="AK477">
        <v>12</v>
      </c>
      <c r="AL477" t="s">
        <v>764</v>
      </c>
      <c r="AM477" t="s">
        <v>765</v>
      </c>
      <c r="AN477" t="s">
        <v>766</v>
      </c>
      <c r="AO477" t="s">
        <v>9304</v>
      </c>
      <c r="AP477" t="s">
        <v>74</v>
      </c>
      <c r="AQ477" t="s">
        <v>74</v>
      </c>
      <c r="AR477" t="s">
        <v>9293</v>
      </c>
      <c r="AS477" t="s">
        <v>9305</v>
      </c>
      <c r="AT477" t="s">
        <v>445</v>
      </c>
      <c r="AU477">
        <v>2023</v>
      </c>
      <c r="AV477">
        <v>9</v>
      </c>
      <c r="AW477">
        <v>2</v>
      </c>
      <c r="AX477" t="s">
        <v>74</v>
      </c>
      <c r="AY477" t="s">
        <v>74</v>
      </c>
      <c r="AZ477" t="s">
        <v>74</v>
      </c>
      <c r="BA477" t="s">
        <v>74</v>
      </c>
      <c r="BB477">
        <v>241</v>
      </c>
      <c r="BC477">
        <v>246</v>
      </c>
      <c r="BD477" t="s">
        <v>74</v>
      </c>
      <c r="BE477" t="s">
        <v>9306</v>
      </c>
      <c r="BF477" t="str">
        <f>HYPERLINK("http://dx.doi.org/10.1016/j.icte.2021.12.014","http://dx.doi.org/10.1016/j.icte.2021.12.014")</f>
        <v>http://dx.doi.org/10.1016/j.icte.2021.12.014</v>
      </c>
      <c r="BG477" t="s">
        <v>74</v>
      </c>
      <c r="BH477" t="s">
        <v>793</v>
      </c>
      <c r="BI477">
        <v>6</v>
      </c>
      <c r="BJ477" t="s">
        <v>9307</v>
      </c>
      <c r="BK477" t="s">
        <v>130</v>
      </c>
      <c r="BL477" t="s">
        <v>644</v>
      </c>
      <c r="BM477" t="s">
        <v>9308</v>
      </c>
      <c r="BN477" t="s">
        <v>74</v>
      </c>
      <c r="BO477" t="s">
        <v>425</v>
      </c>
      <c r="BP477" t="s">
        <v>74</v>
      </c>
      <c r="BQ477" t="s">
        <v>74</v>
      </c>
      <c r="BR477" t="s">
        <v>101</v>
      </c>
      <c r="BS477" t="s">
        <v>9309</v>
      </c>
      <c r="BT477" t="str">
        <f>HYPERLINK("https%3A%2F%2Fwww.webofscience.com%2Fwos%2Fwoscc%2Ffull-record%2FWOS:000989582200001","View Full Record in Web of Science")</f>
        <v>View Full Record in Web of Science</v>
      </c>
    </row>
    <row r="478" spans="1:72" x14ac:dyDescent="0.2">
      <c r="A478" t="s">
        <v>103</v>
      </c>
      <c r="B478" t="s">
        <v>9310</v>
      </c>
      <c r="C478" t="s">
        <v>74</v>
      </c>
      <c r="D478" t="s">
        <v>74</v>
      </c>
      <c r="E478" t="s">
        <v>74</v>
      </c>
      <c r="F478" t="s">
        <v>9311</v>
      </c>
      <c r="G478" t="s">
        <v>74</v>
      </c>
      <c r="H478" t="s">
        <v>74</v>
      </c>
      <c r="I478" t="s">
        <v>9312</v>
      </c>
      <c r="J478" t="s">
        <v>9313</v>
      </c>
      <c r="K478" t="s">
        <v>74</v>
      </c>
      <c r="L478" t="s">
        <v>74</v>
      </c>
      <c r="M478" t="s">
        <v>79</v>
      </c>
      <c r="N478" t="s">
        <v>108</v>
      </c>
      <c r="O478" t="s">
        <v>74</v>
      </c>
      <c r="P478" t="s">
        <v>74</v>
      </c>
      <c r="Q478" t="s">
        <v>74</v>
      </c>
      <c r="R478" t="s">
        <v>74</v>
      </c>
      <c r="S478" t="s">
        <v>74</v>
      </c>
      <c r="T478" t="s">
        <v>74</v>
      </c>
      <c r="U478" t="s">
        <v>74</v>
      </c>
      <c r="V478" t="s">
        <v>9314</v>
      </c>
      <c r="W478" t="s">
        <v>9315</v>
      </c>
      <c r="X478" t="s">
        <v>9316</v>
      </c>
      <c r="Y478" t="s">
        <v>9317</v>
      </c>
      <c r="Z478" t="s">
        <v>9318</v>
      </c>
      <c r="AA478" t="s">
        <v>516</v>
      </c>
      <c r="AB478" t="s">
        <v>9319</v>
      </c>
      <c r="AC478" t="s">
        <v>74</v>
      </c>
      <c r="AD478" t="s">
        <v>74</v>
      </c>
      <c r="AE478" t="s">
        <v>74</v>
      </c>
      <c r="AF478" t="s">
        <v>74</v>
      </c>
      <c r="AG478">
        <v>17</v>
      </c>
      <c r="AH478">
        <v>0</v>
      </c>
      <c r="AI478">
        <v>0</v>
      </c>
      <c r="AJ478">
        <v>11</v>
      </c>
      <c r="AK478">
        <v>11</v>
      </c>
      <c r="AL478" t="s">
        <v>1152</v>
      </c>
      <c r="AM478" t="s">
        <v>1153</v>
      </c>
      <c r="AN478" t="s">
        <v>1154</v>
      </c>
      <c r="AO478" t="s">
        <v>9320</v>
      </c>
      <c r="AP478" t="s">
        <v>9321</v>
      </c>
      <c r="AQ478" t="s">
        <v>74</v>
      </c>
      <c r="AR478" t="s">
        <v>9322</v>
      </c>
      <c r="AS478" t="s">
        <v>9323</v>
      </c>
      <c r="AT478" t="s">
        <v>791</v>
      </c>
      <c r="AU478">
        <v>2023</v>
      </c>
      <c r="AV478">
        <v>31</v>
      </c>
      <c r="AW478">
        <v>4</v>
      </c>
      <c r="AX478" t="s">
        <v>74</v>
      </c>
      <c r="AY478" t="s">
        <v>74</v>
      </c>
      <c r="AZ478" t="s">
        <v>74</v>
      </c>
      <c r="BA478" t="s">
        <v>74</v>
      </c>
      <c r="BB478">
        <v>406</v>
      </c>
      <c r="BC478">
        <v>421</v>
      </c>
      <c r="BD478" t="s">
        <v>9324</v>
      </c>
      <c r="BE478" t="s">
        <v>9325</v>
      </c>
      <c r="BF478" t="str">
        <f>HYPERLINK("http://dx.doi.org/10.1017/S1062798723000145","http://dx.doi.org/10.1017/S1062798723000145")</f>
        <v>http://dx.doi.org/10.1017/S1062798723000145</v>
      </c>
      <c r="BG478" t="s">
        <v>74</v>
      </c>
      <c r="BH478" t="s">
        <v>255</v>
      </c>
      <c r="BI478">
        <v>16</v>
      </c>
      <c r="BJ478" t="s">
        <v>1364</v>
      </c>
      <c r="BK478" t="s">
        <v>159</v>
      </c>
      <c r="BL478" t="s">
        <v>1364</v>
      </c>
      <c r="BM478" t="s">
        <v>9326</v>
      </c>
      <c r="BN478" t="s">
        <v>74</v>
      </c>
      <c r="BO478" t="s">
        <v>161</v>
      </c>
      <c r="BP478" t="s">
        <v>74</v>
      </c>
      <c r="BQ478" t="s">
        <v>74</v>
      </c>
      <c r="BR478" t="s">
        <v>101</v>
      </c>
      <c r="BS478" t="s">
        <v>9327</v>
      </c>
      <c r="BT478" t="str">
        <f>HYPERLINK("https%3A%2F%2Fwww.webofscience.com%2Fwos%2Fwoscc%2Ffull-record%2FWOS:001040037100001","View Full Record in Web of Science")</f>
        <v>View Full Record in Web of Science</v>
      </c>
    </row>
    <row r="479" spans="1:72" x14ac:dyDescent="0.2">
      <c r="A479" t="s">
        <v>103</v>
      </c>
      <c r="B479" t="s">
        <v>9328</v>
      </c>
      <c r="C479" t="s">
        <v>74</v>
      </c>
      <c r="D479" t="s">
        <v>74</v>
      </c>
      <c r="E479" t="s">
        <v>74</v>
      </c>
      <c r="F479" t="s">
        <v>9329</v>
      </c>
      <c r="G479" t="s">
        <v>74</v>
      </c>
      <c r="H479" t="s">
        <v>74</v>
      </c>
      <c r="I479" t="s">
        <v>9330</v>
      </c>
      <c r="J479" t="s">
        <v>9331</v>
      </c>
      <c r="K479" t="s">
        <v>74</v>
      </c>
      <c r="L479" t="s">
        <v>74</v>
      </c>
      <c r="M479" t="s">
        <v>79</v>
      </c>
      <c r="N479" t="s">
        <v>108</v>
      </c>
      <c r="O479" t="s">
        <v>74</v>
      </c>
      <c r="P479" t="s">
        <v>74</v>
      </c>
      <c r="Q479" t="s">
        <v>74</v>
      </c>
      <c r="R479" t="s">
        <v>74</v>
      </c>
      <c r="S479" t="s">
        <v>74</v>
      </c>
      <c r="T479" t="s">
        <v>74</v>
      </c>
      <c r="U479" t="s">
        <v>9332</v>
      </c>
      <c r="V479" t="s">
        <v>9333</v>
      </c>
      <c r="W479" t="s">
        <v>9334</v>
      </c>
      <c r="X479" t="s">
        <v>9335</v>
      </c>
      <c r="Y479" t="s">
        <v>9336</v>
      </c>
      <c r="Z479" t="s">
        <v>9337</v>
      </c>
      <c r="AA479" t="s">
        <v>74</v>
      </c>
      <c r="AB479" t="s">
        <v>9338</v>
      </c>
      <c r="AC479" t="s">
        <v>74</v>
      </c>
      <c r="AD479" t="s">
        <v>74</v>
      </c>
      <c r="AE479" t="s">
        <v>74</v>
      </c>
      <c r="AF479" t="s">
        <v>74</v>
      </c>
      <c r="AG479">
        <v>29</v>
      </c>
      <c r="AH479">
        <v>1</v>
      </c>
      <c r="AI479">
        <v>1</v>
      </c>
      <c r="AJ479">
        <v>7</v>
      </c>
      <c r="AK479">
        <v>7</v>
      </c>
      <c r="AL479" t="s">
        <v>9339</v>
      </c>
      <c r="AM479" t="s">
        <v>2757</v>
      </c>
      <c r="AN479" t="s">
        <v>9340</v>
      </c>
      <c r="AO479" t="s">
        <v>9341</v>
      </c>
      <c r="AP479" t="s">
        <v>74</v>
      </c>
      <c r="AQ479" t="s">
        <v>74</v>
      </c>
      <c r="AR479" t="s">
        <v>9342</v>
      </c>
      <c r="AS479" t="s">
        <v>9343</v>
      </c>
      <c r="AT479" t="s">
        <v>9344</v>
      </c>
      <c r="AU479">
        <v>2023</v>
      </c>
      <c r="AV479">
        <v>6</v>
      </c>
      <c r="AW479">
        <v>10</v>
      </c>
      <c r="AX479" t="s">
        <v>74</v>
      </c>
      <c r="AY479" t="s">
        <v>74</v>
      </c>
      <c r="AZ479" t="s">
        <v>74</v>
      </c>
      <c r="BA479" t="s">
        <v>74</v>
      </c>
      <c r="BB479" t="s">
        <v>74</v>
      </c>
      <c r="BC479" t="s">
        <v>74</v>
      </c>
      <c r="BD479" t="s">
        <v>9345</v>
      </c>
      <c r="BE479" t="s">
        <v>9346</v>
      </c>
      <c r="BF479" t="str">
        <f>HYPERLINK("http://dx.doi.org/10.1001/jamanetworkopen.2023.36100","http://dx.doi.org/10.1001/jamanetworkopen.2023.36100")</f>
        <v>http://dx.doi.org/10.1001/jamanetworkopen.2023.36100</v>
      </c>
      <c r="BG479" t="s">
        <v>74</v>
      </c>
      <c r="BH479" t="s">
        <v>74</v>
      </c>
      <c r="BI479">
        <v>10</v>
      </c>
      <c r="BJ479" t="s">
        <v>3440</v>
      </c>
      <c r="BK479" t="s">
        <v>130</v>
      </c>
      <c r="BL479" t="s">
        <v>3441</v>
      </c>
      <c r="BM479" t="s">
        <v>9347</v>
      </c>
      <c r="BN479">
        <v>37796505</v>
      </c>
      <c r="BO479" t="s">
        <v>1728</v>
      </c>
      <c r="BP479" t="s">
        <v>74</v>
      </c>
      <c r="BQ479" t="s">
        <v>74</v>
      </c>
      <c r="BR479" t="s">
        <v>101</v>
      </c>
      <c r="BS479" t="s">
        <v>9348</v>
      </c>
      <c r="BT479" t="str">
        <f>HYPERLINK("https%3A%2F%2Fwww.webofscience.com%2Fwos%2Fwoscc%2Ffull-record%2FWOS:001078130500009","View Full Record in Web of Science")</f>
        <v>View Full Record in Web of Science</v>
      </c>
    </row>
    <row r="480" spans="1:72" x14ac:dyDescent="0.2">
      <c r="A480" t="s">
        <v>103</v>
      </c>
      <c r="B480" t="s">
        <v>9349</v>
      </c>
      <c r="C480" t="s">
        <v>74</v>
      </c>
      <c r="D480" t="s">
        <v>74</v>
      </c>
      <c r="E480" t="s">
        <v>74</v>
      </c>
      <c r="F480" t="s">
        <v>9350</v>
      </c>
      <c r="G480" t="s">
        <v>74</v>
      </c>
      <c r="H480" t="s">
        <v>74</v>
      </c>
      <c r="I480" t="s">
        <v>9351</v>
      </c>
      <c r="J480" t="s">
        <v>7805</v>
      </c>
      <c r="K480" t="s">
        <v>74</v>
      </c>
      <c r="L480" t="s">
        <v>74</v>
      </c>
      <c r="M480" t="s">
        <v>79</v>
      </c>
      <c r="N480" t="s">
        <v>108</v>
      </c>
      <c r="O480" t="s">
        <v>74</v>
      </c>
      <c r="P480" t="s">
        <v>74</v>
      </c>
      <c r="Q480" t="s">
        <v>74</v>
      </c>
      <c r="R480" t="s">
        <v>74</v>
      </c>
      <c r="S480" t="s">
        <v>74</v>
      </c>
      <c r="T480" t="s">
        <v>9352</v>
      </c>
      <c r="U480" t="s">
        <v>9353</v>
      </c>
      <c r="V480" t="s">
        <v>9354</v>
      </c>
      <c r="W480" t="s">
        <v>9355</v>
      </c>
      <c r="X480" t="s">
        <v>9356</v>
      </c>
      <c r="Y480" t="s">
        <v>9357</v>
      </c>
      <c r="Z480" t="s">
        <v>9358</v>
      </c>
      <c r="AA480" t="s">
        <v>74</v>
      </c>
      <c r="AB480" t="s">
        <v>9359</v>
      </c>
      <c r="AC480" t="s">
        <v>9360</v>
      </c>
      <c r="AD480" t="s">
        <v>9361</v>
      </c>
      <c r="AE480" t="s">
        <v>9362</v>
      </c>
      <c r="AF480" t="s">
        <v>74</v>
      </c>
      <c r="AG480">
        <v>52</v>
      </c>
      <c r="AH480">
        <v>0</v>
      </c>
      <c r="AI480">
        <v>0</v>
      </c>
      <c r="AJ480">
        <v>8</v>
      </c>
      <c r="AK480">
        <v>10</v>
      </c>
      <c r="AL480" t="s">
        <v>1379</v>
      </c>
      <c r="AM480" t="s">
        <v>1380</v>
      </c>
      <c r="AN480" t="s">
        <v>1381</v>
      </c>
      <c r="AO480" t="s">
        <v>7816</v>
      </c>
      <c r="AP480" t="s">
        <v>7817</v>
      </c>
      <c r="AQ480" t="s">
        <v>74</v>
      </c>
      <c r="AR480" t="s">
        <v>7818</v>
      </c>
      <c r="AS480" t="s">
        <v>7819</v>
      </c>
      <c r="AT480" t="s">
        <v>4461</v>
      </c>
      <c r="AU480">
        <v>2023</v>
      </c>
      <c r="AV480">
        <v>27</v>
      </c>
      <c r="AW480">
        <v>5</v>
      </c>
      <c r="AX480" t="s">
        <v>74</v>
      </c>
      <c r="AY480" t="s">
        <v>74</v>
      </c>
      <c r="AZ480" t="s">
        <v>74</v>
      </c>
      <c r="BA480" t="s">
        <v>74</v>
      </c>
      <c r="BB480">
        <v>2432</v>
      </c>
      <c r="BC480">
        <v>2443</v>
      </c>
      <c r="BD480" t="s">
        <v>74</v>
      </c>
      <c r="BE480" t="s">
        <v>9363</v>
      </c>
      <c r="BF480" t="str">
        <f>HYPERLINK("http://dx.doi.org/10.1109/JBHI.2023.3252665","http://dx.doi.org/10.1109/JBHI.2023.3252665")</f>
        <v>http://dx.doi.org/10.1109/JBHI.2023.3252665</v>
      </c>
      <c r="BG480" t="s">
        <v>74</v>
      </c>
      <c r="BH480" t="s">
        <v>74</v>
      </c>
      <c r="BI480">
        <v>12</v>
      </c>
      <c r="BJ480" t="s">
        <v>7821</v>
      </c>
      <c r="BK480" t="s">
        <v>130</v>
      </c>
      <c r="BL480" t="s">
        <v>7822</v>
      </c>
      <c r="BM480" t="s">
        <v>9364</v>
      </c>
      <c r="BN480">
        <v>37028061</v>
      </c>
      <c r="BO480" t="s">
        <v>74</v>
      </c>
      <c r="BP480" t="s">
        <v>74</v>
      </c>
      <c r="BQ480" t="s">
        <v>74</v>
      </c>
      <c r="BR480" t="s">
        <v>101</v>
      </c>
      <c r="BS480" t="s">
        <v>9365</v>
      </c>
      <c r="BT480" t="str">
        <f>HYPERLINK("https%3A%2F%2Fwww.webofscience.com%2Fwos%2Fwoscc%2Ffull-record%2FWOS:000982840900029","View Full Record in Web of Science")</f>
        <v>View Full Record in Web of Science</v>
      </c>
    </row>
    <row r="481" spans="1:72" x14ac:dyDescent="0.2">
      <c r="A481" t="s">
        <v>103</v>
      </c>
      <c r="B481" t="s">
        <v>7283</v>
      </c>
      <c r="C481" t="s">
        <v>74</v>
      </c>
      <c r="D481" t="s">
        <v>74</v>
      </c>
      <c r="E481" t="s">
        <v>74</v>
      </c>
      <c r="F481" t="s">
        <v>7285</v>
      </c>
      <c r="G481" t="s">
        <v>74</v>
      </c>
      <c r="H481" t="s">
        <v>74</v>
      </c>
      <c r="I481" t="s">
        <v>9366</v>
      </c>
      <c r="J481" t="s">
        <v>9367</v>
      </c>
      <c r="K481" t="s">
        <v>74</v>
      </c>
      <c r="L481" t="s">
        <v>74</v>
      </c>
      <c r="M481" t="s">
        <v>79</v>
      </c>
      <c r="N481" t="s">
        <v>108</v>
      </c>
      <c r="O481" t="s">
        <v>74</v>
      </c>
      <c r="P481" t="s">
        <v>74</v>
      </c>
      <c r="Q481" t="s">
        <v>74</v>
      </c>
      <c r="R481" t="s">
        <v>74</v>
      </c>
      <c r="S481" t="s">
        <v>74</v>
      </c>
      <c r="T481" t="s">
        <v>9368</v>
      </c>
      <c r="U481" t="s">
        <v>9369</v>
      </c>
      <c r="V481" t="s">
        <v>9370</v>
      </c>
      <c r="W481" t="s">
        <v>9371</v>
      </c>
      <c r="X481" t="s">
        <v>9372</v>
      </c>
      <c r="Y481" t="s">
        <v>6638</v>
      </c>
      <c r="Z481" t="s">
        <v>9373</v>
      </c>
      <c r="AA481" t="s">
        <v>7296</v>
      </c>
      <c r="AB481" t="s">
        <v>74</v>
      </c>
      <c r="AC481" t="s">
        <v>74</v>
      </c>
      <c r="AD481" t="s">
        <v>74</v>
      </c>
      <c r="AE481" t="s">
        <v>74</v>
      </c>
      <c r="AF481" t="s">
        <v>74</v>
      </c>
      <c r="AG481">
        <v>118</v>
      </c>
      <c r="AH481">
        <v>5</v>
      </c>
      <c r="AI481">
        <v>5</v>
      </c>
      <c r="AJ481">
        <v>26</v>
      </c>
      <c r="AK481">
        <v>40</v>
      </c>
      <c r="AL481" t="s">
        <v>6274</v>
      </c>
      <c r="AM481" t="s">
        <v>93</v>
      </c>
      <c r="AN481" t="s">
        <v>6275</v>
      </c>
      <c r="AO481" t="s">
        <v>9374</v>
      </c>
      <c r="AP481" t="s">
        <v>9375</v>
      </c>
      <c r="AQ481" t="s">
        <v>74</v>
      </c>
      <c r="AR481" t="s">
        <v>9376</v>
      </c>
      <c r="AS481" t="s">
        <v>9377</v>
      </c>
      <c r="AT481" t="s">
        <v>6048</v>
      </c>
      <c r="AU481">
        <v>2023</v>
      </c>
      <c r="AV481">
        <v>23</v>
      </c>
      <c r="AW481">
        <v>4</v>
      </c>
      <c r="AX481" t="s">
        <v>74</v>
      </c>
      <c r="AY481" t="s">
        <v>74</v>
      </c>
      <c r="AZ481" t="s">
        <v>74</v>
      </c>
      <c r="BA481" t="s">
        <v>74</v>
      </c>
      <c r="BB481" t="s">
        <v>74</v>
      </c>
      <c r="BC481" t="s">
        <v>74</v>
      </c>
      <c r="BD481">
        <v>41003</v>
      </c>
      <c r="BE481" t="s">
        <v>9378</v>
      </c>
      <c r="BF481" t="str">
        <f>HYPERLINK("http://dx.doi.org/10.1115/1.4056220","http://dx.doi.org/10.1115/1.4056220")</f>
        <v>http://dx.doi.org/10.1115/1.4056220</v>
      </c>
      <c r="BG481" t="s">
        <v>74</v>
      </c>
      <c r="BH481" t="s">
        <v>74</v>
      </c>
      <c r="BI481">
        <v>16</v>
      </c>
      <c r="BJ481" t="s">
        <v>9379</v>
      </c>
      <c r="BK481" t="s">
        <v>130</v>
      </c>
      <c r="BL481" t="s">
        <v>906</v>
      </c>
      <c r="BM481" t="s">
        <v>9380</v>
      </c>
      <c r="BN481" t="s">
        <v>74</v>
      </c>
      <c r="BO481" t="s">
        <v>646</v>
      </c>
      <c r="BP481" t="s">
        <v>74</v>
      </c>
      <c r="BQ481" t="s">
        <v>74</v>
      </c>
      <c r="BR481" t="s">
        <v>101</v>
      </c>
      <c r="BS481" t="s">
        <v>9381</v>
      </c>
      <c r="BT481" t="str">
        <f>HYPERLINK("https%3A%2F%2Fwww.webofscience.com%2Fwos%2Fwoscc%2Ffull-record%2FWOS:001021831800006","View Full Record in Web of Science")</f>
        <v>View Full Record in Web of Science</v>
      </c>
    </row>
    <row r="482" spans="1:72" x14ac:dyDescent="0.2">
      <c r="A482" t="s">
        <v>72</v>
      </c>
      <c r="B482" t="s">
        <v>9382</v>
      </c>
      <c r="C482" t="s">
        <v>74</v>
      </c>
      <c r="D482" t="s">
        <v>74</v>
      </c>
      <c r="E482" t="s">
        <v>75</v>
      </c>
      <c r="F482" t="s">
        <v>9383</v>
      </c>
      <c r="G482" t="s">
        <v>74</v>
      </c>
      <c r="H482" t="s">
        <v>74</v>
      </c>
      <c r="I482" t="s">
        <v>9384</v>
      </c>
      <c r="J482" t="s">
        <v>9385</v>
      </c>
      <c r="K482" t="s">
        <v>74</v>
      </c>
      <c r="L482" t="s">
        <v>74</v>
      </c>
      <c r="M482" t="s">
        <v>79</v>
      </c>
      <c r="N482" t="s">
        <v>80</v>
      </c>
      <c r="O482" t="s">
        <v>9386</v>
      </c>
      <c r="P482" t="s">
        <v>2506</v>
      </c>
      <c r="Q482" t="s">
        <v>9387</v>
      </c>
      <c r="R482" t="s">
        <v>9388</v>
      </c>
      <c r="S482" t="s">
        <v>9389</v>
      </c>
      <c r="T482" t="s">
        <v>9390</v>
      </c>
      <c r="U482" t="s">
        <v>74</v>
      </c>
      <c r="V482" t="s">
        <v>9391</v>
      </c>
      <c r="W482" t="s">
        <v>9392</v>
      </c>
      <c r="X482" t="s">
        <v>9393</v>
      </c>
      <c r="Y482" t="s">
        <v>9394</v>
      </c>
      <c r="Z482" t="s">
        <v>9395</v>
      </c>
      <c r="AA482" t="s">
        <v>9396</v>
      </c>
      <c r="AB482" t="s">
        <v>9397</v>
      </c>
      <c r="AC482" t="s">
        <v>74</v>
      </c>
      <c r="AD482" t="s">
        <v>74</v>
      </c>
      <c r="AE482" t="s">
        <v>74</v>
      </c>
      <c r="AF482" t="s">
        <v>74</v>
      </c>
      <c r="AG482">
        <v>22</v>
      </c>
      <c r="AH482">
        <v>0</v>
      </c>
      <c r="AI482">
        <v>0</v>
      </c>
      <c r="AJ482">
        <v>0</v>
      </c>
      <c r="AK482">
        <v>0</v>
      </c>
      <c r="AL482" t="s">
        <v>92</v>
      </c>
      <c r="AM482" t="s">
        <v>93</v>
      </c>
      <c r="AN482" t="s">
        <v>94</v>
      </c>
      <c r="AO482" t="s">
        <v>74</v>
      </c>
      <c r="AP482" t="s">
        <v>74</v>
      </c>
      <c r="AQ482" t="s">
        <v>9398</v>
      </c>
      <c r="AR482" t="s">
        <v>74</v>
      </c>
      <c r="AS482" t="s">
        <v>74</v>
      </c>
      <c r="AT482" t="s">
        <v>74</v>
      </c>
      <c r="AU482">
        <v>2023</v>
      </c>
      <c r="AV482" t="s">
        <v>74</v>
      </c>
      <c r="AW482" t="s">
        <v>74</v>
      </c>
      <c r="AX482" t="s">
        <v>74</v>
      </c>
      <c r="AY482" t="s">
        <v>74</v>
      </c>
      <c r="AZ482" t="s">
        <v>74</v>
      </c>
      <c r="BA482" t="s">
        <v>74</v>
      </c>
      <c r="BB482">
        <v>398</v>
      </c>
      <c r="BC482">
        <v>401</v>
      </c>
      <c r="BD482" t="s">
        <v>74</v>
      </c>
      <c r="BE482" t="s">
        <v>9399</v>
      </c>
      <c r="BF482" t="str">
        <f>HYPERLINK("http://dx.doi.org/10.1145/3573381.3597232","http://dx.doi.org/10.1145/3573381.3597232")</f>
        <v>http://dx.doi.org/10.1145/3573381.3597232</v>
      </c>
      <c r="BG482" t="s">
        <v>74</v>
      </c>
      <c r="BH482" t="s">
        <v>74</v>
      </c>
      <c r="BI482">
        <v>4</v>
      </c>
      <c r="BJ482" t="s">
        <v>351</v>
      </c>
      <c r="BK482" t="s">
        <v>98</v>
      </c>
      <c r="BL482" t="s">
        <v>99</v>
      </c>
      <c r="BM482" t="s">
        <v>9400</v>
      </c>
      <c r="BN482" t="s">
        <v>74</v>
      </c>
      <c r="BO482" t="s">
        <v>1237</v>
      </c>
      <c r="BP482" t="s">
        <v>74</v>
      </c>
      <c r="BQ482" t="s">
        <v>74</v>
      </c>
      <c r="BR482" t="s">
        <v>101</v>
      </c>
      <c r="BS482" t="s">
        <v>9401</v>
      </c>
      <c r="BT482" t="str">
        <f>HYPERLINK("https%3A%2F%2Fwww.webofscience.com%2Fwos%2Fwoscc%2Ffull-record%2FWOS:001117075100058","View Full Record in Web of Science")</f>
        <v>View Full Record in Web of Science</v>
      </c>
    </row>
    <row r="483" spans="1:72" x14ac:dyDescent="0.2">
      <c r="A483" t="s">
        <v>103</v>
      </c>
      <c r="B483" t="s">
        <v>9402</v>
      </c>
      <c r="C483" t="s">
        <v>74</v>
      </c>
      <c r="D483" t="s">
        <v>74</v>
      </c>
      <c r="E483" t="s">
        <v>74</v>
      </c>
      <c r="F483" t="s">
        <v>9403</v>
      </c>
      <c r="G483" t="s">
        <v>74</v>
      </c>
      <c r="H483" t="s">
        <v>74</v>
      </c>
      <c r="I483" t="s">
        <v>9404</v>
      </c>
      <c r="J483" t="s">
        <v>408</v>
      </c>
      <c r="K483" t="s">
        <v>74</v>
      </c>
      <c r="L483" t="s">
        <v>74</v>
      </c>
      <c r="M483" t="s">
        <v>79</v>
      </c>
      <c r="N483" t="s">
        <v>108</v>
      </c>
      <c r="O483" t="s">
        <v>74</v>
      </c>
      <c r="P483" t="s">
        <v>74</v>
      </c>
      <c r="Q483" t="s">
        <v>74</v>
      </c>
      <c r="R483" t="s">
        <v>74</v>
      </c>
      <c r="S483" t="s">
        <v>74</v>
      </c>
      <c r="T483" t="s">
        <v>74</v>
      </c>
      <c r="U483" t="s">
        <v>9405</v>
      </c>
      <c r="V483" t="s">
        <v>74</v>
      </c>
      <c r="W483" t="s">
        <v>9406</v>
      </c>
      <c r="X483" t="s">
        <v>9407</v>
      </c>
      <c r="Y483" t="s">
        <v>9408</v>
      </c>
      <c r="Z483" t="s">
        <v>9409</v>
      </c>
      <c r="AA483" t="s">
        <v>74</v>
      </c>
      <c r="AB483" t="s">
        <v>74</v>
      </c>
      <c r="AC483" t="s">
        <v>74</v>
      </c>
      <c r="AD483" t="s">
        <v>74</v>
      </c>
      <c r="AE483" t="s">
        <v>74</v>
      </c>
      <c r="AF483" t="s">
        <v>74</v>
      </c>
      <c r="AG483">
        <v>11</v>
      </c>
      <c r="AH483">
        <v>0</v>
      </c>
      <c r="AI483">
        <v>0</v>
      </c>
      <c r="AJ483">
        <v>1</v>
      </c>
      <c r="AK483">
        <v>1</v>
      </c>
      <c r="AL483" t="s">
        <v>9234</v>
      </c>
      <c r="AM483" t="s">
        <v>548</v>
      </c>
      <c r="AN483" t="s">
        <v>9235</v>
      </c>
      <c r="AO483" t="s">
        <v>9236</v>
      </c>
      <c r="AP483" t="s">
        <v>9237</v>
      </c>
      <c r="AQ483" t="s">
        <v>74</v>
      </c>
      <c r="AR483" t="s">
        <v>408</v>
      </c>
      <c r="AS483" t="s">
        <v>9238</v>
      </c>
      <c r="AT483" t="s">
        <v>9410</v>
      </c>
      <c r="AU483">
        <v>2023</v>
      </c>
      <c r="AV483">
        <v>382</v>
      </c>
      <c r="AW483">
        <v>6671</v>
      </c>
      <c r="AX483" t="s">
        <v>74</v>
      </c>
      <c r="AY483" t="s">
        <v>74</v>
      </c>
      <c r="AZ483" t="s">
        <v>74</v>
      </c>
      <c r="BA483" t="s">
        <v>74</v>
      </c>
      <c r="BB483">
        <v>656</v>
      </c>
      <c r="BC483">
        <v>657</v>
      </c>
      <c r="BD483" t="s">
        <v>74</v>
      </c>
      <c r="BE483" t="s">
        <v>9411</v>
      </c>
      <c r="BF483" t="str">
        <f>HYPERLINK("http://dx.doi.org/10.1126/science.adk8626","http://dx.doi.org/10.1126/science.adk8626")</f>
        <v>http://dx.doi.org/10.1126/science.adk8626</v>
      </c>
      <c r="BG483" t="s">
        <v>74</v>
      </c>
      <c r="BH483" t="s">
        <v>74</v>
      </c>
      <c r="BI483">
        <v>2</v>
      </c>
      <c r="BJ483" t="s">
        <v>5686</v>
      </c>
      <c r="BK483" t="s">
        <v>130</v>
      </c>
      <c r="BL483" t="s">
        <v>5687</v>
      </c>
      <c r="BM483" t="s">
        <v>9412</v>
      </c>
      <c r="BN483" t="s">
        <v>74</v>
      </c>
      <c r="BO483" t="s">
        <v>1237</v>
      </c>
      <c r="BP483" t="s">
        <v>74</v>
      </c>
      <c r="BQ483" t="s">
        <v>74</v>
      </c>
      <c r="BR483" t="s">
        <v>101</v>
      </c>
      <c r="BS483" t="s">
        <v>9413</v>
      </c>
      <c r="BT483" t="str">
        <f>HYPERLINK("https%3A%2F%2Fwww.webofscience.com%2Fwos%2Fwoscc%2Ffull-record%2FWOS:001184461700002","View Full Record in Web of Science")</f>
        <v>View Full Record in Web of Science</v>
      </c>
    </row>
    <row r="484" spans="1:72" x14ac:dyDescent="0.2">
      <c r="A484" t="s">
        <v>103</v>
      </c>
      <c r="B484" t="s">
        <v>9414</v>
      </c>
      <c r="C484" t="s">
        <v>74</v>
      </c>
      <c r="D484" t="s">
        <v>74</v>
      </c>
      <c r="E484" t="s">
        <v>74</v>
      </c>
      <c r="F484" t="s">
        <v>9415</v>
      </c>
      <c r="G484" t="s">
        <v>74</v>
      </c>
      <c r="H484" t="s">
        <v>74</v>
      </c>
      <c r="I484" t="s">
        <v>9416</v>
      </c>
      <c r="J484" t="s">
        <v>9417</v>
      </c>
      <c r="K484" t="s">
        <v>74</v>
      </c>
      <c r="L484" t="s">
        <v>74</v>
      </c>
      <c r="M484" t="s">
        <v>79</v>
      </c>
      <c r="N484" t="s">
        <v>108</v>
      </c>
      <c r="O484" t="s">
        <v>74</v>
      </c>
      <c r="P484" t="s">
        <v>74</v>
      </c>
      <c r="Q484" t="s">
        <v>74</v>
      </c>
      <c r="R484" t="s">
        <v>74</v>
      </c>
      <c r="S484" t="s">
        <v>74</v>
      </c>
      <c r="T484" t="s">
        <v>9418</v>
      </c>
      <c r="U484" t="s">
        <v>74</v>
      </c>
      <c r="V484" t="s">
        <v>9419</v>
      </c>
      <c r="W484" t="s">
        <v>9420</v>
      </c>
      <c r="X484" t="s">
        <v>456</v>
      </c>
      <c r="Y484" t="s">
        <v>9421</v>
      </c>
      <c r="Z484" t="s">
        <v>9422</v>
      </c>
      <c r="AA484" t="s">
        <v>74</v>
      </c>
      <c r="AB484" t="s">
        <v>9423</v>
      </c>
      <c r="AC484" t="s">
        <v>74</v>
      </c>
      <c r="AD484" t="s">
        <v>74</v>
      </c>
      <c r="AE484" t="s">
        <v>74</v>
      </c>
      <c r="AF484" t="s">
        <v>74</v>
      </c>
      <c r="AG484">
        <v>49</v>
      </c>
      <c r="AH484">
        <v>1</v>
      </c>
      <c r="AI484">
        <v>1</v>
      </c>
      <c r="AJ484">
        <v>10</v>
      </c>
      <c r="AK484">
        <v>18</v>
      </c>
      <c r="AL484" t="s">
        <v>3165</v>
      </c>
      <c r="AM484" t="s">
        <v>3166</v>
      </c>
      <c r="AN484" t="s">
        <v>3167</v>
      </c>
      <c r="AO484" t="s">
        <v>9424</v>
      </c>
      <c r="AP484" t="s">
        <v>9425</v>
      </c>
      <c r="AQ484" t="s">
        <v>74</v>
      </c>
      <c r="AR484" t="s">
        <v>9426</v>
      </c>
      <c r="AS484" t="s">
        <v>9427</v>
      </c>
      <c r="AT484" t="s">
        <v>791</v>
      </c>
      <c r="AU484">
        <v>2023</v>
      </c>
      <c r="AV484">
        <v>58</v>
      </c>
      <c r="AW484">
        <v>3</v>
      </c>
      <c r="AX484" t="s">
        <v>74</v>
      </c>
      <c r="AY484" t="s">
        <v>74</v>
      </c>
      <c r="AZ484" t="s">
        <v>74</v>
      </c>
      <c r="BA484" t="s">
        <v>74</v>
      </c>
      <c r="BB484">
        <v>2657</v>
      </c>
      <c r="BC484">
        <v>2661</v>
      </c>
      <c r="BD484" t="s">
        <v>74</v>
      </c>
      <c r="BE484" t="s">
        <v>9428</v>
      </c>
      <c r="BF484" t="str">
        <f>HYPERLINK("http://dx.doi.org/10.1111/ejn.16052","http://dx.doi.org/10.1111/ejn.16052")</f>
        <v>http://dx.doi.org/10.1111/ejn.16052</v>
      </c>
      <c r="BG484" t="s">
        <v>74</v>
      </c>
      <c r="BH484" t="s">
        <v>1910</v>
      </c>
      <c r="BI484">
        <v>5</v>
      </c>
      <c r="BJ484" t="s">
        <v>9429</v>
      </c>
      <c r="BK484" t="s">
        <v>130</v>
      </c>
      <c r="BL484" t="s">
        <v>9430</v>
      </c>
      <c r="BM484" t="s">
        <v>9431</v>
      </c>
      <c r="BN484">
        <v>37282741</v>
      </c>
      <c r="BO484" t="s">
        <v>2310</v>
      </c>
      <c r="BP484" t="s">
        <v>74</v>
      </c>
      <c r="BQ484" t="s">
        <v>74</v>
      </c>
      <c r="BR484" t="s">
        <v>101</v>
      </c>
      <c r="BS484" t="s">
        <v>9432</v>
      </c>
      <c r="BT484" t="str">
        <f>HYPERLINK("https%3A%2F%2Fwww.webofscience.com%2Fwos%2Fwoscc%2Ffull-record%2FWOS:001002569500001","View Full Record in Web of Science")</f>
        <v>View Full Record in Web of Science</v>
      </c>
    </row>
    <row r="485" spans="1:72" x14ac:dyDescent="0.2">
      <c r="A485" t="s">
        <v>103</v>
      </c>
      <c r="B485" t="s">
        <v>9433</v>
      </c>
      <c r="C485" t="s">
        <v>74</v>
      </c>
      <c r="D485" t="s">
        <v>74</v>
      </c>
      <c r="E485" t="s">
        <v>74</v>
      </c>
      <c r="F485" t="s">
        <v>9434</v>
      </c>
      <c r="G485" t="s">
        <v>74</v>
      </c>
      <c r="H485" t="s">
        <v>74</v>
      </c>
      <c r="I485" t="s">
        <v>9435</v>
      </c>
      <c r="J485" t="s">
        <v>9436</v>
      </c>
      <c r="K485" t="s">
        <v>74</v>
      </c>
      <c r="L485" t="s">
        <v>74</v>
      </c>
      <c r="M485" t="s">
        <v>79</v>
      </c>
      <c r="N485" t="s">
        <v>108</v>
      </c>
      <c r="O485" t="s">
        <v>74</v>
      </c>
      <c r="P485" t="s">
        <v>74</v>
      </c>
      <c r="Q485" t="s">
        <v>74</v>
      </c>
      <c r="R485" t="s">
        <v>74</v>
      </c>
      <c r="S485" t="s">
        <v>74</v>
      </c>
      <c r="T485" t="s">
        <v>74</v>
      </c>
      <c r="U485" t="s">
        <v>74</v>
      </c>
      <c r="V485" t="s">
        <v>74</v>
      </c>
      <c r="W485" t="s">
        <v>9437</v>
      </c>
      <c r="X485" t="s">
        <v>9438</v>
      </c>
      <c r="Y485" t="s">
        <v>9439</v>
      </c>
      <c r="Z485" t="s">
        <v>9440</v>
      </c>
      <c r="AA485" t="s">
        <v>74</v>
      </c>
      <c r="AB485" t="s">
        <v>9441</v>
      </c>
      <c r="AC485" t="s">
        <v>74</v>
      </c>
      <c r="AD485" t="s">
        <v>74</v>
      </c>
      <c r="AE485" t="s">
        <v>74</v>
      </c>
      <c r="AF485" t="s">
        <v>74</v>
      </c>
      <c r="AG485">
        <v>19</v>
      </c>
      <c r="AH485">
        <v>4</v>
      </c>
      <c r="AI485">
        <v>4</v>
      </c>
      <c r="AJ485">
        <v>37</v>
      </c>
      <c r="AK485">
        <v>51</v>
      </c>
      <c r="AL485" t="s">
        <v>9442</v>
      </c>
      <c r="AM485" t="s">
        <v>9443</v>
      </c>
      <c r="AN485" t="s">
        <v>9444</v>
      </c>
      <c r="AO485" t="s">
        <v>9445</v>
      </c>
      <c r="AP485" t="s">
        <v>74</v>
      </c>
      <c r="AQ485" t="s">
        <v>74</v>
      </c>
      <c r="AR485" t="s">
        <v>9446</v>
      </c>
      <c r="AS485" t="s">
        <v>9447</v>
      </c>
      <c r="AT485" t="s">
        <v>74</v>
      </c>
      <c r="AU485">
        <v>2023</v>
      </c>
      <c r="AV485">
        <v>40</v>
      </c>
      <c r="AW485">
        <v>4</v>
      </c>
      <c r="AX485" t="s">
        <v>74</v>
      </c>
      <c r="AY485" t="s">
        <v>74</v>
      </c>
      <c r="AZ485" t="s">
        <v>74</v>
      </c>
      <c r="BA485" t="s">
        <v>74</v>
      </c>
      <c r="BB485" t="s">
        <v>74</v>
      </c>
      <c r="BC485" t="s">
        <v>74</v>
      </c>
      <c r="BD485" t="s">
        <v>74</v>
      </c>
      <c r="BE485" t="s">
        <v>9448</v>
      </c>
      <c r="BF485" t="str">
        <f>HYPERLINK("http://dx.doi.org/10.3205/zma001636","http://dx.doi.org/10.3205/zma001636")</f>
        <v>http://dx.doi.org/10.3205/zma001636</v>
      </c>
      <c r="BG485" t="s">
        <v>74</v>
      </c>
      <c r="BH485" t="s">
        <v>74</v>
      </c>
      <c r="BI485">
        <v>9</v>
      </c>
      <c r="BJ485" t="s">
        <v>3308</v>
      </c>
      <c r="BK485" t="s">
        <v>352</v>
      </c>
      <c r="BL485" t="s">
        <v>423</v>
      </c>
      <c r="BM485" t="s">
        <v>9449</v>
      </c>
      <c r="BN485">
        <v>37560050</v>
      </c>
      <c r="BO485" t="s">
        <v>74</v>
      </c>
      <c r="BP485" t="s">
        <v>74</v>
      </c>
      <c r="BQ485" t="s">
        <v>74</v>
      </c>
      <c r="BR485" t="s">
        <v>101</v>
      </c>
      <c r="BS485" t="s">
        <v>9450</v>
      </c>
      <c r="BT485" t="str">
        <f>HYPERLINK("https%3A%2F%2Fwww.webofscience.com%2Fwos%2Fwoscc%2Ffull-record%2FWOS:001019162200013","View Full Record in Web of Science")</f>
        <v>View Full Record in Web of Science</v>
      </c>
    </row>
    <row r="486" spans="1:72" x14ac:dyDescent="0.2">
      <c r="A486" t="s">
        <v>103</v>
      </c>
      <c r="B486" t="s">
        <v>9451</v>
      </c>
      <c r="C486" t="s">
        <v>74</v>
      </c>
      <c r="D486" t="s">
        <v>74</v>
      </c>
      <c r="E486" t="s">
        <v>74</v>
      </c>
      <c r="F486" t="s">
        <v>9452</v>
      </c>
      <c r="G486" t="s">
        <v>74</v>
      </c>
      <c r="H486" t="s">
        <v>74</v>
      </c>
      <c r="I486" t="s">
        <v>9453</v>
      </c>
      <c r="J486" t="s">
        <v>9454</v>
      </c>
      <c r="K486" t="s">
        <v>74</v>
      </c>
      <c r="L486" t="s">
        <v>74</v>
      </c>
      <c r="M486" t="s">
        <v>79</v>
      </c>
      <c r="N486" t="s">
        <v>108</v>
      </c>
      <c r="O486" t="s">
        <v>74</v>
      </c>
      <c r="P486" t="s">
        <v>74</v>
      </c>
      <c r="Q486" t="s">
        <v>74</v>
      </c>
      <c r="R486" t="s">
        <v>74</v>
      </c>
      <c r="S486" t="s">
        <v>74</v>
      </c>
      <c r="T486" t="s">
        <v>9455</v>
      </c>
      <c r="U486" t="s">
        <v>391</v>
      </c>
      <c r="V486" t="s">
        <v>9456</v>
      </c>
      <c r="W486" t="s">
        <v>9457</v>
      </c>
      <c r="X486" t="s">
        <v>9458</v>
      </c>
      <c r="Y486" t="s">
        <v>9459</v>
      </c>
      <c r="Z486" t="s">
        <v>9460</v>
      </c>
      <c r="AA486" t="s">
        <v>9461</v>
      </c>
      <c r="AB486" t="s">
        <v>9462</v>
      </c>
      <c r="AC486" t="s">
        <v>74</v>
      </c>
      <c r="AD486" t="s">
        <v>74</v>
      </c>
      <c r="AE486" t="s">
        <v>74</v>
      </c>
      <c r="AF486" t="s">
        <v>74</v>
      </c>
      <c r="AG486">
        <v>18</v>
      </c>
      <c r="AH486">
        <v>6</v>
      </c>
      <c r="AI486">
        <v>6</v>
      </c>
      <c r="AJ486">
        <v>35</v>
      </c>
      <c r="AK486">
        <v>56</v>
      </c>
      <c r="AL486" t="s">
        <v>3202</v>
      </c>
      <c r="AM486" t="s">
        <v>120</v>
      </c>
      <c r="AN486" t="s">
        <v>3203</v>
      </c>
      <c r="AO486" t="s">
        <v>9463</v>
      </c>
      <c r="AP486" t="s">
        <v>9464</v>
      </c>
      <c r="AQ486" t="s">
        <v>74</v>
      </c>
      <c r="AR486" t="s">
        <v>9465</v>
      </c>
      <c r="AS486" t="s">
        <v>9466</v>
      </c>
      <c r="AT486" t="s">
        <v>9467</v>
      </c>
      <c r="AU486">
        <v>2023</v>
      </c>
      <c r="AV486">
        <v>99</v>
      </c>
      <c r="AW486">
        <v>1176</v>
      </c>
      <c r="AX486" t="s">
        <v>74</v>
      </c>
      <c r="AY486" t="s">
        <v>74</v>
      </c>
      <c r="AZ486" t="s">
        <v>74</v>
      </c>
      <c r="BA486" t="s">
        <v>74</v>
      </c>
      <c r="BB486">
        <v>1125</v>
      </c>
      <c r="BC486">
        <v>1127</v>
      </c>
      <c r="BD486" t="s">
        <v>74</v>
      </c>
      <c r="BE486" t="s">
        <v>9468</v>
      </c>
      <c r="BF486" t="str">
        <f>HYPERLINK("http://dx.doi.org/10.1093/postmj/qgad058","http://dx.doi.org/10.1093/postmj/qgad058")</f>
        <v>http://dx.doi.org/10.1093/postmj/qgad058</v>
      </c>
      <c r="BG486" t="s">
        <v>74</v>
      </c>
      <c r="BH486" t="s">
        <v>229</v>
      </c>
      <c r="BI486">
        <v>3</v>
      </c>
      <c r="BJ486" t="s">
        <v>3440</v>
      </c>
      <c r="BK486" t="s">
        <v>130</v>
      </c>
      <c r="BL486" t="s">
        <v>3441</v>
      </c>
      <c r="BM486" t="s">
        <v>9469</v>
      </c>
      <c r="BN486">
        <v>37466157</v>
      </c>
      <c r="BO486" t="s">
        <v>74</v>
      </c>
      <c r="BP486" t="s">
        <v>74</v>
      </c>
      <c r="BQ486" t="s">
        <v>74</v>
      </c>
      <c r="BR486" t="s">
        <v>101</v>
      </c>
      <c r="BS486" t="s">
        <v>9470</v>
      </c>
      <c r="BT486" t="str">
        <f>HYPERLINK("https%3A%2F%2Fwww.webofscience.com%2Fwos%2Fwoscc%2Ffull-record%2FWOS:001031254900001","View Full Record in Web of Science")</f>
        <v>View Full Record in Web of Science</v>
      </c>
    </row>
    <row r="487" spans="1:72" x14ac:dyDescent="0.2">
      <c r="A487" t="s">
        <v>103</v>
      </c>
      <c r="B487" t="s">
        <v>9471</v>
      </c>
      <c r="C487" t="s">
        <v>74</v>
      </c>
      <c r="D487" t="s">
        <v>74</v>
      </c>
      <c r="E487" t="s">
        <v>74</v>
      </c>
      <c r="F487" t="s">
        <v>9472</v>
      </c>
      <c r="G487" t="s">
        <v>74</v>
      </c>
      <c r="H487" t="s">
        <v>74</v>
      </c>
      <c r="I487" t="s">
        <v>9473</v>
      </c>
      <c r="J487" t="s">
        <v>9474</v>
      </c>
      <c r="K487" t="s">
        <v>74</v>
      </c>
      <c r="L487" t="s">
        <v>74</v>
      </c>
      <c r="M487" t="s">
        <v>79</v>
      </c>
      <c r="N487" t="s">
        <v>108</v>
      </c>
      <c r="O487" t="s">
        <v>74</v>
      </c>
      <c r="P487" t="s">
        <v>74</v>
      </c>
      <c r="Q487" t="s">
        <v>74</v>
      </c>
      <c r="R487" t="s">
        <v>74</v>
      </c>
      <c r="S487" t="s">
        <v>74</v>
      </c>
      <c r="T487" t="s">
        <v>74</v>
      </c>
      <c r="U487" t="s">
        <v>9475</v>
      </c>
      <c r="V487" t="s">
        <v>9476</v>
      </c>
      <c r="W487" t="s">
        <v>9477</v>
      </c>
      <c r="X487" t="s">
        <v>9478</v>
      </c>
      <c r="Y487" t="s">
        <v>9479</v>
      </c>
      <c r="Z487" t="s">
        <v>9480</v>
      </c>
      <c r="AA487" t="s">
        <v>74</v>
      </c>
      <c r="AB487" t="s">
        <v>9481</v>
      </c>
      <c r="AC487" t="s">
        <v>74</v>
      </c>
      <c r="AD487" t="s">
        <v>74</v>
      </c>
      <c r="AE487" t="s">
        <v>74</v>
      </c>
      <c r="AF487" t="s">
        <v>74</v>
      </c>
      <c r="AG487">
        <v>24</v>
      </c>
      <c r="AH487">
        <v>0</v>
      </c>
      <c r="AI487">
        <v>0</v>
      </c>
      <c r="AJ487">
        <v>2</v>
      </c>
      <c r="AK487">
        <v>2</v>
      </c>
      <c r="AL487" t="s">
        <v>9482</v>
      </c>
      <c r="AM487" t="s">
        <v>9483</v>
      </c>
      <c r="AN487" t="s">
        <v>9484</v>
      </c>
      <c r="AO487" t="s">
        <v>9485</v>
      </c>
      <c r="AP487" t="s">
        <v>9486</v>
      </c>
      <c r="AQ487" t="s">
        <v>74</v>
      </c>
      <c r="AR487" t="s">
        <v>9487</v>
      </c>
      <c r="AS487" t="s">
        <v>9488</v>
      </c>
      <c r="AT487" t="s">
        <v>276</v>
      </c>
      <c r="AU487">
        <v>2023</v>
      </c>
      <c r="AV487">
        <v>34</v>
      </c>
      <c r="AW487">
        <v>3</v>
      </c>
      <c r="AX487" t="s">
        <v>74</v>
      </c>
      <c r="AY487" t="s">
        <v>74</v>
      </c>
      <c r="AZ487" t="s">
        <v>74</v>
      </c>
      <c r="BA487" t="s">
        <v>74</v>
      </c>
      <c r="BB487">
        <v>286</v>
      </c>
      <c r="BC487">
        <v>303</v>
      </c>
      <c r="BD487" t="s">
        <v>74</v>
      </c>
      <c r="BE487" t="s">
        <v>9489</v>
      </c>
      <c r="BF487" t="str">
        <f>HYPERLINK("http://dx.doi.org/10.7166/34-3-2944","http://dx.doi.org/10.7166/34-3-2944")</f>
        <v>http://dx.doi.org/10.7166/34-3-2944</v>
      </c>
      <c r="BG487" t="s">
        <v>74</v>
      </c>
      <c r="BH487" t="s">
        <v>74</v>
      </c>
      <c r="BI487">
        <v>18</v>
      </c>
      <c r="BJ487" t="s">
        <v>9490</v>
      </c>
      <c r="BK487" t="s">
        <v>130</v>
      </c>
      <c r="BL487" t="s">
        <v>2823</v>
      </c>
      <c r="BM487" t="s">
        <v>9491</v>
      </c>
      <c r="BN487" t="s">
        <v>74</v>
      </c>
      <c r="BO487" t="s">
        <v>425</v>
      </c>
      <c r="BP487" t="s">
        <v>74</v>
      </c>
      <c r="BQ487" t="s">
        <v>74</v>
      </c>
      <c r="BR487" t="s">
        <v>101</v>
      </c>
      <c r="BS487" t="s">
        <v>9492</v>
      </c>
      <c r="BT487" t="str">
        <f>HYPERLINK("https%3A%2F%2Fwww.webofscience.com%2Fwos%2Fwoscc%2Ffull-record%2FWOS:001156280400015","View Full Record in Web of Science")</f>
        <v>View Full Record in Web of Science</v>
      </c>
    </row>
    <row r="488" spans="1:72" x14ac:dyDescent="0.2">
      <c r="A488" t="s">
        <v>103</v>
      </c>
      <c r="B488" t="s">
        <v>9493</v>
      </c>
      <c r="C488" t="s">
        <v>74</v>
      </c>
      <c r="D488" t="s">
        <v>74</v>
      </c>
      <c r="E488" t="s">
        <v>74</v>
      </c>
      <c r="F488" t="s">
        <v>9494</v>
      </c>
      <c r="G488" t="s">
        <v>74</v>
      </c>
      <c r="H488" t="s">
        <v>74</v>
      </c>
      <c r="I488" t="s">
        <v>9495</v>
      </c>
      <c r="J488" t="s">
        <v>9496</v>
      </c>
      <c r="K488" t="s">
        <v>74</v>
      </c>
      <c r="L488" t="s">
        <v>74</v>
      </c>
      <c r="M488" t="s">
        <v>79</v>
      </c>
      <c r="N488" t="s">
        <v>108</v>
      </c>
      <c r="O488" t="s">
        <v>74</v>
      </c>
      <c r="P488" t="s">
        <v>74</v>
      </c>
      <c r="Q488" t="s">
        <v>74</v>
      </c>
      <c r="R488" t="s">
        <v>74</v>
      </c>
      <c r="S488" t="s">
        <v>74</v>
      </c>
      <c r="T488" t="s">
        <v>9497</v>
      </c>
      <c r="U488" t="s">
        <v>74</v>
      </c>
      <c r="V488" t="s">
        <v>9498</v>
      </c>
      <c r="W488" t="s">
        <v>9499</v>
      </c>
      <c r="X488" t="s">
        <v>9500</v>
      </c>
      <c r="Y488" t="s">
        <v>9501</v>
      </c>
      <c r="Z488" t="s">
        <v>9502</v>
      </c>
      <c r="AA488" t="s">
        <v>74</v>
      </c>
      <c r="AB488" t="s">
        <v>9503</v>
      </c>
      <c r="AC488" t="s">
        <v>9504</v>
      </c>
      <c r="AD488" t="s">
        <v>9505</v>
      </c>
      <c r="AE488" t="s">
        <v>9506</v>
      </c>
      <c r="AF488" t="s">
        <v>74</v>
      </c>
      <c r="AG488">
        <v>43</v>
      </c>
      <c r="AH488">
        <v>0</v>
      </c>
      <c r="AI488">
        <v>0</v>
      </c>
      <c r="AJ488">
        <v>0</v>
      </c>
      <c r="AK488">
        <v>0</v>
      </c>
      <c r="AL488" t="s">
        <v>939</v>
      </c>
      <c r="AM488" t="s">
        <v>940</v>
      </c>
      <c r="AN488" t="s">
        <v>941</v>
      </c>
      <c r="AO488" t="s">
        <v>74</v>
      </c>
      <c r="AP488" t="s">
        <v>9507</v>
      </c>
      <c r="AQ488" t="s">
        <v>74</v>
      </c>
      <c r="AR488" t="s">
        <v>9508</v>
      </c>
      <c r="AS488" t="s">
        <v>9509</v>
      </c>
      <c r="AT488" t="s">
        <v>771</v>
      </c>
      <c r="AU488">
        <v>2023</v>
      </c>
      <c r="AV488">
        <v>7</v>
      </c>
      <c r="AW488">
        <v>3</v>
      </c>
      <c r="AX488" t="s">
        <v>74</v>
      </c>
      <c r="AY488" t="s">
        <v>74</v>
      </c>
      <c r="AZ488" t="s">
        <v>74</v>
      </c>
      <c r="BA488" t="s">
        <v>74</v>
      </c>
      <c r="BB488" t="s">
        <v>74</v>
      </c>
      <c r="BC488" t="s">
        <v>74</v>
      </c>
      <c r="BD488">
        <v>35</v>
      </c>
      <c r="BE488" t="s">
        <v>9510</v>
      </c>
      <c r="BF488" t="str">
        <f>HYPERLINK("http://dx.doi.org/10.3390/cryptography7030035","http://dx.doi.org/10.3390/cryptography7030035")</f>
        <v>http://dx.doi.org/10.3390/cryptography7030035</v>
      </c>
      <c r="BG488" t="s">
        <v>74</v>
      </c>
      <c r="BH488" t="s">
        <v>74</v>
      </c>
      <c r="BI488">
        <v>21</v>
      </c>
      <c r="BJ488" t="s">
        <v>9511</v>
      </c>
      <c r="BK488" t="s">
        <v>352</v>
      </c>
      <c r="BL488" t="s">
        <v>99</v>
      </c>
      <c r="BM488" t="s">
        <v>9512</v>
      </c>
      <c r="BN488" t="s">
        <v>74</v>
      </c>
      <c r="BO488" t="s">
        <v>425</v>
      </c>
      <c r="BP488" t="s">
        <v>74</v>
      </c>
      <c r="BQ488" t="s">
        <v>74</v>
      </c>
      <c r="BR488" t="s">
        <v>101</v>
      </c>
      <c r="BS488" t="s">
        <v>9513</v>
      </c>
      <c r="BT488" t="str">
        <f>HYPERLINK("https%3A%2F%2Fwww.webofscience.com%2Fwos%2Fwoscc%2Ffull-record%2FWOS:001077203200001","View Full Record in Web of Science")</f>
        <v>View Full Record in Web of Science</v>
      </c>
    </row>
    <row r="489" spans="1:72" x14ac:dyDescent="0.2">
      <c r="A489" t="s">
        <v>103</v>
      </c>
      <c r="B489" t="s">
        <v>9514</v>
      </c>
      <c r="C489" t="s">
        <v>74</v>
      </c>
      <c r="D489" t="s">
        <v>74</v>
      </c>
      <c r="E489" t="s">
        <v>74</v>
      </c>
      <c r="F489" t="s">
        <v>9515</v>
      </c>
      <c r="G489" t="s">
        <v>74</v>
      </c>
      <c r="H489" t="s">
        <v>74</v>
      </c>
      <c r="I489" t="s">
        <v>9516</v>
      </c>
      <c r="J489" t="s">
        <v>9517</v>
      </c>
      <c r="K489" t="s">
        <v>74</v>
      </c>
      <c r="L489" t="s">
        <v>74</v>
      </c>
      <c r="M489" t="s">
        <v>79</v>
      </c>
      <c r="N489" t="s">
        <v>108</v>
      </c>
      <c r="O489" t="s">
        <v>74</v>
      </c>
      <c r="P489" t="s">
        <v>74</v>
      </c>
      <c r="Q489" t="s">
        <v>74</v>
      </c>
      <c r="R489" t="s">
        <v>74</v>
      </c>
      <c r="S489" t="s">
        <v>74</v>
      </c>
      <c r="T489" t="s">
        <v>74</v>
      </c>
      <c r="U489" t="s">
        <v>9518</v>
      </c>
      <c r="V489" t="s">
        <v>9519</v>
      </c>
      <c r="W489" t="s">
        <v>9520</v>
      </c>
      <c r="X489" t="s">
        <v>9521</v>
      </c>
      <c r="Y489" t="s">
        <v>9522</v>
      </c>
      <c r="Z489" t="s">
        <v>9523</v>
      </c>
      <c r="AA489" t="s">
        <v>9524</v>
      </c>
      <c r="AB489" t="s">
        <v>9525</v>
      </c>
      <c r="AC489" t="s">
        <v>9526</v>
      </c>
      <c r="AD489" t="s">
        <v>9527</v>
      </c>
      <c r="AE489" t="s">
        <v>9528</v>
      </c>
      <c r="AF489" t="s">
        <v>74</v>
      </c>
      <c r="AG489">
        <v>51</v>
      </c>
      <c r="AH489">
        <v>1</v>
      </c>
      <c r="AI489">
        <v>1</v>
      </c>
      <c r="AJ489">
        <v>0</v>
      </c>
      <c r="AK489">
        <v>0</v>
      </c>
      <c r="AL489" t="s">
        <v>3980</v>
      </c>
      <c r="AM489" t="s">
        <v>1153</v>
      </c>
      <c r="AN489" t="s">
        <v>3981</v>
      </c>
      <c r="AO489" t="s">
        <v>74</v>
      </c>
      <c r="AP489" t="s">
        <v>9529</v>
      </c>
      <c r="AQ489" t="s">
        <v>74</v>
      </c>
      <c r="AR489" t="s">
        <v>9530</v>
      </c>
      <c r="AS489" t="s">
        <v>9531</v>
      </c>
      <c r="AT489" t="s">
        <v>9532</v>
      </c>
      <c r="AU489">
        <v>2023</v>
      </c>
      <c r="AV489">
        <v>2</v>
      </c>
      <c r="AW489">
        <v>8</v>
      </c>
      <c r="AX489" t="s">
        <v>74</v>
      </c>
      <c r="AY489" t="s">
        <v>74</v>
      </c>
      <c r="AZ489" t="s">
        <v>74</v>
      </c>
      <c r="BA489" t="s">
        <v>74</v>
      </c>
      <c r="BB489">
        <v>1204</v>
      </c>
      <c r="BC489">
        <v>1214</v>
      </c>
      <c r="BD489" t="s">
        <v>74</v>
      </c>
      <c r="BE489" t="s">
        <v>9533</v>
      </c>
      <c r="BF489" t="str">
        <f>HYPERLINK("http://dx.doi.org/10.1039/d3ya00236e","http://dx.doi.org/10.1039/d3ya00236e")</f>
        <v>http://dx.doi.org/10.1039/d3ya00236e</v>
      </c>
      <c r="BG489" t="s">
        <v>74</v>
      </c>
      <c r="BH489" t="s">
        <v>74</v>
      </c>
      <c r="BI489">
        <v>11</v>
      </c>
      <c r="BJ489" t="s">
        <v>9534</v>
      </c>
      <c r="BK489" t="s">
        <v>352</v>
      </c>
      <c r="BL489" t="s">
        <v>9535</v>
      </c>
      <c r="BM489" t="s">
        <v>9536</v>
      </c>
      <c r="BN489" t="s">
        <v>74</v>
      </c>
      <c r="BO489" t="s">
        <v>425</v>
      </c>
      <c r="BP489" t="s">
        <v>74</v>
      </c>
      <c r="BQ489" t="s">
        <v>74</v>
      </c>
      <c r="BR489" t="s">
        <v>101</v>
      </c>
      <c r="BS489" t="s">
        <v>9537</v>
      </c>
      <c r="BT489" t="str">
        <f>HYPERLINK("https%3A%2F%2Fwww.webofscience.com%2Fwos%2Fwoscc%2Ffull-record%2FWOS:001102157900001","View Full Record in Web of Science")</f>
        <v>View Full Record in Web of Science</v>
      </c>
    </row>
    <row r="490" spans="1:72" x14ac:dyDescent="0.2">
      <c r="A490" t="s">
        <v>103</v>
      </c>
      <c r="B490" t="s">
        <v>9538</v>
      </c>
      <c r="C490" t="s">
        <v>74</v>
      </c>
      <c r="D490" t="s">
        <v>74</v>
      </c>
      <c r="E490" t="s">
        <v>74</v>
      </c>
      <c r="F490" t="s">
        <v>9539</v>
      </c>
      <c r="G490" t="s">
        <v>74</v>
      </c>
      <c r="H490" t="s">
        <v>74</v>
      </c>
      <c r="I490" t="s">
        <v>9540</v>
      </c>
      <c r="J490" t="s">
        <v>9541</v>
      </c>
      <c r="K490" t="s">
        <v>74</v>
      </c>
      <c r="L490" t="s">
        <v>74</v>
      </c>
      <c r="M490" t="s">
        <v>79</v>
      </c>
      <c r="N490" t="s">
        <v>108</v>
      </c>
      <c r="O490" t="s">
        <v>74</v>
      </c>
      <c r="P490" t="s">
        <v>74</v>
      </c>
      <c r="Q490" t="s">
        <v>74</v>
      </c>
      <c r="R490" t="s">
        <v>74</v>
      </c>
      <c r="S490" t="s">
        <v>74</v>
      </c>
      <c r="T490" t="s">
        <v>9542</v>
      </c>
      <c r="U490" t="s">
        <v>74</v>
      </c>
      <c r="V490" t="s">
        <v>9543</v>
      </c>
      <c r="W490" t="s">
        <v>9544</v>
      </c>
      <c r="X490" t="s">
        <v>9545</v>
      </c>
      <c r="Y490" t="s">
        <v>9546</v>
      </c>
      <c r="Z490" t="s">
        <v>9547</v>
      </c>
      <c r="AA490" t="s">
        <v>74</v>
      </c>
      <c r="AB490" t="s">
        <v>9548</v>
      </c>
      <c r="AC490" t="s">
        <v>9549</v>
      </c>
      <c r="AD490" t="s">
        <v>9550</v>
      </c>
      <c r="AE490" t="s">
        <v>9551</v>
      </c>
      <c r="AF490" t="s">
        <v>74</v>
      </c>
      <c r="AG490">
        <v>39</v>
      </c>
      <c r="AH490">
        <v>1</v>
      </c>
      <c r="AI490">
        <v>1</v>
      </c>
      <c r="AJ490">
        <v>17</v>
      </c>
      <c r="AK490">
        <v>20</v>
      </c>
      <c r="AL490" t="s">
        <v>764</v>
      </c>
      <c r="AM490" t="s">
        <v>765</v>
      </c>
      <c r="AN490" t="s">
        <v>766</v>
      </c>
      <c r="AO490" t="s">
        <v>9552</v>
      </c>
      <c r="AP490" t="s">
        <v>74</v>
      </c>
      <c r="AQ490" t="s">
        <v>74</v>
      </c>
      <c r="AR490" t="s">
        <v>9553</v>
      </c>
      <c r="AS490" t="s">
        <v>9554</v>
      </c>
      <c r="AT490" t="s">
        <v>74</v>
      </c>
      <c r="AU490">
        <v>2023</v>
      </c>
      <c r="AV490">
        <v>21</v>
      </c>
      <c r="AW490" t="s">
        <v>74</v>
      </c>
      <c r="AX490" t="s">
        <v>74</v>
      </c>
      <c r="AY490" t="s">
        <v>74</v>
      </c>
      <c r="AZ490" t="s">
        <v>74</v>
      </c>
      <c r="BA490" t="s">
        <v>74</v>
      </c>
      <c r="BB490">
        <v>2929</v>
      </c>
      <c r="BC490">
        <v>2939</v>
      </c>
      <c r="BD490" t="s">
        <v>74</v>
      </c>
      <c r="BE490" t="s">
        <v>9555</v>
      </c>
      <c r="BF490" t="str">
        <f>HYPERLINK("http://dx.doi.org/10.1016/j.csbj.2023.04.026","http://dx.doi.org/10.1016/j.csbj.2023.04.026")</f>
        <v>http://dx.doi.org/10.1016/j.csbj.2023.04.026</v>
      </c>
      <c r="BG490" t="s">
        <v>74</v>
      </c>
      <c r="BH490" t="s">
        <v>2889</v>
      </c>
      <c r="BI490">
        <v>11</v>
      </c>
      <c r="BJ490" t="s">
        <v>9556</v>
      </c>
      <c r="BK490" t="s">
        <v>130</v>
      </c>
      <c r="BL490" t="s">
        <v>9556</v>
      </c>
      <c r="BM490" t="s">
        <v>9557</v>
      </c>
      <c r="BN490">
        <v>38213883</v>
      </c>
      <c r="BO490" t="s">
        <v>74</v>
      </c>
      <c r="BP490" t="s">
        <v>74</v>
      </c>
      <c r="BQ490" t="s">
        <v>74</v>
      </c>
      <c r="BR490" t="s">
        <v>101</v>
      </c>
      <c r="BS490" t="s">
        <v>9558</v>
      </c>
      <c r="BT490" t="str">
        <f>HYPERLINK("https%3A%2F%2Fwww.webofscience.com%2Fwos%2Fwoscc%2Ffull-record%2FWOS:001007216400001","View Full Record in Web of Science")</f>
        <v>View Full Record in Web of Science</v>
      </c>
    </row>
    <row r="491" spans="1:72" x14ac:dyDescent="0.2">
      <c r="A491" t="s">
        <v>103</v>
      </c>
      <c r="B491" t="s">
        <v>9559</v>
      </c>
      <c r="C491" t="s">
        <v>74</v>
      </c>
      <c r="D491" t="s">
        <v>74</v>
      </c>
      <c r="E491" t="s">
        <v>74</v>
      </c>
      <c r="F491" t="s">
        <v>9560</v>
      </c>
      <c r="G491" t="s">
        <v>74</v>
      </c>
      <c r="H491" t="s">
        <v>74</v>
      </c>
      <c r="I491" t="s">
        <v>9561</v>
      </c>
      <c r="J491" t="s">
        <v>9562</v>
      </c>
      <c r="K491" t="s">
        <v>74</v>
      </c>
      <c r="L491" t="s">
        <v>74</v>
      </c>
      <c r="M491" t="s">
        <v>79</v>
      </c>
      <c r="N491" t="s">
        <v>108</v>
      </c>
      <c r="O491" t="s">
        <v>74</v>
      </c>
      <c r="P491" t="s">
        <v>74</v>
      </c>
      <c r="Q491" t="s">
        <v>74</v>
      </c>
      <c r="R491" t="s">
        <v>74</v>
      </c>
      <c r="S491" t="s">
        <v>74</v>
      </c>
      <c r="T491" t="s">
        <v>9563</v>
      </c>
      <c r="U491" t="s">
        <v>74</v>
      </c>
      <c r="V491" t="s">
        <v>9564</v>
      </c>
      <c r="W491" t="s">
        <v>9565</v>
      </c>
      <c r="X491" t="s">
        <v>9566</v>
      </c>
      <c r="Y491" t="s">
        <v>9567</v>
      </c>
      <c r="Z491" t="s">
        <v>74</v>
      </c>
      <c r="AA491" t="s">
        <v>74</v>
      </c>
      <c r="AB491" t="s">
        <v>74</v>
      </c>
      <c r="AC491" t="s">
        <v>74</v>
      </c>
      <c r="AD491" t="s">
        <v>74</v>
      </c>
      <c r="AE491" t="s">
        <v>74</v>
      </c>
      <c r="AF491" t="s">
        <v>74</v>
      </c>
      <c r="AG491">
        <v>22</v>
      </c>
      <c r="AH491">
        <v>0</v>
      </c>
      <c r="AI491">
        <v>0</v>
      </c>
      <c r="AJ491">
        <v>10</v>
      </c>
      <c r="AK491">
        <v>10</v>
      </c>
      <c r="AL491" t="s">
        <v>9568</v>
      </c>
      <c r="AM491" t="s">
        <v>9569</v>
      </c>
      <c r="AN491" t="s">
        <v>9570</v>
      </c>
      <c r="AO491" t="s">
        <v>9571</v>
      </c>
      <c r="AP491" t="s">
        <v>9572</v>
      </c>
      <c r="AQ491" t="s">
        <v>74</v>
      </c>
      <c r="AR491" t="s">
        <v>9573</v>
      </c>
      <c r="AS491" t="s">
        <v>9574</v>
      </c>
      <c r="AT491" t="s">
        <v>276</v>
      </c>
      <c r="AU491">
        <v>2023</v>
      </c>
      <c r="AV491">
        <v>14</v>
      </c>
      <c r="AW491">
        <v>11</v>
      </c>
      <c r="AX491" t="s">
        <v>74</v>
      </c>
      <c r="AY491" t="s">
        <v>74</v>
      </c>
      <c r="AZ491" t="s">
        <v>74</v>
      </c>
      <c r="BA491" t="s">
        <v>74</v>
      </c>
      <c r="BB491">
        <v>1208</v>
      </c>
      <c r="BC491">
        <v>1213</v>
      </c>
      <c r="BD491" t="s">
        <v>74</v>
      </c>
      <c r="BE491" t="s">
        <v>74</v>
      </c>
      <c r="BF491" t="s">
        <v>74</v>
      </c>
      <c r="BG491" t="s">
        <v>74</v>
      </c>
      <c r="BH491" t="s">
        <v>74</v>
      </c>
      <c r="BI491">
        <v>6</v>
      </c>
      <c r="BJ491" t="s">
        <v>9575</v>
      </c>
      <c r="BK491" t="s">
        <v>352</v>
      </c>
      <c r="BL491" t="s">
        <v>99</v>
      </c>
      <c r="BM491" t="s">
        <v>9576</v>
      </c>
      <c r="BN491" t="s">
        <v>74</v>
      </c>
      <c r="BO491" t="s">
        <v>74</v>
      </c>
      <c r="BP491" t="s">
        <v>74</v>
      </c>
      <c r="BQ491" t="s">
        <v>74</v>
      </c>
      <c r="BR491" t="s">
        <v>101</v>
      </c>
      <c r="BS491" t="s">
        <v>9577</v>
      </c>
      <c r="BT491" t="str">
        <f>HYPERLINK("https%3A%2F%2Fwww.webofscience.com%2Fwos%2Fwoscc%2Ffull-record%2FWOS:001125969000001","View Full Record in Web of Science")</f>
        <v>View Full Record in Web of Science</v>
      </c>
    </row>
    <row r="492" spans="1:72" x14ac:dyDescent="0.2">
      <c r="A492" t="s">
        <v>72</v>
      </c>
      <c r="B492" t="s">
        <v>9578</v>
      </c>
      <c r="C492" t="s">
        <v>74</v>
      </c>
      <c r="D492" t="s">
        <v>75</v>
      </c>
      <c r="E492" t="s">
        <v>74</v>
      </c>
      <c r="F492" t="s">
        <v>9579</v>
      </c>
      <c r="G492" t="s">
        <v>74</v>
      </c>
      <c r="H492" t="s">
        <v>74</v>
      </c>
      <c r="I492" t="s">
        <v>9580</v>
      </c>
      <c r="J492" t="s">
        <v>1168</v>
      </c>
      <c r="K492" t="s">
        <v>74</v>
      </c>
      <c r="L492" t="s">
        <v>74</v>
      </c>
      <c r="M492" t="s">
        <v>79</v>
      </c>
      <c r="N492" t="s">
        <v>80</v>
      </c>
      <c r="O492" t="s">
        <v>1169</v>
      </c>
      <c r="P492" t="s">
        <v>1170</v>
      </c>
      <c r="Q492" t="s">
        <v>1171</v>
      </c>
      <c r="R492" t="s">
        <v>1172</v>
      </c>
      <c r="S492" t="s">
        <v>1173</v>
      </c>
      <c r="T492" t="s">
        <v>9581</v>
      </c>
      <c r="U492" t="s">
        <v>74</v>
      </c>
      <c r="V492" t="s">
        <v>9582</v>
      </c>
      <c r="W492" t="s">
        <v>9583</v>
      </c>
      <c r="X492" t="s">
        <v>9584</v>
      </c>
      <c r="Y492" t="s">
        <v>9585</v>
      </c>
      <c r="Z492" t="s">
        <v>9586</v>
      </c>
      <c r="AA492" t="s">
        <v>9587</v>
      </c>
      <c r="AB492" t="s">
        <v>9588</v>
      </c>
      <c r="AC492" t="s">
        <v>9589</v>
      </c>
      <c r="AD492" t="s">
        <v>9589</v>
      </c>
      <c r="AE492" t="s">
        <v>9590</v>
      </c>
      <c r="AF492" t="s">
        <v>74</v>
      </c>
      <c r="AG492">
        <v>9</v>
      </c>
      <c r="AH492">
        <v>0</v>
      </c>
      <c r="AI492">
        <v>0</v>
      </c>
      <c r="AJ492">
        <v>31</v>
      </c>
      <c r="AK492">
        <v>31</v>
      </c>
      <c r="AL492" t="s">
        <v>92</v>
      </c>
      <c r="AM492" t="s">
        <v>93</v>
      </c>
      <c r="AN492" t="s">
        <v>94</v>
      </c>
      <c r="AO492" t="s">
        <v>74</v>
      </c>
      <c r="AP492" t="s">
        <v>74</v>
      </c>
      <c r="AQ492" t="s">
        <v>1184</v>
      </c>
      <c r="AR492" t="s">
        <v>74</v>
      </c>
      <c r="AS492" t="s">
        <v>74</v>
      </c>
      <c r="AT492" t="s">
        <v>74</v>
      </c>
      <c r="AU492">
        <v>2023</v>
      </c>
      <c r="AV492" t="s">
        <v>74</v>
      </c>
      <c r="AW492" t="s">
        <v>74</v>
      </c>
      <c r="AX492" t="s">
        <v>74</v>
      </c>
      <c r="AY492" t="s">
        <v>74</v>
      </c>
      <c r="AZ492" t="s">
        <v>74</v>
      </c>
      <c r="BA492" t="s">
        <v>74</v>
      </c>
      <c r="BB492">
        <v>416</v>
      </c>
      <c r="BC492">
        <v>420</v>
      </c>
      <c r="BD492" t="s">
        <v>74</v>
      </c>
      <c r="BE492" t="s">
        <v>9591</v>
      </c>
      <c r="BF492" t="str">
        <f>HYPERLINK("http://dx.doi.org/10.1145/3573051.3596200","http://dx.doi.org/10.1145/3573051.3596200")</f>
        <v>http://dx.doi.org/10.1145/3573051.3596200</v>
      </c>
      <c r="BG492" t="s">
        <v>74</v>
      </c>
      <c r="BH492" t="s">
        <v>74</v>
      </c>
      <c r="BI492">
        <v>5</v>
      </c>
      <c r="BJ492" t="s">
        <v>1186</v>
      </c>
      <c r="BK492" t="s">
        <v>180</v>
      </c>
      <c r="BL492" t="s">
        <v>1187</v>
      </c>
      <c r="BM492" t="s">
        <v>1188</v>
      </c>
      <c r="BN492" t="s">
        <v>74</v>
      </c>
      <c r="BO492" t="s">
        <v>646</v>
      </c>
      <c r="BP492" t="s">
        <v>74</v>
      </c>
      <c r="BQ492" t="s">
        <v>74</v>
      </c>
      <c r="BR492" t="s">
        <v>101</v>
      </c>
      <c r="BS492" t="s">
        <v>9592</v>
      </c>
      <c r="BT492" t="str">
        <f>HYPERLINK("https%3A%2F%2Fwww.webofscience.com%2Fwos%2Fwoscc%2Ffull-record%2FWOS:001125787500061","View Full Record in Web of Science")</f>
        <v>View Full Record in Web of Science</v>
      </c>
    </row>
    <row r="493" spans="1:72" x14ac:dyDescent="0.2">
      <c r="A493" t="s">
        <v>103</v>
      </c>
      <c r="B493" t="s">
        <v>9593</v>
      </c>
      <c r="C493" t="s">
        <v>74</v>
      </c>
      <c r="D493" t="s">
        <v>74</v>
      </c>
      <c r="E493" t="s">
        <v>74</v>
      </c>
      <c r="F493" t="s">
        <v>9594</v>
      </c>
      <c r="G493" t="s">
        <v>74</v>
      </c>
      <c r="H493" t="s">
        <v>74</v>
      </c>
      <c r="I493" t="s">
        <v>9595</v>
      </c>
      <c r="J493" t="s">
        <v>4059</v>
      </c>
      <c r="K493" t="s">
        <v>74</v>
      </c>
      <c r="L493" t="s">
        <v>74</v>
      </c>
      <c r="M493" t="s">
        <v>79</v>
      </c>
      <c r="N493" t="s">
        <v>108</v>
      </c>
      <c r="O493" t="s">
        <v>74</v>
      </c>
      <c r="P493" t="s">
        <v>74</v>
      </c>
      <c r="Q493" t="s">
        <v>74</v>
      </c>
      <c r="R493" t="s">
        <v>74</v>
      </c>
      <c r="S493" t="s">
        <v>74</v>
      </c>
      <c r="T493" t="s">
        <v>9596</v>
      </c>
      <c r="U493" t="s">
        <v>74</v>
      </c>
      <c r="V493" t="s">
        <v>9597</v>
      </c>
      <c r="W493" t="s">
        <v>9598</v>
      </c>
      <c r="X493" t="s">
        <v>9599</v>
      </c>
      <c r="Y493" t="s">
        <v>9600</v>
      </c>
      <c r="Z493" t="s">
        <v>9601</v>
      </c>
      <c r="AA493" t="s">
        <v>9602</v>
      </c>
      <c r="AB493" t="s">
        <v>9603</v>
      </c>
      <c r="AC493" t="s">
        <v>74</v>
      </c>
      <c r="AD493" t="s">
        <v>74</v>
      </c>
      <c r="AE493" t="s">
        <v>74</v>
      </c>
      <c r="AF493" t="s">
        <v>74</v>
      </c>
      <c r="AG493">
        <v>17</v>
      </c>
      <c r="AH493">
        <v>0</v>
      </c>
      <c r="AI493">
        <v>0</v>
      </c>
      <c r="AJ493">
        <v>13</v>
      </c>
      <c r="AK493">
        <v>15</v>
      </c>
      <c r="AL493" t="s">
        <v>148</v>
      </c>
      <c r="AM493" t="s">
        <v>149</v>
      </c>
      <c r="AN493" t="s">
        <v>150</v>
      </c>
      <c r="AO493" t="s">
        <v>4068</v>
      </c>
      <c r="AP493" t="s">
        <v>4069</v>
      </c>
      <c r="AQ493" t="s">
        <v>74</v>
      </c>
      <c r="AR493" t="s">
        <v>4070</v>
      </c>
      <c r="AS493" t="s">
        <v>4071</v>
      </c>
      <c r="AT493" t="s">
        <v>527</v>
      </c>
      <c r="AU493">
        <v>2023</v>
      </c>
      <c r="AV493">
        <v>21</v>
      </c>
      <c r="AW493">
        <v>4</v>
      </c>
      <c r="AX493" t="s">
        <v>74</v>
      </c>
      <c r="AY493" t="s">
        <v>74</v>
      </c>
      <c r="AZ493" t="s">
        <v>74</v>
      </c>
      <c r="BA493" t="s">
        <v>74</v>
      </c>
      <c r="BB493">
        <v>695</v>
      </c>
      <c r="BC493">
        <v>711</v>
      </c>
      <c r="BD493" t="s">
        <v>74</v>
      </c>
      <c r="BE493" t="s">
        <v>9604</v>
      </c>
      <c r="BF493" t="str">
        <f>HYPERLINK("http://dx.doi.org/10.1177/14780771231181237","http://dx.doi.org/10.1177/14780771231181237")</f>
        <v>http://dx.doi.org/10.1177/14780771231181237</v>
      </c>
      <c r="BG493" t="s">
        <v>74</v>
      </c>
      <c r="BH493" t="s">
        <v>1910</v>
      </c>
      <c r="BI493">
        <v>17</v>
      </c>
      <c r="BJ493" t="s">
        <v>4073</v>
      </c>
      <c r="BK493" t="s">
        <v>352</v>
      </c>
      <c r="BL493" t="s">
        <v>4073</v>
      </c>
      <c r="BM493" t="s">
        <v>9605</v>
      </c>
      <c r="BN493" t="s">
        <v>74</v>
      </c>
      <c r="BO493" t="s">
        <v>74</v>
      </c>
      <c r="BP493" t="s">
        <v>74</v>
      </c>
      <c r="BQ493" t="s">
        <v>74</v>
      </c>
      <c r="BR493" t="s">
        <v>101</v>
      </c>
      <c r="BS493" t="s">
        <v>9606</v>
      </c>
      <c r="BT493" t="str">
        <f>HYPERLINK("https%3A%2F%2Fwww.webofscience.com%2Fwos%2Fwoscc%2Ffull-record%2FWOS:001007354200001","View Full Record in Web of Science")</f>
        <v>View Full Record in Web of Science</v>
      </c>
    </row>
    <row r="494" spans="1:72" x14ac:dyDescent="0.2">
      <c r="A494" t="s">
        <v>103</v>
      </c>
      <c r="B494" t="s">
        <v>9607</v>
      </c>
      <c r="C494" t="s">
        <v>74</v>
      </c>
      <c r="D494" t="s">
        <v>74</v>
      </c>
      <c r="E494" t="s">
        <v>74</v>
      </c>
      <c r="F494" t="s">
        <v>9608</v>
      </c>
      <c r="G494" t="s">
        <v>74</v>
      </c>
      <c r="H494" t="s">
        <v>74</v>
      </c>
      <c r="I494" t="s">
        <v>9609</v>
      </c>
      <c r="J494" t="s">
        <v>7911</v>
      </c>
      <c r="K494" t="s">
        <v>74</v>
      </c>
      <c r="L494" t="s">
        <v>74</v>
      </c>
      <c r="M494" t="s">
        <v>79</v>
      </c>
      <c r="N494" t="s">
        <v>108</v>
      </c>
      <c r="O494" t="s">
        <v>74</v>
      </c>
      <c r="P494" t="s">
        <v>74</v>
      </c>
      <c r="Q494" t="s">
        <v>74</v>
      </c>
      <c r="R494" t="s">
        <v>74</v>
      </c>
      <c r="S494" t="s">
        <v>74</v>
      </c>
      <c r="T494" t="s">
        <v>9610</v>
      </c>
      <c r="U494" t="s">
        <v>9611</v>
      </c>
      <c r="V494" t="s">
        <v>9612</v>
      </c>
      <c r="W494" t="s">
        <v>9613</v>
      </c>
      <c r="X494" t="s">
        <v>9614</v>
      </c>
      <c r="Y494" t="s">
        <v>9615</v>
      </c>
      <c r="Z494" t="s">
        <v>9616</v>
      </c>
      <c r="AA494" t="s">
        <v>74</v>
      </c>
      <c r="AB494" t="s">
        <v>74</v>
      </c>
      <c r="AC494" t="s">
        <v>9617</v>
      </c>
      <c r="AD494" t="s">
        <v>9618</v>
      </c>
      <c r="AE494" t="s">
        <v>9619</v>
      </c>
      <c r="AF494" t="s">
        <v>74</v>
      </c>
      <c r="AG494">
        <v>103</v>
      </c>
      <c r="AH494">
        <v>0</v>
      </c>
      <c r="AI494">
        <v>0</v>
      </c>
      <c r="AJ494">
        <v>0</v>
      </c>
      <c r="AK494">
        <v>0</v>
      </c>
      <c r="AL494" t="s">
        <v>7922</v>
      </c>
      <c r="AM494" t="s">
        <v>7923</v>
      </c>
      <c r="AN494" t="s">
        <v>7924</v>
      </c>
      <c r="AO494" t="s">
        <v>7925</v>
      </c>
      <c r="AP494" t="s">
        <v>74</v>
      </c>
      <c r="AQ494" t="s">
        <v>74</v>
      </c>
      <c r="AR494" t="s">
        <v>7926</v>
      </c>
      <c r="AS494" t="s">
        <v>7927</v>
      </c>
      <c r="AT494" t="s">
        <v>74</v>
      </c>
      <c r="AU494">
        <v>2023</v>
      </c>
      <c r="AV494">
        <v>24</v>
      </c>
      <c r="AW494" t="s">
        <v>74</v>
      </c>
      <c r="AX494" t="s">
        <v>74</v>
      </c>
      <c r="AY494" t="s">
        <v>74</v>
      </c>
      <c r="AZ494" t="s">
        <v>74</v>
      </c>
      <c r="BA494" t="s">
        <v>74</v>
      </c>
      <c r="BB494" t="s">
        <v>74</v>
      </c>
      <c r="BC494" t="s">
        <v>74</v>
      </c>
      <c r="BD494">
        <v>77</v>
      </c>
      <c r="BE494" t="s">
        <v>74</v>
      </c>
      <c r="BF494" t="s">
        <v>74</v>
      </c>
      <c r="BG494" t="s">
        <v>74</v>
      </c>
      <c r="BH494" t="s">
        <v>74</v>
      </c>
      <c r="BI494">
        <v>42</v>
      </c>
      <c r="BJ494" t="s">
        <v>7928</v>
      </c>
      <c r="BK494" t="s">
        <v>130</v>
      </c>
      <c r="BL494" t="s">
        <v>1258</v>
      </c>
      <c r="BM494" t="s">
        <v>9620</v>
      </c>
      <c r="BN494" t="s">
        <v>74</v>
      </c>
      <c r="BO494" t="s">
        <v>74</v>
      </c>
      <c r="BP494" t="s">
        <v>74</v>
      </c>
      <c r="BQ494" t="s">
        <v>74</v>
      </c>
      <c r="BR494" t="s">
        <v>101</v>
      </c>
      <c r="BS494" t="s">
        <v>9621</v>
      </c>
      <c r="BT494" t="str">
        <f>HYPERLINK("https%3A%2F%2Fwww.webofscience.com%2Fwos%2Fwoscc%2Ffull-record%2FWOS:001125148900001","View Full Record in Web of Science")</f>
        <v>View Full Record in Web of Science</v>
      </c>
    </row>
    <row r="495" spans="1:72" x14ac:dyDescent="0.2">
      <c r="A495" t="s">
        <v>103</v>
      </c>
      <c r="B495" t="s">
        <v>9622</v>
      </c>
      <c r="C495" t="s">
        <v>74</v>
      </c>
      <c r="D495" t="s">
        <v>74</v>
      </c>
      <c r="E495" t="s">
        <v>74</v>
      </c>
      <c r="F495" t="s">
        <v>9623</v>
      </c>
      <c r="G495" t="s">
        <v>74</v>
      </c>
      <c r="H495" t="s">
        <v>74</v>
      </c>
      <c r="I495" t="s">
        <v>9624</v>
      </c>
      <c r="J495" t="s">
        <v>8908</v>
      </c>
      <c r="K495" t="s">
        <v>74</v>
      </c>
      <c r="L495" t="s">
        <v>74</v>
      </c>
      <c r="M495" t="s">
        <v>79</v>
      </c>
      <c r="N495" t="s">
        <v>108</v>
      </c>
      <c r="O495" t="s">
        <v>74</v>
      </c>
      <c r="P495" t="s">
        <v>74</v>
      </c>
      <c r="Q495" t="s">
        <v>74</v>
      </c>
      <c r="R495" t="s">
        <v>74</v>
      </c>
      <c r="S495" t="s">
        <v>74</v>
      </c>
      <c r="T495" t="s">
        <v>9625</v>
      </c>
      <c r="U495" t="s">
        <v>74</v>
      </c>
      <c r="V495" t="s">
        <v>9626</v>
      </c>
      <c r="W495" t="s">
        <v>9627</v>
      </c>
      <c r="X495" t="s">
        <v>9628</v>
      </c>
      <c r="Y495" t="s">
        <v>9629</v>
      </c>
      <c r="Z495" t="s">
        <v>9630</v>
      </c>
      <c r="AA495" t="s">
        <v>74</v>
      </c>
      <c r="AB495" t="s">
        <v>9631</v>
      </c>
      <c r="AC495" t="s">
        <v>9632</v>
      </c>
      <c r="AD495" t="s">
        <v>9632</v>
      </c>
      <c r="AE495" t="s">
        <v>3401</v>
      </c>
      <c r="AF495" t="s">
        <v>74</v>
      </c>
      <c r="AG495">
        <v>40</v>
      </c>
      <c r="AH495">
        <v>0</v>
      </c>
      <c r="AI495">
        <v>0</v>
      </c>
      <c r="AJ495">
        <v>8</v>
      </c>
      <c r="AK495">
        <v>8</v>
      </c>
      <c r="AL495" t="s">
        <v>939</v>
      </c>
      <c r="AM495" t="s">
        <v>940</v>
      </c>
      <c r="AN495" t="s">
        <v>941</v>
      </c>
      <c r="AO495" t="s">
        <v>74</v>
      </c>
      <c r="AP495" t="s">
        <v>8918</v>
      </c>
      <c r="AQ495" t="s">
        <v>74</v>
      </c>
      <c r="AR495" t="s">
        <v>8919</v>
      </c>
      <c r="AS495" t="s">
        <v>8920</v>
      </c>
      <c r="AT495" t="s">
        <v>276</v>
      </c>
      <c r="AU495">
        <v>2023</v>
      </c>
      <c r="AV495">
        <v>12</v>
      </c>
      <c r="AW495">
        <v>22</v>
      </c>
      <c r="AX495" t="s">
        <v>74</v>
      </c>
      <c r="AY495" t="s">
        <v>74</v>
      </c>
      <c r="AZ495" t="s">
        <v>74</v>
      </c>
      <c r="BA495" t="s">
        <v>74</v>
      </c>
      <c r="BB495" t="s">
        <v>74</v>
      </c>
      <c r="BC495" t="s">
        <v>74</v>
      </c>
      <c r="BD495">
        <v>4694</v>
      </c>
      <c r="BE495" t="s">
        <v>9633</v>
      </c>
      <c r="BF495" t="str">
        <f>HYPERLINK("http://dx.doi.org/10.3390/electronics12224694","http://dx.doi.org/10.3390/electronics12224694")</f>
        <v>http://dx.doi.org/10.3390/electronics12224694</v>
      </c>
      <c r="BG495" t="s">
        <v>74</v>
      </c>
      <c r="BH495" t="s">
        <v>74</v>
      </c>
      <c r="BI495">
        <v>14</v>
      </c>
      <c r="BJ495" t="s">
        <v>8922</v>
      </c>
      <c r="BK495" t="s">
        <v>130</v>
      </c>
      <c r="BL495" t="s">
        <v>8923</v>
      </c>
      <c r="BM495" t="s">
        <v>9634</v>
      </c>
      <c r="BN495" t="s">
        <v>74</v>
      </c>
      <c r="BO495" t="s">
        <v>425</v>
      </c>
      <c r="BP495" t="s">
        <v>74</v>
      </c>
      <c r="BQ495" t="s">
        <v>74</v>
      </c>
      <c r="BR495" t="s">
        <v>101</v>
      </c>
      <c r="BS495" t="s">
        <v>9635</v>
      </c>
      <c r="BT495" t="str">
        <f>HYPERLINK("https%3A%2F%2Fwww.webofscience.com%2Fwos%2Fwoscc%2Ffull-record%2FWOS:001120766500001","View Full Record in Web of Science")</f>
        <v>View Full Record in Web of Science</v>
      </c>
    </row>
    <row r="496" spans="1:72" x14ac:dyDescent="0.2">
      <c r="A496" t="s">
        <v>103</v>
      </c>
      <c r="B496" t="s">
        <v>9636</v>
      </c>
      <c r="C496" t="s">
        <v>74</v>
      </c>
      <c r="D496" t="s">
        <v>74</v>
      </c>
      <c r="E496" t="s">
        <v>74</v>
      </c>
      <c r="F496" t="s">
        <v>9637</v>
      </c>
      <c r="G496" t="s">
        <v>74</v>
      </c>
      <c r="H496" t="s">
        <v>74</v>
      </c>
      <c r="I496" t="s">
        <v>9638</v>
      </c>
      <c r="J496" t="s">
        <v>9639</v>
      </c>
      <c r="K496" t="s">
        <v>74</v>
      </c>
      <c r="L496" t="s">
        <v>74</v>
      </c>
      <c r="M496" t="s">
        <v>79</v>
      </c>
      <c r="N496" t="s">
        <v>108</v>
      </c>
      <c r="O496" t="s">
        <v>74</v>
      </c>
      <c r="P496" t="s">
        <v>74</v>
      </c>
      <c r="Q496" t="s">
        <v>74</v>
      </c>
      <c r="R496" t="s">
        <v>74</v>
      </c>
      <c r="S496" t="s">
        <v>74</v>
      </c>
      <c r="T496" t="s">
        <v>9640</v>
      </c>
      <c r="U496" t="s">
        <v>9641</v>
      </c>
      <c r="V496" t="s">
        <v>9642</v>
      </c>
      <c r="W496" t="s">
        <v>9643</v>
      </c>
      <c r="X496" t="s">
        <v>9644</v>
      </c>
      <c r="Y496" t="s">
        <v>9645</v>
      </c>
      <c r="Z496" t="s">
        <v>9646</v>
      </c>
      <c r="AA496" t="s">
        <v>74</v>
      </c>
      <c r="AB496" t="s">
        <v>9647</v>
      </c>
      <c r="AC496" t="s">
        <v>74</v>
      </c>
      <c r="AD496" t="s">
        <v>74</v>
      </c>
      <c r="AE496" t="s">
        <v>74</v>
      </c>
      <c r="AF496" t="s">
        <v>74</v>
      </c>
      <c r="AG496">
        <v>61</v>
      </c>
      <c r="AH496">
        <v>0</v>
      </c>
      <c r="AI496">
        <v>0</v>
      </c>
      <c r="AJ496">
        <v>57</v>
      </c>
      <c r="AK496">
        <v>70</v>
      </c>
      <c r="AL496" t="s">
        <v>8126</v>
      </c>
      <c r="AM496" t="s">
        <v>8127</v>
      </c>
      <c r="AN496" t="s">
        <v>8128</v>
      </c>
      <c r="AO496" t="s">
        <v>9648</v>
      </c>
      <c r="AP496" t="s">
        <v>9649</v>
      </c>
      <c r="AQ496" t="s">
        <v>74</v>
      </c>
      <c r="AR496" t="s">
        <v>9650</v>
      </c>
      <c r="AS496" t="s">
        <v>9651</v>
      </c>
      <c r="AT496" t="s">
        <v>527</v>
      </c>
      <c r="AU496">
        <v>2023</v>
      </c>
      <c r="AV496">
        <v>11</v>
      </c>
      <c r="AW496">
        <v>4</v>
      </c>
      <c r="AX496" t="s">
        <v>74</v>
      </c>
      <c r="AY496" t="s">
        <v>74</v>
      </c>
      <c r="AZ496" t="s">
        <v>253</v>
      </c>
      <c r="BA496" t="s">
        <v>74</v>
      </c>
      <c r="BB496">
        <v>693</v>
      </c>
      <c r="BC496">
        <v>706</v>
      </c>
      <c r="BD496" t="s">
        <v>74</v>
      </c>
      <c r="BE496" t="s">
        <v>9652</v>
      </c>
      <c r="BF496" t="str">
        <f>HYPERLINK("http://dx.doi.org/10.1057/s41270-023-00250-6","http://dx.doi.org/10.1057/s41270-023-00250-6")</f>
        <v>http://dx.doi.org/10.1057/s41270-023-00250-6</v>
      </c>
      <c r="BG496" t="s">
        <v>74</v>
      </c>
      <c r="BH496" t="s">
        <v>278</v>
      </c>
      <c r="BI496">
        <v>14</v>
      </c>
      <c r="BJ496" t="s">
        <v>492</v>
      </c>
      <c r="BK496" t="s">
        <v>352</v>
      </c>
      <c r="BL496" t="s">
        <v>470</v>
      </c>
      <c r="BM496" t="s">
        <v>9653</v>
      </c>
      <c r="BN496" t="s">
        <v>74</v>
      </c>
      <c r="BO496" t="s">
        <v>74</v>
      </c>
      <c r="BP496" t="s">
        <v>74</v>
      </c>
      <c r="BQ496" t="s">
        <v>74</v>
      </c>
      <c r="BR496" t="s">
        <v>101</v>
      </c>
      <c r="BS496" t="s">
        <v>9654</v>
      </c>
      <c r="BT496" t="str">
        <f>HYPERLINK("https%3A%2F%2Fwww.webofscience.com%2Fwos%2Fwoscc%2Ffull-record%2FWOS:001056976800001","View Full Record in Web of Science")</f>
        <v>View Full Record in Web of Science</v>
      </c>
    </row>
    <row r="497" spans="1:72" x14ac:dyDescent="0.2">
      <c r="A497" t="s">
        <v>103</v>
      </c>
      <c r="B497" t="s">
        <v>9655</v>
      </c>
      <c r="C497" t="s">
        <v>74</v>
      </c>
      <c r="D497" t="s">
        <v>74</v>
      </c>
      <c r="E497" t="s">
        <v>74</v>
      </c>
      <c r="F497" t="s">
        <v>9656</v>
      </c>
      <c r="G497" t="s">
        <v>74</v>
      </c>
      <c r="H497" t="s">
        <v>74</v>
      </c>
      <c r="I497" t="s">
        <v>9657</v>
      </c>
      <c r="J497" t="s">
        <v>9658</v>
      </c>
      <c r="K497" t="s">
        <v>74</v>
      </c>
      <c r="L497" t="s">
        <v>74</v>
      </c>
      <c r="M497" t="s">
        <v>79</v>
      </c>
      <c r="N497" t="s">
        <v>138</v>
      </c>
      <c r="O497" t="s">
        <v>74</v>
      </c>
      <c r="P497" t="s">
        <v>74</v>
      </c>
      <c r="Q497" t="s">
        <v>74</v>
      </c>
      <c r="R497" t="s">
        <v>74</v>
      </c>
      <c r="S497" t="s">
        <v>74</v>
      </c>
      <c r="T497" t="s">
        <v>9659</v>
      </c>
      <c r="U497" t="s">
        <v>9660</v>
      </c>
      <c r="V497" t="s">
        <v>9661</v>
      </c>
      <c r="W497" t="s">
        <v>9662</v>
      </c>
      <c r="X497" t="s">
        <v>9663</v>
      </c>
      <c r="Y497" t="s">
        <v>9664</v>
      </c>
      <c r="Z497" t="s">
        <v>9665</v>
      </c>
      <c r="AA497" t="s">
        <v>9666</v>
      </c>
      <c r="AB497" t="s">
        <v>9667</v>
      </c>
      <c r="AC497" t="s">
        <v>9668</v>
      </c>
      <c r="AD497" t="s">
        <v>9669</v>
      </c>
      <c r="AE497" t="s">
        <v>9670</v>
      </c>
      <c r="AF497" t="s">
        <v>74</v>
      </c>
      <c r="AG497">
        <v>78</v>
      </c>
      <c r="AH497">
        <v>0</v>
      </c>
      <c r="AI497">
        <v>0</v>
      </c>
      <c r="AJ497">
        <v>3</v>
      </c>
      <c r="AK497">
        <v>3</v>
      </c>
      <c r="AL497" t="s">
        <v>1379</v>
      </c>
      <c r="AM497" t="s">
        <v>1380</v>
      </c>
      <c r="AN497" t="s">
        <v>1381</v>
      </c>
      <c r="AO497" t="s">
        <v>9671</v>
      </c>
      <c r="AP497" t="s">
        <v>74</v>
      </c>
      <c r="AQ497" t="s">
        <v>74</v>
      </c>
      <c r="AR497" t="s">
        <v>9672</v>
      </c>
      <c r="AS497" t="s">
        <v>9673</v>
      </c>
      <c r="AT497" t="s">
        <v>4303</v>
      </c>
      <c r="AU497">
        <v>2023</v>
      </c>
      <c r="AV497" t="s">
        <v>74</v>
      </c>
      <c r="AW497" t="s">
        <v>74</v>
      </c>
      <c r="AX497" t="s">
        <v>74</v>
      </c>
      <c r="AY497" t="s">
        <v>74</v>
      </c>
      <c r="AZ497" t="s">
        <v>74</v>
      </c>
      <c r="BA497" t="s">
        <v>74</v>
      </c>
      <c r="BB497" t="s">
        <v>74</v>
      </c>
      <c r="BC497" t="s">
        <v>74</v>
      </c>
      <c r="BD497" t="s">
        <v>74</v>
      </c>
      <c r="BE497" t="s">
        <v>9674</v>
      </c>
      <c r="BF497" t="str">
        <f>HYPERLINK("http://dx.doi.org/10.1109/TCSS.2023.3329434","http://dx.doi.org/10.1109/TCSS.2023.3329434")</f>
        <v>http://dx.doi.org/10.1109/TCSS.2023.3329434</v>
      </c>
      <c r="BG497" t="s">
        <v>74</v>
      </c>
      <c r="BH497" t="s">
        <v>128</v>
      </c>
      <c r="BI497">
        <v>11</v>
      </c>
      <c r="BJ497" t="s">
        <v>9675</v>
      </c>
      <c r="BK497" t="s">
        <v>130</v>
      </c>
      <c r="BL497" t="s">
        <v>99</v>
      </c>
      <c r="BM497" t="s">
        <v>9676</v>
      </c>
      <c r="BN497" t="s">
        <v>74</v>
      </c>
      <c r="BO497" t="s">
        <v>74</v>
      </c>
      <c r="BP497" t="s">
        <v>74</v>
      </c>
      <c r="BQ497" t="s">
        <v>74</v>
      </c>
      <c r="BR497" t="s">
        <v>101</v>
      </c>
      <c r="BS497" t="s">
        <v>9677</v>
      </c>
      <c r="BT497" t="str">
        <f>HYPERLINK("https%3A%2F%2Fwww.webofscience.com%2Fwos%2Fwoscc%2Ffull-record%2FWOS:001126183600001","View Full Record in Web of Science")</f>
        <v>View Full Record in Web of Science</v>
      </c>
    </row>
    <row r="498" spans="1:72" x14ac:dyDescent="0.2">
      <c r="A498" t="s">
        <v>103</v>
      </c>
      <c r="B498" t="s">
        <v>9678</v>
      </c>
      <c r="C498" t="s">
        <v>74</v>
      </c>
      <c r="D498" t="s">
        <v>74</v>
      </c>
      <c r="E498" t="s">
        <v>74</v>
      </c>
      <c r="F498" t="s">
        <v>9679</v>
      </c>
      <c r="G498" t="s">
        <v>74</v>
      </c>
      <c r="H498" t="s">
        <v>74</v>
      </c>
      <c r="I498" t="s">
        <v>9680</v>
      </c>
      <c r="J498" t="s">
        <v>1370</v>
      </c>
      <c r="K498" t="s">
        <v>74</v>
      </c>
      <c r="L498" t="s">
        <v>74</v>
      </c>
      <c r="M498" t="s">
        <v>79</v>
      </c>
      <c r="N498" t="s">
        <v>108</v>
      </c>
      <c r="O498" t="s">
        <v>74</v>
      </c>
      <c r="P498" t="s">
        <v>74</v>
      </c>
      <c r="Q498" t="s">
        <v>74</v>
      </c>
      <c r="R498" t="s">
        <v>74</v>
      </c>
      <c r="S498" t="s">
        <v>74</v>
      </c>
      <c r="T498" t="s">
        <v>9681</v>
      </c>
      <c r="U498" t="s">
        <v>74</v>
      </c>
      <c r="V498" t="s">
        <v>9682</v>
      </c>
      <c r="W498" t="s">
        <v>9683</v>
      </c>
      <c r="X498" t="s">
        <v>9684</v>
      </c>
      <c r="Y498" t="s">
        <v>9685</v>
      </c>
      <c r="Z498" t="s">
        <v>9686</v>
      </c>
      <c r="AA498" t="s">
        <v>74</v>
      </c>
      <c r="AB498" t="s">
        <v>9687</v>
      </c>
      <c r="AC498" t="s">
        <v>74</v>
      </c>
      <c r="AD498" t="s">
        <v>74</v>
      </c>
      <c r="AE498" t="s">
        <v>74</v>
      </c>
      <c r="AF498" t="s">
        <v>74</v>
      </c>
      <c r="AG498">
        <v>36</v>
      </c>
      <c r="AH498">
        <v>0</v>
      </c>
      <c r="AI498">
        <v>0</v>
      </c>
      <c r="AJ498">
        <v>12</v>
      </c>
      <c r="AK498">
        <v>13</v>
      </c>
      <c r="AL498" t="s">
        <v>1379</v>
      </c>
      <c r="AM498" t="s">
        <v>1380</v>
      </c>
      <c r="AN498" t="s">
        <v>1381</v>
      </c>
      <c r="AO498" t="s">
        <v>1382</v>
      </c>
      <c r="AP498" t="s">
        <v>74</v>
      </c>
      <c r="AQ498" t="s">
        <v>74</v>
      </c>
      <c r="AR498" t="s">
        <v>1370</v>
      </c>
      <c r="AS498" t="s">
        <v>1383</v>
      </c>
      <c r="AT498" t="s">
        <v>74</v>
      </c>
      <c r="AU498">
        <v>2023</v>
      </c>
      <c r="AV498">
        <v>11</v>
      </c>
      <c r="AW498" t="s">
        <v>74</v>
      </c>
      <c r="AX498" t="s">
        <v>74</v>
      </c>
      <c r="AY498" t="s">
        <v>74</v>
      </c>
      <c r="AZ498" t="s">
        <v>74</v>
      </c>
      <c r="BA498" t="s">
        <v>74</v>
      </c>
      <c r="BB498">
        <v>74148</v>
      </c>
      <c r="BC498">
        <v>74164</v>
      </c>
      <c r="BD498" t="s">
        <v>74</v>
      </c>
      <c r="BE498" t="s">
        <v>9688</v>
      </c>
      <c r="BF498" t="str">
        <f>HYPERLINK("http://dx.doi.org/10.1109/ACCESS.2023.3296144","http://dx.doi.org/10.1109/ACCESS.2023.3296144")</f>
        <v>http://dx.doi.org/10.1109/ACCESS.2023.3296144</v>
      </c>
      <c r="BG498" t="s">
        <v>74</v>
      </c>
      <c r="BH498" t="s">
        <v>74</v>
      </c>
      <c r="BI498">
        <v>17</v>
      </c>
      <c r="BJ498" t="s">
        <v>1385</v>
      </c>
      <c r="BK498" t="s">
        <v>130</v>
      </c>
      <c r="BL498" t="s">
        <v>1386</v>
      </c>
      <c r="BM498" t="s">
        <v>9689</v>
      </c>
      <c r="BN498" t="s">
        <v>74</v>
      </c>
      <c r="BO498" t="s">
        <v>425</v>
      </c>
      <c r="BP498" t="s">
        <v>74</v>
      </c>
      <c r="BQ498" t="s">
        <v>74</v>
      </c>
      <c r="BR498" t="s">
        <v>101</v>
      </c>
      <c r="BS498" t="s">
        <v>9690</v>
      </c>
      <c r="BT498" t="str">
        <f>HYPERLINK("https%3A%2F%2Fwww.webofscience.com%2Fwos%2Fwoscc%2Ffull-record%2FWOS:001038293500001","View Full Record in Web of Science")</f>
        <v>View Full Record in Web of Science</v>
      </c>
    </row>
    <row r="499" spans="1:72" x14ac:dyDescent="0.2">
      <c r="A499" t="s">
        <v>103</v>
      </c>
      <c r="B499" t="s">
        <v>9691</v>
      </c>
      <c r="C499" t="s">
        <v>74</v>
      </c>
      <c r="D499" t="s">
        <v>74</v>
      </c>
      <c r="E499" t="s">
        <v>74</v>
      </c>
      <c r="F499" t="s">
        <v>9692</v>
      </c>
      <c r="G499" t="s">
        <v>74</v>
      </c>
      <c r="H499" t="s">
        <v>74</v>
      </c>
      <c r="I499" t="s">
        <v>9693</v>
      </c>
      <c r="J499" t="s">
        <v>4568</v>
      </c>
      <c r="K499" t="s">
        <v>74</v>
      </c>
      <c r="L499" t="s">
        <v>74</v>
      </c>
      <c r="M499" t="s">
        <v>79</v>
      </c>
      <c r="N499" t="s">
        <v>108</v>
      </c>
      <c r="O499" t="s">
        <v>74</v>
      </c>
      <c r="P499" t="s">
        <v>74</v>
      </c>
      <c r="Q499" t="s">
        <v>74</v>
      </c>
      <c r="R499" t="s">
        <v>74</v>
      </c>
      <c r="S499" t="s">
        <v>74</v>
      </c>
      <c r="T499" t="s">
        <v>9694</v>
      </c>
      <c r="U499" t="s">
        <v>9695</v>
      </c>
      <c r="V499" t="s">
        <v>9696</v>
      </c>
      <c r="W499" t="s">
        <v>9697</v>
      </c>
      <c r="X499" t="s">
        <v>9698</v>
      </c>
      <c r="Y499" t="s">
        <v>9699</v>
      </c>
      <c r="Z499" t="s">
        <v>9700</v>
      </c>
      <c r="AA499" t="s">
        <v>74</v>
      </c>
      <c r="AB499" t="s">
        <v>9701</v>
      </c>
      <c r="AC499" t="s">
        <v>9702</v>
      </c>
      <c r="AD499" t="s">
        <v>9703</v>
      </c>
      <c r="AE499" t="s">
        <v>9704</v>
      </c>
      <c r="AF499" t="s">
        <v>74</v>
      </c>
      <c r="AG499">
        <v>67</v>
      </c>
      <c r="AH499">
        <v>1</v>
      </c>
      <c r="AI499">
        <v>1</v>
      </c>
      <c r="AJ499">
        <v>8</v>
      </c>
      <c r="AK499">
        <v>15</v>
      </c>
      <c r="AL499" t="s">
        <v>119</v>
      </c>
      <c r="AM499" t="s">
        <v>120</v>
      </c>
      <c r="AN499" t="s">
        <v>121</v>
      </c>
      <c r="AO499" t="s">
        <v>4581</v>
      </c>
      <c r="AP499" t="s">
        <v>4582</v>
      </c>
      <c r="AQ499" t="s">
        <v>74</v>
      </c>
      <c r="AR499" t="s">
        <v>4583</v>
      </c>
      <c r="AS499" t="s">
        <v>4584</v>
      </c>
      <c r="AT499" t="s">
        <v>2582</v>
      </c>
      <c r="AU499">
        <v>2023</v>
      </c>
      <c r="AV499">
        <v>159</v>
      </c>
      <c r="AW499" t="s">
        <v>74</v>
      </c>
      <c r="AX499" t="s">
        <v>74</v>
      </c>
      <c r="AY499" t="s">
        <v>74</v>
      </c>
      <c r="AZ499" t="s">
        <v>74</v>
      </c>
      <c r="BA499" t="s">
        <v>74</v>
      </c>
      <c r="BB499" t="s">
        <v>74</v>
      </c>
      <c r="BC499" t="s">
        <v>74</v>
      </c>
      <c r="BD499">
        <v>106931</v>
      </c>
      <c r="BE499" t="s">
        <v>9705</v>
      </c>
      <c r="BF499" t="str">
        <f>HYPERLINK("http://dx.doi.org/10.1016/j.compbiomed.2023.106931","http://dx.doi.org/10.1016/j.compbiomed.2023.106931")</f>
        <v>http://dx.doi.org/10.1016/j.compbiomed.2023.106931</v>
      </c>
      <c r="BG499" t="s">
        <v>74</v>
      </c>
      <c r="BH499" t="s">
        <v>793</v>
      </c>
      <c r="BI499">
        <v>12</v>
      </c>
      <c r="BJ499" t="s">
        <v>4586</v>
      </c>
      <c r="BK499" t="s">
        <v>130</v>
      </c>
      <c r="BL499" t="s">
        <v>4587</v>
      </c>
      <c r="BM499" t="s">
        <v>9706</v>
      </c>
      <c r="BN499">
        <v>37116238</v>
      </c>
      <c r="BO499" t="s">
        <v>4863</v>
      </c>
      <c r="BP499" t="s">
        <v>74</v>
      </c>
      <c r="BQ499" t="s">
        <v>74</v>
      </c>
      <c r="BR499" t="s">
        <v>101</v>
      </c>
      <c r="BS499" t="s">
        <v>9707</v>
      </c>
      <c r="BT499" t="str">
        <f>HYPERLINK("https%3A%2F%2Fwww.webofscience.com%2Fwos%2Fwoscc%2Ffull-record%2FWOS:000992575500001","View Full Record in Web of Science")</f>
        <v>View Full Record in Web of Science</v>
      </c>
    </row>
    <row r="500" spans="1:72" x14ac:dyDescent="0.2">
      <c r="A500" t="s">
        <v>103</v>
      </c>
      <c r="B500" t="s">
        <v>9708</v>
      </c>
      <c r="C500" t="s">
        <v>74</v>
      </c>
      <c r="D500" t="s">
        <v>74</v>
      </c>
      <c r="E500" t="s">
        <v>74</v>
      </c>
      <c r="F500" t="s">
        <v>9709</v>
      </c>
      <c r="G500" t="s">
        <v>74</v>
      </c>
      <c r="H500" t="s">
        <v>74</v>
      </c>
      <c r="I500" t="s">
        <v>9710</v>
      </c>
      <c r="J500" t="s">
        <v>4805</v>
      </c>
      <c r="K500" t="s">
        <v>74</v>
      </c>
      <c r="L500" t="s">
        <v>74</v>
      </c>
      <c r="M500" t="s">
        <v>79</v>
      </c>
      <c r="N500" t="s">
        <v>108</v>
      </c>
      <c r="O500" t="s">
        <v>74</v>
      </c>
      <c r="P500" t="s">
        <v>74</v>
      </c>
      <c r="Q500" t="s">
        <v>74</v>
      </c>
      <c r="R500" t="s">
        <v>74</v>
      </c>
      <c r="S500" t="s">
        <v>74</v>
      </c>
      <c r="T500" t="s">
        <v>9711</v>
      </c>
      <c r="U500" t="s">
        <v>74</v>
      </c>
      <c r="V500" t="s">
        <v>9712</v>
      </c>
      <c r="W500" t="s">
        <v>9713</v>
      </c>
      <c r="X500" t="s">
        <v>9714</v>
      </c>
      <c r="Y500" t="s">
        <v>9715</v>
      </c>
      <c r="Z500" t="s">
        <v>9716</v>
      </c>
      <c r="AA500" t="s">
        <v>74</v>
      </c>
      <c r="AB500" t="s">
        <v>74</v>
      </c>
      <c r="AC500" t="s">
        <v>74</v>
      </c>
      <c r="AD500" t="s">
        <v>74</v>
      </c>
      <c r="AE500" t="s">
        <v>74</v>
      </c>
      <c r="AF500" t="s">
        <v>74</v>
      </c>
      <c r="AG500">
        <v>26</v>
      </c>
      <c r="AH500">
        <v>0</v>
      </c>
      <c r="AI500">
        <v>0</v>
      </c>
      <c r="AJ500">
        <v>2</v>
      </c>
      <c r="AK500">
        <v>2</v>
      </c>
      <c r="AL500" t="s">
        <v>343</v>
      </c>
      <c r="AM500" t="s">
        <v>93</v>
      </c>
      <c r="AN500" t="s">
        <v>344</v>
      </c>
      <c r="AO500" t="s">
        <v>4811</v>
      </c>
      <c r="AP500" t="s">
        <v>4812</v>
      </c>
      <c r="AQ500" t="s">
        <v>74</v>
      </c>
      <c r="AR500" t="s">
        <v>4813</v>
      </c>
      <c r="AS500" t="s">
        <v>4814</v>
      </c>
      <c r="AT500" t="s">
        <v>251</v>
      </c>
      <c r="AU500">
        <v>2024</v>
      </c>
      <c r="AV500">
        <v>39</v>
      </c>
      <c r="AW500">
        <v>1</v>
      </c>
      <c r="AX500" t="s">
        <v>74</v>
      </c>
      <c r="AY500" t="s">
        <v>74</v>
      </c>
      <c r="AZ500" t="s">
        <v>253</v>
      </c>
      <c r="BA500" t="s">
        <v>74</v>
      </c>
      <c r="BB500">
        <v>91</v>
      </c>
      <c r="BC500">
        <v>102</v>
      </c>
      <c r="BD500" t="s">
        <v>74</v>
      </c>
      <c r="BE500" t="s">
        <v>9717</v>
      </c>
      <c r="BF500" t="str">
        <f>HYPERLINK("http://dx.doi.org/10.1007/s00146-023-01761-7","http://dx.doi.org/10.1007/s00146-023-01761-7")</f>
        <v>http://dx.doi.org/10.1007/s00146-023-01761-7</v>
      </c>
      <c r="BG500" t="s">
        <v>74</v>
      </c>
      <c r="BH500" t="s">
        <v>278</v>
      </c>
      <c r="BI500">
        <v>12</v>
      </c>
      <c r="BJ500" t="s">
        <v>304</v>
      </c>
      <c r="BK500" t="s">
        <v>352</v>
      </c>
      <c r="BL500" t="s">
        <v>99</v>
      </c>
      <c r="BM500" t="s">
        <v>4816</v>
      </c>
      <c r="BN500" t="s">
        <v>74</v>
      </c>
      <c r="BO500" t="s">
        <v>74</v>
      </c>
      <c r="BP500" t="s">
        <v>74</v>
      </c>
      <c r="BQ500" t="s">
        <v>74</v>
      </c>
      <c r="BR500" t="s">
        <v>101</v>
      </c>
      <c r="BS500" t="s">
        <v>9718</v>
      </c>
      <c r="BT500" t="str">
        <f>HYPERLINK("https%3A%2F%2Fwww.webofscience.com%2Fwos%2Fwoscc%2Ffull-record%2FWOS:001064704400001","View Full Record in Web of Science")</f>
        <v>View Full Record in Web of Science</v>
      </c>
    </row>
    <row r="501" spans="1:72" x14ac:dyDescent="0.2">
      <c r="A501" t="s">
        <v>72</v>
      </c>
      <c r="B501" t="s">
        <v>9719</v>
      </c>
      <c r="C501" t="s">
        <v>74</v>
      </c>
      <c r="D501" t="s">
        <v>74</v>
      </c>
      <c r="E501" t="s">
        <v>284</v>
      </c>
      <c r="F501" t="s">
        <v>9720</v>
      </c>
      <c r="G501" t="s">
        <v>74</v>
      </c>
      <c r="H501" t="s">
        <v>74</v>
      </c>
      <c r="I501" t="s">
        <v>9721</v>
      </c>
      <c r="J501" t="s">
        <v>8245</v>
      </c>
      <c r="K501" t="s">
        <v>8246</v>
      </c>
      <c r="L501" t="s">
        <v>74</v>
      </c>
      <c r="M501" t="s">
        <v>79</v>
      </c>
      <c r="N501" t="s">
        <v>80</v>
      </c>
      <c r="O501" t="s">
        <v>8247</v>
      </c>
      <c r="P501" t="s">
        <v>8248</v>
      </c>
      <c r="Q501" t="s">
        <v>6017</v>
      </c>
      <c r="R501" t="s">
        <v>8249</v>
      </c>
      <c r="S501" t="s">
        <v>74</v>
      </c>
      <c r="T501" t="s">
        <v>74</v>
      </c>
      <c r="U501" t="s">
        <v>74</v>
      </c>
      <c r="V501" t="s">
        <v>9722</v>
      </c>
      <c r="W501" t="s">
        <v>9723</v>
      </c>
      <c r="X501" t="s">
        <v>9724</v>
      </c>
      <c r="Y501" t="s">
        <v>9725</v>
      </c>
      <c r="Z501" t="s">
        <v>9726</v>
      </c>
      <c r="AA501" t="s">
        <v>74</v>
      </c>
      <c r="AB501" t="s">
        <v>74</v>
      </c>
      <c r="AC501" t="s">
        <v>9727</v>
      </c>
      <c r="AD501" t="s">
        <v>9728</v>
      </c>
      <c r="AE501" t="s">
        <v>9729</v>
      </c>
      <c r="AF501" t="s">
        <v>74</v>
      </c>
      <c r="AG501">
        <v>49</v>
      </c>
      <c r="AH501">
        <v>0</v>
      </c>
      <c r="AI501">
        <v>0</v>
      </c>
      <c r="AJ501">
        <v>1</v>
      </c>
      <c r="AK501">
        <v>1</v>
      </c>
      <c r="AL501" t="s">
        <v>638</v>
      </c>
      <c r="AM501" t="s">
        <v>639</v>
      </c>
      <c r="AN501" t="s">
        <v>640</v>
      </c>
      <c r="AO501" t="s">
        <v>8260</v>
      </c>
      <c r="AP501" t="s">
        <v>74</v>
      </c>
      <c r="AQ501" t="s">
        <v>8261</v>
      </c>
      <c r="AR501" t="s">
        <v>8262</v>
      </c>
      <c r="AS501" t="s">
        <v>74</v>
      </c>
      <c r="AT501" t="s">
        <v>74</v>
      </c>
      <c r="AU501">
        <v>2023</v>
      </c>
      <c r="AV501" t="s">
        <v>74</v>
      </c>
      <c r="AW501" t="s">
        <v>74</v>
      </c>
      <c r="AX501" t="s">
        <v>74</v>
      </c>
      <c r="AY501" t="s">
        <v>74</v>
      </c>
      <c r="AZ501" t="s">
        <v>74</v>
      </c>
      <c r="BA501" t="s">
        <v>74</v>
      </c>
      <c r="BB501">
        <v>24335</v>
      </c>
      <c r="BC501">
        <v>24344</v>
      </c>
      <c r="BD501" t="s">
        <v>74</v>
      </c>
      <c r="BE501" t="s">
        <v>9730</v>
      </c>
      <c r="BF501" t="str">
        <f>HYPERLINK("http://dx.doi.org/10.1109/CVPR52729.2023.02331","http://dx.doi.org/10.1109/CVPR52729.2023.02331")</f>
        <v>http://dx.doi.org/10.1109/CVPR52729.2023.02331</v>
      </c>
      <c r="BG501" t="s">
        <v>74</v>
      </c>
      <c r="BH501" t="s">
        <v>74</v>
      </c>
      <c r="BI501">
        <v>10</v>
      </c>
      <c r="BJ501" t="s">
        <v>304</v>
      </c>
      <c r="BK501" t="s">
        <v>98</v>
      </c>
      <c r="BL501" t="s">
        <v>99</v>
      </c>
      <c r="BM501" t="s">
        <v>9731</v>
      </c>
      <c r="BN501" t="s">
        <v>74</v>
      </c>
      <c r="BO501" t="s">
        <v>74</v>
      </c>
      <c r="BP501" t="s">
        <v>74</v>
      </c>
      <c r="BQ501" t="s">
        <v>74</v>
      </c>
      <c r="BR501" t="s">
        <v>101</v>
      </c>
      <c r="BS501" t="s">
        <v>9732</v>
      </c>
      <c r="BT501" t="str">
        <f>HYPERLINK("https%3A%2F%2Fwww.webofscience.com%2Fwos%2Fwoscc%2Ffull-record%2FWOS:001062531308065","View Full Record in Web of Science")</f>
        <v>View Full Record in Web of Science</v>
      </c>
    </row>
    <row r="502" spans="1:72" x14ac:dyDescent="0.2">
      <c r="A502" t="s">
        <v>72</v>
      </c>
      <c r="B502" t="s">
        <v>9733</v>
      </c>
      <c r="C502" t="s">
        <v>74</v>
      </c>
      <c r="D502" t="s">
        <v>9734</v>
      </c>
      <c r="E502" t="s">
        <v>74</v>
      </c>
      <c r="F502" t="s">
        <v>9735</v>
      </c>
      <c r="G502" t="s">
        <v>74</v>
      </c>
      <c r="H502" t="s">
        <v>74</v>
      </c>
      <c r="I502" t="s">
        <v>9736</v>
      </c>
      <c r="J502" t="s">
        <v>9737</v>
      </c>
      <c r="K502" t="s">
        <v>9738</v>
      </c>
      <c r="L502" t="s">
        <v>74</v>
      </c>
      <c r="M502" t="s">
        <v>79</v>
      </c>
      <c r="N502" t="s">
        <v>80</v>
      </c>
      <c r="O502" t="s">
        <v>9739</v>
      </c>
      <c r="P502" t="s">
        <v>9740</v>
      </c>
      <c r="Q502" t="s">
        <v>8568</v>
      </c>
      <c r="R502" t="s">
        <v>74</v>
      </c>
      <c r="S502" t="s">
        <v>74</v>
      </c>
      <c r="T502" t="s">
        <v>74</v>
      </c>
      <c r="U502" t="s">
        <v>74</v>
      </c>
      <c r="V502" t="s">
        <v>9741</v>
      </c>
      <c r="W502" t="s">
        <v>9742</v>
      </c>
      <c r="X502" t="s">
        <v>9743</v>
      </c>
      <c r="Y502" t="s">
        <v>9744</v>
      </c>
      <c r="Z502" t="s">
        <v>9745</v>
      </c>
      <c r="AA502" t="s">
        <v>74</v>
      </c>
      <c r="AB502" t="s">
        <v>74</v>
      </c>
      <c r="AC502" t="s">
        <v>74</v>
      </c>
      <c r="AD502" t="s">
        <v>74</v>
      </c>
      <c r="AE502" t="s">
        <v>74</v>
      </c>
      <c r="AF502" t="s">
        <v>74</v>
      </c>
      <c r="AG502">
        <v>51</v>
      </c>
      <c r="AH502">
        <v>0</v>
      </c>
      <c r="AI502">
        <v>0</v>
      </c>
      <c r="AJ502">
        <v>0</v>
      </c>
      <c r="AK502">
        <v>0</v>
      </c>
      <c r="AL502" t="s">
        <v>325</v>
      </c>
      <c r="AM502" t="s">
        <v>245</v>
      </c>
      <c r="AN502" t="s">
        <v>246</v>
      </c>
      <c r="AO502" t="s">
        <v>9746</v>
      </c>
      <c r="AP502" t="s">
        <v>9747</v>
      </c>
      <c r="AQ502" t="s">
        <v>9748</v>
      </c>
      <c r="AR502" t="s">
        <v>9749</v>
      </c>
      <c r="AS502" t="s">
        <v>74</v>
      </c>
      <c r="AT502" t="s">
        <v>74</v>
      </c>
      <c r="AU502">
        <v>2023</v>
      </c>
      <c r="AV502">
        <v>1721</v>
      </c>
      <c r="AW502" t="s">
        <v>74</v>
      </c>
      <c r="AX502" t="s">
        <v>74</v>
      </c>
      <c r="AY502" t="s">
        <v>74</v>
      </c>
      <c r="AZ502" t="s">
        <v>74</v>
      </c>
      <c r="BA502" t="s">
        <v>74</v>
      </c>
      <c r="BB502">
        <v>192</v>
      </c>
      <c r="BC502">
        <v>209</v>
      </c>
      <c r="BD502" t="s">
        <v>74</v>
      </c>
      <c r="BE502" t="s">
        <v>9750</v>
      </c>
      <c r="BF502" t="str">
        <f>HYPERLINK("http://dx.doi.org/10.1007/978-3-031-28719-0_14","http://dx.doi.org/10.1007/978-3-031-28719-0_14")</f>
        <v>http://dx.doi.org/10.1007/978-3-031-28719-0_14</v>
      </c>
      <c r="BG502" t="s">
        <v>74</v>
      </c>
      <c r="BH502" t="s">
        <v>74</v>
      </c>
      <c r="BI502">
        <v>18</v>
      </c>
      <c r="BJ502" t="s">
        <v>3012</v>
      </c>
      <c r="BK502" t="s">
        <v>98</v>
      </c>
      <c r="BL502" t="s">
        <v>99</v>
      </c>
      <c r="BM502" t="s">
        <v>9751</v>
      </c>
      <c r="BN502" t="s">
        <v>74</v>
      </c>
      <c r="BO502" t="s">
        <v>646</v>
      </c>
      <c r="BP502" t="s">
        <v>74</v>
      </c>
      <c r="BQ502" t="s">
        <v>74</v>
      </c>
      <c r="BR502" t="s">
        <v>101</v>
      </c>
      <c r="BS502" t="s">
        <v>9752</v>
      </c>
      <c r="BT502" t="str">
        <f>HYPERLINK("https%3A%2F%2Fwww.webofscience.com%2Fwos%2Fwoscc%2Ffull-record%2FWOS:001000556300014","View Full Record in Web of Science")</f>
        <v>View Full Record in Web of Science</v>
      </c>
    </row>
    <row r="503" spans="1:72" x14ac:dyDescent="0.2">
      <c r="A503" t="s">
        <v>103</v>
      </c>
      <c r="B503" t="s">
        <v>9753</v>
      </c>
      <c r="C503" t="s">
        <v>74</v>
      </c>
      <c r="D503" t="s">
        <v>74</v>
      </c>
      <c r="E503" t="s">
        <v>74</v>
      </c>
      <c r="F503" t="s">
        <v>9754</v>
      </c>
      <c r="G503" t="s">
        <v>74</v>
      </c>
      <c r="H503" t="s">
        <v>74</v>
      </c>
      <c r="I503" t="s">
        <v>9755</v>
      </c>
      <c r="J503" t="s">
        <v>9756</v>
      </c>
      <c r="K503" t="s">
        <v>74</v>
      </c>
      <c r="L503" t="s">
        <v>74</v>
      </c>
      <c r="M503" t="s">
        <v>79</v>
      </c>
      <c r="N503" t="s">
        <v>108</v>
      </c>
      <c r="O503" t="s">
        <v>74</v>
      </c>
      <c r="P503" t="s">
        <v>74</v>
      </c>
      <c r="Q503" t="s">
        <v>74</v>
      </c>
      <c r="R503" t="s">
        <v>74</v>
      </c>
      <c r="S503" t="s">
        <v>74</v>
      </c>
      <c r="T503" t="s">
        <v>9757</v>
      </c>
      <c r="U503" t="s">
        <v>74</v>
      </c>
      <c r="V503" t="s">
        <v>9758</v>
      </c>
      <c r="W503" t="s">
        <v>9759</v>
      </c>
      <c r="X503" t="s">
        <v>9760</v>
      </c>
      <c r="Y503" t="s">
        <v>9761</v>
      </c>
      <c r="Z503" t="s">
        <v>9762</v>
      </c>
      <c r="AA503" t="s">
        <v>9763</v>
      </c>
      <c r="AB503" t="s">
        <v>9764</v>
      </c>
      <c r="AC503" t="s">
        <v>74</v>
      </c>
      <c r="AD503" t="s">
        <v>74</v>
      </c>
      <c r="AE503" t="s">
        <v>74</v>
      </c>
      <c r="AF503" t="s">
        <v>74</v>
      </c>
      <c r="AG503">
        <v>48</v>
      </c>
      <c r="AH503">
        <v>11</v>
      </c>
      <c r="AI503">
        <v>11</v>
      </c>
      <c r="AJ503">
        <v>59</v>
      </c>
      <c r="AK503">
        <v>76</v>
      </c>
      <c r="AL503" t="s">
        <v>148</v>
      </c>
      <c r="AM503" t="s">
        <v>149</v>
      </c>
      <c r="AN503" t="s">
        <v>150</v>
      </c>
      <c r="AO503" t="s">
        <v>9765</v>
      </c>
      <c r="AP503" t="s">
        <v>74</v>
      </c>
      <c r="AQ503" t="s">
        <v>74</v>
      </c>
      <c r="AR503" t="s">
        <v>9766</v>
      </c>
      <c r="AS503" t="s">
        <v>9767</v>
      </c>
      <c r="AT503" t="s">
        <v>615</v>
      </c>
      <c r="AU503">
        <v>2023</v>
      </c>
      <c r="AV503">
        <v>9</v>
      </c>
      <c r="AW503" t="s">
        <v>74</v>
      </c>
      <c r="AX503" t="s">
        <v>74</v>
      </c>
      <c r="AY503" t="s">
        <v>74</v>
      </c>
      <c r="AZ503" t="s">
        <v>74</v>
      </c>
      <c r="BA503" t="s">
        <v>74</v>
      </c>
      <c r="BB503" t="s">
        <v>74</v>
      </c>
      <c r="BC503" t="s">
        <v>74</v>
      </c>
      <c r="BD503">
        <v>2.055207623118652E+16</v>
      </c>
      <c r="BE503" t="s">
        <v>9768</v>
      </c>
      <c r="BF503" t="str">
        <f>HYPERLINK("http://dx.doi.org/10.1177/20552076231186520","http://dx.doi.org/10.1177/20552076231186520")</f>
        <v>http://dx.doi.org/10.1177/20552076231186520</v>
      </c>
      <c r="BG503" t="s">
        <v>74</v>
      </c>
      <c r="BH503" t="s">
        <v>74</v>
      </c>
      <c r="BI503">
        <v>5</v>
      </c>
      <c r="BJ503" t="s">
        <v>9769</v>
      </c>
      <c r="BK503" t="s">
        <v>947</v>
      </c>
      <c r="BL503" t="s">
        <v>9770</v>
      </c>
      <c r="BM503" t="s">
        <v>9771</v>
      </c>
      <c r="BN503">
        <v>37426593</v>
      </c>
      <c r="BO503" t="s">
        <v>1728</v>
      </c>
      <c r="BP503" t="s">
        <v>74</v>
      </c>
      <c r="BQ503" t="s">
        <v>74</v>
      </c>
      <c r="BR503" t="s">
        <v>101</v>
      </c>
      <c r="BS503" t="s">
        <v>9772</v>
      </c>
      <c r="BT503" t="str">
        <f>HYPERLINK("https%3A%2F%2Fwww.webofscience.com%2Fwos%2Fwoscc%2Ffull-record%2FWOS:001018165000001","View Full Record in Web of Science")</f>
        <v>View Full Record in Web of Science</v>
      </c>
    </row>
    <row r="504" spans="1:72" x14ac:dyDescent="0.2">
      <c r="A504" t="s">
        <v>103</v>
      </c>
      <c r="B504" t="s">
        <v>9773</v>
      </c>
      <c r="C504" t="s">
        <v>74</v>
      </c>
      <c r="D504" t="s">
        <v>74</v>
      </c>
      <c r="E504" t="s">
        <v>74</v>
      </c>
      <c r="F504" t="s">
        <v>9774</v>
      </c>
      <c r="G504" t="s">
        <v>74</v>
      </c>
      <c r="H504" t="s">
        <v>74</v>
      </c>
      <c r="I504" t="s">
        <v>9775</v>
      </c>
      <c r="J504" t="s">
        <v>9776</v>
      </c>
      <c r="K504" t="s">
        <v>74</v>
      </c>
      <c r="L504" t="s">
        <v>74</v>
      </c>
      <c r="M504" t="s">
        <v>79</v>
      </c>
      <c r="N504" t="s">
        <v>108</v>
      </c>
      <c r="O504" t="s">
        <v>74</v>
      </c>
      <c r="P504" t="s">
        <v>74</v>
      </c>
      <c r="Q504" t="s">
        <v>74</v>
      </c>
      <c r="R504" t="s">
        <v>74</v>
      </c>
      <c r="S504" t="s">
        <v>74</v>
      </c>
      <c r="T504" t="s">
        <v>9777</v>
      </c>
      <c r="U504" t="s">
        <v>74</v>
      </c>
      <c r="V504" t="s">
        <v>9778</v>
      </c>
      <c r="W504" t="s">
        <v>9779</v>
      </c>
      <c r="X504" t="s">
        <v>9780</v>
      </c>
      <c r="Y504" t="s">
        <v>9781</v>
      </c>
      <c r="Z504" t="s">
        <v>9782</v>
      </c>
      <c r="AA504" t="s">
        <v>74</v>
      </c>
      <c r="AB504" t="s">
        <v>74</v>
      </c>
      <c r="AC504" t="s">
        <v>74</v>
      </c>
      <c r="AD504" t="s">
        <v>74</v>
      </c>
      <c r="AE504" t="s">
        <v>74</v>
      </c>
      <c r="AF504" t="s">
        <v>74</v>
      </c>
      <c r="AG504">
        <v>44</v>
      </c>
      <c r="AH504">
        <v>0</v>
      </c>
      <c r="AI504">
        <v>0</v>
      </c>
      <c r="AJ504">
        <v>1</v>
      </c>
      <c r="AK504">
        <v>1</v>
      </c>
      <c r="AL504" t="s">
        <v>9783</v>
      </c>
      <c r="AM504" t="s">
        <v>9784</v>
      </c>
      <c r="AN504" t="s">
        <v>9785</v>
      </c>
      <c r="AO504" t="s">
        <v>9786</v>
      </c>
      <c r="AP504" t="s">
        <v>74</v>
      </c>
      <c r="AQ504" t="s">
        <v>74</v>
      </c>
      <c r="AR504" t="s">
        <v>9783</v>
      </c>
      <c r="AS504" t="s">
        <v>9787</v>
      </c>
      <c r="AT504" t="s">
        <v>527</v>
      </c>
      <c r="AU504">
        <v>2023</v>
      </c>
      <c r="AV504">
        <v>14</v>
      </c>
      <c r="AW504">
        <v>2</v>
      </c>
      <c r="AX504" t="s">
        <v>74</v>
      </c>
      <c r="AY504" t="s">
        <v>74</v>
      </c>
      <c r="AZ504" t="s">
        <v>74</v>
      </c>
      <c r="BA504" t="s">
        <v>74</v>
      </c>
      <c r="BB504">
        <v>101</v>
      </c>
      <c r="BC504">
        <v>114</v>
      </c>
      <c r="BD504" t="s">
        <v>74</v>
      </c>
      <c r="BE504" t="s">
        <v>74</v>
      </c>
      <c r="BF504" t="s">
        <v>74</v>
      </c>
      <c r="BG504" t="s">
        <v>74</v>
      </c>
      <c r="BH504" t="s">
        <v>74</v>
      </c>
      <c r="BI504">
        <v>14</v>
      </c>
      <c r="BJ504" t="s">
        <v>9788</v>
      </c>
      <c r="BK504" t="s">
        <v>352</v>
      </c>
      <c r="BL504" t="s">
        <v>9788</v>
      </c>
      <c r="BM504" t="s">
        <v>9789</v>
      </c>
      <c r="BN504" t="s">
        <v>74</v>
      </c>
      <c r="BO504" t="s">
        <v>74</v>
      </c>
      <c r="BP504" t="s">
        <v>74</v>
      </c>
      <c r="BQ504" t="s">
        <v>74</v>
      </c>
      <c r="BR504" t="s">
        <v>101</v>
      </c>
      <c r="BS504" t="s">
        <v>9790</v>
      </c>
      <c r="BT504" t="str">
        <f>HYPERLINK("https%3A%2F%2Fwww.webofscience.com%2Fwos%2Fwoscc%2Ffull-record%2FWOS:001165338200006","View Full Record in Web of Science")</f>
        <v>View Full Record in Web of Science</v>
      </c>
    </row>
    <row r="505" spans="1:72" x14ac:dyDescent="0.2">
      <c r="A505" t="s">
        <v>103</v>
      </c>
      <c r="B505" t="s">
        <v>9791</v>
      </c>
      <c r="C505" t="s">
        <v>74</v>
      </c>
      <c r="D505" t="s">
        <v>74</v>
      </c>
      <c r="E505" t="s">
        <v>74</v>
      </c>
      <c r="F505" t="s">
        <v>9792</v>
      </c>
      <c r="G505" t="s">
        <v>74</v>
      </c>
      <c r="H505" t="s">
        <v>74</v>
      </c>
      <c r="I505" t="s">
        <v>9793</v>
      </c>
      <c r="J505" t="s">
        <v>7520</v>
      </c>
      <c r="K505" t="s">
        <v>74</v>
      </c>
      <c r="L505" t="s">
        <v>74</v>
      </c>
      <c r="M505" t="s">
        <v>79</v>
      </c>
      <c r="N505" t="s">
        <v>138</v>
      </c>
      <c r="O505" t="s">
        <v>74</v>
      </c>
      <c r="P505" t="s">
        <v>74</v>
      </c>
      <c r="Q505" t="s">
        <v>74</v>
      </c>
      <c r="R505" t="s">
        <v>74</v>
      </c>
      <c r="S505" t="s">
        <v>74</v>
      </c>
      <c r="T505" t="s">
        <v>9794</v>
      </c>
      <c r="U505" t="s">
        <v>74</v>
      </c>
      <c r="V505" t="s">
        <v>9795</v>
      </c>
      <c r="W505" t="s">
        <v>9796</v>
      </c>
      <c r="X505" t="s">
        <v>9797</v>
      </c>
      <c r="Y505" t="s">
        <v>9798</v>
      </c>
      <c r="Z505" t="s">
        <v>9799</v>
      </c>
      <c r="AA505" t="s">
        <v>9800</v>
      </c>
      <c r="AB505" t="s">
        <v>9801</v>
      </c>
      <c r="AC505" t="s">
        <v>9802</v>
      </c>
      <c r="AD505" t="s">
        <v>9802</v>
      </c>
      <c r="AE505" t="s">
        <v>3401</v>
      </c>
      <c r="AF505" t="s">
        <v>74</v>
      </c>
      <c r="AG505">
        <v>50</v>
      </c>
      <c r="AH505">
        <v>0</v>
      </c>
      <c r="AI505">
        <v>0</v>
      </c>
      <c r="AJ505">
        <v>12</v>
      </c>
      <c r="AK505">
        <v>12</v>
      </c>
      <c r="AL505" t="s">
        <v>1379</v>
      </c>
      <c r="AM505" t="s">
        <v>1380</v>
      </c>
      <c r="AN505" t="s">
        <v>1381</v>
      </c>
      <c r="AO505" t="s">
        <v>7532</v>
      </c>
      <c r="AP505" t="s">
        <v>7533</v>
      </c>
      <c r="AQ505" t="s">
        <v>74</v>
      </c>
      <c r="AR505" t="s">
        <v>7534</v>
      </c>
      <c r="AS505" t="s">
        <v>7535</v>
      </c>
      <c r="AT505" t="s">
        <v>9803</v>
      </c>
      <c r="AU505">
        <v>2023</v>
      </c>
      <c r="AV505" t="s">
        <v>74</v>
      </c>
      <c r="AW505" t="s">
        <v>74</v>
      </c>
      <c r="AX505" t="s">
        <v>74</v>
      </c>
      <c r="AY505" t="s">
        <v>74</v>
      </c>
      <c r="AZ505" t="s">
        <v>74</v>
      </c>
      <c r="BA505" t="s">
        <v>74</v>
      </c>
      <c r="BB505" t="s">
        <v>74</v>
      </c>
      <c r="BC505" t="s">
        <v>74</v>
      </c>
      <c r="BD505" t="s">
        <v>74</v>
      </c>
      <c r="BE505" t="s">
        <v>9804</v>
      </c>
      <c r="BF505" t="str">
        <f>HYPERLINK("http://dx.doi.org/10.1109/TNNLS.2023.3330864","http://dx.doi.org/10.1109/TNNLS.2023.3330864")</f>
        <v>http://dx.doi.org/10.1109/TNNLS.2023.3330864</v>
      </c>
      <c r="BG505" t="s">
        <v>74</v>
      </c>
      <c r="BH505" t="s">
        <v>157</v>
      </c>
      <c r="BI505">
        <v>14</v>
      </c>
      <c r="BJ505" t="s">
        <v>7537</v>
      </c>
      <c r="BK505" t="s">
        <v>130</v>
      </c>
      <c r="BL505" t="s">
        <v>906</v>
      </c>
      <c r="BM505" t="s">
        <v>9805</v>
      </c>
      <c r="BN505">
        <v>37976189</v>
      </c>
      <c r="BO505" t="s">
        <v>161</v>
      </c>
      <c r="BP505" t="s">
        <v>74</v>
      </c>
      <c r="BQ505" t="s">
        <v>74</v>
      </c>
      <c r="BR505" t="s">
        <v>101</v>
      </c>
      <c r="BS505" t="s">
        <v>9806</v>
      </c>
      <c r="BT505" t="str">
        <f>HYPERLINK("https%3A%2F%2Fwww.webofscience.com%2Fwos%2Fwoscc%2Ffull-record%2FWOS:001123253500001","View Full Record in Web of Science")</f>
        <v>View Full Record in Web of Science</v>
      </c>
    </row>
    <row r="506" spans="1:72" x14ac:dyDescent="0.2">
      <c r="A506" t="s">
        <v>103</v>
      </c>
      <c r="B506" t="s">
        <v>9807</v>
      </c>
      <c r="C506" t="s">
        <v>74</v>
      </c>
      <c r="D506" t="s">
        <v>74</v>
      </c>
      <c r="E506" t="s">
        <v>74</v>
      </c>
      <c r="F506" t="s">
        <v>9808</v>
      </c>
      <c r="G506" t="s">
        <v>74</v>
      </c>
      <c r="H506" t="s">
        <v>74</v>
      </c>
      <c r="I506" t="s">
        <v>9809</v>
      </c>
      <c r="J506" t="s">
        <v>7805</v>
      </c>
      <c r="K506" t="s">
        <v>74</v>
      </c>
      <c r="L506" t="s">
        <v>74</v>
      </c>
      <c r="M506" t="s">
        <v>79</v>
      </c>
      <c r="N506" t="s">
        <v>108</v>
      </c>
      <c r="O506" t="s">
        <v>74</v>
      </c>
      <c r="P506" t="s">
        <v>74</v>
      </c>
      <c r="Q506" t="s">
        <v>74</v>
      </c>
      <c r="R506" t="s">
        <v>74</v>
      </c>
      <c r="S506" t="s">
        <v>74</v>
      </c>
      <c r="T506" t="s">
        <v>9810</v>
      </c>
      <c r="U506" t="s">
        <v>9811</v>
      </c>
      <c r="V506" t="s">
        <v>9812</v>
      </c>
      <c r="W506" t="s">
        <v>9813</v>
      </c>
      <c r="X506" t="s">
        <v>9814</v>
      </c>
      <c r="Y506" t="s">
        <v>9815</v>
      </c>
      <c r="Z506" t="s">
        <v>9816</v>
      </c>
      <c r="AA506" t="s">
        <v>9817</v>
      </c>
      <c r="AB506" t="s">
        <v>9818</v>
      </c>
      <c r="AC506" t="s">
        <v>9819</v>
      </c>
      <c r="AD506" t="s">
        <v>9820</v>
      </c>
      <c r="AE506" t="s">
        <v>9821</v>
      </c>
      <c r="AF506" t="s">
        <v>74</v>
      </c>
      <c r="AG506">
        <v>35</v>
      </c>
      <c r="AH506">
        <v>0</v>
      </c>
      <c r="AI506">
        <v>0</v>
      </c>
      <c r="AJ506">
        <v>5</v>
      </c>
      <c r="AK506">
        <v>7</v>
      </c>
      <c r="AL506" t="s">
        <v>1379</v>
      </c>
      <c r="AM506" t="s">
        <v>1380</v>
      </c>
      <c r="AN506" t="s">
        <v>1381</v>
      </c>
      <c r="AO506" t="s">
        <v>7816</v>
      </c>
      <c r="AP506" t="s">
        <v>7817</v>
      </c>
      <c r="AQ506" t="s">
        <v>74</v>
      </c>
      <c r="AR506" t="s">
        <v>7818</v>
      </c>
      <c r="AS506" t="s">
        <v>7819</v>
      </c>
      <c r="AT506" t="s">
        <v>467</v>
      </c>
      <c r="AU506">
        <v>2023</v>
      </c>
      <c r="AV506">
        <v>27</v>
      </c>
      <c r="AW506">
        <v>10</v>
      </c>
      <c r="AX506" t="s">
        <v>74</v>
      </c>
      <c r="AY506" t="s">
        <v>74</v>
      </c>
      <c r="AZ506" t="s">
        <v>74</v>
      </c>
      <c r="BA506" t="s">
        <v>74</v>
      </c>
      <c r="BB506">
        <v>4961</v>
      </c>
      <c r="BC506">
        <v>4970</v>
      </c>
      <c r="BD506" t="s">
        <v>74</v>
      </c>
      <c r="BE506" t="s">
        <v>9822</v>
      </c>
      <c r="BF506" t="str">
        <f>HYPERLINK("http://dx.doi.org/10.1109/JBHI.2023.3304388","http://dx.doi.org/10.1109/JBHI.2023.3304388")</f>
        <v>http://dx.doi.org/10.1109/JBHI.2023.3304388</v>
      </c>
      <c r="BG506" t="s">
        <v>74</v>
      </c>
      <c r="BH506" t="s">
        <v>74</v>
      </c>
      <c r="BI506">
        <v>10</v>
      </c>
      <c r="BJ506" t="s">
        <v>7821</v>
      </c>
      <c r="BK506" t="s">
        <v>130</v>
      </c>
      <c r="BL506" t="s">
        <v>7822</v>
      </c>
      <c r="BM506" t="s">
        <v>7823</v>
      </c>
      <c r="BN506">
        <v>37607152</v>
      </c>
      <c r="BO506" t="s">
        <v>74</v>
      </c>
      <c r="BP506" t="s">
        <v>74</v>
      </c>
      <c r="BQ506" t="s">
        <v>74</v>
      </c>
      <c r="BR506" t="s">
        <v>101</v>
      </c>
      <c r="BS506" t="s">
        <v>9823</v>
      </c>
      <c r="BT506" t="str">
        <f>HYPERLINK("https%3A%2F%2Fwww.webofscience.com%2Fwos%2Fwoscc%2Ffull-record%2FWOS:001083127700029","View Full Record in Web of Science")</f>
        <v>View Full Record in Web of Science</v>
      </c>
    </row>
    <row r="507" spans="1:72" x14ac:dyDescent="0.2">
      <c r="A507" t="s">
        <v>103</v>
      </c>
      <c r="B507" t="s">
        <v>9824</v>
      </c>
      <c r="C507" t="s">
        <v>74</v>
      </c>
      <c r="D507" t="s">
        <v>74</v>
      </c>
      <c r="E507" t="s">
        <v>74</v>
      </c>
      <c r="F507" t="s">
        <v>9825</v>
      </c>
      <c r="G507" t="s">
        <v>74</v>
      </c>
      <c r="H507" t="s">
        <v>74</v>
      </c>
      <c r="I507" t="s">
        <v>9826</v>
      </c>
      <c r="J507" t="s">
        <v>9827</v>
      </c>
      <c r="K507" t="s">
        <v>74</v>
      </c>
      <c r="L507" t="s">
        <v>74</v>
      </c>
      <c r="M507" t="s">
        <v>79</v>
      </c>
      <c r="N507" t="s">
        <v>108</v>
      </c>
      <c r="O507" t="s">
        <v>74</v>
      </c>
      <c r="P507" t="s">
        <v>74</v>
      </c>
      <c r="Q507" t="s">
        <v>74</v>
      </c>
      <c r="R507" t="s">
        <v>74</v>
      </c>
      <c r="S507" t="s">
        <v>74</v>
      </c>
      <c r="T507" t="s">
        <v>9828</v>
      </c>
      <c r="U507" t="s">
        <v>74</v>
      </c>
      <c r="V507" t="s">
        <v>9829</v>
      </c>
      <c r="W507" t="s">
        <v>9830</v>
      </c>
      <c r="X507" t="s">
        <v>9831</v>
      </c>
      <c r="Y507" t="s">
        <v>9832</v>
      </c>
      <c r="Z507" t="s">
        <v>9833</v>
      </c>
      <c r="AA507" t="s">
        <v>74</v>
      </c>
      <c r="AB507" t="s">
        <v>9834</v>
      </c>
      <c r="AC507" t="s">
        <v>74</v>
      </c>
      <c r="AD507" t="s">
        <v>74</v>
      </c>
      <c r="AE507" t="s">
        <v>74</v>
      </c>
      <c r="AF507" t="s">
        <v>74</v>
      </c>
      <c r="AG507">
        <v>17</v>
      </c>
      <c r="AH507">
        <v>10</v>
      </c>
      <c r="AI507">
        <v>10</v>
      </c>
      <c r="AJ507">
        <v>25</v>
      </c>
      <c r="AK507">
        <v>30</v>
      </c>
      <c r="AL507" t="s">
        <v>9835</v>
      </c>
      <c r="AM507" t="s">
        <v>9836</v>
      </c>
      <c r="AN507" t="s">
        <v>9837</v>
      </c>
      <c r="AO507" t="s">
        <v>9838</v>
      </c>
      <c r="AP507" t="s">
        <v>9839</v>
      </c>
      <c r="AQ507" t="s">
        <v>74</v>
      </c>
      <c r="AR507" t="s">
        <v>9840</v>
      </c>
      <c r="AS507" t="s">
        <v>9841</v>
      </c>
      <c r="AT507" t="s">
        <v>771</v>
      </c>
      <c r="AU507">
        <v>2023</v>
      </c>
      <c r="AV507">
        <v>46</v>
      </c>
      <c r="AW507">
        <v>7</v>
      </c>
      <c r="AX507" t="s">
        <v>74</v>
      </c>
      <c r="AY507" t="s">
        <v>74</v>
      </c>
      <c r="AZ507" t="s">
        <v>74</v>
      </c>
      <c r="BA507" t="s">
        <v>74</v>
      </c>
      <c r="BB507">
        <v>706</v>
      </c>
      <c r="BC507">
        <v>711</v>
      </c>
      <c r="BD507" t="s">
        <v>74</v>
      </c>
      <c r="BE507" t="s">
        <v>9842</v>
      </c>
      <c r="BF507" t="str">
        <f>HYPERLINK("http://dx.doi.org/10.1016/j.jfo.2023.05.006","http://dx.doi.org/10.1016/j.jfo.2023.05.006")</f>
        <v>http://dx.doi.org/10.1016/j.jfo.2023.05.006</v>
      </c>
      <c r="BG507" t="s">
        <v>74</v>
      </c>
      <c r="BH507" t="s">
        <v>255</v>
      </c>
      <c r="BI507">
        <v>6</v>
      </c>
      <c r="BJ507" t="s">
        <v>9843</v>
      </c>
      <c r="BK507" t="s">
        <v>130</v>
      </c>
      <c r="BL507" t="s">
        <v>9843</v>
      </c>
      <c r="BM507" t="s">
        <v>9844</v>
      </c>
      <c r="BN507">
        <v>37537126</v>
      </c>
      <c r="BO507" t="s">
        <v>161</v>
      </c>
      <c r="BP507" t="s">
        <v>74</v>
      </c>
      <c r="BQ507" t="s">
        <v>74</v>
      </c>
      <c r="BR507" t="s">
        <v>101</v>
      </c>
      <c r="BS507" t="s">
        <v>9845</v>
      </c>
      <c r="BT507" t="str">
        <f>HYPERLINK("https%3A%2F%2Fwww.webofscience.com%2Fwos%2Fwoscc%2Ffull-record%2FWOS:001069394400001","View Full Record in Web of Science")</f>
        <v>View Full Record in Web of Science</v>
      </c>
    </row>
    <row r="508" spans="1:72" x14ac:dyDescent="0.2">
      <c r="A508" t="s">
        <v>103</v>
      </c>
      <c r="B508" t="s">
        <v>9846</v>
      </c>
      <c r="C508" t="s">
        <v>74</v>
      </c>
      <c r="D508" t="s">
        <v>74</v>
      </c>
      <c r="E508" t="s">
        <v>74</v>
      </c>
      <c r="F508" t="s">
        <v>9847</v>
      </c>
      <c r="G508" t="s">
        <v>74</v>
      </c>
      <c r="H508" t="s">
        <v>74</v>
      </c>
      <c r="I508" t="s">
        <v>9848</v>
      </c>
      <c r="J508" t="s">
        <v>9849</v>
      </c>
      <c r="K508" t="s">
        <v>74</v>
      </c>
      <c r="L508" t="s">
        <v>74</v>
      </c>
      <c r="M508" t="s">
        <v>79</v>
      </c>
      <c r="N508" t="s">
        <v>108</v>
      </c>
      <c r="O508" t="s">
        <v>74</v>
      </c>
      <c r="P508" t="s">
        <v>74</v>
      </c>
      <c r="Q508" t="s">
        <v>74</v>
      </c>
      <c r="R508" t="s">
        <v>74</v>
      </c>
      <c r="S508" t="s">
        <v>74</v>
      </c>
      <c r="T508" t="s">
        <v>74</v>
      </c>
      <c r="U508" t="s">
        <v>74</v>
      </c>
      <c r="V508" t="s">
        <v>9850</v>
      </c>
      <c r="W508" t="s">
        <v>9851</v>
      </c>
      <c r="X508" t="s">
        <v>3093</v>
      </c>
      <c r="Y508" t="s">
        <v>9852</v>
      </c>
      <c r="Z508" t="s">
        <v>9853</v>
      </c>
      <c r="AA508" t="s">
        <v>9854</v>
      </c>
      <c r="AB508" t="s">
        <v>9855</v>
      </c>
      <c r="AC508" t="s">
        <v>74</v>
      </c>
      <c r="AD508" t="s">
        <v>74</v>
      </c>
      <c r="AE508" t="s">
        <v>74</v>
      </c>
      <c r="AF508" t="s">
        <v>74</v>
      </c>
      <c r="AG508">
        <v>4</v>
      </c>
      <c r="AH508">
        <v>1</v>
      </c>
      <c r="AI508">
        <v>1</v>
      </c>
      <c r="AJ508">
        <v>2</v>
      </c>
      <c r="AK508">
        <v>2</v>
      </c>
      <c r="AL508" t="s">
        <v>2010</v>
      </c>
      <c r="AM508" t="s">
        <v>93</v>
      </c>
      <c r="AN508" t="s">
        <v>2011</v>
      </c>
      <c r="AO508" t="s">
        <v>9856</v>
      </c>
      <c r="AP508" t="s">
        <v>74</v>
      </c>
      <c r="AQ508" t="s">
        <v>74</v>
      </c>
      <c r="AR508" t="s">
        <v>9857</v>
      </c>
      <c r="AS508" t="s">
        <v>9858</v>
      </c>
      <c r="AT508" t="s">
        <v>1561</v>
      </c>
      <c r="AU508">
        <v>2023</v>
      </c>
      <c r="AV508">
        <v>17</v>
      </c>
      <c r="AW508">
        <v>4</v>
      </c>
      <c r="AX508" t="s">
        <v>74</v>
      </c>
      <c r="AY508" t="s">
        <v>74</v>
      </c>
      <c r="AZ508" t="s">
        <v>74</v>
      </c>
      <c r="BA508" t="s">
        <v>74</v>
      </c>
      <c r="BB508">
        <v>281</v>
      </c>
      <c r="BC508">
        <v>283</v>
      </c>
      <c r="BD508" t="s">
        <v>74</v>
      </c>
      <c r="BE508" t="s">
        <v>9859</v>
      </c>
      <c r="BF508" t="str">
        <f>HYPERLINK("http://dx.doi.org/10.1016/j.jcct.2023.03.010","http://dx.doi.org/10.1016/j.jcct.2023.03.010")</f>
        <v>http://dx.doi.org/10.1016/j.jcct.2023.03.010</v>
      </c>
      <c r="BG508" t="s">
        <v>74</v>
      </c>
      <c r="BH508" t="s">
        <v>255</v>
      </c>
      <c r="BI508">
        <v>3</v>
      </c>
      <c r="BJ508" t="s">
        <v>9860</v>
      </c>
      <c r="BK508" t="s">
        <v>130</v>
      </c>
      <c r="BL508" t="s">
        <v>9861</v>
      </c>
      <c r="BM508" t="s">
        <v>9862</v>
      </c>
      <c r="BN508">
        <v>37032219</v>
      </c>
      <c r="BO508" t="s">
        <v>646</v>
      </c>
      <c r="BP508" t="s">
        <v>74</v>
      </c>
      <c r="BQ508" t="s">
        <v>74</v>
      </c>
      <c r="BR508" t="s">
        <v>101</v>
      </c>
      <c r="BS508" t="s">
        <v>9863</v>
      </c>
      <c r="BT508" t="str">
        <f>HYPERLINK("https%3A%2F%2Fwww.webofscience.com%2Fwos%2Fwoscc%2Ffull-record%2FWOS:001124253600001","View Full Record in Web of Science")</f>
        <v>View Full Record in Web of Science</v>
      </c>
    </row>
    <row r="509" spans="1:72" x14ac:dyDescent="0.2">
      <c r="A509" t="s">
        <v>72</v>
      </c>
      <c r="B509" t="s">
        <v>9864</v>
      </c>
      <c r="C509" t="s">
        <v>74</v>
      </c>
      <c r="D509" t="s">
        <v>74</v>
      </c>
      <c r="E509" t="s">
        <v>75</v>
      </c>
      <c r="F509" t="s">
        <v>9865</v>
      </c>
      <c r="G509" t="s">
        <v>74</v>
      </c>
      <c r="H509" t="s">
        <v>74</v>
      </c>
      <c r="I509" t="s">
        <v>9866</v>
      </c>
      <c r="J509" t="s">
        <v>1264</v>
      </c>
      <c r="K509" t="s">
        <v>74</v>
      </c>
      <c r="L509" t="s">
        <v>74</v>
      </c>
      <c r="M509" t="s">
        <v>79</v>
      </c>
      <c r="N509" t="s">
        <v>80</v>
      </c>
      <c r="O509" t="s">
        <v>1265</v>
      </c>
      <c r="P509" t="s">
        <v>290</v>
      </c>
      <c r="Q509" t="s">
        <v>1266</v>
      </c>
      <c r="R509" t="s">
        <v>1267</v>
      </c>
      <c r="S509" t="s">
        <v>74</v>
      </c>
      <c r="T509" t="s">
        <v>9867</v>
      </c>
      <c r="U509" t="s">
        <v>74</v>
      </c>
      <c r="V509" t="s">
        <v>9868</v>
      </c>
      <c r="W509" t="s">
        <v>9869</v>
      </c>
      <c r="X509" t="s">
        <v>9870</v>
      </c>
      <c r="Y509" t="s">
        <v>9871</v>
      </c>
      <c r="Z509" t="s">
        <v>9872</v>
      </c>
      <c r="AA509" t="s">
        <v>9873</v>
      </c>
      <c r="AB509" t="s">
        <v>9874</v>
      </c>
      <c r="AC509" t="s">
        <v>74</v>
      </c>
      <c r="AD509" t="s">
        <v>74</v>
      </c>
      <c r="AE509" t="s">
        <v>74</v>
      </c>
      <c r="AF509" t="s">
        <v>74</v>
      </c>
      <c r="AG509">
        <v>26</v>
      </c>
      <c r="AH509">
        <v>0</v>
      </c>
      <c r="AI509">
        <v>0</v>
      </c>
      <c r="AJ509">
        <v>0</v>
      </c>
      <c r="AK509">
        <v>0</v>
      </c>
      <c r="AL509" t="s">
        <v>92</v>
      </c>
      <c r="AM509" t="s">
        <v>93</v>
      </c>
      <c r="AN509" t="s">
        <v>94</v>
      </c>
      <c r="AO509" t="s">
        <v>74</v>
      </c>
      <c r="AP509" t="s">
        <v>74</v>
      </c>
      <c r="AQ509" t="s">
        <v>1278</v>
      </c>
      <c r="AR509" t="s">
        <v>74</v>
      </c>
      <c r="AS509" t="s">
        <v>74</v>
      </c>
      <c r="AT509" t="s">
        <v>74</v>
      </c>
      <c r="AU509">
        <v>2023</v>
      </c>
      <c r="AV509" t="s">
        <v>74</v>
      </c>
      <c r="AW509" t="s">
        <v>74</v>
      </c>
      <c r="AX509" t="s">
        <v>74</v>
      </c>
      <c r="AY509" t="s">
        <v>74</v>
      </c>
      <c r="AZ509" t="s">
        <v>74</v>
      </c>
      <c r="BA509" t="s">
        <v>74</v>
      </c>
      <c r="BB509">
        <v>323</v>
      </c>
      <c r="BC509">
        <v>330</v>
      </c>
      <c r="BD509" t="s">
        <v>74</v>
      </c>
      <c r="BE509" t="s">
        <v>9875</v>
      </c>
      <c r="BF509" t="str">
        <f>HYPERLINK("http://dx.doi.org/10.1145/3604237.3626844","http://dx.doi.org/10.1145/3604237.3626844")</f>
        <v>http://dx.doi.org/10.1145/3604237.3626844</v>
      </c>
      <c r="BG509" t="s">
        <v>74</v>
      </c>
      <c r="BH509" t="s">
        <v>74</v>
      </c>
      <c r="BI509">
        <v>8</v>
      </c>
      <c r="BJ509" t="s">
        <v>1280</v>
      </c>
      <c r="BK509" t="s">
        <v>180</v>
      </c>
      <c r="BL509" t="s">
        <v>1281</v>
      </c>
      <c r="BM509" t="s">
        <v>1282</v>
      </c>
      <c r="BN509" t="s">
        <v>74</v>
      </c>
      <c r="BO509" t="s">
        <v>74</v>
      </c>
      <c r="BP509" t="s">
        <v>74</v>
      </c>
      <c r="BQ509" t="s">
        <v>74</v>
      </c>
      <c r="BR509" t="s">
        <v>101</v>
      </c>
      <c r="BS509" t="s">
        <v>9876</v>
      </c>
      <c r="BT509" t="str">
        <f>HYPERLINK("https%3A%2F%2Fwww.webofscience.com%2Fwos%2Fwoscc%2Ffull-record%2FWOS:001124982700038","View Full Record in Web of Science")</f>
        <v>View Full Record in Web of Science</v>
      </c>
    </row>
    <row r="510" spans="1:72" x14ac:dyDescent="0.2">
      <c r="A510" t="s">
        <v>103</v>
      </c>
      <c r="B510" t="s">
        <v>9877</v>
      </c>
      <c r="C510" t="s">
        <v>74</v>
      </c>
      <c r="D510" t="s">
        <v>74</v>
      </c>
      <c r="E510" t="s">
        <v>74</v>
      </c>
      <c r="F510" t="s">
        <v>9878</v>
      </c>
      <c r="G510" t="s">
        <v>74</v>
      </c>
      <c r="H510" t="s">
        <v>74</v>
      </c>
      <c r="I510" t="s">
        <v>9879</v>
      </c>
      <c r="J510" t="s">
        <v>9880</v>
      </c>
      <c r="K510" t="s">
        <v>74</v>
      </c>
      <c r="L510" t="s">
        <v>74</v>
      </c>
      <c r="M510" t="s">
        <v>79</v>
      </c>
      <c r="N510" t="s">
        <v>108</v>
      </c>
      <c r="O510" t="s">
        <v>74</v>
      </c>
      <c r="P510" t="s">
        <v>74</v>
      </c>
      <c r="Q510" t="s">
        <v>74</v>
      </c>
      <c r="R510" t="s">
        <v>74</v>
      </c>
      <c r="S510" t="s">
        <v>74</v>
      </c>
      <c r="T510" t="s">
        <v>74</v>
      </c>
      <c r="U510" t="s">
        <v>74</v>
      </c>
      <c r="V510" t="s">
        <v>9881</v>
      </c>
      <c r="W510" t="s">
        <v>9882</v>
      </c>
      <c r="X510" t="s">
        <v>9883</v>
      </c>
      <c r="Y510" t="s">
        <v>9884</v>
      </c>
      <c r="Z510" t="s">
        <v>74</v>
      </c>
      <c r="AA510" t="s">
        <v>74</v>
      </c>
      <c r="AB510" t="s">
        <v>9885</v>
      </c>
      <c r="AC510" t="s">
        <v>9886</v>
      </c>
      <c r="AD510" t="s">
        <v>9887</v>
      </c>
      <c r="AE510" t="s">
        <v>9888</v>
      </c>
      <c r="AF510" t="s">
        <v>74</v>
      </c>
      <c r="AG510">
        <v>99</v>
      </c>
      <c r="AH510">
        <v>0</v>
      </c>
      <c r="AI510">
        <v>0</v>
      </c>
      <c r="AJ510">
        <v>28</v>
      </c>
      <c r="AK510">
        <v>44</v>
      </c>
      <c r="AL510" t="s">
        <v>3165</v>
      </c>
      <c r="AM510" t="s">
        <v>3166</v>
      </c>
      <c r="AN510" t="s">
        <v>3167</v>
      </c>
      <c r="AO510" t="s">
        <v>9889</v>
      </c>
      <c r="AP510" t="s">
        <v>9890</v>
      </c>
      <c r="AQ510" t="s">
        <v>74</v>
      </c>
      <c r="AR510" t="s">
        <v>9891</v>
      </c>
      <c r="AS510" t="s">
        <v>9892</v>
      </c>
      <c r="AT510" t="s">
        <v>2582</v>
      </c>
      <c r="AU510">
        <v>2023</v>
      </c>
      <c r="AV510">
        <v>42</v>
      </c>
      <c r="AW510">
        <v>3</v>
      </c>
      <c r="AX510" t="s">
        <v>74</v>
      </c>
      <c r="AY510" t="s">
        <v>74</v>
      </c>
      <c r="AZ510" t="s">
        <v>74</v>
      </c>
      <c r="BA510" t="s">
        <v>74</v>
      </c>
      <c r="BB510">
        <v>423</v>
      </c>
      <c r="BC510">
        <v>435</v>
      </c>
      <c r="BD510" t="s">
        <v>74</v>
      </c>
      <c r="BE510" t="s">
        <v>9893</v>
      </c>
      <c r="BF510" t="str">
        <f>HYPERLINK("http://dx.doi.org/10.1111/cgf.14841","http://dx.doi.org/10.1111/cgf.14841")</f>
        <v>http://dx.doi.org/10.1111/cgf.14841</v>
      </c>
      <c r="BG510" t="s">
        <v>74</v>
      </c>
      <c r="BH510" t="s">
        <v>74</v>
      </c>
      <c r="BI510">
        <v>13</v>
      </c>
      <c r="BJ510" t="s">
        <v>1563</v>
      </c>
      <c r="BK510" t="s">
        <v>130</v>
      </c>
      <c r="BL510" t="s">
        <v>99</v>
      </c>
      <c r="BM510" t="s">
        <v>9894</v>
      </c>
      <c r="BN510">
        <v>38505301</v>
      </c>
      <c r="BO510" t="s">
        <v>2722</v>
      </c>
      <c r="BP510" t="s">
        <v>74</v>
      </c>
      <c r="BQ510" t="s">
        <v>74</v>
      </c>
      <c r="BR510" t="s">
        <v>101</v>
      </c>
      <c r="BS510" t="s">
        <v>9895</v>
      </c>
      <c r="BT510" t="str">
        <f>HYPERLINK("https%3A%2F%2Fwww.webofscience.com%2Fwos%2Fwoscc%2Ffull-record%2FWOS:001020716600035","View Full Record in Web of Science")</f>
        <v>View Full Record in Web of Science</v>
      </c>
    </row>
    <row r="511" spans="1:72" x14ac:dyDescent="0.2">
      <c r="A511" t="s">
        <v>103</v>
      </c>
      <c r="B511" t="s">
        <v>9896</v>
      </c>
      <c r="C511" t="s">
        <v>74</v>
      </c>
      <c r="D511" t="s">
        <v>74</v>
      </c>
      <c r="E511" t="s">
        <v>74</v>
      </c>
      <c r="F511" t="s">
        <v>9897</v>
      </c>
      <c r="G511" t="s">
        <v>74</v>
      </c>
      <c r="H511" t="s">
        <v>74</v>
      </c>
      <c r="I511" t="s">
        <v>9898</v>
      </c>
      <c r="J511" t="s">
        <v>4108</v>
      </c>
      <c r="K511" t="s">
        <v>74</v>
      </c>
      <c r="L511" t="s">
        <v>74</v>
      </c>
      <c r="M511" t="s">
        <v>79</v>
      </c>
      <c r="N511" t="s">
        <v>138</v>
      </c>
      <c r="O511" t="s">
        <v>74</v>
      </c>
      <c r="P511" t="s">
        <v>74</v>
      </c>
      <c r="Q511" t="s">
        <v>74</v>
      </c>
      <c r="R511" t="s">
        <v>74</v>
      </c>
      <c r="S511" t="s">
        <v>74</v>
      </c>
      <c r="T511" t="s">
        <v>9899</v>
      </c>
      <c r="U511" t="s">
        <v>9900</v>
      </c>
      <c r="V511" t="s">
        <v>9901</v>
      </c>
      <c r="W511" t="s">
        <v>9902</v>
      </c>
      <c r="X511" t="s">
        <v>9903</v>
      </c>
      <c r="Y511" t="s">
        <v>9904</v>
      </c>
      <c r="Z511" t="s">
        <v>9905</v>
      </c>
      <c r="AA511" t="s">
        <v>9906</v>
      </c>
      <c r="AB511" t="s">
        <v>9907</v>
      </c>
      <c r="AC511" t="s">
        <v>9908</v>
      </c>
      <c r="AD511" t="s">
        <v>9909</v>
      </c>
      <c r="AE511" t="s">
        <v>9910</v>
      </c>
      <c r="AF511" t="s">
        <v>74</v>
      </c>
      <c r="AG511">
        <v>31</v>
      </c>
      <c r="AH511">
        <v>0</v>
      </c>
      <c r="AI511">
        <v>0</v>
      </c>
      <c r="AJ511">
        <v>1</v>
      </c>
      <c r="AK511">
        <v>22</v>
      </c>
      <c r="AL511" t="s">
        <v>343</v>
      </c>
      <c r="AM511" t="s">
        <v>521</v>
      </c>
      <c r="AN511" t="s">
        <v>522</v>
      </c>
      <c r="AO511" t="s">
        <v>4115</v>
      </c>
      <c r="AP511" t="s">
        <v>4116</v>
      </c>
      <c r="AQ511" t="s">
        <v>74</v>
      </c>
      <c r="AR511" t="s">
        <v>4117</v>
      </c>
      <c r="AS511" t="s">
        <v>4118</v>
      </c>
      <c r="AT511" t="s">
        <v>9911</v>
      </c>
      <c r="AU511">
        <v>2023</v>
      </c>
      <c r="AV511" t="s">
        <v>74</v>
      </c>
      <c r="AW511" t="s">
        <v>74</v>
      </c>
      <c r="AX511" t="s">
        <v>74</v>
      </c>
      <c r="AY511" t="s">
        <v>74</v>
      </c>
      <c r="AZ511" t="s">
        <v>74</v>
      </c>
      <c r="BA511" t="s">
        <v>74</v>
      </c>
      <c r="BB511" t="s">
        <v>74</v>
      </c>
      <c r="BC511" t="s">
        <v>74</v>
      </c>
      <c r="BD511" t="s">
        <v>74</v>
      </c>
      <c r="BE511" t="s">
        <v>9912</v>
      </c>
      <c r="BF511" t="str">
        <f>HYPERLINK("http://dx.doi.org/10.1007/s11042-023-14393-2","http://dx.doi.org/10.1007/s11042-023-14393-2")</f>
        <v>http://dx.doi.org/10.1007/s11042-023-14393-2</v>
      </c>
      <c r="BG511" t="s">
        <v>74</v>
      </c>
      <c r="BH511" t="s">
        <v>7345</v>
      </c>
      <c r="BI511">
        <v>13</v>
      </c>
      <c r="BJ511" t="s">
        <v>4120</v>
      </c>
      <c r="BK511" t="s">
        <v>130</v>
      </c>
      <c r="BL511" t="s">
        <v>906</v>
      </c>
      <c r="BM511" t="s">
        <v>9913</v>
      </c>
      <c r="BN511" t="s">
        <v>74</v>
      </c>
      <c r="BO511" t="s">
        <v>74</v>
      </c>
      <c r="BP511" t="s">
        <v>74</v>
      </c>
      <c r="BQ511" t="s">
        <v>74</v>
      </c>
      <c r="BR511" t="s">
        <v>101</v>
      </c>
      <c r="BS511" t="s">
        <v>9914</v>
      </c>
      <c r="BT511" t="str">
        <f>HYPERLINK("https%3A%2F%2Fwww.webofscience.com%2Fwos%2Fwoscc%2Ffull-record%2FWOS:000920621000001","View Full Record in Web of Science")</f>
        <v>View Full Record in Web of Science</v>
      </c>
    </row>
    <row r="512" spans="1:72" x14ac:dyDescent="0.2">
      <c r="A512" t="s">
        <v>103</v>
      </c>
      <c r="B512" t="s">
        <v>9915</v>
      </c>
      <c r="C512" t="s">
        <v>74</v>
      </c>
      <c r="D512" t="s">
        <v>74</v>
      </c>
      <c r="E512" t="s">
        <v>74</v>
      </c>
      <c r="F512" t="s">
        <v>7968</v>
      </c>
      <c r="G512" t="s">
        <v>74</v>
      </c>
      <c r="H512" t="s">
        <v>74</v>
      </c>
      <c r="I512" t="s">
        <v>9916</v>
      </c>
      <c r="J512" t="s">
        <v>6056</v>
      </c>
      <c r="K512" t="s">
        <v>74</v>
      </c>
      <c r="L512" t="s">
        <v>74</v>
      </c>
      <c r="M512" t="s">
        <v>79</v>
      </c>
      <c r="N512" t="s">
        <v>108</v>
      </c>
      <c r="O512" t="s">
        <v>74</v>
      </c>
      <c r="P512" t="s">
        <v>74</v>
      </c>
      <c r="Q512" t="s">
        <v>74</v>
      </c>
      <c r="R512" t="s">
        <v>74</v>
      </c>
      <c r="S512" t="s">
        <v>74</v>
      </c>
      <c r="T512" t="s">
        <v>9917</v>
      </c>
      <c r="U512" t="s">
        <v>74</v>
      </c>
      <c r="V512" t="s">
        <v>9918</v>
      </c>
      <c r="W512" t="s">
        <v>9919</v>
      </c>
      <c r="X512" t="s">
        <v>74</v>
      </c>
      <c r="Y512" t="s">
        <v>9920</v>
      </c>
      <c r="Z512" t="s">
        <v>4940</v>
      </c>
      <c r="AA512" t="s">
        <v>74</v>
      </c>
      <c r="AB512" t="s">
        <v>7975</v>
      </c>
      <c r="AC512" t="s">
        <v>74</v>
      </c>
      <c r="AD512" t="s">
        <v>74</v>
      </c>
      <c r="AE512" t="s">
        <v>74</v>
      </c>
      <c r="AF512" t="s">
        <v>74</v>
      </c>
      <c r="AG512">
        <v>15</v>
      </c>
      <c r="AH512">
        <v>5</v>
      </c>
      <c r="AI512">
        <v>5</v>
      </c>
      <c r="AJ512">
        <v>31</v>
      </c>
      <c r="AK512">
        <v>31</v>
      </c>
      <c r="AL512" t="s">
        <v>4176</v>
      </c>
      <c r="AM512" t="s">
        <v>4177</v>
      </c>
      <c r="AN512" t="s">
        <v>4178</v>
      </c>
      <c r="AO512" t="s">
        <v>6067</v>
      </c>
      <c r="AP512" t="s">
        <v>74</v>
      </c>
      <c r="AQ512" t="s">
        <v>74</v>
      </c>
      <c r="AR512" t="s">
        <v>6068</v>
      </c>
      <c r="AS512" t="s">
        <v>6069</v>
      </c>
      <c r="AT512" t="s">
        <v>9921</v>
      </c>
      <c r="AU512">
        <v>2023</v>
      </c>
      <c r="AV512">
        <v>25</v>
      </c>
      <c r="AW512" t="s">
        <v>74</v>
      </c>
      <c r="AX512" t="s">
        <v>74</v>
      </c>
      <c r="AY512" t="s">
        <v>74</v>
      </c>
      <c r="AZ512" t="s">
        <v>74</v>
      </c>
      <c r="BA512" t="s">
        <v>74</v>
      </c>
      <c r="BB512" t="s">
        <v>74</v>
      </c>
      <c r="BC512" t="s">
        <v>74</v>
      </c>
      <c r="BD512" t="s">
        <v>9922</v>
      </c>
      <c r="BE512" t="s">
        <v>9923</v>
      </c>
      <c r="BF512" t="str">
        <f>HYPERLINK("http://dx.doi.org/10.2196/52865","http://dx.doi.org/10.2196/52865")</f>
        <v>http://dx.doi.org/10.2196/52865</v>
      </c>
      <c r="BG512" t="s">
        <v>74</v>
      </c>
      <c r="BH512" t="s">
        <v>74</v>
      </c>
      <c r="BI512">
        <v>8</v>
      </c>
      <c r="BJ512" t="s">
        <v>4947</v>
      </c>
      <c r="BK512" t="s">
        <v>130</v>
      </c>
      <c r="BL512" t="s">
        <v>4947</v>
      </c>
      <c r="BM512" t="s">
        <v>9924</v>
      </c>
      <c r="BN512">
        <v>37917126</v>
      </c>
      <c r="BO512" t="s">
        <v>1728</v>
      </c>
      <c r="BP512" t="s">
        <v>74</v>
      </c>
      <c r="BQ512" t="s">
        <v>74</v>
      </c>
      <c r="BR512" t="s">
        <v>101</v>
      </c>
      <c r="BS512" t="s">
        <v>9925</v>
      </c>
      <c r="BT512" t="str">
        <f>HYPERLINK("https%3A%2F%2Fwww.webofscience.com%2Fwos%2Fwoscc%2Ffull-record%2FWOS:001104191500001","View Full Record in Web of Science")</f>
        <v>View Full Record in Web of Science</v>
      </c>
    </row>
    <row r="513" spans="1:72" x14ac:dyDescent="0.2">
      <c r="A513" t="s">
        <v>103</v>
      </c>
      <c r="B513" t="s">
        <v>9926</v>
      </c>
      <c r="C513" t="s">
        <v>74</v>
      </c>
      <c r="D513" t="s">
        <v>74</v>
      </c>
      <c r="E513" t="s">
        <v>74</v>
      </c>
      <c r="F513" t="s">
        <v>9927</v>
      </c>
      <c r="G513" t="s">
        <v>74</v>
      </c>
      <c r="H513" t="s">
        <v>74</v>
      </c>
      <c r="I513" t="s">
        <v>9928</v>
      </c>
      <c r="J513" t="s">
        <v>107</v>
      </c>
      <c r="K513" t="s">
        <v>74</v>
      </c>
      <c r="L513" t="s">
        <v>74</v>
      </c>
      <c r="M513" t="s">
        <v>79</v>
      </c>
      <c r="N513" t="s">
        <v>108</v>
      </c>
      <c r="O513" t="s">
        <v>74</v>
      </c>
      <c r="P513" t="s">
        <v>74</v>
      </c>
      <c r="Q513" t="s">
        <v>74</v>
      </c>
      <c r="R513" t="s">
        <v>74</v>
      </c>
      <c r="S513" t="s">
        <v>74</v>
      </c>
      <c r="T513" t="s">
        <v>9929</v>
      </c>
      <c r="U513" t="s">
        <v>9930</v>
      </c>
      <c r="V513" t="s">
        <v>9931</v>
      </c>
      <c r="W513" t="s">
        <v>9932</v>
      </c>
      <c r="X513" t="s">
        <v>5601</v>
      </c>
      <c r="Y513" t="s">
        <v>9933</v>
      </c>
      <c r="Z513" t="s">
        <v>9934</v>
      </c>
      <c r="AA513" t="s">
        <v>9935</v>
      </c>
      <c r="AB513" t="s">
        <v>9936</v>
      </c>
      <c r="AC513" t="s">
        <v>74</v>
      </c>
      <c r="AD513" t="s">
        <v>74</v>
      </c>
      <c r="AE513" t="s">
        <v>74</v>
      </c>
      <c r="AF513" t="s">
        <v>74</v>
      </c>
      <c r="AG513">
        <v>73</v>
      </c>
      <c r="AH513">
        <v>5</v>
      </c>
      <c r="AI513">
        <v>5</v>
      </c>
      <c r="AJ513">
        <v>7</v>
      </c>
      <c r="AK513">
        <v>9</v>
      </c>
      <c r="AL513" t="s">
        <v>119</v>
      </c>
      <c r="AM513" t="s">
        <v>120</v>
      </c>
      <c r="AN513" t="s">
        <v>121</v>
      </c>
      <c r="AO513" t="s">
        <v>122</v>
      </c>
      <c r="AP513" t="s">
        <v>123</v>
      </c>
      <c r="AQ513" t="s">
        <v>74</v>
      </c>
      <c r="AR513" t="s">
        <v>124</v>
      </c>
      <c r="AS513" t="s">
        <v>125</v>
      </c>
      <c r="AT513" t="s">
        <v>791</v>
      </c>
      <c r="AU513">
        <v>2023</v>
      </c>
      <c r="AV513">
        <v>123</v>
      </c>
      <c r="AW513" t="s">
        <v>74</v>
      </c>
      <c r="AX513" t="s">
        <v>9937</v>
      </c>
      <c r="AY513" t="s">
        <v>74</v>
      </c>
      <c r="AZ513" t="s">
        <v>74</v>
      </c>
      <c r="BA513" t="s">
        <v>74</v>
      </c>
      <c r="BB513" t="s">
        <v>74</v>
      </c>
      <c r="BC513" t="s">
        <v>74</v>
      </c>
      <c r="BD513">
        <v>106407</v>
      </c>
      <c r="BE513" t="s">
        <v>9938</v>
      </c>
      <c r="BF513" t="str">
        <f>HYPERLINK("http://dx.doi.org/10.1016/j.engappai.2023.106407","http://dx.doi.org/10.1016/j.engappai.2023.106407")</f>
        <v>http://dx.doi.org/10.1016/j.engappai.2023.106407</v>
      </c>
      <c r="BG513" t="s">
        <v>74</v>
      </c>
      <c r="BH513" t="s">
        <v>2889</v>
      </c>
      <c r="BI513">
        <v>14</v>
      </c>
      <c r="BJ513" t="s">
        <v>129</v>
      </c>
      <c r="BK513" t="s">
        <v>130</v>
      </c>
      <c r="BL513" t="s">
        <v>131</v>
      </c>
      <c r="BM513" t="s">
        <v>9939</v>
      </c>
      <c r="BN513" t="s">
        <v>74</v>
      </c>
      <c r="BO513" t="s">
        <v>2722</v>
      </c>
      <c r="BP513" t="s">
        <v>74</v>
      </c>
      <c r="BQ513" t="s">
        <v>74</v>
      </c>
      <c r="BR513" t="s">
        <v>101</v>
      </c>
      <c r="BS513" t="s">
        <v>9940</v>
      </c>
      <c r="BT513" t="str">
        <f>HYPERLINK("https%3A%2F%2Fwww.webofscience.com%2Fwos%2Fwoscc%2Ffull-record%2FWOS:001002076800001","View Full Record in Web of Science")</f>
        <v>View Full Record in Web of Science</v>
      </c>
    </row>
    <row r="514" spans="1:72" x14ac:dyDescent="0.2">
      <c r="A514" t="s">
        <v>103</v>
      </c>
      <c r="B514" t="s">
        <v>9941</v>
      </c>
      <c r="C514" t="s">
        <v>74</v>
      </c>
      <c r="D514" t="s">
        <v>74</v>
      </c>
      <c r="E514" t="s">
        <v>74</v>
      </c>
      <c r="F514" t="s">
        <v>9942</v>
      </c>
      <c r="G514" t="s">
        <v>74</v>
      </c>
      <c r="H514" t="s">
        <v>74</v>
      </c>
      <c r="I514" t="s">
        <v>9943</v>
      </c>
      <c r="J514" t="s">
        <v>1974</v>
      </c>
      <c r="K514" t="s">
        <v>74</v>
      </c>
      <c r="L514" t="s">
        <v>74</v>
      </c>
      <c r="M514" t="s">
        <v>79</v>
      </c>
      <c r="N514" t="s">
        <v>108</v>
      </c>
      <c r="O514" t="s">
        <v>74</v>
      </c>
      <c r="P514" t="s">
        <v>74</v>
      </c>
      <c r="Q514" t="s">
        <v>74</v>
      </c>
      <c r="R514" t="s">
        <v>74</v>
      </c>
      <c r="S514" t="s">
        <v>74</v>
      </c>
      <c r="T514" t="s">
        <v>9944</v>
      </c>
      <c r="U514" t="s">
        <v>9945</v>
      </c>
      <c r="V514" t="s">
        <v>9946</v>
      </c>
      <c r="W514" t="s">
        <v>9947</v>
      </c>
      <c r="X514" t="s">
        <v>9948</v>
      </c>
      <c r="Y514" t="s">
        <v>9949</v>
      </c>
      <c r="Z514" t="s">
        <v>9950</v>
      </c>
      <c r="AA514" t="s">
        <v>9951</v>
      </c>
      <c r="AB514" t="s">
        <v>9952</v>
      </c>
      <c r="AC514" t="s">
        <v>9953</v>
      </c>
      <c r="AD514" t="s">
        <v>9954</v>
      </c>
      <c r="AE514" t="s">
        <v>3401</v>
      </c>
      <c r="AF514" t="s">
        <v>74</v>
      </c>
      <c r="AG514">
        <v>38</v>
      </c>
      <c r="AH514">
        <v>0</v>
      </c>
      <c r="AI514">
        <v>0</v>
      </c>
      <c r="AJ514">
        <v>4</v>
      </c>
      <c r="AK514">
        <v>4</v>
      </c>
      <c r="AL514" t="s">
        <v>1987</v>
      </c>
      <c r="AM514" t="s">
        <v>149</v>
      </c>
      <c r="AN514" t="s">
        <v>1988</v>
      </c>
      <c r="AO514" t="s">
        <v>1989</v>
      </c>
      <c r="AP514" t="s">
        <v>74</v>
      </c>
      <c r="AQ514" t="s">
        <v>74</v>
      </c>
      <c r="AR514" t="s">
        <v>1990</v>
      </c>
      <c r="AS514" t="s">
        <v>1991</v>
      </c>
      <c r="AT514" t="s">
        <v>9955</v>
      </c>
      <c r="AU514">
        <v>2023</v>
      </c>
      <c r="AV514">
        <v>15</v>
      </c>
      <c r="AW514">
        <v>1</v>
      </c>
      <c r="AX514" t="s">
        <v>74</v>
      </c>
      <c r="AY514" t="s">
        <v>74</v>
      </c>
      <c r="AZ514" t="s">
        <v>74</v>
      </c>
      <c r="BA514" t="s">
        <v>74</v>
      </c>
      <c r="BB514" t="s">
        <v>74</v>
      </c>
      <c r="BC514" t="s">
        <v>74</v>
      </c>
      <c r="BD514">
        <v>120</v>
      </c>
      <c r="BE514" t="s">
        <v>9956</v>
      </c>
      <c r="BF514" t="str">
        <f>HYPERLINK("http://dx.doi.org/10.1186/s13321-023-00791-z","http://dx.doi.org/10.1186/s13321-023-00791-z")</f>
        <v>http://dx.doi.org/10.1186/s13321-023-00791-z</v>
      </c>
      <c r="BG514" t="s">
        <v>74</v>
      </c>
      <c r="BH514" t="s">
        <v>74</v>
      </c>
      <c r="BI514">
        <v>11</v>
      </c>
      <c r="BJ514" t="s">
        <v>1994</v>
      </c>
      <c r="BK514" t="s">
        <v>130</v>
      </c>
      <c r="BL514" t="s">
        <v>1995</v>
      </c>
      <c r="BM514" t="s">
        <v>9957</v>
      </c>
      <c r="BN514">
        <v>38093324</v>
      </c>
      <c r="BO514" t="s">
        <v>425</v>
      </c>
      <c r="BP514" t="s">
        <v>74</v>
      </c>
      <c r="BQ514" t="s">
        <v>74</v>
      </c>
      <c r="BR514" t="s">
        <v>101</v>
      </c>
      <c r="BS514" t="s">
        <v>9958</v>
      </c>
      <c r="BT514" t="str">
        <f>HYPERLINK("https%3A%2F%2Fwww.webofscience.com%2Fwos%2Fwoscc%2Ffull-record%2FWOS:001124074600001","View Full Record in Web of Science")</f>
        <v>View Full Record in Web of Science</v>
      </c>
    </row>
    <row r="515" spans="1:72" x14ac:dyDescent="0.2">
      <c r="A515" t="s">
        <v>103</v>
      </c>
      <c r="B515" t="s">
        <v>9959</v>
      </c>
      <c r="C515" t="s">
        <v>74</v>
      </c>
      <c r="D515" t="s">
        <v>74</v>
      </c>
      <c r="E515" t="s">
        <v>74</v>
      </c>
      <c r="F515" t="s">
        <v>9960</v>
      </c>
      <c r="G515" t="s">
        <v>74</v>
      </c>
      <c r="H515" t="s">
        <v>74</v>
      </c>
      <c r="I515" t="s">
        <v>9961</v>
      </c>
      <c r="J515" t="s">
        <v>8687</v>
      </c>
      <c r="K515" t="s">
        <v>74</v>
      </c>
      <c r="L515" t="s">
        <v>74</v>
      </c>
      <c r="M515" t="s">
        <v>79</v>
      </c>
      <c r="N515" t="s">
        <v>108</v>
      </c>
      <c r="O515" t="s">
        <v>74</v>
      </c>
      <c r="P515" t="s">
        <v>74</v>
      </c>
      <c r="Q515" t="s">
        <v>74</v>
      </c>
      <c r="R515" t="s">
        <v>74</v>
      </c>
      <c r="S515" t="s">
        <v>74</v>
      </c>
      <c r="T515" t="s">
        <v>9962</v>
      </c>
      <c r="U515" t="s">
        <v>74</v>
      </c>
      <c r="V515" t="s">
        <v>9963</v>
      </c>
      <c r="W515" t="s">
        <v>9964</v>
      </c>
      <c r="X515" t="s">
        <v>9965</v>
      </c>
      <c r="Y515" t="s">
        <v>9966</v>
      </c>
      <c r="Z515" t="s">
        <v>9967</v>
      </c>
      <c r="AA515" t="s">
        <v>9968</v>
      </c>
      <c r="AB515" t="s">
        <v>9969</v>
      </c>
      <c r="AC515" t="s">
        <v>9970</v>
      </c>
      <c r="AD515" t="s">
        <v>9971</v>
      </c>
      <c r="AE515" t="s">
        <v>9972</v>
      </c>
      <c r="AF515" t="s">
        <v>74</v>
      </c>
      <c r="AG515">
        <v>30</v>
      </c>
      <c r="AH515">
        <v>14</v>
      </c>
      <c r="AI515">
        <v>14</v>
      </c>
      <c r="AJ515">
        <v>23</v>
      </c>
      <c r="AK515">
        <v>36</v>
      </c>
      <c r="AL515" t="s">
        <v>1379</v>
      </c>
      <c r="AM515" t="s">
        <v>1380</v>
      </c>
      <c r="AN515" t="s">
        <v>1381</v>
      </c>
      <c r="AO515" t="s">
        <v>8700</v>
      </c>
      <c r="AP515" t="s">
        <v>8701</v>
      </c>
      <c r="AQ515" t="s">
        <v>74</v>
      </c>
      <c r="AR515" t="s">
        <v>8702</v>
      </c>
      <c r="AS515" t="s">
        <v>8703</v>
      </c>
      <c r="AT515" t="s">
        <v>126</v>
      </c>
      <c r="AU515">
        <v>2023</v>
      </c>
      <c r="AV515">
        <v>19</v>
      </c>
      <c r="AW515">
        <v>3</v>
      </c>
      <c r="AX515" t="s">
        <v>74</v>
      </c>
      <c r="AY515" t="s">
        <v>74</v>
      </c>
      <c r="AZ515" t="s">
        <v>74</v>
      </c>
      <c r="BA515" t="s">
        <v>74</v>
      </c>
      <c r="BB515">
        <v>3208</v>
      </c>
      <c r="BC515">
        <v>3218</v>
      </c>
      <c r="BD515" t="s">
        <v>74</v>
      </c>
      <c r="BE515" t="s">
        <v>9973</v>
      </c>
      <c r="BF515" t="str">
        <f>HYPERLINK("http://dx.doi.org/10.1109/TII.2022.3182781","http://dx.doi.org/10.1109/TII.2022.3182781")</f>
        <v>http://dx.doi.org/10.1109/TII.2022.3182781</v>
      </c>
      <c r="BG515" t="s">
        <v>74</v>
      </c>
      <c r="BH515" t="s">
        <v>74</v>
      </c>
      <c r="BI515">
        <v>11</v>
      </c>
      <c r="BJ515" t="s">
        <v>8705</v>
      </c>
      <c r="BK515" t="s">
        <v>130</v>
      </c>
      <c r="BL515" t="s">
        <v>131</v>
      </c>
      <c r="BM515" t="s">
        <v>9974</v>
      </c>
      <c r="BN515" t="s">
        <v>74</v>
      </c>
      <c r="BO515" t="s">
        <v>74</v>
      </c>
      <c r="BP515" t="s">
        <v>1434</v>
      </c>
      <c r="BQ515" t="s">
        <v>1912</v>
      </c>
      <c r="BR515" t="s">
        <v>101</v>
      </c>
      <c r="BS515" t="s">
        <v>9975</v>
      </c>
      <c r="BT515" t="str">
        <f>HYPERLINK("https%3A%2F%2Fwww.webofscience.com%2Fwos%2Fwoscc%2Ffull-record%2FWOS:000967081100001","View Full Record in Web of Science")</f>
        <v>View Full Record in Web of Science</v>
      </c>
    </row>
    <row r="516" spans="1:72" x14ac:dyDescent="0.2">
      <c r="A516" t="s">
        <v>103</v>
      </c>
      <c r="B516" t="s">
        <v>9976</v>
      </c>
      <c r="C516" t="s">
        <v>74</v>
      </c>
      <c r="D516" t="s">
        <v>74</v>
      </c>
      <c r="E516" t="s">
        <v>74</v>
      </c>
      <c r="F516" t="s">
        <v>9977</v>
      </c>
      <c r="G516" t="s">
        <v>74</v>
      </c>
      <c r="H516" t="s">
        <v>74</v>
      </c>
      <c r="I516" t="s">
        <v>9978</v>
      </c>
      <c r="J516" t="s">
        <v>3704</v>
      </c>
      <c r="K516" t="s">
        <v>74</v>
      </c>
      <c r="L516" t="s">
        <v>74</v>
      </c>
      <c r="M516" t="s">
        <v>79</v>
      </c>
      <c r="N516" t="s">
        <v>108</v>
      </c>
      <c r="O516" t="s">
        <v>74</v>
      </c>
      <c r="P516" t="s">
        <v>74</v>
      </c>
      <c r="Q516" t="s">
        <v>74</v>
      </c>
      <c r="R516" t="s">
        <v>74</v>
      </c>
      <c r="S516" t="s">
        <v>74</v>
      </c>
      <c r="T516" t="s">
        <v>9979</v>
      </c>
      <c r="U516" t="s">
        <v>74</v>
      </c>
      <c r="V516" t="s">
        <v>9980</v>
      </c>
      <c r="W516" t="s">
        <v>9981</v>
      </c>
      <c r="X516" t="s">
        <v>9982</v>
      </c>
      <c r="Y516" t="s">
        <v>9983</v>
      </c>
      <c r="Z516" t="s">
        <v>9984</v>
      </c>
      <c r="AA516" t="s">
        <v>74</v>
      </c>
      <c r="AB516" t="s">
        <v>9985</v>
      </c>
      <c r="AC516" t="s">
        <v>74</v>
      </c>
      <c r="AD516" t="s">
        <v>74</v>
      </c>
      <c r="AE516" t="s">
        <v>74</v>
      </c>
      <c r="AF516" t="s">
        <v>74</v>
      </c>
      <c r="AG516">
        <v>45</v>
      </c>
      <c r="AH516">
        <v>0</v>
      </c>
      <c r="AI516">
        <v>0</v>
      </c>
      <c r="AJ516">
        <v>25</v>
      </c>
      <c r="AK516">
        <v>25</v>
      </c>
      <c r="AL516" t="s">
        <v>244</v>
      </c>
      <c r="AM516" t="s">
        <v>245</v>
      </c>
      <c r="AN516" t="s">
        <v>246</v>
      </c>
      <c r="AO516" t="s">
        <v>3713</v>
      </c>
      <c r="AP516" t="s">
        <v>3714</v>
      </c>
      <c r="AQ516" t="s">
        <v>74</v>
      </c>
      <c r="AR516" t="s">
        <v>3704</v>
      </c>
      <c r="AS516" t="s">
        <v>3715</v>
      </c>
      <c r="AT516" t="s">
        <v>2016</v>
      </c>
      <c r="AU516">
        <v>2024</v>
      </c>
      <c r="AV516">
        <v>68</v>
      </c>
      <c r="AW516">
        <v>1</v>
      </c>
      <c r="AX516" t="s">
        <v>74</v>
      </c>
      <c r="AY516" t="s">
        <v>74</v>
      </c>
      <c r="AZ516" t="s">
        <v>253</v>
      </c>
      <c r="BA516" t="s">
        <v>74</v>
      </c>
      <c r="BB516">
        <v>14</v>
      </c>
      <c r="BC516">
        <v>26</v>
      </c>
      <c r="BD516" t="s">
        <v>74</v>
      </c>
      <c r="BE516" t="s">
        <v>9986</v>
      </c>
      <c r="BF516" t="str">
        <f>HYPERLINK("http://dx.doi.org/10.1007/s11528-023-00893-3","http://dx.doi.org/10.1007/s11528-023-00893-3")</f>
        <v>http://dx.doi.org/10.1007/s11528-023-00893-3</v>
      </c>
      <c r="BG516" t="s">
        <v>74</v>
      </c>
      <c r="BH516" t="s">
        <v>278</v>
      </c>
      <c r="BI516">
        <v>13</v>
      </c>
      <c r="BJ516" t="s">
        <v>423</v>
      </c>
      <c r="BK516" t="s">
        <v>352</v>
      </c>
      <c r="BL516" t="s">
        <v>423</v>
      </c>
      <c r="BM516" t="s">
        <v>3717</v>
      </c>
      <c r="BN516" t="s">
        <v>74</v>
      </c>
      <c r="BO516" t="s">
        <v>74</v>
      </c>
      <c r="BP516" t="s">
        <v>74</v>
      </c>
      <c r="BQ516" t="s">
        <v>74</v>
      </c>
      <c r="BR516" t="s">
        <v>101</v>
      </c>
      <c r="BS516" t="s">
        <v>9987</v>
      </c>
      <c r="BT516" t="str">
        <f>HYPERLINK("https%3A%2F%2Fwww.webofscience.com%2Fwos%2Fwoscc%2Ffull-record%2FWOS:001069494100001","View Full Record in Web of Science")</f>
        <v>View Full Record in Web of Science</v>
      </c>
    </row>
    <row r="517" spans="1:72" x14ac:dyDescent="0.2">
      <c r="A517" t="s">
        <v>103</v>
      </c>
      <c r="B517" t="s">
        <v>9988</v>
      </c>
      <c r="C517" t="s">
        <v>74</v>
      </c>
      <c r="D517" t="s">
        <v>74</v>
      </c>
      <c r="E517" t="s">
        <v>74</v>
      </c>
      <c r="F517" t="s">
        <v>9989</v>
      </c>
      <c r="G517" t="s">
        <v>74</v>
      </c>
      <c r="H517" t="s">
        <v>74</v>
      </c>
      <c r="I517" t="s">
        <v>9990</v>
      </c>
      <c r="J517" t="s">
        <v>9991</v>
      </c>
      <c r="K517" t="s">
        <v>74</v>
      </c>
      <c r="L517" t="s">
        <v>74</v>
      </c>
      <c r="M517" t="s">
        <v>79</v>
      </c>
      <c r="N517" t="s">
        <v>108</v>
      </c>
      <c r="O517" t="s">
        <v>74</v>
      </c>
      <c r="P517" t="s">
        <v>74</v>
      </c>
      <c r="Q517" t="s">
        <v>74</v>
      </c>
      <c r="R517" t="s">
        <v>74</v>
      </c>
      <c r="S517" t="s">
        <v>74</v>
      </c>
      <c r="T517" t="s">
        <v>9992</v>
      </c>
      <c r="U517" t="s">
        <v>74</v>
      </c>
      <c r="V517" t="s">
        <v>9993</v>
      </c>
      <c r="W517" t="s">
        <v>9994</v>
      </c>
      <c r="X517" t="s">
        <v>9995</v>
      </c>
      <c r="Y517" t="s">
        <v>9996</v>
      </c>
      <c r="Z517" t="s">
        <v>9997</v>
      </c>
      <c r="AA517" t="s">
        <v>9998</v>
      </c>
      <c r="AB517" t="s">
        <v>9999</v>
      </c>
      <c r="AC517" t="s">
        <v>10000</v>
      </c>
      <c r="AD517" t="s">
        <v>10001</v>
      </c>
      <c r="AE517" t="s">
        <v>10002</v>
      </c>
      <c r="AF517" t="s">
        <v>74</v>
      </c>
      <c r="AG517">
        <v>38</v>
      </c>
      <c r="AH517">
        <v>1</v>
      </c>
      <c r="AI517">
        <v>1</v>
      </c>
      <c r="AJ517">
        <v>20</v>
      </c>
      <c r="AK517">
        <v>35</v>
      </c>
      <c r="AL517" t="s">
        <v>2032</v>
      </c>
      <c r="AM517" t="s">
        <v>149</v>
      </c>
      <c r="AN517" t="s">
        <v>2033</v>
      </c>
      <c r="AO517" t="s">
        <v>10003</v>
      </c>
      <c r="AP517" t="s">
        <v>10004</v>
      </c>
      <c r="AQ517" t="s">
        <v>74</v>
      </c>
      <c r="AR517" t="s">
        <v>10005</v>
      </c>
      <c r="AS517" t="s">
        <v>10006</v>
      </c>
      <c r="AT517" t="s">
        <v>527</v>
      </c>
      <c r="AU517">
        <v>2023</v>
      </c>
      <c r="AV517">
        <v>9</v>
      </c>
      <c r="AW517">
        <v>4</v>
      </c>
      <c r="AX517" t="s">
        <v>74</v>
      </c>
      <c r="AY517" t="s">
        <v>74</v>
      </c>
      <c r="AZ517" t="s">
        <v>74</v>
      </c>
      <c r="BA517" t="s">
        <v>74</v>
      </c>
      <c r="BB517">
        <v>787</v>
      </c>
      <c r="BC517">
        <v>806</v>
      </c>
      <c r="BD517" t="s">
        <v>74</v>
      </c>
      <c r="BE517" t="s">
        <v>10007</v>
      </c>
      <c r="BF517" t="str">
        <f>HYPERLINK("http://dx.doi.org/10.1007/s41095-022-0287-3","http://dx.doi.org/10.1007/s41095-022-0287-3")</f>
        <v>http://dx.doi.org/10.1007/s41095-022-0287-3</v>
      </c>
      <c r="BG517" t="s">
        <v>74</v>
      </c>
      <c r="BH517" t="s">
        <v>1431</v>
      </c>
      <c r="BI517">
        <v>20</v>
      </c>
      <c r="BJ517" t="s">
        <v>1563</v>
      </c>
      <c r="BK517" t="s">
        <v>130</v>
      </c>
      <c r="BL517" t="s">
        <v>99</v>
      </c>
      <c r="BM517" t="s">
        <v>10008</v>
      </c>
      <c r="BN517" t="s">
        <v>74</v>
      </c>
      <c r="BO517" t="s">
        <v>425</v>
      </c>
      <c r="BP517" t="s">
        <v>74</v>
      </c>
      <c r="BQ517" t="s">
        <v>74</v>
      </c>
      <c r="BR517" t="s">
        <v>101</v>
      </c>
      <c r="BS517" t="s">
        <v>10009</v>
      </c>
      <c r="BT517" t="str">
        <f>HYPERLINK("https%3A%2F%2Fwww.webofscience.com%2Fwos%2Fwoscc%2Ffull-record%2FWOS:000947086600001","View Full Record in Web of Science")</f>
        <v>View Full Record in Web of Science</v>
      </c>
    </row>
    <row r="518" spans="1:72" x14ac:dyDescent="0.2">
      <c r="A518" t="s">
        <v>103</v>
      </c>
      <c r="B518" t="s">
        <v>10010</v>
      </c>
      <c r="C518" t="s">
        <v>74</v>
      </c>
      <c r="D518" t="s">
        <v>74</v>
      </c>
      <c r="E518" t="s">
        <v>74</v>
      </c>
      <c r="F518" t="s">
        <v>10011</v>
      </c>
      <c r="G518" t="s">
        <v>74</v>
      </c>
      <c r="H518" t="s">
        <v>74</v>
      </c>
      <c r="I518" t="s">
        <v>10012</v>
      </c>
      <c r="J518" t="s">
        <v>3277</v>
      </c>
      <c r="K518" t="s">
        <v>74</v>
      </c>
      <c r="L518" t="s">
        <v>74</v>
      </c>
      <c r="M518" t="s">
        <v>79</v>
      </c>
      <c r="N518" t="s">
        <v>108</v>
      </c>
      <c r="O518" t="s">
        <v>74</v>
      </c>
      <c r="P518" t="s">
        <v>74</v>
      </c>
      <c r="Q518" t="s">
        <v>74</v>
      </c>
      <c r="R518" t="s">
        <v>74</v>
      </c>
      <c r="S518" t="s">
        <v>74</v>
      </c>
      <c r="T518" t="s">
        <v>10013</v>
      </c>
      <c r="U518" t="s">
        <v>10014</v>
      </c>
      <c r="V518" t="s">
        <v>10015</v>
      </c>
      <c r="W518" t="s">
        <v>10016</v>
      </c>
      <c r="X518" t="s">
        <v>10017</v>
      </c>
      <c r="Y518" t="s">
        <v>10018</v>
      </c>
      <c r="Z518" t="s">
        <v>10019</v>
      </c>
      <c r="AA518" t="s">
        <v>74</v>
      </c>
      <c r="AB518" t="s">
        <v>10020</v>
      </c>
      <c r="AC518" t="s">
        <v>10021</v>
      </c>
      <c r="AD518" t="s">
        <v>10021</v>
      </c>
      <c r="AE518" t="s">
        <v>10022</v>
      </c>
      <c r="AF518" t="s">
        <v>74</v>
      </c>
      <c r="AG518">
        <v>53</v>
      </c>
      <c r="AH518">
        <v>0</v>
      </c>
      <c r="AI518">
        <v>0</v>
      </c>
      <c r="AJ518">
        <v>2</v>
      </c>
      <c r="AK518">
        <v>2</v>
      </c>
      <c r="AL518" t="s">
        <v>764</v>
      </c>
      <c r="AM518" t="s">
        <v>765</v>
      </c>
      <c r="AN518" t="s">
        <v>766</v>
      </c>
      <c r="AO518" t="s">
        <v>3286</v>
      </c>
      <c r="AP518" t="s">
        <v>74</v>
      </c>
      <c r="AQ518" t="s">
        <v>74</v>
      </c>
      <c r="AR518" t="s">
        <v>3287</v>
      </c>
      <c r="AS518" t="s">
        <v>3288</v>
      </c>
      <c r="AT518" t="s">
        <v>251</v>
      </c>
      <c r="AU518">
        <v>2024</v>
      </c>
      <c r="AV518">
        <v>86</v>
      </c>
      <c r="AW518" t="s">
        <v>74</v>
      </c>
      <c r="AX518" t="s">
        <v>74</v>
      </c>
      <c r="AY518" t="s">
        <v>74</v>
      </c>
      <c r="AZ518" t="s">
        <v>74</v>
      </c>
      <c r="BA518" t="s">
        <v>74</v>
      </c>
      <c r="BB518" t="s">
        <v>74</v>
      </c>
      <c r="BC518" t="s">
        <v>74</v>
      </c>
      <c r="BD518">
        <v>102085</v>
      </c>
      <c r="BE518" t="s">
        <v>10023</v>
      </c>
      <c r="BF518" t="str">
        <f>HYPERLINK("http://dx.doi.org/10.1016/j.tele.2023.102085","http://dx.doi.org/10.1016/j.tele.2023.102085")</f>
        <v>http://dx.doi.org/10.1016/j.tele.2023.102085</v>
      </c>
      <c r="BG518" t="s">
        <v>74</v>
      </c>
      <c r="BH518" t="s">
        <v>157</v>
      </c>
      <c r="BI518">
        <v>10</v>
      </c>
      <c r="BJ518" t="s">
        <v>1016</v>
      </c>
      <c r="BK518" t="s">
        <v>159</v>
      </c>
      <c r="BL518" t="s">
        <v>1016</v>
      </c>
      <c r="BM518" t="s">
        <v>10024</v>
      </c>
      <c r="BN518" t="s">
        <v>74</v>
      </c>
      <c r="BO518" t="s">
        <v>74</v>
      </c>
      <c r="BP518" t="s">
        <v>74</v>
      </c>
      <c r="BQ518" t="s">
        <v>74</v>
      </c>
      <c r="BR518" t="s">
        <v>101</v>
      </c>
      <c r="BS518" t="s">
        <v>10025</v>
      </c>
      <c r="BT518" t="str">
        <f>HYPERLINK("https%3A%2F%2Fwww.webofscience.com%2Fwos%2Fwoscc%2Ffull-record%2FWOS:001166819100001","View Full Record in Web of Science")</f>
        <v>View Full Record in Web of Science</v>
      </c>
    </row>
    <row r="519" spans="1:72" x14ac:dyDescent="0.2">
      <c r="A519" t="s">
        <v>103</v>
      </c>
      <c r="B519" t="s">
        <v>10026</v>
      </c>
      <c r="C519" t="s">
        <v>74</v>
      </c>
      <c r="D519" t="s">
        <v>74</v>
      </c>
      <c r="E519" t="s">
        <v>74</v>
      </c>
      <c r="F519" t="s">
        <v>10027</v>
      </c>
      <c r="G519" t="s">
        <v>74</v>
      </c>
      <c r="H519" t="s">
        <v>74</v>
      </c>
      <c r="I519" t="s">
        <v>10028</v>
      </c>
      <c r="J519" t="s">
        <v>4291</v>
      </c>
      <c r="K519" t="s">
        <v>74</v>
      </c>
      <c r="L519" t="s">
        <v>74</v>
      </c>
      <c r="M519" t="s">
        <v>79</v>
      </c>
      <c r="N519" t="s">
        <v>138</v>
      </c>
      <c r="O519" t="s">
        <v>74</v>
      </c>
      <c r="P519" t="s">
        <v>74</v>
      </c>
      <c r="Q519" t="s">
        <v>74</v>
      </c>
      <c r="R519" t="s">
        <v>74</v>
      </c>
      <c r="S519" t="s">
        <v>74</v>
      </c>
      <c r="T519" t="s">
        <v>10029</v>
      </c>
      <c r="U519" t="s">
        <v>74</v>
      </c>
      <c r="V519" t="s">
        <v>10030</v>
      </c>
      <c r="W519" t="s">
        <v>10031</v>
      </c>
      <c r="X519" t="s">
        <v>74</v>
      </c>
      <c r="Y519" t="s">
        <v>10032</v>
      </c>
      <c r="Z519" t="s">
        <v>10033</v>
      </c>
      <c r="AA519" t="s">
        <v>74</v>
      </c>
      <c r="AB519" t="s">
        <v>74</v>
      </c>
      <c r="AC519" t="s">
        <v>10034</v>
      </c>
      <c r="AD519" t="s">
        <v>10035</v>
      </c>
      <c r="AE519" t="s">
        <v>10036</v>
      </c>
      <c r="AF519" t="s">
        <v>74</v>
      </c>
      <c r="AG519">
        <v>38</v>
      </c>
      <c r="AH519">
        <v>1</v>
      </c>
      <c r="AI519">
        <v>1</v>
      </c>
      <c r="AJ519">
        <v>91</v>
      </c>
      <c r="AK519">
        <v>91</v>
      </c>
      <c r="AL519" t="s">
        <v>220</v>
      </c>
      <c r="AM519" t="s">
        <v>221</v>
      </c>
      <c r="AN519" t="s">
        <v>222</v>
      </c>
      <c r="AO519" t="s">
        <v>4299</v>
      </c>
      <c r="AP519" t="s">
        <v>4300</v>
      </c>
      <c r="AQ519" t="s">
        <v>74</v>
      </c>
      <c r="AR519" t="s">
        <v>4301</v>
      </c>
      <c r="AS519" t="s">
        <v>4302</v>
      </c>
      <c r="AT519" t="s">
        <v>10037</v>
      </c>
      <c r="AU519">
        <v>2023</v>
      </c>
      <c r="AV519" t="s">
        <v>74</v>
      </c>
      <c r="AW519" t="s">
        <v>74</v>
      </c>
      <c r="AX519" t="s">
        <v>74</v>
      </c>
      <c r="AY519" t="s">
        <v>74</v>
      </c>
      <c r="AZ519" t="s">
        <v>74</v>
      </c>
      <c r="BA519" t="s">
        <v>74</v>
      </c>
      <c r="BB519" t="s">
        <v>74</v>
      </c>
      <c r="BC519" t="s">
        <v>74</v>
      </c>
      <c r="BD519" t="s">
        <v>74</v>
      </c>
      <c r="BE519" t="s">
        <v>10038</v>
      </c>
      <c r="BF519" t="str">
        <f>HYPERLINK("http://dx.doi.org/10.1080/10447318.2023.2269006","http://dx.doi.org/10.1080/10447318.2023.2269006")</f>
        <v>http://dx.doi.org/10.1080/10447318.2023.2269006</v>
      </c>
      <c r="BG519" t="s">
        <v>74</v>
      </c>
      <c r="BH519" t="s">
        <v>1886</v>
      </c>
      <c r="BI519">
        <v>12</v>
      </c>
      <c r="BJ519" t="s">
        <v>4305</v>
      </c>
      <c r="BK519" t="s">
        <v>947</v>
      </c>
      <c r="BL519" t="s">
        <v>906</v>
      </c>
      <c r="BM519" t="s">
        <v>10039</v>
      </c>
      <c r="BN519" t="s">
        <v>74</v>
      </c>
      <c r="BO519" t="s">
        <v>74</v>
      </c>
      <c r="BP519" t="s">
        <v>74</v>
      </c>
      <c r="BQ519" t="s">
        <v>74</v>
      </c>
      <c r="BR519" t="s">
        <v>101</v>
      </c>
      <c r="BS519" t="s">
        <v>10040</v>
      </c>
      <c r="BT519" t="str">
        <f>HYPERLINK("https%3A%2F%2Fwww.webofscience.com%2Fwos%2Fwoscc%2Ffull-record%2FWOS:001085897000001","View Full Record in Web of Science")</f>
        <v>View Full Record in Web of Science</v>
      </c>
    </row>
    <row r="520" spans="1:72" x14ac:dyDescent="0.2">
      <c r="A520" t="s">
        <v>103</v>
      </c>
      <c r="B520" t="s">
        <v>10041</v>
      </c>
      <c r="C520" t="s">
        <v>74</v>
      </c>
      <c r="D520" t="s">
        <v>74</v>
      </c>
      <c r="E520" t="s">
        <v>74</v>
      </c>
      <c r="F520" t="s">
        <v>10042</v>
      </c>
      <c r="G520" t="s">
        <v>74</v>
      </c>
      <c r="H520" t="s">
        <v>74</v>
      </c>
      <c r="I520" t="s">
        <v>10043</v>
      </c>
      <c r="J520" t="s">
        <v>10044</v>
      </c>
      <c r="K520" t="s">
        <v>74</v>
      </c>
      <c r="L520" t="s">
        <v>74</v>
      </c>
      <c r="M520" t="s">
        <v>79</v>
      </c>
      <c r="N520" t="s">
        <v>108</v>
      </c>
      <c r="O520" t="s">
        <v>74</v>
      </c>
      <c r="P520" t="s">
        <v>74</v>
      </c>
      <c r="Q520" t="s">
        <v>74</v>
      </c>
      <c r="R520" t="s">
        <v>74</v>
      </c>
      <c r="S520" t="s">
        <v>74</v>
      </c>
      <c r="T520" t="s">
        <v>10045</v>
      </c>
      <c r="U520" t="s">
        <v>10046</v>
      </c>
      <c r="V520" t="s">
        <v>10047</v>
      </c>
      <c r="W520" t="s">
        <v>10048</v>
      </c>
      <c r="X520" t="s">
        <v>10049</v>
      </c>
      <c r="Y520" t="s">
        <v>10050</v>
      </c>
      <c r="Z520" t="s">
        <v>10051</v>
      </c>
      <c r="AA520" t="s">
        <v>10052</v>
      </c>
      <c r="AB520" t="s">
        <v>10053</v>
      </c>
      <c r="AC520" t="s">
        <v>10054</v>
      </c>
      <c r="AD520" t="s">
        <v>10055</v>
      </c>
      <c r="AE520" t="s">
        <v>10056</v>
      </c>
      <c r="AF520" t="s">
        <v>74</v>
      </c>
      <c r="AG520">
        <v>37</v>
      </c>
      <c r="AH520">
        <v>4</v>
      </c>
      <c r="AI520">
        <v>4</v>
      </c>
      <c r="AJ520">
        <v>13</v>
      </c>
      <c r="AK520">
        <v>33</v>
      </c>
      <c r="AL520" t="s">
        <v>119</v>
      </c>
      <c r="AM520" t="s">
        <v>120</v>
      </c>
      <c r="AN520" t="s">
        <v>121</v>
      </c>
      <c r="AO520" t="s">
        <v>10057</v>
      </c>
      <c r="AP520" t="s">
        <v>10058</v>
      </c>
      <c r="AQ520" t="s">
        <v>74</v>
      </c>
      <c r="AR520" t="s">
        <v>10059</v>
      </c>
      <c r="AS520" t="s">
        <v>10060</v>
      </c>
      <c r="AT520" t="s">
        <v>10061</v>
      </c>
      <c r="AU520">
        <v>2023</v>
      </c>
      <c r="AV520">
        <v>253</v>
      </c>
      <c r="AW520" t="s">
        <v>74</v>
      </c>
      <c r="AX520" t="s">
        <v>74</v>
      </c>
      <c r="AY520" t="s">
        <v>74</v>
      </c>
      <c r="AZ520" t="s">
        <v>74</v>
      </c>
      <c r="BA520" t="s">
        <v>74</v>
      </c>
      <c r="BB520">
        <v>360</v>
      </c>
      <c r="BC520">
        <v>374</v>
      </c>
      <c r="BD520" t="s">
        <v>74</v>
      </c>
      <c r="BE520" t="s">
        <v>10062</v>
      </c>
      <c r="BF520" t="str">
        <f>HYPERLINK("http://dx.doi.org/10.1016/j.solener.2022.12.037","http://dx.doi.org/10.1016/j.solener.2022.12.037")</f>
        <v>http://dx.doi.org/10.1016/j.solener.2022.12.037</v>
      </c>
      <c r="BG520" t="s">
        <v>74</v>
      </c>
      <c r="BH520" t="s">
        <v>1431</v>
      </c>
      <c r="BI520">
        <v>15</v>
      </c>
      <c r="BJ520" t="s">
        <v>9274</v>
      </c>
      <c r="BK520" t="s">
        <v>130</v>
      </c>
      <c r="BL520" t="s">
        <v>9274</v>
      </c>
      <c r="BM520" t="s">
        <v>10063</v>
      </c>
      <c r="BN520" t="s">
        <v>74</v>
      </c>
      <c r="BO520" t="s">
        <v>74</v>
      </c>
      <c r="BP520" t="s">
        <v>74</v>
      </c>
      <c r="BQ520" t="s">
        <v>74</v>
      </c>
      <c r="BR520" t="s">
        <v>101</v>
      </c>
      <c r="BS520" t="s">
        <v>10064</v>
      </c>
      <c r="BT520" t="str">
        <f>HYPERLINK("https%3A%2F%2Fwww.webofscience.com%2Fwos%2Fwoscc%2Ffull-record%2FWOS:000954819400001","View Full Record in Web of Science")</f>
        <v>View Full Record in Web of Science</v>
      </c>
    </row>
    <row r="521" spans="1:72" x14ac:dyDescent="0.2">
      <c r="A521" t="s">
        <v>103</v>
      </c>
      <c r="B521" t="s">
        <v>10065</v>
      </c>
      <c r="C521" t="s">
        <v>74</v>
      </c>
      <c r="D521" t="s">
        <v>74</v>
      </c>
      <c r="E521" t="s">
        <v>74</v>
      </c>
      <c r="F521" t="s">
        <v>10066</v>
      </c>
      <c r="G521" t="s">
        <v>74</v>
      </c>
      <c r="H521" t="s">
        <v>74</v>
      </c>
      <c r="I521" t="s">
        <v>10067</v>
      </c>
      <c r="J521" t="s">
        <v>4568</v>
      </c>
      <c r="K521" t="s">
        <v>74</v>
      </c>
      <c r="L521" t="s">
        <v>74</v>
      </c>
      <c r="M521" t="s">
        <v>79</v>
      </c>
      <c r="N521" t="s">
        <v>108</v>
      </c>
      <c r="O521" t="s">
        <v>74</v>
      </c>
      <c r="P521" t="s">
        <v>74</v>
      </c>
      <c r="Q521" t="s">
        <v>74</v>
      </c>
      <c r="R521" t="s">
        <v>74</v>
      </c>
      <c r="S521" t="s">
        <v>74</v>
      </c>
      <c r="T521" t="s">
        <v>10068</v>
      </c>
      <c r="U521" t="s">
        <v>10069</v>
      </c>
      <c r="V521" t="s">
        <v>10070</v>
      </c>
      <c r="W521" t="s">
        <v>10071</v>
      </c>
      <c r="X521" t="s">
        <v>10072</v>
      </c>
      <c r="Y521" t="s">
        <v>10073</v>
      </c>
      <c r="Z521" t="s">
        <v>10074</v>
      </c>
      <c r="AA521" t="s">
        <v>74</v>
      </c>
      <c r="AB521" t="s">
        <v>74</v>
      </c>
      <c r="AC521" t="s">
        <v>10075</v>
      </c>
      <c r="AD521" t="s">
        <v>10075</v>
      </c>
      <c r="AE521" t="s">
        <v>10076</v>
      </c>
      <c r="AF521" t="s">
        <v>74</v>
      </c>
      <c r="AG521">
        <v>38</v>
      </c>
      <c r="AH521">
        <v>2</v>
      </c>
      <c r="AI521">
        <v>2</v>
      </c>
      <c r="AJ521">
        <v>4</v>
      </c>
      <c r="AK521">
        <v>5</v>
      </c>
      <c r="AL521" t="s">
        <v>119</v>
      </c>
      <c r="AM521" t="s">
        <v>120</v>
      </c>
      <c r="AN521" t="s">
        <v>121</v>
      </c>
      <c r="AO521" t="s">
        <v>4581</v>
      </c>
      <c r="AP521" t="s">
        <v>4582</v>
      </c>
      <c r="AQ521" t="s">
        <v>74</v>
      </c>
      <c r="AR521" t="s">
        <v>4583</v>
      </c>
      <c r="AS521" t="s">
        <v>4584</v>
      </c>
      <c r="AT521" t="s">
        <v>771</v>
      </c>
      <c r="AU521">
        <v>2023</v>
      </c>
      <c r="AV521">
        <v>163</v>
      </c>
      <c r="AW521" t="s">
        <v>74</v>
      </c>
      <c r="AX521" t="s">
        <v>74</v>
      </c>
      <c r="AY521" t="s">
        <v>74</v>
      </c>
      <c r="AZ521" t="s">
        <v>74</v>
      </c>
      <c r="BA521" t="s">
        <v>74</v>
      </c>
      <c r="BB521" t="s">
        <v>74</v>
      </c>
      <c r="BC521" t="s">
        <v>74</v>
      </c>
      <c r="BD521">
        <v>107188</v>
      </c>
      <c r="BE521" t="s">
        <v>10077</v>
      </c>
      <c r="BF521" t="str">
        <f>HYPERLINK("http://dx.doi.org/10.1016/j.compbiomed.2023.107188","http://dx.doi.org/10.1016/j.compbiomed.2023.107188")</f>
        <v>http://dx.doi.org/10.1016/j.compbiomed.2023.107188</v>
      </c>
      <c r="BG521" t="s">
        <v>74</v>
      </c>
      <c r="BH521" t="s">
        <v>1910</v>
      </c>
      <c r="BI521">
        <v>10</v>
      </c>
      <c r="BJ521" t="s">
        <v>4586</v>
      </c>
      <c r="BK521" t="s">
        <v>130</v>
      </c>
      <c r="BL521" t="s">
        <v>4587</v>
      </c>
      <c r="BM521" t="s">
        <v>10078</v>
      </c>
      <c r="BN521">
        <v>37393785</v>
      </c>
      <c r="BO521" t="s">
        <v>161</v>
      </c>
      <c r="BP521" t="s">
        <v>74</v>
      </c>
      <c r="BQ521" t="s">
        <v>74</v>
      </c>
      <c r="BR521" t="s">
        <v>101</v>
      </c>
      <c r="BS521" t="s">
        <v>10079</v>
      </c>
      <c r="BT521" t="str">
        <f>HYPERLINK("https%3A%2F%2Fwww.webofscience.com%2Fwos%2Fwoscc%2Ffull-record%2FWOS:001034464700001","View Full Record in Web of Science")</f>
        <v>View Full Record in Web of Science</v>
      </c>
    </row>
    <row r="522" spans="1:72" x14ac:dyDescent="0.2">
      <c r="A522" t="s">
        <v>72</v>
      </c>
      <c r="B522" t="s">
        <v>10080</v>
      </c>
      <c r="C522" t="s">
        <v>74</v>
      </c>
      <c r="D522" t="s">
        <v>10081</v>
      </c>
      <c r="E522" t="s">
        <v>74</v>
      </c>
      <c r="F522" t="s">
        <v>10082</v>
      </c>
      <c r="G522" t="s">
        <v>74</v>
      </c>
      <c r="H522" t="s">
        <v>74</v>
      </c>
      <c r="I522" t="s">
        <v>10083</v>
      </c>
      <c r="J522" t="s">
        <v>10084</v>
      </c>
      <c r="K522" t="s">
        <v>1034</v>
      </c>
      <c r="L522" t="s">
        <v>74</v>
      </c>
      <c r="M522" t="s">
        <v>79</v>
      </c>
      <c r="N522" t="s">
        <v>80</v>
      </c>
      <c r="O522" t="s">
        <v>10085</v>
      </c>
      <c r="P522" t="s">
        <v>10086</v>
      </c>
      <c r="Q522" t="s">
        <v>1491</v>
      </c>
      <c r="R522" t="s">
        <v>10087</v>
      </c>
      <c r="S522" t="s">
        <v>74</v>
      </c>
      <c r="T522" t="s">
        <v>10088</v>
      </c>
      <c r="U522" t="s">
        <v>74</v>
      </c>
      <c r="V522" t="s">
        <v>10089</v>
      </c>
      <c r="W522" t="s">
        <v>10090</v>
      </c>
      <c r="X522" t="s">
        <v>74</v>
      </c>
      <c r="Y522" t="s">
        <v>10091</v>
      </c>
      <c r="Z522" t="s">
        <v>10092</v>
      </c>
      <c r="AA522" t="s">
        <v>74</v>
      </c>
      <c r="AB522" t="s">
        <v>74</v>
      </c>
      <c r="AC522" t="s">
        <v>74</v>
      </c>
      <c r="AD522" t="s">
        <v>74</v>
      </c>
      <c r="AE522" t="s">
        <v>74</v>
      </c>
      <c r="AF522" t="s">
        <v>74</v>
      </c>
      <c r="AG522">
        <v>24</v>
      </c>
      <c r="AH522">
        <v>0</v>
      </c>
      <c r="AI522">
        <v>0</v>
      </c>
      <c r="AJ522">
        <v>0</v>
      </c>
      <c r="AK522">
        <v>0</v>
      </c>
      <c r="AL522" t="s">
        <v>325</v>
      </c>
      <c r="AM522" t="s">
        <v>245</v>
      </c>
      <c r="AN522" t="s">
        <v>246</v>
      </c>
      <c r="AO522" t="s">
        <v>1042</v>
      </c>
      <c r="AP522" t="s">
        <v>327</v>
      </c>
      <c r="AQ522" t="s">
        <v>10093</v>
      </c>
      <c r="AR522" t="s">
        <v>1044</v>
      </c>
      <c r="AS522" t="s">
        <v>74</v>
      </c>
      <c r="AT522" t="s">
        <v>74</v>
      </c>
      <c r="AU522">
        <v>2023</v>
      </c>
      <c r="AV522">
        <v>14381</v>
      </c>
      <c r="AW522" t="s">
        <v>74</v>
      </c>
      <c r="AX522" t="s">
        <v>74</v>
      </c>
      <c r="AY522" t="s">
        <v>74</v>
      </c>
      <c r="AZ522" t="s">
        <v>74</v>
      </c>
      <c r="BA522" t="s">
        <v>74</v>
      </c>
      <c r="BB522">
        <v>437</v>
      </c>
      <c r="BC522">
        <v>450</v>
      </c>
      <c r="BD522" t="s">
        <v>74</v>
      </c>
      <c r="BE522" t="s">
        <v>10094</v>
      </c>
      <c r="BF522" t="str">
        <f>HYPERLINK("http://dx.doi.org/10.1007/978-3-031-47994-6_38","http://dx.doi.org/10.1007/978-3-031-47994-6_38")</f>
        <v>http://dx.doi.org/10.1007/978-3-031-47994-6_38</v>
      </c>
      <c r="BG522" t="s">
        <v>74</v>
      </c>
      <c r="BH522" t="s">
        <v>74</v>
      </c>
      <c r="BI522">
        <v>14</v>
      </c>
      <c r="BJ522" t="s">
        <v>331</v>
      </c>
      <c r="BK522" t="s">
        <v>98</v>
      </c>
      <c r="BL522" t="s">
        <v>99</v>
      </c>
      <c r="BM522" t="s">
        <v>10095</v>
      </c>
      <c r="BN522" t="s">
        <v>74</v>
      </c>
      <c r="BO522" t="s">
        <v>646</v>
      </c>
      <c r="BP522" t="s">
        <v>74</v>
      </c>
      <c r="BQ522" t="s">
        <v>74</v>
      </c>
      <c r="BR522" t="s">
        <v>101</v>
      </c>
      <c r="BS522" t="s">
        <v>10096</v>
      </c>
      <c r="BT522" t="str">
        <f>HYPERLINK("https%3A%2F%2Fwww.webofscience.com%2Fwos%2Fwoscc%2Ffull-record%2FWOS:001162078800038","View Full Record in Web of Science")</f>
        <v>View Full Record in Web of Science</v>
      </c>
    </row>
    <row r="523" spans="1:72" x14ac:dyDescent="0.2">
      <c r="A523" t="s">
        <v>72</v>
      </c>
      <c r="B523" t="s">
        <v>10097</v>
      </c>
      <c r="C523" t="s">
        <v>74</v>
      </c>
      <c r="D523" t="s">
        <v>74</v>
      </c>
      <c r="E523" t="s">
        <v>284</v>
      </c>
      <c r="F523" t="s">
        <v>10098</v>
      </c>
      <c r="G523" t="s">
        <v>74</v>
      </c>
      <c r="H523" t="s">
        <v>74</v>
      </c>
      <c r="I523" t="s">
        <v>10099</v>
      </c>
      <c r="J523" t="s">
        <v>10100</v>
      </c>
      <c r="K523" t="s">
        <v>8246</v>
      </c>
      <c r="L523" t="s">
        <v>74</v>
      </c>
      <c r="M523" t="s">
        <v>79</v>
      </c>
      <c r="N523" t="s">
        <v>80</v>
      </c>
      <c r="O523" t="s">
        <v>8247</v>
      </c>
      <c r="P523" t="s">
        <v>8248</v>
      </c>
      <c r="Q523" t="s">
        <v>6017</v>
      </c>
      <c r="R523" t="s">
        <v>8249</v>
      </c>
      <c r="S523" t="s">
        <v>74</v>
      </c>
      <c r="T523" t="s">
        <v>74</v>
      </c>
      <c r="U523" t="s">
        <v>74</v>
      </c>
      <c r="V523" t="s">
        <v>10101</v>
      </c>
      <c r="W523" t="s">
        <v>10102</v>
      </c>
      <c r="X523" t="s">
        <v>10103</v>
      </c>
      <c r="Y523" t="s">
        <v>10104</v>
      </c>
      <c r="Z523" t="s">
        <v>74</v>
      </c>
      <c r="AA523" t="s">
        <v>74</v>
      </c>
      <c r="AB523" t="s">
        <v>74</v>
      </c>
      <c r="AC523" t="s">
        <v>10105</v>
      </c>
      <c r="AD523" t="s">
        <v>10106</v>
      </c>
      <c r="AE523" t="s">
        <v>10107</v>
      </c>
      <c r="AF523" t="s">
        <v>74</v>
      </c>
      <c r="AG523">
        <v>75</v>
      </c>
      <c r="AH523">
        <v>2</v>
      </c>
      <c r="AI523">
        <v>2</v>
      </c>
      <c r="AJ523">
        <v>2</v>
      </c>
      <c r="AK523">
        <v>2</v>
      </c>
      <c r="AL523" t="s">
        <v>638</v>
      </c>
      <c r="AM523" t="s">
        <v>639</v>
      </c>
      <c r="AN523" t="s">
        <v>640</v>
      </c>
      <c r="AO523" t="s">
        <v>8260</v>
      </c>
      <c r="AP523" t="s">
        <v>74</v>
      </c>
      <c r="AQ523" t="s">
        <v>8261</v>
      </c>
      <c r="AR523" t="s">
        <v>8262</v>
      </c>
      <c r="AS523" t="s">
        <v>74</v>
      </c>
      <c r="AT523" t="s">
        <v>74</v>
      </c>
      <c r="AU523">
        <v>2023</v>
      </c>
      <c r="AV523" t="s">
        <v>74</v>
      </c>
      <c r="AW523" t="s">
        <v>74</v>
      </c>
      <c r="AX523" t="s">
        <v>74</v>
      </c>
      <c r="AY523" t="s">
        <v>74</v>
      </c>
      <c r="AZ523" t="s">
        <v>74</v>
      </c>
      <c r="BA523" t="s">
        <v>74</v>
      </c>
      <c r="BB523">
        <v>5578</v>
      </c>
      <c r="BC523">
        <v>5588</v>
      </c>
      <c r="BD523" t="s">
        <v>74</v>
      </c>
      <c r="BE523" t="s">
        <v>10108</v>
      </c>
      <c r="BF523" t="str">
        <f>HYPERLINK("http://dx.doi.org/10.1109/CVPR52729.2023.00540","http://dx.doi.org/10.1109/CVPR52729.2023.00540")</f>
        <v>http://dx.doi.org/10.1109/CVPR52729.2023.00540</v>
      </c>
      <c r="BG523" t="s">
        <v>74</v>
      </c>
      <c r="BH523" t="s">
        <v>74</v>
      </c>
      <c r="BI523">
        <v>11</v>
      </c>
      <c r="BJ523" t="s">
        <v>10109</v>
      </c>
      <c r="BK523" t="s">
        <v>98</v>
      </c>
      <c r="BL523" t="s">
        <v>99</v>
      </c>
      <c r="BM523" t="s">
        <v>10110</v>
      </c>
      <c r="BN523" t="s">
        <v>74</v>
      </c>
      <c r="BO523" t="s">
        <v>646</v>
      </c>
      <c r="BP523" t="s">
        <v>74</v>
      </c>
      <c r="BQ523" t="s">
        <v>74</v>
      </c>
      <c r="BR523" t="s">
        <v>101</v>
      </c>
      <c r="BS523" t="s">
        <v>10111</v>
      </c>
      <c r="BT523" t="str">
        <f>HYPERLINK("https%3A%2F%2Fwww.webofscience.com%2Fwos%2Fwoscc%2Ffull-record%2FWOS:001058542605088","View Full Record in Web of Science")</f>
        <v>View Full Record in Web of Science</v>
      </c>
    </row>
    <row r="524" spans="1:72" x14ac:dyDescent="0.2">
      <c r="A524" t="s">
        <v>72</v>
      </c>
      <c r="B524" t="s">
        <v>10112</v>
      </c>
      <c r="C524" t="s">
        <v>74</v>
      </c>
      <c r="D524" t="s">
        <v>74</v>
      </c>
      <c r="E524" t="s">
        <v>75</v>
      </c>
      <c r="F524" t="s">
        <v>10113</v>
      </c>
      <c r="G524" t="s">
        <v>74</v>
      </c>
      <c r="H524" t="s">
        <v>74</v>
      </c>
      <c r="I524" t="s">
        <v>10114</v>
      </c>
      <c r="J524" t="s">
        <v>1193</v>
      </c>
      <c r="K524" t="s">
        <v>74</v>
      </c>
      <c r="L524" t="s">
        <v>74</v>
      </c>
      <c r="M524" t="s">
        <v>79</v>
      </c>
      <c r="N524" t="s">
        <v>80</v>
      </c>
      <c r="O524" t="s">
        <v>1194</v>
      </c>
      <c r="P524" t="s">
        <v>1195</v>
      </c>
      <c r="Q524" t="s">
        <v>1196</v>
      </c>
      <c r="R524" t="s">
        <v>1197</v>
      </c>
      <c r="S524" t="s">
        <v>74</v>
      </c>
      <c r="T524" t="s">
        <v>10115</v>
      </c>
      <c r="U524" t="s">
        <v>10116</v>
      </c>
      <c r="V524" t="s">
        <v>10117</v>
      </c>
      <c r="W524" t="s">
        <v>10118</v>
      </c>
      <c r="X524" t="s">
        <v>10119</v>
      </c>
      <c r="Y524" t="s">
        <v>10120</v>
      </c>
      <c r="Z524" t="s">
        <v>10121</v>
      </c>
      <c r="AA524" t="s">
        <v>74</v>
      </c>
      <c r="AB524" t="s">
        <v>74</v>
      </c>
      <c r="AC524" t="s">
        <v>74</v>
      </c>
      <c r="AD524" t="s">
        <v>74</v>
      </c>
      <c r="AE524" t="s">
        <v>74</v>
      </c>
      <c r="AF524" t="s">
        <v>74</v>
      </c>
      <c r="AG524">
        <v>147</v>
      </c>
      <c r="AH524">
        <v>0</v>
      </c>
      <c r="AI524">
        <v>0</v>
      </c>
      <c r="AJ524">
        <v>7</v>
      </c>
      <c r="AK524">
        <v>7</v>
      </c>
      <c r="AL524" t="s">
        <v>92</v>
      </c>
      <c r="AM524" t="s">
        <v>93</v>
      </c>
      <c r="AN524" t="s">
        <v>94</v>
      </c>
      <c r="AO524" t="s">
        <v>74</v>
      </c>
      <c r="AP524" t="s">
        <v>74</v>
      </c>
      <c r="AQ524" t="s">
        <v>1209</v>
      </c>
      <c r="AR524" t="s">
        <v>74</v>
      </c>
      <c r="AS524" t="s">
        <v>74</v>
      </c>
      <c r="AT524" t="s">
        <v>74</v>
      </c>
      <c r="AU524">
        <v>2023</v>
      </c>
      <c r="AV524" t="s">
        <v>74</v>
      </c>
      <c r="AW524" t="s">
        <v>74</v>
      </c>
      <c r="AX524" t="s">
        <v>74</v>
      </c>
      <c r="AY524" t="s">
        <v>74</v>
      </c>
      <c r="AZ524" t="s">
        <v>74</v>
      </c>
      <c r="BA524" t="s">
        <v>74</v>
      </c>
      <c r="BB524">
        <v>691</v>
      </c>
      <c r="BC524">
        <v>704</v>
      </c>
      <c r="BD524" t="s">
        <v>74</v>
      </c>
      <c r="BE524" t="s">
        <v>10122</v>
      </c>
      <c r="BF524" t="str">
        <f>HYPERLINK("http://dx.doi.org/10.1145/3600211.3604695","http://dx.doi.org/10.1145/3600211.3604695")</f>
        <v>http://dx.doi.org/10.1145/3600211.3604695</v>
      </c>
      <c r="BG524" t="s">
        <v>74</v>
      </c>
      <c r="BH524" t="s">
        <v>74</v>
      </c>
      <c r="BI524">
        <v>14</v>
      </c>
      <c r="BJ524" t="s">
        <v>1211</v>
      </c>
      <c r="BK524" t="s">
        <v>180</v>
      </c>
      <c r="BL524" t="s">
        <v>1212</v>
      </c>
      <c r="BM524" t="s">
        <v>1213</v>
      </c>
      <c r="BN524" t="s">
        <v>74</v>
      </c>
      <c r="BO524" t="s">
        <v>3333</v>
      </c>
      <c r="BP524" t="s">
        <v>74</v>
      </c>
      <c r="BQ524" t="s">
        <v>74</v>
      </c>
      <c r="BR524" t="s">
        <v>101</v>
      </c>
      <c r="BS524" t="s">
        <v>10123</v>
      </c>
      <c r="BT524" t="str">
        <f>HYPERLINK("https%3A%2F%2Fwww.webofscience.com%2Fwos%2Fwoscc%2Ffull-record%2FWOS:001117838100053","View Full Record in Web of Science")</f>
        <v>View Full Record in Web of Science</v>
      </c>
    </row>
    <row r="525" spans="1:72" x14ac:dyDescent="0.2">
      <c r="A525" t="s">
        <v>103</v>
      </c>
      <c r="B525" t="s">
        <v>10124</v>
      </c>
      <c r="C525" t="s">
        <v>74</v>
      </c>
      <c r="D525" t="s">
        <v>74</v>
      </c>
      <c r="E525" t="s">
        <v>74</v>
      </c>
      <c r="F525" t="s">
        <v>10125</v>
      </c>
      <c r="G525" t="s">
        <v>74</v>
      </c>
      <c r="H525" t="s">
        <v>74</v>
      </c>
      <c r="I525" t="s">
        <v>10126</v>
      </c>
      <c r="J525" t="s">
        <v>1370</v>
      </c>
      <c r="K525" t="s">
        <v>74</v>
      </c>
      <c r="L525" t="s">
        <v>74</v>
      </c>
      <c r="M525" t="s">
        <v>79</v>
      </c>
      <c r="N525" t="s">
        <v>108</v>
      </c>
      <c r="O525" t="s">
        <v>74</v>
      </c>
      <c r="P525" t="s">
        <v>74</v>
      </c>
      <c r="Q525" t="s">
        <v>74</v>
      </c>
      <c r="R525" t="s">
        <v>74</v>
      </c>
      <c r="S525" t="s">
        <v>74</v>
      </c>
      <c r="T525" t="s">
        <v>10127</v>
      </c>
      <c r="U525" t="s">
        <v>74</v>
      </c>
      <c r="V525" t="s">
        <v>10128</v>
      </c>
      <c r="W525" t="s">
        <v>10129</v>
      </c>
      <c r="X525" t="s">
        <v>10130</v>
      </c>
      <c r="Y525" t="s">
        <v>10131</v>
      </c>
      <c r="Z525" t="s">
        <v>10132</v>
      </c>
      <c r="AA525" t="s">
        <v>74</v>
      </c>
      <c r="AB525" t="s">
        <v>10133</v>
      </c>
      <c r="AC525" t="s">
        <v>74</v>
      </c>
      <c r="AD525" t="s">
        <v>74</v>
      </c>
      <c r="AE525" t="s">
        <v>74</v>
      </c>
      <c r="AF525" t="s">
        <v>74</v>
      </c>
      <c r="AG525">
        <v>35</v>
      </c>
      <c r="AH525">
        <v>0</v>
      </c>
      <c r="AI525">
        <v>0</v>
      </c>
      <c r="AJ525">
        <v>3</v>
      </c>
      <c r="AK525">
        <v>9</v>
      </c>
      <c r="AL525" t="s">
        <v>1379</v>
      </c>
      <c r="AM525" t="s">
        <v>1380</v>
      </c>
      <c r="AN525" t="s">
        <v>1381</v>
      </c>
      <c r="AO525" t="s">
        <v>1382</v>
      </c>
      <c r="AP525" t="s">
        <v>74</v>
      </c>
      <c r="AQ525" t="s">
        <v>74</v>
      </c>
      <c r="AR525" t="s">
        <v>1370</v>
      </c>
      <c r="AS525" t="s">
        <v>1383</v>
      </c>
      <c r="AT525" t="s">
        <v>74</v>
      </c>
      <c r="AU525">
        <v>2023</v>
      </c>
      <c r="AV525">
        <v>11</v>
      </c>
      <c r="AW525" t="s">
        <v>74</v>
      </c>
      <c r="AX525" t="s">
        <v>74</v>
      </c>
      <c r="AY525" t="s">
        <v>74</v>
      </c>
      <c r="AZ525" t="s">
        <v>74</v>
      </c>
      <c r="BA525" t="s">
        <v>74</v>
      </c>
      <c r="BB525">
        <v>51701</v>
      </c>
      <c r="BC525">
        <v>51711</v>
      </c>
      <c r="BD525" t="s">
        <v>74</v>
      </c>
      <c r="BE525" t="s">
        <v>10134</v>
      </c>
      <c r="BF525" t="str">
        <f>HYPERLINK("http://dx.doi.org/10.1109/ACCESS.2023.3278596","http://dx.doi.org/10.1109/ACCESS.2023.3278596")</f>
        <v>http://dx.doi.org/10.1109/ACCESS.2023.3278596</v>
      </c>
      <c r="BG525" t="s">
        <v>74</v>
      </c>
      <c r="BH525" t="s">
        <v>74</v>
      </c>
      <c r="BI525">
        <v>11</v>
      </c>
      <c r="BJ525" t="s">
        <v>1385</v>
      </c>
      <c r="BK525" t="s">
        <v>130</v>
      </c>
      <c r="BL525" t="s">
        <v>1386</v>
      </c>
      <c r="BM525" t="s">
        <v>10135</v>
      </c>
      <c r="BN525" t="s">
        <v>74</v>
      </c>
      <c r="BO525" t="s">
        <v>425</v>
      </c>
      <c r="BP525" t="s">
        <v>74</v>
      </c>
      <c r="BQ525" t="s">
        <v>74</v>
      </c>
      <c r="BR525" t="s">
        <v>101</v>
      </c>
      <c r="BS525" t="s">
        <v>10136</v>
      </c>
      <c r="BT525" t="str">
        <f>HYPERLINK("https%3A%2F%2Fwww.webofscience.com%2Fwos%2Fwoscc%2Ffull-record%2FWOS:001005656200001","View Full Record in Web of Science")</f>
        <v>View Full Record in Web of Science</v>
      </c>
    </row>
    <row r="526" spans="1:72" x14ac:dyDescent="0.2">
      <c r="A526" t="s">
        <v>72</v>
      </c>
      <c r="B526" t="s">
        <v>10137</v>
      </c>
      <c r="C526" t="s">
        <v>74</v>
      </c>
      <c r="D526" t="s">
        <v>74</v>
      </c>
      <c r="E526" t="s">
        <v>284</v>
      </c>
      <c r="F526" t="s">
        <v>10138</v>
      </c>
      <c r="G526" t="s">
        <v>74</v>
      </c>
      <c r="H526" t="s">
        <v>74</v>
      </c>
      <c r="I526" t="s">
        <v>10139</v>
      </c>
      <c r="J526" t="s">
        <v>10140</v>
      </c>
      <c r="K526" t="s">
        <v>10141</v>
      </c>
      <c r="L526" t="s">
        <v>74</v>
      </c>
      <c r="M526" t="s">
        <v>79</v>
      </c>
      <c r="N526" t="s">
        <v>80</v>
      </c>
      <c r="O526" t="s">
        <v>10142</v>
      </c>
      <c r="P526" t="s">
        <v>10143</v>
      </c>
      <c r="Q526" t="s">
        <v>10144</v>
      </c>
      <c r="R526" t="s">
        <v>10145</v>
      </c>
      <c r="S526" t="s">
        <v>74</v>
      </c>
      <c r="T526" t="s">
        <v>10146</v>
      </c>
      <c r="U526" t="s">
        <v>74</v>
      </c>
      <c r="V526" t="s">
        <v>10147</v>
      </c>
      <c r="W526" t="s">
        <v>10148</v>
      </c>
      <c r="X526" t="s">
        <v>10149</v>
      </c>
      <c r="Y526" t="s">
        <v>10150</v>
      </c>
      <c r="Z526" t="s">
        <v>10151</v>
      </c>
      <c r="AA526" t="s">
        <v>74</v>
      </c>
      <c r="AB526" t="s">
        <v>74</v>
      </c>
      <c r="AC526" t="s">
        <v>74</v>
      </c>
      <c r="AD526" t="s">
        <v>74</v>
      </c>
      <c r="AE526" t="s">
        <v>74</v>
      </c>
      <c r="AF526" t="s">
        <v>74</v>
      </c>
      <c r="AG526">
        <v>9</v>
      </c>
      <c r="AH526">
        <v>0</v>
      </c>
      <c r="AI526">
        <v>0</v>
      </c>
      <c r="AJ526">
        <v>0</v>
      </c>
      <c r="AK526">
        <v>0</v>
      </c>
      <c r="AL526" t="s">
        <v>638</v>
      </c>
      <c r="AM526" t="s">
        <v>639</v>
      </c>
      <c r="AN526" t="s">
        <v>640</v>
      </c>
      <c r="AO526" t="s">
        <v>10152</v>
      </c>
      <c r="AP526" t="s">
        <v>74</v>
      </c>
      <c r="AQ526" t="s">
        <v>10153</v>
      </c>
      <c r="AR526" t="s">
        <v>10154</v>
      </c>
      <c r="AS526" t="s">
        <v>74</v>
      </c>
      <c r="AT526" t="s">
        <v>74</v>
      </c>
      <c r="AU526">
        <v>2023</v>
      </c>
      <c r="AV526" t="s">
        <v>74</v>
      </c>
      <c r="AW526" t="s">
        <v>74</v>
      </c>
      <c r="AX526" t="s">
        <v>74</v>
      </c>
      <c r="AY526" t="s">
        <v>74</v>
      </c>
      <c r="AZ526" t="s">
        <v>74</v>
      </c>
      <c r="BA526" t="s">
        <v>74</v>
      </c>
      <c r="BB526">
        <v>480</v>
      </c>
      <c r="BC526">
        <v>485</v>
      </c>
      <c r="BD526" t="s">
        <v>74</v>
      </c>
      <c r="BE526" t="s">
        <v>10155</v>
      </c>
      <c r="BF526" t="str">
        <f>HYPERLINK("http://dx.doi.org/10.1109/ICTAI59109.2023.00076","http://dx.doi.org/10.1109/ICTAI59109.2023.00076")</f>
        <v>http://dx.doi.org/10.1109/ICTAI59109.2023.00076</v>
      </c>
      <c r="BG526" t="s">
        <v>74</v>
      </c>
      <c r="BH526" t="s">
        <v>74</v>
      </c>
      <c r="BI526">
        <v>6</v>
      </c>
      <c r="BJ526" t="s">
        <v>304</v>
      </c>
      <c r="BK526" t="s">
        <v>98</v>
      </c>
      <c r="BL526" t="s">
        <v>99</v>
      </c>
      <c r="BM526" t="s">
        <v>10156</v>
      </c>
      <c r="BN526" t="s">
        <v>74</v>
      </c>
      <c r="BO526" t="s">
        <v>74</v>
      </c>
      <c r="BP526" t="s">
        <v>74</v>
      </c>
      <c r="BQ526" t="s">
        <v>74</v>
      </c>
      <c r="BR526" t="s">
        <v>101</v>
      </c>
      <c r="BS526" t="s">
        <v>10157</v>
      </c>
      <c r="BT526" t="str">
        <f>HYPERLINK("https%3A%2F%2Fwww.webofscience.com%2Fwos%2Fwoscc%2Ffull-record%2FWOS:001139095400068","View Full Record in Web of Science")</f>
        <v>View Full Record in Web of Science</v>
      </c>
    </row>
    <row r="527" spans="1:72" x14ac:dyDescent="0.2">
      <c r="A527" t="s">
        <v>72</v>
      </c>
      <c r="B527" t="s">
        <v>10158</v>
      </c>
      <c r="C527" t="s">
        <v>74</v>
      </c>
      <c r="D527" t="s">
        <v>74</v>
      </c>
      <c r="E527" t="s">
        <v>284</v>
      </c>
      <c r="F527" t="s">
        <v>10159</v>
      </c>
      <c r="G527" t="s">
        <v>74</v>
      </c>
      <c r="H527" t="s">
        <v>74</v>
      </c>
      <c r="I527" t="s">
        <v>10160</v>
      </c>
      <c r="J527" t="s">
        <v>10161</v>
      </c>
      <c r="K527" t="s">
        <v>10162</v>
      </c>
      <c r="L527" t="s">
        <v>74</v>
      </c>
      <c r="M527" t="s">
        <v>79</v>
      </c>
      <c r="N527" t="s">
        <v>80</v>
      </c>
      <c r="O527" t="s">
        <v>10163</v>
      </c>
      <c r="P527" t="s">
        <v>10164</v>
      </c>
      <c r="Q527" t="s">
        <v>5717</v>
      </c>
      <c r="R527" t="s">
        <v>10165</v>
      </c>
      <c r="S527" t="s">
        <v>74</v>
      </c>
      <c r="T527" t="s">
        <v>10166</v>
      </c>
      <c r="U527" t="s">
        <v>10167</v>
      </c>
      <c r="V527" t="s">
        <v>10168</v>
      </c>
      <c r="W527" t="s">
        <v>10169</v>
      </c>
      <c r="X527" t="s">
        <v>10170</v>
      </c>
      <c r="Y527" t="s">
        <v>10171</v>
      </c>
      <c r="Z527" t="s">
        <v>10172</v>
      </c>
      <c r="AA527" t="s">
        <v>74</v>
      </c>
      <c r="AB527" t="s">
        <v>74</v>
      </c>
      <c r="AC527" t="s">
        <v>74</v>
      </c>
      <c r="AD527" t="s">
        <v>74</v>
      </c>
      <c r="AE527" t="s">
        <v>74</v>
      </c>
      <c r="AF527" t="s">
        <v>74</v>
      </c>
      <c r="AG527">
        <v>16</v>
      </c>
      <c r="AH527">
        <v>0</v>
      </c>
      <c r="AI527">
        <v>0</v>
      </c>
      <c r="AJ527">
        <v>0</v>
      </c>
      <c r="AK527">
        <v>0</v>
      </c>
      <c r="AL527" t="s">
        <v>284</v>
      </c>
      <c r="AM527" t="s">
        <v>93</v>
      </c>
      <c r="AN527" t="s">
        <v>299</v>
      </c>
      <c r="AO527" t="s">
        <v>10173</v>
      </c>
      <c r="AP527" t="s">
        <v>10174</v>
      </c>
      <c r="AQ527" t="s">
        <v>10175</v>
      </c>
      <c r="AR527" t="s">
        <v>10176</v>
      </c>
      <c r="AS527" t="s">
        <v>74</v>
      </c>
      <c r="AT527" t="s">
        <v>74</v>
      </c>
      <c r="AU527">
        <v>2023</v>
      </c>
      <c r="AV527" t="s">
        <v>74</v>
      </c>
      <c r="AW527" t="s">
        <v>74</v>
      </c>
      <c r="AX527" t="s">
        <v>74</v>
      </c>
      <c r="AY527" t="s">
        <v>74</v>
      </c>
      <c r="AZ527" t="s">
        <v>74</v>
      </c>
      <c r="BA527" t="s">
        <v>74</v>
      </c>
      <c r="BB527">
        <v>1825</v>
      </c>
      <c r="BC527">
        <v>1831</v>
      </c>
      <c r="BD527" t="s">
        <v>74</v>
      </c>
      <c r="BE527" t="s">
        <v>10177</v>
      </c>
      <c r="BF527" t="str">
        <f>HYPERLINK("http://dx.doi.org/10.1109/ECTC51909.2023.00313","http://dx.doi.org/10.1109/ECTC51909.2023.00313")</f>
        <v>http://dx.doi.org/10.1109/ECTC51909.2023.00313</v>
      </c>
      <c r="BG527" t="s">
        <v>74</v>
      </c>
      <c r="BH527" t="s">
        <v>74</v>
      </c>
      <c r="BI527">
        <v>7</v>
      </c>
      <c r="BJ527" t="s">
        <v>10178</v>
      </c>
      <c r="BK527" t="s">
        <v>98</v>
      </c>
      <c r="BL527" t="s">
        <v>1797</v>
      </c>
      <c r="BM527" t="s">
        <v>10179</v>
      </c>
      <c r="BN527" t="s">
        <v>74</v>
      </c>
      <c r="BO527" t="s">
        <v>74</v>
      </c>
      <c r="BP527" t="s">
        <v>74</v>
      </c>
      <c r="BQ527" t="s">
        <v>74</v>
      </c>
      <c r="BR527" t="s">
        <v>101</v>
      </c>
      <c r="BS527" t="s">
        <v>10180</v>
      </c>
      <c r="BT527" t="str">
        <f>HYPERLINK("https%3A%2F%2Fwww.webofscience.com%2Fwos%2Fwoscc%2Ffull-record%2FWOS:001047624100300","View Full Record in Web of Science")</f>
        <v>View Full Record in Web of Science</v>
      </c>
    </row>
    <row r="528" spans="1:72" x14ac:dyDescent="0.2">
      <c r="A528" t="s">
        <v>103</v>
      </c>
      <c r="B528" t="s">
        <v>10181</v>
      </c>
      <c r="C528" t="s">
        <v>74</v>
      </c>
      <c r="D528" t="s">
        <v>74</v>
      </c>
      <c r="E528" t="s">
        <v>74</v>
      </c>
      <c r="F528" t="s">
        <v>10182</v>
      </c>
      <c r="G528" t="s">
        <v>74</v>
      </c>
      <c r="H528" t="s">
        <v>74</v>
      </c>
      <c r="I528" t="s">
        <v>10183</v>
      </c>
      <c r="J528" t="s">
        <v>10184</v>
      </c>
      <c r="K528" t="s">
        <v>74</v>
      </c>
      <c r="L528" t="s">
        <v>74</v>
      </c>
      <c r="M528" t="s">
        <v>79</v>
      </c>
      <c r="N528" t="s">
        <v>138</v>
      </c>
      <c r="O528" t="s">
        <v>74</v>
      </c>
      <c r="P528" t="s">
        <v>74</v>
      </c>
      <c r="Q528" t="s">
        <v>74</v>
      </c>
      <c r="R528" t="s">
        <v>74</v>
      </c>
      <c r="S528" t="s">
        <v>74</v>
      </c>
      <c r="T528" t="s">
        <v>74</v>
      </c>
      <c r="U528" t="s">
        <v>10185</v>
      </c>
      <c r="V528" t="s">
        <v>10186</v>
      </c>
      <c r="W528" t="s">
        <v>10187</v>
      </c>
      <c r="X528" t="s">
        <v>10188</v>
      </c>
      <c r="Y528" t="s">
        <v>10189</v>
      </c>
      <c r="Z528" t="s">
        <v>10190</v>
      </c>
      <c r="AA528" t="s">
        <v>10191</v>
      </c>
      <c r="AB528" t="s">
        <v>10192</v>
      </c>
      <c r="AC528" t="s">
        <v>10193</v>
      </c>
      <c r="AD528" t="s">
        <v>10194</v>
      </c>
      <c r="AE528" t="s">
        <v>10195</v>
      </c>
      <c r="AF528" t="s">
        <v>74</v>
      </c>
      <c r="AG528">
        <v>62</v>
      </c>
      <c r="AH528">
        <v>0</v>
      </c>
      <c r="AI528">
        <v>0</v>
      </c>
      <c r="AJ528">
        <v>13</v>
      </c>
      <c r="AK528">
        <v>13</v>
      </c>
      <c r="AL528" t="s">
        <v>1880</v>
      </c>
      <c r="AM528" t="s">
        <v>369</v>
      </c>
      <c r="AN528" t="s">
        <v>1881</v>
      </c>
      <c r="AO528" t="s">
        <v>74</v>
      </c>
      <c r="AP528" t="s">
        <v>10196</v>
      </c>
      <c r="AQ528" t="s">
        <v>74</v>
      </c>
      <c r="AR528" t="s">
        <v>10197</v>
      </c>
      <c r="AS528" t="s">
        <v>10198</v>
      </c>
      <c r="AT528" t="s">
        <v>10199</v>
      </c>
      <c r="AU528">
        <v>2023</v>
      </c>
      <c r="AV528" t="s">
        <v>74</v>
      </c>
      <c r="AW528" t="s">
        <v>74</v>
      </c>
      <c r="AX528" t="s">
        <v>74</v>
      </c>
      <c r="AY528" t="s">
        <v>74</v>
      </c>
      <c r="AZ528" t="s">
        <v>74</v>
      </c>
      <c r="BA528" t="s">
        <v>74</v>
      </c>
      <c r="BB528" t="s">
        <v>74</v>
      </c>
      <c r="BC528" t="s">
        <v>74</v>
      </c>
      <c r="BD528" t="s">
        <v>74</v>
      </c>
      <c r="BE528" t="s">
        <v>10200</v>
      </c>
      <c r="BF528" t="str">
        <f>HYPERLINK("http://dx.doi.org/10.1038/s42256-023-00752-z","http://dx.doi.org/10.1038/s42256-023-00752-z")</f>
        <v>http://dx.doi.org/10.1038/s42256-023-00752-z</v>
      </c>
      <c r="BG528" t="s">
        <v>74</v>
      </c>
      <c r="BH528" t="s">
        <v>157</v>
      </c>
      <c r="BI528">
        <v>13</v>
      </c>
      <c r="BJ528" t="s">
        <v>1069</v>
      </c>
      <c r="BK528" t="s">
        <v>130</v>
      </c>
      <c r="BL528" t="s">
        <v>99</v>
      </c>
      <c r="BM528" t="s">
        <v>10201</v>
      </c>
      <c r="BN528" t="s">
        <v>74</v>
      </c>
      <c r="BO528" t="s">
        <v>5266</v>
      </c>
      <c r="BP528" t="s">
        <v>74</v>
      </c>
      <c r="BQ528" t="s">
        <v>74</v>
      </c>
      <c r="BR528" t="s">
        <v>101</v>
      </c>
      <c r="BS528" t="s">
        <v>10202</v>
      </c>
      <c r="BT528" t="str">
        <f>HYPERLINK("https%3A%2F%2Fwww.webofscience.com%2Fwos%2Fwoscc%2Ffull-record%2FWOS:001119507900001","View Full Record in Web of Science")</f>
        <v>View Full Record in Web of Science</v>
      </c>
    </row>
    <row r="529" spans="1:72" x14ac:dyDescent="0.2">
      <c r="A529" t="s">
        <v>103</v>
      </c>
      <c r="B529" t="s">
        <v>10203</v>
      </c>
      <c r="C529" t="s">
        <v>74</v>
      </c>
      <c r="D529" t="s">
        <v>74</v>
      </c>
      <c r="E529" t="s">
        <v>74</v>
      </c>
      <c r="F529" t="s">
        <v>10204</v>
      </c>
      <c r="G529" t="s">
        <v>74</v>
      </c>
      <c r="H529" t="s">
        <v>74</v>
      </c>
      <c r="I529" t="s">
        <v>10205</v>
      </c>
      <c r="J529" t="s">
        <v>10206</v>
      </c>
      <c r="K529" t="s">
        <v>74</v>
      </c>
      <c r="L529" t="s">
        <v>74</v>
      </c>
      <c r="M529" t="s">
        <v>79</v>
      </c>
      <c r="N529" t="s">
        <v>108</v>
      </c>
      <c r="O529" t="s">
        <v>74</v>
      </c>
      <c r="P529" t="s">
        <v>74</v>
      </c>
      <c r="Q529" t="s">
        <v>74</v>
      </c>
      <c r="R529" t="s">
        <v>74</v>
      </c>
      <c r="S529" t="s">
        <v>74</v>
      </c>
      <c r="T529" t="s">
        <v>74</v>
      </c>
      <c r="U529" t="s">
        <v>74</v>
      </c>
      <c r="V529" t="s">
        <v>10207</v>
      </c>
      <c r="W529" t="s">
        <v>10208</v>
      </c>
      <c r="X529" t="s">
        <v>74</v>
      </c>
      <c r="Y529" t="s">
        <v>10209</v>
      </c>
      <c r="Z529" t="s">
        <v>10210</v>
      </c>
      <c r="AA529" t="s">
        <v>74</v>
      </c>
      <c r="AB529" t="s">
        <v>74</v>
      </c>
      <c r="AC529" t="s">
        <v>74</v>
      </c>
      <c r="AD529" t="s">
        <v>74</v>
      </c>
      <c r="AE529" t="s">
        <v>74</v>
      </c>
      <c r="AF529" t="s">
        <v>74</v>
      </c>
      <c r="AG529">
        <v>32</v>
      </c>
      <c r="AH529">
        <v>9</v>
      </c>
      <c r="AI529">
        <v>9</v>
      </c>
      <c r="AJ529">
        <v>15</v>
      </c>
      <c r="AK529">
        <v>31</v>
      </c>
      <c r="AL529" t="s">
        <v>3165</v>
      </c>
      <c r="AM529" t="s">
        <v>3166</v>
      </c>
      <c r="AN529" t="s">
        <v>3167</v>
      </c>
      <c r="AO529" t="s">
        <v>10211</v>
      </c>
      <c r="AP529" t="s">
        <v>10212</v>
      </c>
      <c r="AQ529" t="s">
        <v>74</v>
      </c>
      <c r="AR529" t="s">
        <v>10213</v>
      </c>
      <c r="AS529" t="s">
        <v>10214</v>
      </c>
      <c r="AT529" t="s">
        <v>771</v>
      </c>
      <c r="AU529">
        <v>2023</v>
      </c>
      <c r="AV529">
        <v>14</v>
      </c>
      <c r="AW529">
        <v>3</v>
      </c>
      <c r="AX529" t="s">
        <v>74</v>
      </c>
      <c r="AY529" t="s">
        <v>74</v>
      </c>
      <c r="AZ529" t="s">
        <v>74</v>
      </c>
      <c r="BA529" t="s">
        <v>74</v>
      </c>
      <c r="BB529" t="s">
        <v>74</v>
      </c>
      <c r="BC529" t="s">
        <v>74</v>
      </c>
      <c r="BD529" t="s">
        <v>74</v>
      </c>
      <c r="BE529" t="s">
        <v>10215</v>
      </c>
      <c r="BF529" t="str">
        <f>HYPERLINK("http://dx.doi.org/10.1002/tesj.716","http://dx.doi.org/10.1002/tesj.716")</f>
        <v>http://dx.doi.org/10.1002/tesj.716</v>
      </c>
      <c r="BG529" t="s">
        <v>74</v>
      </c>
      <c r="BH529" t="s">
        <v>1431</v>
      </c>
      <c r="BI529">
        <v>12</v>
      </c>
      <c r="BJ529" t="s">
        <v>423</v>
      </c>
      <c r="BK529" t="s">
        <v>352</v>
      </c>
      <c r="BL529" t="s">
        <v>423</v>
      </c>
      <c r="BM529" t="s">
        <v>10216</v>
      </c>
      <c r="BN529" t="s">
        <v>74</v>
      </c>
      <c r="BO529" t="s">
        <v>74</v>
      </c>
      <c r="BP529" t="s">
        <v>74</v>
      </c>
      <c r="BQ529" t="s">
        <v>74</v>
      </c>
      <c r="BR529" t="s">
        <v>101</v>
      </c>
      <c r="BS529" t="s">
        <v>10217</v>
      </c>
      <c r="BT529" t="str">
        <f>HYPERLINK("https%3A%2F%2Fwww.webofscience.com%2Fwos%2Fwoscc%2Ffull-record%2FWOS:000952640700001","View Full Record in Web of Science")</f>
        <v>View Full Record in Web of Science</v>
      </c>
    </row>
    <row r="530" spans="1:72" x14ac:dyDescent="0.2">
      <c r="A530" t="s">
        <v>72</v>
      </c>
      <c r="B530" t="s">
        <v>10218</v>
      </c>
      <c r="C530" t="s">
        <v>74</v>
      </c>
      <c r="D530" t="s">
        <v>74</v>
      </c>
      <c r="E530" t="s">
        <v>75</v>
      </c>
      <c r="F530" t="s">
        <v>10219</v>
      </c>
      <c r="G530" t="s">
        <v>74</v>
      </c>
      <c r="H530" t="s">
        <v>74</v>
      </c>
      <c r="I530" t="s">
        <v>10220</v>
      </c>
      <c r="J530" t="s">
        <v>6413</v>
      </c>
      <c r="K530" t="s">
        <v>74</v>
      </c>
      <c r="L530" t="s">
        <v>74</v>
      </c>
      <c r="M530" t="s">
        <v>79</v>
      </c>
      <c r="N530" t="s">
        <v>80</v>
      </c>
      <c r="O530" t="s">
        <v>6414</v>
      </c>
      <c r="P530" t="s">
        <v>6415</v>
      </c>
      <c r="Q530" t="s">
        <v>6416</v>
      </c>
      <c r="R530" t="s">
        <v>6417</v>
      </c>
      <c r="S530" t="s">
        <v>74</v>
      </c>
      <c r="T530" t="s">
        <v>10221</v>
      </c>
      <c r="U530" t="s">
        <v>74</v>
      </c>
      <c r="V530" t="s">
        <v>10222</v>
      </c>
      <c r="W530" t="s">
        <v>10223</v>
      </c>
      <c r="X530" t="s">
        <v>74</v>
      </c>
      <c r="Y530" t="s">
        <v>10224</v>
      </c>
      <c r="Z530" t="s">
        <v>10225</v>
      </c>
      <c r="AA530" t="s">
        <v>74</v>
      </c>
      <c r="AB530" t="s">
        <v>74</v>
      </c>
      <c r="AC530" t="s">
        <v>74</v>
      </c>
      <c r="AD530" t="s">
        <v>74</v>
      </c>
      <c r="AE530" t="s">
        <v>74</v>
      </c>
      <c r="AF530" t="s">
        <v>74</v>
      </c>
      <c r="AG530">
        <v>16</v>
      </c>
      <c r="AH530">
        <v>0</v>
      </c>
      <c r="AI530">
        <v>0</v>
      </c>
      <c r="AJ530">
        <v>0</v>
      </c>
      <c r="AK530">
        <v>0</v>
      </c>
      <c r="AL530" t="s">
        <v>92</v>
      </c>
      <c r="AM530" t="s">
        <v>93</v>
      </c>
      <c r="AN530" t="s">
        <v>94</v>
      </c>
      <c r="AO530" t="s">
        <v>74</v>
      </c>
      <c r="AP530" t="s">
        <v>74</v>
      </c>
      <c r="AQ530" t="s">
        <v>6429</v>
      </c>
      <c r="AR530" t="s">
        <v>74</v>
      </c>
      <c r="AS530" t="s">
        <v>74</v>
      </c>
      <c r="AT530" t="s">
        <v>74</v>
      </c>
      <c r="AU530">
        <v>2023</v>
      </c>
      <c r="AV530" t="s">
        <v>74</v>
      </c>
      <c r="AW530" t="s">
        <v>74</v>
      </c>
      <c r="AX530" t="s">
        <v>74</v>
      </c>
      <c r="AY530" t="s">
        <v>74</v>
      </c>
      <c r="AZ530" t="s">
        <v>74</v>
      </c>
      <c r="BA530" t="s">
        <v>74</v>
      </c>
      <c r="BB530">
        <v>787</v>
      </c>
      <c r="BC530">
        <v>790</v>
      </c>
      <c r="BD530" t="s">
        <v>74</v>
      </c>
      <c r="BE530" t="s">
        <v>10226</v>
      </c>
      <c r="BF530" t="str">
        <f>HYPERLINK("http://dx.doi.org/10.1145/3583133.3590729","http://dx.doi.org/10.1145/3583133.3590729")</f>
        <v>http://dx.doi.org/10.1145/3583133.3590729</v>
      </c>
      <c r="BG530" t="s">
        <v>74</v>
      </c>
      <c r="BH530" t="s">
        <v>74</v>
      </c>
      <c r="BI530">
        <v>4</v>
      </c>
      <c r="BJ530" t="s">
        <v>883</v>
      </c>
      <c r="BK530" t="s">
        <v>98</v>
      </c>
      <c r="BL530" t="s">
        <v>99</v>
      </c>
      <c r="BM530" t="s">
        <v>6431</v>
      </c>
      <c r="BN530" t="s">
        <v>74</v>
      </c>
      <c r="BO530" t="s">
        <v>74</v>
      </c>
      <c r="BP530" t="s">
        <v>74</v>
      </c>
      <c r="BQ530" t="s">
        <v>74</v>
      </c>
      <c r="BR530" t="s">
        <v>101</v>
      </c>
      <c r="BS530" t="s">
        <v>10227</v>
      </c>
      <c r="BT530" t="str">
        <f>HYPERLINK("https%3A%2F%2Fwww.webofscience.com%2Fwos%2Fwoscc%2Ffull-record%2FWOS:001117972600219","View Full Record in Web of Science")</f>
        <v>View Full Record in Web of Science</v>
      </c>
    </row>
    <row r="531" spans="1:72" x14ac:dyDescent="0.2">
      <c r="A531" t="s">
        <v>103</v>
      </c>
      <c r="B531" t="s">
        <v>10228</v>
      </c>
      <c r="C531" t="s">
        <v>74</v>
      </c>
      <c r="D531" t="s">
        <v>74</v>
      </c>
      <c r="E531" t="s">
        <v>74</v>
      </c>
      <c r="F531" t="s">
        <v>10229</v>
      </c>
      <c r="G531" t="s">
        <v>74</v>
      </c>
      <c r="H531" t="s">
        <v>74</v>
      </c>
      <c r="I531" t="s">
        <v>10230</v>
      </c>
      <c r="J531" t="s">
        <v>10231</v>
      </c>
      <c r="K531" t="s">
        <v>74</v>
      </c>
      <c r="L531" t="s">
        <v>74</v>
      </c>
      <c r="M531" t="s">
        <v>79</v>
      </c>
      <c r="N531" t="s">
        <v>138</v>
      </c>
      <c r="O531" t="s">
        <v>74</v>
      </c>
      <c r="P531" t="s">
        <v>74</v>
      </c>
      <c r="Q531" t="s">
        <v>74</v>
      </c>
      <c r="R531" t="s">
        <v>74</v>
      </c>
      <c r="S531" t="s">
        <v>74</v>
      </c>
      <c r="T531" t="s">
        <v>10232</v>
      </c>
      <c r="U531" t="s">
        <v>10233</v>
      </c>
      <c r="V531" t="s">
        <v>10234</v>
      </c>
      <c r="W531" t="s">
        <v>10235</v>
      </c>
      <c r="X531" t="s">
        <v>10236</v>
      </c>
      <c r="Y531" t="s">
        <v>10237</v>
      </c>
      <c r="Z531" t="s">
        <v>10238</v>
      </c>
      <c r="AA531" t="s">
        <v>10239</v>
      </c>
      <c r="AB531" t="s">
        <v>10240</v>
      </c>
      <c r="AC531" t="s">
        <v>10241</v>
      </c>
      <c r="AD531" t="s">
        <v>10242</v>
      </c>
      <c r="AE531" t="s">
        <v>10243</v>
      </c>
      <c r="AF531" t="s">
        <v>74</v>
      </c>
      <c r="AG531">
        <v>86</v>
      </c>
      <c r="AH531">
        <v>0</v>
      </c>
      <c r="AI531">
        <v>0</v>
      </c>
      <c r="AJ531">
        <v>27</v>
      </c>
      <c r="AK531">
        <v>27</v>
      </c>
      <c r="AL531" t="s">
        <v>483</v>
      </c>
      <c r="AM531" t="s">
        <v>484</v>
      </c>
      <c r="AN531" t="s">
        <v>485</v>
      </c>
      <c r="AO531" t="s">
        <v>10244</v>
      </c>
      <c r="AP531" t="s">
        <v>10245</v>
      </c>
      <c r="AQ531" t="s">
        <v>74</v>
      </c>
      <c r="AR531" t="s">
        <v>10246</v>
      </c>
      <c r="AS531" t="s">
        <v>10247</v>
      </c>
      <c r="AT531" t="s">
        <v>2859</v>
      </c>
      <c r="AU531">
        <v>2023</v>
      </c>
      <c r="AV531" t="s">
        <v>74</v>
      </c>
      <c r="AW531" t="s">
        <v>74</v>
      </c>
      <c r="AX531" t="s">
        <v>74</v>
      </c>
      <c r="AY531" t="s">
        <v>74</v>
      </c>
      <c r="AZ531" t="s">
        <v>74</v>
      </c>
      <c r="BA531" t="s">
        <v>74</v>
      </c>
      <c r="BB531" t="s">
        <v>74</v>
      </c>
      <c r="BC531" t="s">
        <v>74</v>
      </c>
      <c r="BD531" t="s">
        <v>74</v>
      </c>
      <c r="BE531" t="s">
        <v>10248</v>
      </c>
      <c r="BF531" t="str">
        <f>HYPERLINK("http://dx.doi.org/10.1108/GKMC-07-2023-0246","http://dx.doi.org/10.1108/GKMC-07-2023-0246")</f>
        <v>http://dx.doi.org/10.1108/GKMC-07-2023-0246</v>
      </c>
      <c r="BG531" t="s">
        <v>74</v>
      </c>
      <c r="BH531" t="s">
        <v>128</v>
      </c>
      <c r="BI531">
        <v>15</v>
      </c>
      <c r="BJ531" t="s">
        <v>1016</v>
      </c>
      <c r="BK531" t="s">
        <v>352</v>
      </c>
      <c r="BL531" t="s">
        <v>1016</v>
      </c>
      <c r="BM531" t="s">
        <v>10249</v>
      </c>
      <c r="BN531" t="s">
        <v>74</v>
      </c>
      <c r="BO531" t="s">
        <v>74</v>
      </c>
      <c r="BP531" t="s">
        <v>74</v>
      </c>
      <c r="BQ531" t="s">
        <v>74</v>
      </c>
      <c r="BR531" t="s">
        <v>101</v>
      </c>
      <c r="BS531" t="s">
        <v>10250</v>
      </c>
      <c r="BT531" t="str">
        <f>HYPERLINK("https%3A%2F%2Fwww.webofscience.com%2Fwos%2Fwoscc%2Ffull-record%2FWOS:001129562300001","View Full Record in Web of Science")</f>
        <v>View Full Record in Web of Science</v>
      </c>
    </row>
    <row r="532" spans="1:72" x14ac:dyDescent="0.2">
      <c r="A532" t="s">
        <v>103</v>
      </c>
      <c r="B532" t="s">
        <v>10251</v>
      </c>
      <c r="C532" t="s">
        <v>74</v>
      </c>
      <c r="D532" t="s">
        <v>74</v>
      </c>
      <c r="E532" t="s">
        <v>74</v>
      </c>
      <c r="F532" t="s">
        <v>10252</v>
      </c>
      <c r="G532" t="s">
        <v>74</v>
      </c>
      <c r="H532" t="s">
        <v>74</v>
      </c>
      <c r="I532" t="s">
        <v>10253</v>
      </c>
      <c r="J532" t="s">
        <v>3196</v>
      </c>
      <c r="K532" t="s">
        <v>74</v>
      </c>
      <c r="L532" t="s">
        <v>74</v>
      </c>
      <c r="M532" t="s">
        <v>79</v>
      </c>
      <c r="N532" t="s">
        <v>108</v>
      </c>
      <c r="O532" t="s">
        <v>74</v>
      </c>
      <c r="P532" t="s">
        <v>74</v>
      </c>
      <c r="Q532" t="s">
        <v>74</v>
      </c>
      <c r="R532" t="s">
        <v>74</v>
      </c>
      <c r="S532" t="s">
        <v>74</v>
      </c>
      <c r="T532" t="s">
        <v>74</v>
      </c>
      <c r="U532" t="s">
        <v>10254</v>
      </c>
      <c r="V532" t="s">
        <v>10255</v>
      </c>
      <c r="W532" t="s">
        <v>74</v>
      </c>
      <c r="X532" t="s">
        <v>74</v>
      </c>
      <c r="Y532" t="s">
        <v>74</v>
      </c>
      <c r="Z532" t="s">
        <v>10256</v>
      </c>
      <c r="AA532" t="s">
        <v>74</v>
      </c>
      <c r="AB532" t="s">
        <v>74</v>
      </c>
      <c r="AC532" t="s">
        <v>74</v>
      </c>
      <c r="AD532" t="s">
        <v>74</v>
      </c>
      <c r="AE532" t="s">
        <v>74</v>
      </c>
      <c r="AF532" t="s">
        <v>74</v>
      </c>
      <c r="AG532">
        <v>121</v>
      </c>
      <c r="AH532">
        <v>0</v>
      </c>
      <c r="AI532">
        <v>0</v>
      </c>
      <c r="AJ532">
        <v>6</v>
      </c>
      <c r="AK532">
        <v>6</v>
      </c>
      <c r="AL532" t="s">
        <v>3202</v>
      </c>
      <c r="AM532" t="s">
        <v>120</v>
      </c>
      <c r="AN532" t="s">
        <v>3203</v>
      </c>
      <c r="AO532" t="s">
        <v>3204</v>
      </c>
      <c r="AP532" t="s">
        <v>3205</v>
      </c>
      <c r="AQ532" t="s">
        <v>74</v>
      </c>
      <c r="AR532" t="s">
        <v>3206</v>
      </c>
      <c r="AS532" t="s">
        <v>3207</v>
      </c>
      <c r="AT532" t="s">
        <v>10257</v>
      </c>
      <c r="AU532">
        <v>2024</v>
      </c>
      <c r="AV532">
        <v>19</v>
      </c>
      <c r="AW532">
        <v>1</v>
      </c>
      <c r="AX532" t="s">
        <v>74</v>
      </c>
      <c r="AY532" t="s">
        <v>74</v>
      </c>
      <c r="AZ532" t="s">
        <v>74</v>
      </c>
      <c r="BA532" t="s">
        <v>74</v>
      </c>
      <c r="BB532">
        <v>43</v>
      </c>
      <c r="BC532">
        <v>54</v>
      </c>
      <c r="BD532" t="s">
        <v>74</v>
      </c>
      <c r="BE532" t="s">
        <v>10258</v>
      </c>
      <c r="BF532" t="str">
        <f>HYPERLINK("http://dx.doi.org/10.1093/jiplp/jpad102","http://dx.doi.org/10.1093/jiplp/jpad102")</f>
        <v>http://dx.doi.org/10.1093/jiplp/jpad102</v>
      </c>
      <c r="BG532" t="s">
        <v>74</v>
      </c>
      <c r="BH532" t="s">
        <v>128</v>
      </c>
      <c r="BI532">
        <v>12</v>
      </c>
      <c r="BJ532" t="s">
        <v>1135</v>
      </c>
      <c r="BK532" t="s">
        <v>352</v>
      </c>
      <c r="BL532" t="s">
        <v>1136</v>
      </c>
      <c r="BM532" t="s">
        <v>10259</v>
      </c>
      <c r="BN532" t="s">
        <v>74</v>
      </c>
      <c r="BO532" t="s">
        <v>161</v>
      </c>
      <c r="BP532" t="s">
        <v>74</v>
      </c>
      <c r="BQ532" t="s">
        <v>74</v>
      </c>
      <c r="BR532" t="s">
        <v>101</v>
      </c>
      <c r="BS532" t="s">
        <v>10260</v>
      </c>
      <c r="BT532" t="str">
        <f>HYPERLINK("https%3A%2F%2Fwww.webofscience.com%2Fwos%2Fwoscc%2Ffull-record%2FWOS:001132678800001","View Full Record in Web of Science")</f>
        <v>View Full Record in Web of Science</v>
      </c>
    </row>
    <row r="533" spans="1:72" x14ac:dyDescent="0.2">
      <c r="A533" t="s">
        <v>103</v>
      </c>
      <c r="B533" t="s">
        <v>10261</v>
      </c>
      <c r="C533" t="s">
        <v>74</v>
      </c>
      <c r="D533" t="s">
        <v>74</v>
      </c>
      <c r="E533" t="s">
        <v>74</v>
      </c>
      <c r="F533" t="s">
        <v>10262</v>
      </c>
      <c r="G533" t="s">
        <v>74</v>
      </c>
      <c r="H533" t="s">
        <v>74</v>
      </c>
      <c r="I533" t="s">
        <v>10263</v>
      </c>
      <c r="J533" t="s">
        <v>10264</v>
      </c>
      <c r="K533" t="s">
        <v>74</v>
      </c>
      <c r="L533" t="s">
        <v>74</v>
      </c>
      <c r="M533" t="s">
        <v>79</v>
      </c>
      <c r="N533" t="s">
        <v>108</v>
      </c>
      <c r="O533" t="s">
        <v>74</v>
      </c>
      <c r="P533" t="s">
        <v>74</v>
      </c>
      <c r="Q533" t="s">
        <v>74</v>
      </c>
      <c r="R533" t="s">
        <v>74</v>
      </c>
      <c r="S533" t="s">
        <v>74</v>
      </c>
      <c r="T533" t="s">
        <v>10265</v>
      </c>
      <c r="U533" t="s">
        <v>10266</v>
      </c>
      <c r="V533" t="s">
        <v>10267</v>
      </c>
      <c r="W533" t="s">
        <v>10268</v>
      </c>
      <c r="X533" t="s">
        <v>10269</v>
      </c>
      <c r="Y533" t="s">
        <v>10270</v>
      </c>
      <c r="Z533" t="s">
        <v>10271</v>
      </c>
      <c r="AA533" t="s">
        <v>10272</v>
      </c>
      <c r="AB533" t="s">
        <v>10273</v>
      </c>
      <c r="AC533" t="s">
        <v>10274</v>
      </c>
      <c r="AD533" t="s">
        <v>10274</v>
      </c>
      <c r="AE533" t="s">
        <v>10275</v>
      </c>
      <c r="AF533" t="s">
        <v>74</v>
      </c>
      <c r="AG533">
        <v>54</v>
      </c>
      <c r="AH533">
        <v>2</v>
      </c>
      <c r="AI533">
        <v>2</v>
      </c>
      <c r="AJ533">
        <v>14</v>
      </c>
      <c r="AK533">
        <v>21</v>
      </c>
      <c r="AL533" t="s">
        <v>2377</v>
      </c>
      <c r="AM533" t="s">
        <v>738</v>
      </c>
      <c r="AN533" t="s">
        <v>2378</v>
      </c>
      <c r="AO533" t="s">
        <v>10276</v>
      </c>
      <c r="AP533" t="s">
        <v>10277</v>
      </c>
      <c r="AQ533" t="s">
        <v>74</v>
      </c>
      <c r="AR533" t="s">
        <v>10278</v>
      </c>
      <c r="AS533" t="s">
        <v>10279</v>
      </c>
      <c r="AT533" t="s">
        <v>7553</v>
      </c>
      <c r="AU533">
        <v>2023</v>
      </c>
      <c r="AV533">
        <v>16</v>
      </c>
      <c r="AW533">
        <v>1</v>
      </c>
      <c r="AX533" t="s">
        <v>74</v>
      </c>
      <c r="AY533" t="s">
        <v>74</v>
      </c>
      <c r="AZ533" t="s">
        <v>74</v>
      </c>
      <c r="BA533" t="s">
        <v>74</v>
      </c>
      <c r="BB533">
        <v>2356</v>
      </c>
      <c r="BC533">
        <v>2373</v>
      </c>
      <c r="BD533" t="s">
        <v>74</v>
      </c>
      <c r="BE533" t="s">
        <v>10280</v>
      </c>
      <c r="BF533" t="str">
        <f>HYPERLINK("http://dx.doi.org/10.1080/17538947.2023.2225882","http://dx.doi.org/10.1080/17538947.2023.2225882")</f>
        <v>http://dx.doi.org/10.1080/17538947.2023.2225882</v>
      </c>
      <c r="BG533" t="s">
        <v>74</v>
      </c>
      <c r="BH533" t="s">
        <v>74</v>
      </c>
      <c r="BI533">
        <v>18</v>
      </c>
      <c r="BJ533" t="s">
        <v>10281</v>
      </c>
      <c r="BK533" t="s">
        <v>130</v>
      </c>
      <c r="BL533" t="s">
        <v>10282</v>
      </c>
      <c r="BM533" t="s">
        <v>10283</v>
      </c>
      <c r="BN533" t="s">
        <v>74</v>
      </c>
      <c r="BO533" t="s">
        <v>425</v>
      </c>
      <c r="BP533" t="s">
        <v>74</v>
      </c>
      <c r="BQ533" t="s">
        <v>74</v>
      </c>
      <c r="BR533" t="s">
        <v>101</v>
      </c>
      <c r="BS533" t="s">
        <v>10284</v>
      </c>
      <c r="BT533" t="str">
        <f>HYPERLINK("https%3A%2F%2Fwww.webofscience.com%2Fwos%2Fwoscc%2Ffull-record%2FWOS:001015974800001","View Full Record in Web of Science")</f>
        <v>View Full Record in Web of Science</v>
      </c>
    </row>
    <row r="534" spans="1:72" x14ac:dyDescent="0.2">
      <c r="A534" t="s">
        <v>103</v>
      </c>
      <c r="B534" t="s">
        <v>10285</v>
      </c>
      <c r="C534" t="s">
        <v>74</v>
      </c>
      <c r="D534" t="s">
        <v>74</v>
      </c>
      <c r="E534" t="s">
        <v>74</v>
      </c>
      <c r="F534" t="s">
        <v>10286</v>
      </c>
      <c r="G534" t="s">
        <v>74</v>
      </c>
      <c r="H534" t="s">
        <v>74</v>
      </c>
      <c r="I534" t="s">
        <v>10287</v>
      </c>
      <c r="J534" t="s">
        <v>10288</v>
      </c>
      <c r="K534" t="s">
        <v>74</v>
      </c>
      <c r="L534" t="s">
        <v>74</v>
      </c>
      <c r="M534" t="s">
        <v>79</v>
      </c>
      <c r="N534" t="s">
        <v>108</v>
      </c>
      <c r="O534" t="s">
        <v>74</v>
      </c>
      <c r="P534" t="s">
        <v>74</v>
      </c>
      <c r="Q534" t="s">
        <v>74</v>
      </c>
      <c r="R534" t="s">
        <v>74</v>
      </c>
      <c r="S534" t="s">
        <v>74</v>
      </c>
      <c r="T534" t="s">
        <v>10289</v>
      </c>
      <c r="U534" t="s">
        <v>74</v>
      </c>
      <c r="V534" t="s">
        <v>10290</v>
      </c>
      <c r="W534" t="s">
        <v>10291</v>
      </c>
      <c r="X534" t="s">
        <v>10292</v>
      </c>
      <c r="Y534" t="s">
        <v>10293</v>
      </c>
      <c r="Z534" t="s">
        <v>10294</v>
      </c>
      <c r="AA534" t="s">
        <v>74</v>
      </c>
      <c r="AB534" t="s">
        <v>74</v>
      </c>
      <c r="AC534" t="s">
        <v>10295</v>
      </c>
      <c r="AD534" t="s">
        <v>10296</v>
      </c>
      <c r="AE534" t="s">
        <v>10297</v>
      </c>
      <c r="AF534" t="s">
        <v>74</v>
      </c>
      <c r="AG534">
        <v>65</v>
      </c>
      <c r="AH534">
        <v>0</v>
      </c>
      <c r="AI534">
        <v>0</v>
      </c>
      <c r="AJ534">
        <v>9</v>
      </c>
      <c r="AK534">
        <v>17</v>
      </c>
      <c r="AL534" t="s">
        <v>939</v>
      </c>
      <c r="AM534" t="s">
        <v>940</v>
      </c>
      <c r="AN534" t="s">
        <v>941</v>
      </c>
      <c r="AO534" t="s">
        <v>74</v>
      </c>
      <c r="AP534" t="s">
        <v>10298</v>
      </c>
      <c r="AQ534" t="s">
        <v>74</v>
      </c>
      <c r="AR534" t="s">
        <v>10299</v>
      </c>
      <c r="AS534" t="s">
        <v>10300</v>
      </c>
      <c r="AT534" t="s">
        <v>10301</v>
      </c>
      <c r="AU534">
        <v>2023</v>
      </c>
      <c r="AV534">
        <v>15</v>
      </c>
      <c r="AW534">
        <v>11</v>
      </c>
      <c r="AX534" t="s">
        <v>74</v>
      </c>
      <c r="AY534" t="s">
        <v>74</v>
      </c>
      <c r="AZ534" t="s">
        <v>74</v>
      </c>
      <c r="BA534" t="s">
        <v>74</v>
      </c>
      <c r="BB534" t="s">
        <v>74</v>
      </c>
      <c r="BC534" t="s">
        <v>74</v>
      </c>
      <c r="BD534">
        <v>2827</v>
      </c>
      <c r="BE534" t="s">
        <v>10302</v>
      </c>
      <c r="BF534" t="str">
        <f>HYPERLINK("http://dx.doi.org/10.3390/rs15112827","http://dx.doi.org/10.3390/rs15112827")</f>
        <v>http://dx.doi.org/10.3390/rs15112827</v>
      </c>
      <c r="BG534" t="s">
        <v>74</v>
      </c>
      <c r="BH534" t="s">
        <v>74</v>
      </c>
      <c r="BI534">
        <v>20</v>
      </c>
      <c r="BJ534" t="s">
        <v>10303</v>
      </c>
      <c r="BK534" t="s">
        <v>130</v>
      </c>
      <c r="BL534" t="s">
        <v>10304</v>
      </c>
      <c r="BM534" t="s">
        <v>10305</v>
      </c>
      <c r="BN534" t="s">
        <v>74</v>
      </c>
      <c r="BO534" t="s">
        <v>425</v>
      </c>
      <c r="BP534" t="s">
        <v>74</v>
      </c>
      <c r="BQ534" t="s">
        <v>74</v>
      </c>
      <c r="BR534" t="s">
        <v>101</v>
      </c>
      <c r="BS534" t="s">
        <v>10306</v>
      </c>
      <c r="BT534" t="str">
        <f>HYPERLINK("https%3A%2F%2Fwww.webofscience.com%2Fwos%2Fwoscc%2Ffull-record%2FWOS:001004209000001","View Full Record in Web of Science")</f>
        <v>View Full Record in Web of Science</v>
      </c>
    </row>
    <row r="535" spans="1:72" x14ac:dyDescent="0.2">
      <c r="A535" t="s">
        <v>103</v>
      </c>
      <c r="B535" t="s">
        <v>10307</v>
      </c>
      <c r="C535" t="s">
        <v>74</v>
      </c>
      <c r="D535" t="s">
        <v>74</v>
      </c>
      <c r="E535" t="s">
        <v>74</v>
      </c>
      <c r="F535" t="s">
        <v>10308</v>
      </c>
      <c r="G535" t="s">
        <v>74</v>
      </c>
      <c r="H535" t="s">
        <v>74</v>
      </c>
      <c r="I535" t="s">
        <v>10309</v>
      </c>
      <c r="J535" t="s">
        <v>10310</v>
      </c>
      <c r="K535" t="s">
        <v>74</v>
      </c>
      <c r="L535" t="s">
        <v>74</v>
      </c>
      <c r="M535" t="s">
        <v>79</v>
      </c>
      <c r="N535" t="s">
        <v>108</v>
      </c>
      <c r="O535" t="s">
        <v>74</v>
      </c>
      <c r="P535" t="s">
        <v>74</v>
      </c>
      <c r="Q535" t="s">
        <v>74</v>
      </c>
      <c r="R535" t="s">
        <v>74</v>
      </c>
      <c r="S535" t="s">
        <v>74</v>
      </c>
      <c r="T535" t="s">
        <v>10311</v>
      </c>
      <c r="U535" t="s">
        <v>74</v>
      </c>
      <c r="V535" t="s">
        <v>74</v>
      </c>
      <c r="W535" t="s">
        <v>10312</v>
      </c>
      <c r="X535" t="s">
        <v>10313</v>
      </c>
      <c r="Y535" t="s">
        <v>10314</v>
      </c>
      <c r="Z535" t="s">
        <v>10315</v>
      </c>
      <c r="AA535" t="s">
        <v>74</v>
      </c>
      <c r="AB535" t="s">
        <v>74</v>
      </c>
      <c r="AC535" t="s">
        <v>10316</v>
      </c>
      <c r="AD535" t="s">
        <v>10316</v>
      </c>
      <c r="AE535" t="s">
        <v>10316</v>
      </c>
      <c r="AF535" t="s">
        <v>74</v>
      </c>
      <c r="AG535">
        <v>20</v>
      </c>
      <c r="AH535">
        <v>2</v>
      </c>
      <c r="AI535">
        <v>2</v>
      </c>
      <c r="AJ535">
        <v>20</v>
      </c>
      <c r="AK535">
        <v>20</v>
      </c>
      <c r="AL535" t="s">
        <v>2492</v>
      </c>
      <c r="AM535" t="s">
        <v>461</v>
      </c>
      <c r="AN535" t="s">
        <v>2493</v>
      </c>
      <c r="AO535" t="s">
        <v>74</v>
      </c>
      <c r="AP535" t="s">
        <v>10317</v>
      </c>
      <c r="AQ535" t="s">
        <v>74</v>
      </c>
      <c r="AR535" t="s">
        <v>10318</v>
      </c>
      <c r="AS535" t="s">
        <v>10319</v>
      </c>
      <c r="AT535" t="s">
        <v>10320</v>
      </c>
      <c r="AU535">
        <v>2023</v>
      </c>
      <c r="AV535">
        <v>10</v>
      </c>
      <c r="AW535" t="s">
        <v>74</v>
      </c>
      <c r="AX535" t="s">
        <v>74</v>
      </c>
      <c r="AY535" t="s">
        <v>74</v>
      </c>
      <c r="AZ535" t="s">
        <v>74</v>
      </c>
      <c r="BA535" t="s">
        <v>74</v>
      </c>
      <c r="BB535" t="s">
        <v>74</v>
      </c>
      <c r="BC535" t="s">
        <v>74</v>
      </c>
      <c r="BD535">
        <v>1279707</v>
      </c>
      <c r="BE535" t="s">
        <v>10321</v>
      </c>
      <c r="BF535" t="str">
        <f>HYPERLINK("http://dx.doi.org/10.3389/fmed.2023.1279707","http://dx.doi.org/10.3389/fmed.2023.1279707")</f>
        <v>http://dx.doi.org/10.3389/fmed.2023.1279707</v>
      </c>
      <c r="BG535" t="s">
        <v>74</v>
      </c>
      <c r="BH535" t="s">
        <v>74</v>
      </c>
      <c r="BI535">
        <v>4</v>
      </c>
      <c r="BJ535" t="s">
        <v>3440</v>
      </c>
      <c r="BK535" t="s">
        <v>130</v>
      </c>
      <c r="BL535" t="s">
        <v>3441</v>
      </c>
      <c r="BM535" t="s">
        <v>10322</v>
      </c>
      <c r="BN535">
        <v>37901398</v>
      </c>
      <c r="BO535" t="s">
        <v>4185</v>
      </c>
      <c r="BP535" t="s">
        <v>74</v>
      </c>
      <c r="BQ535" t="s">
        <v>74</v>
      </c>
      <c r="BR535" t="s">
        <v>101</v>
      </c>
      <c r="BS535" t="s">
        <v>10323</v>
      </c>
      <c r="BT535" t="str">
        <f>HYPERLINK("https%3A%2F%2Fwww.webofscience.com%2Fwos%2Fwoscc%2Ffull-record%2FWOS:001091285800001","View Full Record in Web of Science")</f>
        <v>View Full Record in Web of Science</v>
      </c>
    </row>
    <row r="536" spans="1:72" x14ac:dyDescent="0.2">
      <c r="A536" t="s">
        <v>72</v>
      </c>
      <c r="B536" t="s">
        <v>10324</v>
      </c>
      <c r="C536" t="s">
        <v>74</v>
      </c>
      <c r="D536" t="s">
        <v>74</v>
      </c>
      <c r="E536" t="s">
        <v>284</v>
      </c>
      <c r="F536" t="s">
        <v>10325</v>
      </c>
      <c r="G536" t="s">
        <v>74</v>
      </c>
      <c r="H536" t="s">
        <v>74</v>
      </c>
      <c r="I536" t="s">
        <v>10326</v>
      </c>
      <c r="J536" t="s">
        <v>8245</v>
      </c>
      <c r="K536" t="s">
        <v>8246</v>
      </c>
      <c r="L536" t="s">
        <v>74</v>
      </c>
      <c r="M536" t="s">
        <v>79</v>
      </c>
      <c r="N536" t="s">
        <v>80</v>
      </c>
      <c r="O536" t="s">
        <v>8247</v>
      </c>
      <c r="P536" t="s">
        <v>8248</v>
      </c>
      <c r="Q536" t="s">
        <v>6017</v>
      </c>
      <c r="R536" t="s">
        <v>8249</v>
      </c>
      <c r="S536" t="s">
        <v>74</v>
      </c>
      <c r="T536" t="s">
        <v>74</v>
      </c>
      <c r="U536" t="s">
        <v>74</v>
      </c>
      <c r="V536" t="s">
        <v>10327</v>
      </c>
      <c r="W536" t="s">
        <v>10328</v>
      </c>
      <c r="X536" t="s">
        <v>10329</v>
      </c>
      <c r="Y536" t="s">
        <v>10330</v>
      </c>
      <c r="Z536" t="s">
        <v>10331</v>
      </c>
      <c r="AA536" t="s">
        <v>74</v>
      </c>
      <c r="AB536" t="s">
        <v>74</v>
      </c>
      <c r="AC536" t="s">
        <v>10332</v>
      </c>
      <c r="AD536" t="s">
        <v>10333</v>
      </c>
      <c r="AE536" t="s">
        <v>10334</v>
      </c>
      <c r="AF536" t="s">
        <v>74</v>
      </c>
      <c r="AG536">
        <v>71</v>
      </c>
      <c r="AH536">
        <v>0</v>
      </c>
      <c r="AI536">
        <v>0</v>
      </c>
      <c r="AJ536">
        <v>1</v>
      </c>
      <c r="AK536">
        <v>1</v>
      </c>
      <c r="AL536" t="s">
        <v>638</v>
      </c>
      <c r="AM536" t="s">
        <v>639</v>
      </c>
      <c r="AN536" t="s">
        <v>640</v>
      </c>
      <c r="AO536" t="s">
        <v>8260</v>
      </c>
      <c r="AP536" t="s">
        <v>74</v>
      </c>
      <c r="AQ536" t="s">
        <v>8261</v>
      </c>
      <c r="AR536" t="s">
        <v>8262</v>
      </c>
      <c r="AS536" t="s">
        <v>74</v>
      </c>
      <c r="AT536" t="s">
        <v>74</v>
      </c>
      <c r="AU536">
        <v>2023</v>
      </c>
      <c r="AV536" t="s">
        <v>74</v>
      </c>
      <c r="AW536" t="s">
        <v>74</v>
      </c>
      <c r="AX536" t="s">
        <v>74</v>
      </c>
      <c r="AY536" t="s">
        <v>74</v>
      </c>
      <c r="AZ536" t="s">
        <v>74</v>
      </c>
      <c r="BA536" t="s">
        <v>74</v>
      </c>
      <c r="BB536">
        <v>23338</v>
      </c>
      <c r="BC536">
        <v>23348</v>
      </c>
      <c r="BD536" t="s">
        <v>74</v>
      </c>
      <c r="BE536" t="s">
        <v>10335</v>
      </c>
      <c r="BF536" t="str">
        <f>HYPERLINK("http://dx.doi.org/10.1109/CVPR52729.2023.02235","http://dx.doi.org/10.1109/CVPR52729.2023.02235")</f>
        <v>http://dx.doi.org/10.1109/CVPR52729.2023.02235</v>
      </c>
      <c r="BG536" t="s">
        <v>74</v>
      </c>
      <c r="BH536" t="s">
        <v>74</v>
      </c>
      <c r="BI536">
        <v>11</v>
      </c>
      <c r="BJ536" t="s">
        <v>304</v>
      </c>
      <c r="BK536" t="s">
        <v>98</v>
      </c>
      <c r="BL536" t="s">
        <v>99</v>
      </c>
      <c r="BM536" t="s">
        <v>9731</v>
      </c>
      <c r="BN536" t="s">
        <v>74</v>
      </c>
      <c r="BO536" t="s">
        <v>646</v>
      </c>
      <c r="BP536" t="s">
        <v>74</v>
      </c>
      <c r="BQ536" t="s">
        <v>74</v>
      </c>
      <c r="BR536" t="s">
        <v>101</v>
      </c>
      <c r="BS536" t="s">
        <v>10336</v>
      </c>
      <c r="BT536" t="str">
        <f>HYPERLINK("https%3A%2F%2Fwww.webofscience.com%2Fwos%2Fwoscc%2Ffull-record%2FWOS:001062531307064","View Full Record in Web of Science")</f>
        <v>View Full Record in Web of Science</v>
      </c>
    </row>
    <row r="537" spans="1:72" x14ac:dyDescent="0.2">
      <c r="A537" t="s">
        <v>72</v>
      </c>
      <c r="B537" t="s">
        <v>10337</v>
      </c>
      <c r="C537" t="s">
        <v>74</v>
      </c>
      <c r="D537" t="s">
        <v>4124</v>
      </c>
      <c r="E537" t="s">
        <v>74</v>
      </c>
      <c r="F537" t="s">
        <v>10338</v>
      </c>
      <c r="G537" t="s">
        <v>74</v>
      </c>
      <c r="H537" t="s">
        <v>74</v>
      </c>
      <c r="I537" t="s">
        <v>10339</v>
      </c>
      <c r="J537" t="s">
        <v>4127</v>
      </c>
      <c r="K537" t="s">
        <v>4128</v>
      </c>
      <c r="L537" t="s">
        <v>74</v>
      </c>
      <c r="M537" t="s">
        <v>79</v>
      </c>
      <c r="N537" t="s">
        <v>80</v>
      </c>
      <c r="O537" t="s">
        <v>4129</v>
      </c>
      <c r="P537" t="s">
        <v>4130</v>
      </c>
      <c r="Q537" t="s">
        <v>4131</v>
      </c>
      <c r="R537" t="s">
        <v>4132</v>
      </c>
      <c r="S537" t="s">
        <v>74</v>
      </c>
      <c r="T537" t="s">
        <v>10340</v>
      </c>
      <c r="U537" t="s">
        <v>74</v>
      </c>
      <c r="V537" t="s">
        <v>10341</v>
      </c>
      <c r="W537" t="s">
        <v>10342</v>
      </c>
      <c r="X537" t="s">
        <v>10343</v>
      </c>
      <c r="Y537" t="s">
        <v>10344</v>
      </c>
      <c r="Z537" t="s">
        <v>10345</v>
      </c>
      <c r="AA537" t="s">
        <v>74</v>
      </c>
      <c r="AB537" t="s">
        <v>74</v>
      </c>
      <c r="AC537" t="s">
        <v>74</v>
      </c>
      <c r="AD537" t="s">
        <v>74</v>
      </c>
      <c r="AE537" t="s">
        <v>74</v>
      </c>
      <c r="AF537" t="s">
        <v>74</v>
      </c>
      <c r="AG537">
        <v>16</v>
      </c>
      <c r="AH537">
        <v>0</v>
      </c>
      <c r="AI537">
        <v>0</v>
      </c>
      <c r="AJ537">
        <v>0</v>
      </c>
      <c r="AK537">
        <v>0</v>
      </c>
      <c r="AL537" t="s">
        <v>284</v>
      </c>
      <c r="AM537" t="s">
        <v>93</v>
      </c>
      <c r="AN537" t="s">
        <v>299</v>
      </c>
      <c r="AO537" t="s">
        <v>4144</v>
      </c>
      <c r="AP537" t="s">
        <v>74</v>
      </c>
      <c r="AQ537" t="s">
        <v>4145</v>
      </c>
      <c r="AR537" t="s">
        <v>4146</v>
      </c>
      <c r="AS537" t="s">
        <v>74</v>
      </c>
      <c r="AT537" t="s">
        <v>74</v>
      </c>
      <c r="AU537">
        <v>2023</v>
      </c>
      <c r="AV537" t="s">
        <v>74</v>
      </c>
      <c r="AW537" t="s">
        <v>74</v>
      </c>
      <c r="AX537" t="s">
        <v>74</v>
      </c>
      <c r="AY537" t="s">
        <v>74</v>
      </c>
      <c r="AZ537" t="s">
        <v>74</v>
      </c>
      <c r="BA537" t="s">
        <v>74</v>
      </c>
      <c r="BB537" t="s">
        <v>74</v>
      </c>
      <c r="BC537" t="s">
        <v>74</v>
      </c>
      <c r="BD537" t="s">
        <v>74</v>
      </c>
      <c r="BE537" t="s">
        <v>74</v>
      </c>
      <c r="BF537" t="s">
        <v>74</v>
      </c>
      <c r="BG537" t="s">
        <v>74</v>
      </c>
      <c r="BH537" t="s">
        <v>74</v>
      </c>
      <c r="BI537">
        <v>5</v>
      </c>
      <c r="BJ537" t="s">
        <v>1385</v>
      </c>
      <c r="BK537" t="s">
        <v>98</v>
      </c>
      <c r="BL537" t="s">
        <v>1386</v>
      </c>
      <c r="BM537" t="s">
        <v>4147</v>
      </c>
      <c r="BN537" t="s">
        <v>74</v>
      </c>
      <c r="BO537" t="s">
        <v>74</v>
      </c>
      <c r="BP537" t="s">
        <v>74</v>
      </c>
      <c r="BQ537" t="s">
        <v>74</v>
      </c>
      <c r="BR537" t="s">
        <v>101</v>
      </c>
      <c r="BS537" t="s">
        <v>10346</v>
      </c>
      <c r="BT537" t="str">
        <f>HYPERLINK("https%3A%2F%2Fwww.webofscience.com%2Fwos%2Fwoscc%2Ffull-record%2FWOS:001117985100040","View Full Record in Web of Science")</f>
        <v>View Full Record in Web of Science</v>
      </c>
    </row>
    <row r="538" spans="1:72" x14ac:dyDescent="0.2">
      <c r="A538" t="s">
        <v>103</v>
      </c>
      <c r="B538" t="s">
        <v>10347</v>
      </c>
      <c r="C538" t="s">
        <v>74</v>
      </c>
      <c r="D538" t="s">
        <v>74</v>
      </c>
      <c r="E538" t="s">
        <v>74</v>
      </c>
      <c r="F538" t="s">
        <v>10348</v>
      </c>
      <c r="G538" t="s">
        <v>74</v>
      </c>
      <c r="H538" t="s">
        <v>74</v>
      </c>
      <c r="I538" t="s">
        <v>10349</v>
      </c>
      <c r="J538" t="s">
        <v>10350</v>
      </c>
      <c r="K538" t="s">
        <v>74</v>
      </c>
      <c r="L538" t="s">
        <v>74</v>
      </c>
      <c r="M538" t="s">
        <v>79</v>
      </c>
      <c r="N538" t="s">
        <v>108</v>
      </c>
      <c r="O538" t="s">
        <v>74</v>
      </c>
      <c r="P538" t="s">
        <v>74</v>
      </c>
      <c r="Q538" t="s">
        <v>74</v>
      </c>
      <c r="R538" t="s">
        <v>74</v>
      </c>
      <c r="S538" t="s">
        <v>74</v>
      </c>
      <c r="T538" t="s">
        <v>10351</v>
      </c>
      <c r="U538" t="s">
        <v>10352</v>
      </c>
      <c r="V538" t="s">
        <v>10353</v>
      </c>
      <c r="W538" t="s">
        <v>10354</v>
      </c>
      <c r="X538" t="s">
        <v>10355</v>
      </c>
      <c r="Y538" t="s">
        <v>10356</v>
      </c>
      <c r="Z538" t="s">
        <v>10357</v>
      </c>
      <c r="AA538" t="s">
        <v>10358</v>
      </c>
      <c r="AB538" t="s">
        <v>10359</v>
      </c>
      <c r="AC538" t="s">
        <v>74</v>
      </c>
      <c r="AD538" t="s">
        <v>74</v>
      </c>
      <c r="AE538" t="s">
        <v>74</v>
      </c>
      <c r="AF538" t="s">
        <v>74</v>
      </c>
      <c r="AG538">
        <v>44</v>
      </c>
      <c r="AH538">
        <v>2</v>
      </c>
      <c r="AI538">
        <v>2</v>
      </c>
      <c r="AJ538">
        <v>10</v>
      </c>
      <c r="AK538">
        <v>18</v>
      </c>
      <c r="AL538" t="s">
        <v>10360</v>
      </c>
      <c r="AM538" t="s">
        <v>10361</v>
      </c>
      <c r="AN538" t="s">
        <v>10362</v>
      </c>
      <c r="AO538" t="s">
        <v>10363</v>
      </c>
      <c r="AP538" t="s">
        <v>10364</v>
      </c>
      <c r="AQ538" t="s">
        <v>74</v>
      </c>
      <c r="AR538" t="s">
        <v>10365</v>
      </c>
      <c r="AS538" t="s">
        <v>10366</v>
      </c>
      <c r="AT538" t="s">
        <v>74</v>
      </c>
      <c r="AU538">
        <v>2023</v>
      </c>
      <c r="AV538">
        <v>137</v>
      </c>
      <c r="AW538">
        <v>1</v>
      </c>
      <c r="AX538" t="s">
        <v>74</v>
      </c>
      <c r="AY538" t="s">
        <v>74</v>
      </c>
      <c r="AZ538" t="s">
        <v>74</v>
      </c>
      <c r="BA538" t="s">
        <v>74</v>
      </c>
      <c r="BB538">
        <v>527</v>
      </c>
      <c r="BC538">
        <v>554</v>
      </c>
      <c r="BD538" t="s">
        <v>74</v>
      </c>
      <c r="BE538" t="s">
        <v>10367</v>
      </c>
      <c r="BF538" t="str">
        <f>HYPERLINK("http://dx.doi.org/10.32604/cmes.2023.027124","http://dx.doi.org/10.32604/cmes.2023.027124")</f>
        <v>http://dx.doi.org/10.32604/cmes.2023.027124</v>
      </c>
      <c r="BG538" t="s">
        <v>74</v>
      </c>
      <c r="BH538" t="s">
        <v>74</v>
      </c>
      <c r="BI538">
        <v>28</v>
      </c>
      <c r="BJ538" t="s">
        <v>10368</v>
      </c>
      <c r="BK538" t="s">
        <v>130</v>
      </c>
      <c r="BL538" t="s">
        <v>4562</v>
      </c>
      <c r="BM538" t="s">
        <v>10369</v>
      </c>
      <c r="BN538" t="s">
        <v>74</v>
      </c>
      <c r="BO538" t="s">
        <v>425</v>
      </c>
      <c r="BP538" t="s">
        <v>74</v>
      </c>
      <c r="BQ538" t="s">
        <v>74</v>
      </c>
      <c r="BR538" t="s">
        <v>101</v>
      </c>
      <c r="BS538" t="s">
        <v>10370</v>
      </c>
      <c r="BT538" t="str">
        <f>HYPERLINK("https%3A%2F%2Fwww.webofscience.com%2Fwos%2Fwoscc%2Ffull-record%2FWOS:001033059300020","View Full Record in Web of Science")</f>
        <v>View Full Record in Web of Science</v>
      </c>
    </row>
    <row r="539" spans="1:72" x14ac:dyDescent="0.2">
      <c r="A539" t="s">
        <v>103</v>
      </c>
      <c r="B539" t="s">
        <v>10371</v>
      </c>
      <c r="C539" t="s">
        <v>74</v>
      </c>
      <c r="D539" t="s">
        <v>74</v>
      </c>
      <c r="E539" t="s">
        <v>74</v>
      </c>
      <c r="F539" t="s">
        <v>10372</v>
      </c>
      <c r="G539" t="s">
        <v>74</v>
      </c>
      <c r="H539" t="s">
        <v>74</v>
      </c>
      <c r="I539" t="s">
        <v>10373</v>
      </c>
      <c r="J539" t="s">
        <v>10374</v>
      </c>
      <c r="K539" t="s">
        <v>74</v>
      </c>
      <c r="L539" t="s">
        <v>74</v>
      </c>
      <c r="M539" t="s">
        <v>79</v>
      </c>
      <c r="N539" t="s">
        <v>108</v>
      </c>
      <c r="O539" t="s">
        <v>74</v>
      </c>
      <c r="P539" t="s">
        <v>74</v>
      </c>
      <c r="Q539" t="s">
        <v>74</v>
      </c>
      <c r="R539" t="s">
        <v>74</v>
      </c>
      <c r="S539" t="s">
        <v>74</v>
      </c>
      <c r="T539" t="s">
        <v>10375</v>
      </c>
      <c r="U539" t="s">
        <v>10376</v>
      </c>
      <c r="V539" t="s">
        <v>10377</v>
      </c>
      <c r="W539" t="s">
        <v>10378</v>
      </c>
      <c r="X539" t="s">
        <v>10379</v>
      </c>
      <c r="Y539" t="s">
        <v>10380</v>
      </c>
      <c r="Z539" t="s">
        <v>10381</v>
      </c>
      <c r="AA539" t="s">
        <v>10382</v>
      </c>
      <c r="AB539" t="s">
        <v>10383</v>
      </c>
      <c r="AC539" t="s">
        <v>10384</v>
      </c>
      <c r="AD539" t="s">
        <v>10385</v>
      </c>
      <c r="AE539" t="s">
        <v>10386</v>
      </c>
      <c r="AF539" t="s">
        <v>74</v>
      </c>
      <c r="AG539">
        <v>15</v>
      </c>
      <c r="AH539">
        <v>3</v>
      </c>
      <c r="AI539">
        <v>3</v>
      </c>
      <c r="AJ539">
        <v>6</v>
      </c>
      <c r="AK539">
        <v>9</v>
      </c>
      <c r="AL539" t="s">
        <v>1379</v>
      </c>
      <c r="AM539" t="s">
        <v>1380</v>
      </c>
      <c r="AN539" t="s">
        <v>1381</v>
      </c>
      <c r="AO539" t="s">
        <v>10387</v>
      </c>
      <c r="AP539" t="s">
        <v>10388</v>
      </c>
      <c r="AQ539" t="s">
        <v>74</v>
      </c>
      <c r="AR539" t="s">
        <v>10389</v>
      </c>
      <c r="AS539" t="s">
        <v>10390</v>
      </c>
      <c r="AT539" t="s">
        <v>126</v>
      </c>
      <c r="AU539">
        <v>2023</v>
      </c>
      <c r="AV539">
        <v>18</v>
      </c>
      <c r="AW539">
        <v>1</v>
      </c>
      <c r="AX539" t="s">
        <v>74</v>
      </c>
      <c r="AY539" t="s">
        <v>74</v>
      </c>
      <c r="AZ539" t="s">
        <v>74</v>
      </c>
      <c r="BA539" t="s">
        <v>74</v>
      </c>
      <c r="BB539">
        <v>29</v>
      </c>
      <c r="BC539">
        <v>39</v>
      </c>
      <c r="BD539" t="s">
        <v>74</v>
      </c>
      <c r="BE539" t="s">
        <v>10391</v>
      </c>
      <c r="BF539" t="str">
        <f>HYPERLINK("http://dx.doi.org/10.1109/MVT.2023.3234169","http://dx.doi.org/10.1109/MVT.2023.3234169")</f>
        <v>http://dx.doi.org/10.1109/MVT.2023.3234169</v>
      </c>
      <c r="BG539" t="s">
        <v>74</v>
      </c>
      <c r="BH539" t="s">
        <v>74</v>
      </c>
      <c r="BI539">
        <v>11</v>
      </c>
      <c r="BJ539" t="s">
        <v>10392</v>
      </c>
      <c r="BK539" t="s">
        <v>130</v>
      </c>
      <c r="BL539" t="s">
        <v>10393</v>
      </c>
      <c r="BM539" t="s">
        <v>10394</v>
      </c>
      <c r="BN539" t="s">
        <v>74</v>
      </c>
      <c r="BO539" t="s">
        <v>74</v>
      </c>
      <c r="BP539" t="s">
        <v>74</v>
      </c>
      <c r="BQ539" t="s">
        <v>74</v>
      </c>
      <c r="BR539" t="s">
        <v>101</v>
      </c>
      <c r="BS539" t="s">
        <v>10395</v>
      </c>
      <c r="BT539" t="str">
        <f>HYPERLINK("https%3A%2F%2Fwww.webofscience.com%2Fwos%2Fwoscc%2Ffull-record%2FWOS:000967375100008","View Full Record in Web of Science")</f>
        <v>View Full Record in Web of Science</v>
      </c>
    </row>
    <row r="540" spans="1:72" x14ac:dyDescent="0.2">
      <c r="A540" t="s">
        <v>103</v>
      </c>
      <c r="B540" t="s">
        <v>10396</v>
      </c>
      <c r="C540" t="s">
        <v>74</v>
      </c>
      <c r="D540" t="s">
        <v>74</v>
      </c>
      <c r="E540" t="s">
        <v>74</v>
      </c>
      <c r="F540" t="s">
        <v>10397</v>
      </c>
      <c r="G540" t="s">
        <v>74</v>
      </c>
      <c r="H540" t="s">
        <v>74</v>
      </c>
      <c r="I540" t="s">
        <v>10398</v>
      </c>
      <c r="J540" t="s">
        <v>8870</v>
      </c>
      <c r="K540" t="s">
        <v>74</v>
      </c>
      <c r="L540" t="s">
        <v>74</v>
      </c>
      <c r="M540" t="s">
        <v>79</v>
      </c>
      <c r="N540" t="s">
        <v>108</v>
      </c>
      <c r="O540" t="s">
        <v>74</v>
      </c>
      <c r="P540" t="s">
        <v>74</v>
      </c>
      <c r="Q540" t="s">
        <v>74</v>
      </c>
      <c r="R540" t="s">
        <v>74</v>
      </c>
      <c r="S540" t="s">
        <v>74</v>
      </c>
      <c r="T540" t="s">
        <v>74</v>
      </c>
      <c r="U540" t="s">
        <v>74</v>
      </c>
      <c r="V540" t="s">
        <v>10399</v>
      </c>
      <c r="W540" t="s">
        <v>10400</v>
      </c>
      <c r="X540" t="s">
        <v>10401</v>
      </c>
      <c r="Y540" t="s">
        <v>10402</v>
      </c>
      <c r="Z540" t="s">
        <v>10403</v>
      </c>
      <c r="AA540" t="s">
        <v>74</v>
      </c>
      <c r="AB540" t="s">
        <v>74</v>
      </c>
      <c r="AC540" t="s">
        <v>74</v>
      </c>
      <c r="AD540" t="s">
        <v>74</v>
      </c>
      <c r="AE540" t="s">
        <v>74</v>
      </c>
      <c r="AF540" t="s">
        <v>74</v>
      </c>
      <c r="AG540">
        <v>9</v>
      </c>
      <c r="AH540">
        <v>0</v>
      </c>
      <c r="AI540">
        <v>0</v>
      </c>
      <c r="AJ540">
        <v>0</v>
      </c>
      <c r="AK540">
        <v>0</v>
      </c>
      <c r="AL540" t="s">
        <v>8881</v>
      </c>
      <c r="AM540" t="s">
        <v>1153</v>
      </c>
      <c r="AN540" t="s">
        <v>8882</v>
      </c>
      <c r="AO540" t="s">
        <v>8883</v>
      </c>
      <c r="AP540" t="s">
        <v>8884</v>
      </c>
      <c r="AQ540" t="s">
        <v>74</v>
      </c>
      <c r="AR540" t="s">
        <v>8870</v>
      </c>
      <c r="AS540" t="s">
        <v>8885</v>
      </c>
      <c r="AT540" t="s">
        <v>2497</v>
      </c>
      <c r="AU540">
        <v>2023</v>
      </c>
      <c r="AV540">
        <v>56</v>
      </c>
      <c r="AW540">
        <v>6</v>
      </c>
      <c r="AX540" t="s">
        <v>74</v>
      </c>
      <c r="AY540" t="s">
        <v>74</v>
      </c>
      <c r="AZ540" t="s">
        <v>74</v>
      </c>
      <c r="BA540" t="s">
        <v>74</v>
      </c>
      <c r="BB540">
        <v>575</v>
      </c>
      <c r="BC540">
        <v>578</v>
      </c>
      <c r="BD540" t="s">
        <v>74</v>
      </c>
      <c r="BE540" t="s">
        <v>10404</v>
      </c>
      <c r="BF540" t="str">
        <f>HYPERLINK("http://dx.doi.org/10.1162/leon_a_02404","http://dx.doi.org/10.1162/leon_a_02404")</f>
        <v>http://dx.doi.org/10.1162/leon_a_02404</v>
      </c>
      <c r="BG540" t="s">
        <v>74</v>
      </c>
      <c r="BH540" t="s">
        <v>74</v>
      </c>
      <c r="BI540">
        <v>4</v>
      </c>
      <c r="BJ540" t="s">
        <v>2648</v>
      </c>
      <c r="BK540" t="s">
        <v>2649</v>
      </c>
      <c r="BL540" t="s">
        <v>2648</v>
      </c>
      <c r="BM540" t="s">
        <v>10405</v>
      </c>
      <c r="BN540" t="s">
        <v>74</v>
      </c>
      <c r="BO540" t="s">
        <v>74</v>
      </c>
      <c r="BP540" t="s">
        <v>74</v>
      </c>
      <c r="BQ540" t="s">
        <v>74</v>
      </c>
      <c r="BR540" t="s">
        <v>101</v>
      </c>
      <c r="BS540" t="s">
        <v>10406</v>
      </c>
      <c r="BT540" t="str">
        <f>HYPERLINK("https%3A%2F%2Fwww.webofscience.com%2Fwos%2Fwoscc%2Ffull-record%2FWOS:001133091200002","View Full Record in Web of Science")</f>
        <v>View Full Record in Web of Science</v>
      </c>
    </row>
    <row r="541" spans="1:72" x14ac:dyDescent="0.2">
      <c r="A541" t="s">
        <v>72</v>
      </c>
      <c r="B541" t="s">
        <v>10407</v>
      </c>
      <c r="C541" t="s">
        <v>74</v>
      </c>
      <c r="D541" t="s">
        <v>74</v>
      </c>
      <c r="E541" t="s">
        <v>284</v>
      </c>
      <c r="F541" t="s">
        <v>10408</v>
      </c>
      <c r="G541" t="s">
        <v>74</v>
      </c>
      <c r="H541" t="s">
        <v>74</v>
      </c>
      <c r="I541" t="s">
        <v>10409</v>
      </c>
      <c r="J541" t="s">
        <v>10410</v>
      </c>
      <c r="K541" t="s">
        <v>10411</v>
      </c>
      <c r="L541" t="s">
        <v>74</v>
      </c>
      <c r="M541" t="s">
        <v>79</v>
      </c>
      <c r="N541" t="s">
        <v>80</v>
      </c>
      <c r="O541" t="s">
        <v>10412</v>
      </c>
      <c r="P541" t="s">
        <v>10143</v>
      </c>
      <c r="Q541" t="s">
        <v>10413</v>
      </c>
      <c r="R541" t="s">
        <v>959</v>
      </c>
      <c r="S541" t="s">
        <v>10414</v>
      </c>
      <c r="T541" t="s">
        <v>10415</v>
      </c>
      <c r="U541" t="s">
        <v>74</v>
      </c>
      <c r="V541" t="s">
        <v>10416</v>
      </c>
      <c r="W541" t="s">
        <v>10417</v>
      </c>
      <c r="X541" t="s">
        <v>10418</v>
      </c>
      <c r="Y541" t="s">
        <v>10419</v>
      </c>
      <c r="Z541" t="s">
        <v>10420</v>
      </c>
      <c r="AA541" t="s">
        <v>74</v>
      </c>
      <c r="AB541" t="s">
        <v>74</v>
      </c>
      <c r="AC541" t="s">
        <v>10421</v>
      </c>
      <c r="AD541" t="s">
        <v>10422</v>
      </c>
      <c r="AE541" t="s">
        <v>10423</v>
      </c>
      <c r="AF541" t="s">
        <v>74</v>
      </c>
      <c r="AG541">
        <v>0</v>
      </c>
      <c r="AH541">
        <v>0</v>
      </c>
      <c r="AI541">
        <v>0</v>
      </c>
      <c r="AJ541">
        <v>0</v>
      </c>
      <c r="AK541">
        <v>0</v>
      </c>
      <c r="AL541" t="s">
        <v>638</v>
      </c>
      <c r="AM541" t="s">
        <v>639</v>
      </c>
      <c r="AN541" t="s">
        <v>640</v>
      </c>
      <c r="AO541" t="s">
        <v>10424</v>
      </c>
      <c r="AP541" t="s">
        <v>74</v>
      </c>
      <c r="AQ541" t="s">
        <v>10425</v>
      </c>
      <c r="AR541" t="s">
        <v>10426</v>
      </c>
      <c r="AS541" t="s">
        <v>74</v>
      </c>
      <c r="AT541" t="s">
        <v>74</v>
      </c>
      <c r="AU541">
        <v>2023</v>
      </c>
      <c r="AV541" t="s">
        <v>74</v>
      </c>
      <c r="AW541" t="s">
        <v>74</v>
      </c>
      <c r="AX541" t="s">
        <v>74</v>
      </c>
      <c r="AY541" t="s">
        <v>74</v>
      </c>
      <c r="AZ541" t="s">
        <v>74</v>
      </c>
      <c r="BA541" t="s">
        <v>74</v>
      </c>
      <c r="BB541">
        <v>320</v>
      </c>
      <c r="BC541">
        <v>326</v>
      </c>
      <c r="BD541" t="s">
        <v>74</v>
      </c>
      <c r="BE541" t="s">
        <v>10427</v>
      </c>
      <c r="BF541" t="str">
        <f>HYPERLINK("http://dx.doi.org/10.1109/ICCD58817.2023.00056","http://dx.doi.org/10.1109/ICCD58817.2023.00056")</f>
        <v>http://dx.doi.org/10.1109/ICCD58817.2023.00056</v>
      </c>
      <c r="BG541" t="s">
        <v>74</v>
      </c>
      <c r="BH541" t="s">
        <v>74</v>
      </c>
      <c r="BI541">
        <v>7</v>
      </c>
      <c r="BJ541" t="s">
        <v>10428</v>
      </c>
      <c r="BK541" t="s">
        <v>98</v>
      </c>
      <c r="BL541" t="s">
        <v>99</v>
      </c>
      <c r="BM541" t="s">
        <v>10429</v>
      </c>
      <c r="BN541" t="s">
        <v>74</v>
      </c>
      <c r="BO541" t="s">
        <v>74</v>
      </c>
      <c r="BP541" t="s">
        <v>74</v>
      </c>
      <c r="BQ541" t="s">
        <v>74</v>
      </c>
      <c r="BR541" t="s">
        <v>101</v>
      </c>
      <c r="BS541" t="s">
        <v>10430</v>
      </c>
      <c r="BT541" t="str">
        <f>HYPERLINK("https%3A%2F%2Fwww.webofscience.com%2Fwos%2Fwoscc%2Ffull-record%2FWOS:001146866200046","View Full Record in Web of Science")</f>
        <v>View Full Record in Web of Science</v>
      </c>
    </row>
    <row r="542" spans="1:72" x14ac:dyDescent="0.2">
      <c r="A542" t="s">
        <v>103</v>
      </c>
      <c r="B542" t="s">
        <v>10431</v>
      </c>
      <c r="C542" t="s">
        <v>74</v>
      </c>
      <c r="D542" t="s">
        <v>74</v>
      </c>
      <c r="E542" t="s">
        <v>74</v>
      </c>
      <c r="F542" t="s">
        <v>10432</v>
      </c>
      <c r="G542" t="s">
        <v>74</v>
      </c>
      <c r="H542" t="s">
        <v>74</v>
      </c>
      <c r="I542" t="s">
        <v>10433</v>
      </c>
      <c r="J542" t="s">
        <v>6611</v>
      </c>
      <c r="K542" t="s">
        <v>74</v>
      </c>
      <c r="L542" t="s">
        <v>74</v>
      </c>
      <c r="M542" t="s">
        <v>79</v>
      </c>
      <c r="N542" t="s">
        <v>108</v>
      </c>
      <c r="O542" t="s">
        <v>74</v>
      </c>
      <c r="P542" t="s">
        <v>74</v>
      </c>
      <c r="Q542" t="s">
        <v>74</v>
      </c>
      <c r="R542" t="s">
        <v>74</v>
      </c>
      <c r="S542" t="s">
        <v>74</v>
      </c>
      <c r="T542" t="s">
        <v>10434</v>
      </c>
      <c r="U542" t="s">
        <v>10435</v>
      </c>
      <c r="V542" t="s">
        <v>10436</v>
      </c>
      <c r="W542" t="s">
        <v>10437</v>
      </c>
      <c r="X542" t="s">
        <v>10438</v>
      </c>
      <c r="Y542" t="s">
        <v>10439</v>
      </c>
      <c r="Z542" t="s">
        <v>10440</v>
      </c>
      <c r="AA542" t="s">
        <v>74</v>
      </c>
      <c r="AB542" t="s">
        <v>10441</v>
      </c>
      <c r="AC542" t="s">
        <v>10442</v>
      </c>
      <c r="AD542" t="s">
        <v>10443</v>
      </c>
      <c r="AE542" t="s">
        <v>10444</v>
      </c>
      <c r="AF542" t="s">
        <v>74</v>
      </c>
      <c r="AG542">
        <v>67</v>
      </c>
      <c r="AH542">
        <v>15</v>
      </c>
      <c r="AI542">
        <v>16</v>
      </c>
      <c r="AJ542">
        <v>89</v>
      </c>
      <c r="AK542">
        <v>117</v>
      </c>
      <c r="AL542" t="s">
        <v>638</v>
      </c>
      <c r="AM542" t="s">
        <v>639</v>
      </c>
      <c r="AN542" t="s">
        <v>1557</v>
      </c>
      <c r="AO542" t="s">
        <v>6621</v>
      </c>
      <c r="AP542" t="s">
        <v>6622</v>
      </c>
      <c r="AQ542" t="s">
        <v>74</v>
      </c>
      <c r="AR542" t="s">
        <v>6623</v>
      </c>
      <c r="AS542" t="s">
        <v>6624</v>
      </c>
      <c r="AT542" t="s">
        <v>791</v>
      </c>
      <c r="AU542">
        <v>2023</v>
      </c>
      <c r="AV542">
        <v>45</v>
      </c>
      <c r="AW542">
        <v>8</v>
      </c>
      <c r="AX542" t="s">
        <v>74</v>
      </c>
      <c r="AY542" t="s">
        <v>74</v>
      </c>
      <c r="AZ542" t="s">
        <v>74</v>
      </c>
      <c r="BA542" t="s">
        <v>74</v>
      </c>
      <c r="BB542">
        <v>9774</v>
      </c>
      <c r="BC542">
        <v>9788</v>
      </c>
      <c r="BD542" t="s">
        <v>74</v>
      </c>
      <c r="BE542" t="s">
        <v>10445</v>
      </c>
      <c r="BF542" t="str">
        <f>HYPERLINK("http://dx.doi.org/10.1109/TPAMI.2023.3237896","http://dx.doi.org/10.1109/TPAMI.2023.3237896")</f>
        <v>http://dx.doi.org/10.1109/TPAMI.2023.3237896</v>
      </c>
      <c r="BG542" t="s">
        <v>74</v>
      </c>
      <c r="BH542" t="s">
        <v>74</v>
      </c>
      <c r="BI542">
        <v>15</v>
      </c>
      <c r="BJ542" t="s">
        <v>6627</v>
      </c>
      <c r="BK542" t="s">
        <v>130</v>
      </c>
      <c r="BL542" t="s">
        <v>906</v>
      </c>
      <c r="BM542" t="s">
        <v>10446</v>
      </c>
      <c r="BN542">
        <v>37021864</v>
      </c>
      <c r="BO542" t="s">
        <v>646</v>
      </c>
      <c r="BP542" t="s">
        <v>74</v>
      </c>
      <c r="BQ542" t="s">
        <v>74</v>
      </c>
      <c r="BR542" t="s">
        <v>101</v>
      </c>
      <c r="BS542" t="s">
        <v>10447</v>
      </c>
      <c r="BT542" t="str">
        <f>HYPERLINK("https%3A%2F%2Fwww.webofscience.com%2Fwos%2Fwoscc%2Ffull-record%2FWOS:001022958600033","View Full Record in Web of Science")</f>
        <v>View Full Record in Web of Science</v>
      </c>
    </row>
    <row r="543" spans="1:72" x14ac:dyDescent="0.2">
      <c r="A543" t="s">
        <v>103</v>
      </c>
      <c r="B543" t="s">
        <v>10448</v>
      </c>
      <c r="C543" t="s">
        <v>74</v>
      </c>
      <c r="D543" t="s">
        <v>74</v>
      </c>
      <c r="E543" t="s">
        <v>74</v>
      </c>
      <c r="F543" t="s">
        <v>10449</v>
      </c>
      <c r="G543" t="s">
        <v>74</v>
      </c>
      <c r="H543" t="s">
        <v>74</v>
      </c>
      <c r="I543" t="s">
        <v>10450</v>
      </c>
      <c r="J543" t="s">
        <v>10451</v>
      </c>
      <c r="K543" t="s">
        <v>74</v>
      </c>
      <c r="L543" t="s">
        <v>74</v>
      </c>
      <c r="M543" t="s">
        <v>79</v>
      </c>
      <c r="N543" t="s">
        <v>108</v>
      </c>
      <c r="O543" t="s">
        <v>74</v>
      </c>
      <c r="P543" t="s">
        <v>74</v>
      </c>
      <c r="Q543" t="s">
        <v>74</v>
      </c>
      <c r="R543" t="s">
        <v>74</v>
      </c>
      <c r="S543" t="s">
        <v>74</v>
      </c>
      <c r="T543" t="s">
        <v>10452</v>
      </c>
      <c r="U543" t="s">
        <v>74</v>
      </c>
      <c r="V543" t="s">
        <v>10453</v>
      </c>
      <c r="W543" t="s">
        <v>10454</v>
      </c>
      <c r="X543" t="s">
        <v>10455</v>
      </c>
      <c r="Y543" t="s">
        <v>10456</v>
      </c>
      <c r="Z543" t="s">
        <v>10457</v>
      </c>
      <c r="AA543" t="s">
        <v>10458</v>
      </c>
      <c r="AB543" t="s">
        <v>10459</v>
      </c>
      <c r="AC543" t="s">
        <v>74</v>
      </c>
      <c r="AD543" t="s">
        <v>74</v>
      </c>
      <c r="AE543" t="s">
        <v>74</v>
      </c>
      <c r="AF543" t="s">
        <v>74</v>
      </c>
      <c r="AG543">
        <v>54</v>
      </c>
      <c r="AH543">
        <v>1</v>
      </c>
      <c r="AI543">
        <v>1</v>
      </c>
      <c r="AJ543">
        <v>10</v>
      </c>
      <c r="AK543">
        <v>33</v>
      </c>
      <c r="AL543" t="s">
        <v>10460</v>
      </c>
      <c r="AM543" t="s">
        <v>10461</v>
      </c>
      <c r="AN543" t="s">
        <v>10462</v>
      </c>
      <c r="AO543" t="s">
        <v>10463</v>
      </c>
      <c r="AP543" t="s">
        <v>10464</v>
      </c>
      <c r="AQ543" t="s">
        <v>74</v>
      </c>
      <c r="AR543" t="s">
        <v>10465</v>
      </c>
      <c r="AS543" t="s">
        <v>10466</v>
      </c>
      <c r="AT543" t="s">
        <v>10467</v>
      </c>
      <c r="AU543">
        <v>2023</v>
      </c>
      <c r="AV543">
        <v>44</v>
      </c>
      <c r="AW543">
        <v>1</v>
      </c>
      <c r="AX543" t="s">
        <v>74</v>
      </c>
      <c r="AY543" t="s">
        <v>74</v>
      </c>
      <c r="AZ543" t="s">
        <v>74</v>
      </c>
      <c r="BA543" t="s">
        <v>74</v>
      </c>
      <c r="BB543">
        <v>131</v>
      </c>
      <c r="BC543">
        <v>148</v>
      </c>
      <c r="BD543" t="s">
        <v>74</v>
      </c>
      <c r="BE543" t="s">
        <v>74</v>
      </c>
      <c r="BF543" t="s">
        <v>74</v>
      </c>
      <c r="BG543" t="s">
        <v>74</v>
      </c>
      <c r="BH543" t="s">
        <v>74</v>
      </c>
      <c r="BI543">
        <v>18</v>
      </c>
      <c r="BJ543" t="s">
        <v>5242</v>
      </c>
      <c r="BK543" t="s">
        <v>352</v>
      </c>
      <c r="BL543" t="s">
        <v>2823</v>
      </c>
      <c r="BM543" t="s">
        <v>10468</v>
      </c>
      <c r="BN543" t="s">
        <v>74</v>
      </c>
      <c r="BO543" t="s">
        <v>74</v>
      </c>
      <c r="BP543" t="s">
        <v>74</v>
      </c>
      <c r="BQ543" t="s">
        <v>74</v>
      </c>
      <c r="BR543" t="s">
        <v>101</v>
      </c>
      <c r="BS543" t="s">
        <v>10469</v>
      </c>
      <c r="BT543" t="str">
        <f>HYPERLINK("https%3A%2F%2Fwww.webofscience.com%2Fwos%2Fwoscc%2Ffull-record%2FWOS:000964892400006","View Full Record in Web of Science")</f>
        <v>View Full Record in Web of Science</v>
      </c>
    </row>
    <row r="544" spans="1:72" x14ac:dyDescent="0.2">
      <c r="A544" t="s">
        <v>103</v>
      </c>
      <c r="B544" t="s">
        <v>10470</v>
      </c>
      <c r="C544" t="s">
        <v>74</v>
      </c>
      <c r="D544" t="s">
        <v>74</v>
      </c>
      <c r="E544" t="s">
        <v>74</v>
      </c>
      <c r="F544" t="s">
        <v>10471</v>
      </c>
      <c r="G544" t="s">
        <v>74</v>
      </c>
      <c r="H544" t="s">
        <v>74</v>
      </c>
      <c r="I544" t="s">
        <v>10472</v>
      </c>
      <c r="J544" t="s">
        <v>10473</v>
      </c>
      <c r="K544" t="s">
        <v>74</v>
      </c>
      <c r="L544" t="s">
        <v>74</v>
      </c>
      <c r="M544" t="s">
        <v>79</v>
      </c>
      <c r="N544" t="s">
        <v>108</v>
      </c>
      <c r="O544" t="s">
        <v>74</v>
      </c>
      <c r="P544" t="s">
        <v>74</v>
      </c>
      <c r="Q544" t="s">
        <v>74</v>
      </c>
      <c r="R544" t="s">
        <v>74</v>
      </c>
      <c r="S544" t="s">
        <v>74</v>
      </c>
      <c r="T544" t="s">
        <v>10474</v>
      </c>
      <c r="U544" t="s">
        <v>74</v>
      </c>
      <c r="V544" t="s">
        <v>10475</v>
      </c>
      <c r="W544" t="s">
        <v>10476</v>
      </c>
      <c r="X544" t="s">
        <v>10477</v>
      </c>
      <c r="Y544" t="s">
        <v>10478</v>
      </c>
      <c r="Z544" t="s">
        <v>10479</v>
      </c>
      <c r="AA544" t="s">
        <v>10480</v>
      </c>
      <c r="AB544" t="s">
        <v>10481</v>
      </c>
      <c r="AC544" t="s">
        <v>74</v>
      </c>
      <c r="AD544" t="s">
        <v>74</v>
      </c>
      <c r="AE544" t="s">
        <v>74</v>
      </c>
      <c r="AF544" t="s">
        <v>74</v>
      </c>
      <c r="AG544">
        <v>17</v>
      </c>
      <c r="AH544">
        <v>4</v>
      </c>
      <c r="AI544">
        <v>4</v>
      </c>
      <c r="AJ544">
        <v>97</v>
      </c>
      <c r="AK544">
        <v>128</v>
      </c>
      <c r="AL544" t="s">
        <v>483</v>
      </c>
      <c r="AM544" t="s">
        <v>484</v>
      </c>
      <c r="AN544" t="s">
        <v>485</v>
      </c>
      <c r="AO544" t="s">
        <v>10482</v>
      </c>
      <c r="AP544" t="s">
        <v>10483</v>
      </c>
      <c r="AQ544" t="s">
        <v>74</v>
      </c>
      <c r="AR544" t="s">
        <v>10484</v>
      </c>
      <c r="AS544" t="s">
        <v>10485</v>
      </c>
      <c r="AT544" t="s">
        <v>10486</v>
      </c>
      <c r="AU544">
        <v>2024</v>
      </c>
      <c r="AV544">
        <v>18</v>
      </c>
      <c r="AW544">
        <v>1</v>
      </c>
      <c r="AX544" t="s">
        <v>74</v>
      </c>
      <c r="AY544" t="s">
        <v>74</v>
      </c>
      <c r="AZ544" t="s">
        <v>253</v>
      </c>
      <c r="BA544" t="s">
        <v>74</v>
      </c>
      <c r="BB544">
        <v>31</v>
      </c>
      <c r="BC544">
        <v>37</v>
      </c>
      <c r="BD544" t="s">
        <v>74</v>
      </c>
      <c r="BE544" t="s">
        <v>10487</v>
      </c>
      <c r="BF544" t="str">
        <f>HYPERLINK("http://dx.doi.org/10.1108/JRIM-06-2023-0176","http://dx.doi.org/10.1108/JRIM-06-2023-0176")</f>
        <v>http://dx.doi.org/10.1108/JRIM-06-2023-0176</v>
      </c>
      <c r="BG544" t="s">
        <v>74</v>
      </c>
      <c r="BH544" t="s">
        <v>255</v>
      </c>
      <c r="BI544">
        <v>7</v>
      </c>
      <c r="BJ544" t="s">
        <v>492</v>
      </c>
      <c r="BK544" t="s">
        <v>159</v>
      </c>
      <c r="BL544" t="s">
        <v>470</v>
      </c>
      <c r="BM544" t="s">
        <v>10488</v>
      </c>
      <c r="BN544" t="s">
        <v>74</v>
      </c>
      <c r="BO544" t="s">
        <v>74</v>
      </c>
      <c r="BP544" t="s">
        <v>74</v>
      </c>
      <c r="BQ544" t="s">
        <v>74</v>
      </c>
      <c r="BR544" t="s">
        <v>101</v>
      </c>
      <c r="BS544" t="s">
        <v>10489</v>
      </c>
      <c r="BT544" t="str">
        <f>HYPERLINK("https%3A%2F%2Fwww.webofscience.com%2Fwos%2Fwoscc%2Ffull-record%2FWOS:001041119600001","View Full Record in Web of Science")</f>
        <v>View Full Record in Web of Science</v>
      </c>
    </row>
    <row r="545" spans="1:72" x14ac:dyDescent="0.2">
      <c r="A545" t="s">
        <v>103</v>
      </c>
      <c r="B545" t="s">
        <v>10490</v>
      </c>
      <c r="C545" t="s">
        <v>74</v>
      </c>
      <c r="D545" t="s">
        <v>74</v>
      </c>
      <c r="E545" t="s">
        <v>74</v>
      </c>
      <c r="F545" t="s">
        <v>10491</v>
      </c>
      <c r="G545" t="s">
        <v>74</v>
      </c>
      <c r="H545" t="s">
        <v>74</v>
      </c>
      <c r="I545" t="s">
        <v>10492</v>
      </c>
      <c r="J545" t="s">
        <v>10493</v>
      </c>
      <c r="K545" t="s">
        <v>74</v>
      </c>
      <c r="L545" t="s">
        <v>74</v>
      </c>
      <c r="M545" t="s">
        <v>79</v>
      </c>
      <c r="N545" t="s">
        <v>108</v>
      </c>
      <c r="O545" t="s">
        <v>74</v>
      </c>
      <c r="P545" t="s">
        <v>74</v>
      </c>
      <c r="Q545" t="s">
        <v>74</v>
      </c>
      <c r="R545" t="s">
        <v>74</v>
      </c>
      <c r="S545" t="s">
        <v>74</v>
      </c>
      <c r="T545" t="s">
        <v>10494</v>
      </c>
      <c r="U545" t="s">
        <v>498</v>
      </c>
      <c r="V545" t="s">
        <v>10495</v>
      </c>
      <c r="W545" t="s">
        <v>10496</v>
      </c>
      <c r="X545" t="s">
        <v>10497</v>
      </c>
      <c r="Y545" t="s">
        <v>10498</v>
      </c>
      <c r="Z545" t="s">
        <v>10499</v>
      </c>
      <c r="AA545" t="s">
        <v>10500</v>
      </c>
      <c r="AB545" t="s">
        <v>10501</v>
      </c>
      <c r="AC545" t="s">
        <v>10502</v>
      </c>
      <c r="AD545" t="s">
        <v>10503</v>
      </c>
      <c r="AE545" t="s">
        <v>10504</v>
      </c>
      <c r="AF545" t="s">
        <v>74</v>
      </c>
      <c r="AG545">
        <v>24</v>
      </c>
      <c r="AH545">
        <v>1</v>
      </c>
      <c r="AI545">
        <v>1</v>
      </c>
      <c r="AJ545">
        <v>10</v>
      </c>
      <c r="AK545">
        <v>10</v>
      </c>
      <c r="AL545" t="s">
        <v>5985</v>
      </c>
      <c r="AM545" t="s">
        <v>1451</v>
      </c>
      <c r="AN545" t="s">
        <v>5986</v>
      </c>
      <c r="AO545" t="s">
        <v>10505</v>
      </c>
      <c r="AP545" t="s">
        <v>10506</v>
      </c>
      <c r="AQ545" t="s">
        <v>74</v>
      </c>
      <c r="AR545" t="s">
        <v>10507</v>
      </c>
      <c r="AS545" t="s">
        <v>10508</v>
      </c>
      <c r="AT545" t="s">
        <v>2497</v>
      </c>
      <c r="AU545">
        <v>2023</v>
      </c>
      <c r="AV545">
        <v>98</v>
      </c>
      <c r="AW545">
        <v>12</v>
      </c>
      <c r="AX545" t="s">
        <v>74</v>
      </c>
      <c r="AY545" t="s">
        <v>74</v>
      </c>
      <c r="AZ545" t="s">
        <v>74</v>
      </c>
      <c r="BA545" t="s">
        <v>74</v>
      </c>
      <c r="BB545" t="s">
        <v>74</v>
      </c>
      <c r="BC545" t="s">
        <v>74</v>
      </c>
      <c r="BD545">
        <v>126006</v>
      </c>
      <c r="BE545" t="s">
        <v>10509</v>
      </c>
      <c r="BF545" t="str">
        <f>HYPERLINK("http://dx.doi.org/10.1088/1402-4896/ad0bb4","http://dx.doi.org/10.1088/1402-4896/ad0bb4")</f>
        <v>http://dx.doi.org/10.1088/1402-4896/ad0bb4</v>
      </c>
      <c r="BG545" t="s">
        <v>74</v>
      </c>
      <c r="BH545" t="s">
        <v>74</v>
      </c>
      <c r="BI545">
        <v>18</v>
      </c>
      <c r="BJ545" t="s">
        <v>10510</v>
      </c>
      <c r="BK545" t="s">
        <v>130</v>
      </c>
      <c r="BL545" t="s">
        <v>6827</v>
      </c>
      <c r="BM545" t="s">
        <v>10511</v>
      </c>
      <c r="BN545" t="s">
        <v>74</v>
      </c>
      <c r="BO545" t="s">
        <v>74</v>
      </c>
      <c r="BP545" t="s">
        <v>74</v>
      </c>
      <c r="BQ545" t="s">
        <v>74</v>
      </c>
      <c r="BR545" t="s">
        <v>101</v>
      </c>
      <c r="BS545" t="s">
        <v>10512</v>
      </c>
      <c r="BT545" t="str">
        <f>HYPERLINK("https%3A%2F%2Fwww.webofscience.com%2Fwos%2Fwoscc%2Ffull-record%2FWOS:001106557900001","View Full Record in Web of Science")</f>
        <v>View Full Record in Web of Science</v>
      </c>
    </row>
    <row r="546" spans="1:72" x14ac:dyDescent="0.2">
      <c r="A546" t="s">
        <v>103</v>
      </c>
      <c r="B546" t="s">
        <v>10513</v>
      </c>
      <c r="C546" t="s">
        <v>74</v>
      </c>
      <c r="D546" t="s">
        <v>74</v>
      </c>
      <c r="E546" t="s">
        <v>74</v>
      </c>
      <c r="F546" t="s">
        <v>10514</v>
      </c>
      <c r="G546" t="s">
        <v>74</v>
      </c>
      <c r="H546" t="s">
        <v>74</v>
      </c>
      <c r="I546" t="s">
        <v>10515</v>
      </c>
      <c r="J546" t="s">
        <v>8386</v>
      </c>
      <c r="K546" t="s">
        <v>74</v>
      </c>
      <c r="L546" t="s">
        <v>74</v>
      </c>
      <c r="M546" t="s">
        <v>79</v>
      </c>
      <c r="N546" t="s">
        <v>108</v>
      </c>
      <c r="O546" t="s">
        <v>74</v>
      </c>
      <c r="P546" t="s">
        <v>74</v>
      </c>
      <c r="Q546" t="s">
        <v>74</v>
      </c>
      <c r="R546" t="s">
        <v>74</v>
      </c>
      <c r="S546" t="s">
        <v>74</v>
      </c>
      <c r="T546" t="s">
        <v>10516</v>
      </c>
      <c r="U546" t="s">
        <v>74</v>
      </c>
      <c r="V546" t="s">
        <v>10517</v>
      </c>
      <c r="W546" t="s">
        <v>10518</v>
      </c>
      <c r="X546" t="s">
        <v>74</v>
      </c>
      <c r="Y546" t="s">
        <v>10519</v>
      </c>
      <c r="Z546" t="s">
        <v>10520</v>
      </c>
      <c r="AA546" t="s">
        <v>10521</v>
      </c>
      <c r="AB546" t="s">
        <v>10522</v>
      </c>
      <c r="AC546" t="s">
        <v>74</v>
      </c>
      <c r="AD546" t="s">
        <v>74</v>
      </c>
      <c r="AE546" t="s">
        <v>74</v>
      </c>
      <c r="AF546" t="s">
        <v>74</v>
      </c>
      <c r="AG546">
        <v>5</v>
      </c>
      <c r="AH546">
        <v>0</v>
      </c>
      <c r="AI546">
        <v>0</v>
      </c>
      <c r="AJ546">
        <v>50</v>
      </c>
      <c r="AK546">
        <v>50</v>
      </c>
      <c r="AL546" t="s">
        <v>2377</v>
      </c>
      <c r="AM546" t="s">
        <v>738</v>
      </c>
      <c r="AN546" t="s">
        <v>2378</v>
      </c>
      <c r="AO546" t="s">
        <v>8396</v>
      </c>
      <c r="AP546" t="s">
        <v>8397</v>
      </c>
      <c r="AQ546" t="s">
        <v>74</v>
      </c>
      <c r="AR546" t="s">
        <v>8398</v>
      </c>
      <c r="AS546" t="s">
        <v>8399</v>
      </c>
      <c r="AT546" t="s">
        <v>10523</v>
      </c>
      <c r="AU546">
        <v>2024</v>
      </c>
      <c r="AV546">
        <v>46</v>
      </c>
      <c r="AW546">
        <v>3</v>
      </c>
      <c r="AX546" t="s">
        <v>74</v>
      </c>
      <c r="AY546" t="s">
        <v>74</v>
      </c>
      <c r="AZ546" t="s">
        <v>74</v>
      </c>
      <c r="BA546" t="s">
        <v>74</v>
      </c>
      <c r="BB546">
        <v>320</v>
      </c>
      <c r="BC546">
        <v>322</v>
      </c>
      <c r="BD546" t="s">
        <v>74</v>
      </c>
      <c r="BE546" t="s">
        <v>10524</v>
      </c>
      <c r="BF546" t="str">
        <f>HYPERLINK("http://dx.doi.org/10.1080/0142159X.2023.2290997","http://dx.doi.org/10.1080/0142159X.2023.2290997")</f>
        <v>http://dx.doi.org/10.1080/0142159X.2023.2290997</v>
      </c>
      <c r="BG546" t="s">
        <v>74</v>
      </c>
      <c r="BH546" t="s">
        <v>128</v>
      </c>
      <c r="BI546">
        <v>3</v>
      </c>
      <c r="BJ546" t="s">
        <v>8402</v>
      </c>
      <c r="BK546" t="s">
        <v>130</v>
      </c>
      <c r="BL546" t="s">
        <v>8403</v>
      </c>
      <c r="BM546" t="s">
        <v>10525</v>
      </c>
      <c r="BN546">
        <v>38149617</v>
      </c>
      <c r="BO546" t="s">
        <v>1237</v>
      </c>
      <c r="BP546" t="s">
        <v>74</v>
      </c>
      <c r="BQ546" t="s">
        <v>74</v>
      </c>
      <c r="BR546" t="s">
        <v>101</v>
      </c>
      <c r="BS546" t="s">
        <v>10526</v>
      </c>
      <c r="BT546" t="str">
        <f>HYPERLINK("https%3A%2F%2Fwww.webofscience.com%2Fwos%2Fwoscc%2Ffull-record%2FWOS:001132117900001","View Full Record in Web of Science")</f>
        <v>View Full Record in Web of Science</v>
      </c>
    </row>
    <row r="547" spans="1:72" x14ac:dyDescent="0.2">
      <c r="A547" t="s">
        <v>103</v>
      </c>
      <c r="B547" t="s">
        <v>10527</v>
      </c>
      <c r="C547" t="s">
        <v>74</v>
      </c>
      <c r="D547" t="s">
        <v>74</v>
      </c>
      <c r="E547" t="s">
        <v>74</v>
      </c>
      <c r="F547" t="s">
        <v>10528</v>
      </c>
      <c r="G547" t="s">
        <v>74</v>
      </c>
      <c r="H547" t="s">
        <v>74</v>
      </c>
      <c r="I547" t="s">
        <v>10529</v>
      </c>
      <c r="J547" t="s">
        <v>4167</v>
      </c>
      <c r="K547" t="s">
        <v>74</v>
      </c>
      <c r="L547" t="s">
        <v>74</v>
      </c>
      <c r="M547" t="s">
        <v>79</v>
      </c>
      <c r="N547" t="s">
        <v>108</v>
      </c>
      <c r="O547" t="s">
        <v>74</v>
      </c>
      <c r="P547" t="s">
        <v>74</v>
      </c>
      <c r="Q547" t="s">
        <v>74</v>
      </c>
      <c r="R547" t="s">
        <v>74</v>
      </c>
      <c r="S547" t="s">
        <v>74</v>
      </c>
      <c r="T547" t="s">
        <v>10530</v>
      </c>
      <c r="U547" t="s">
        <v>10531</v>
      </c>
      <c r="V547" t="s">
        <v>10532</v>
      </c>
      <c r="W547" t="s">
        <v>10533</v>
      </c>
      <c r="X547" t="s">
        <v>10534</v>
      </c>
      <c r="Y547" t="s">
        <v>10535</v>
      </c>
      <c r="Z547" t="s">
        <v>10536</v>
      </c>
      <c r="AA547" t="s">
        <v>10537</v>
      </c>
      <c r="AB547" t="s">
        <v>10538</v>
      </c>
      <c r="AC547" t="s">
        <v>74</v>
      </c>
      <c r="AD547" t="s">
        <v>74</v>
      </c>
      <c r="AE547" t="s">
        <v>74</v>
      </c>
      <c r="AF547" t="s">
        <v>74</v>
      </c>
      <c r="AG547">
        <v>63</v>
      </c>
      <c r="AH547">
        <v>26</v>
      </c>
      <c r="AI547">
        <v>27</v>
      </c>
      <c r="AJ547">
        <v>54</v>
      </c>
      <c r="AK547">
        <v>83</v>
      </c>
      <c r="AL547" t="s">
        <v>4176</v>
      </c>
      <c r="AM547" t="s">
        <v>4177</v>
      </c>
      <c r="AN547" t="s">
        <v>4178</v>
      </c>
      <c r="AO547" t="s">
        <v>4179</v>
      </c>
      <c r="AP547" t="s">
        <v>74</v>
      </c>
      <c r="AQ547" t="s">
        <v>74</v>
      </c>
      <c r="AR547" t="s">
        <v>4180</v>
      </c>
      <c r="AS547" t="s">
        <v>4181</v>
      </c>
      <c r="AT547" t="s">
        <v>74</v>
      </c>
      <c r="AU547">
        <v>2023</v>
      </c>
      <c r="AV547">
        <v>9</v>
      </c>
      <c r="AW547" t="s">
        <v>74</v>
      </c>
      <c r="AX547" t="s">
        <v>74</v>
      </c>
      <c r="AY547" t="s">
        <v>74</v>
      </c>
      <c r="AZ547" t="s">
        <v>74</v>
      </c>
      <c r="BA547" t="s">
        <v>74</v>
      </c>
      <c r="BB547" t="s">
        <v>74</v>
      </c>
      <c r="BC547" t="s">
        <v>74</v>
      </c>
      <c r="BD547" t="s">
        <v>10539</v>
      </c>
      <c r="BE547" t="s">
        <v>10540</v>
      </c>
      <c r="BF547" t="str">
        <f>HYPERLINK("http://dx.doi.org/10.2196/48291","http://dx.doi.org/10.2196/48291")</f>
        <v>http://dx.doi.org/10.2196/48291</v>
      </c>
      <c r="BG547" t="s">
        <v>74</v>
      </c>
      <c r="BH547" t="s">
        <v>74</v>
      </c>
      <c r="BI547">
        <v>11</v>
      </c>
      <c r="BJ547" t="s">
        <v>3308</v>
      </c>
      <c r="BK547" t="s">
        <v>352</v>
      </c>
      <c r="BL547" t="s">
        <v>423</v>
      </c>
      <c r="BM547" t="s">
        <v>10541</v>
      </c>
      <c r="BN547">
        <v>37261894</v>
      </c>
      <c r="BO547" t="s">
        <v>4185</v>
      </c>
      <c r="BP547" t="s">
        <v>74</v>
      </c>
      <c r="BQ547" t="s">
        <v>74</v>
      </c>
      <c r="BR547" t="s">
        <v>101</v>
      </c>
      <c r="BS547" t="s">
        <v>10542</v>
      </c>
      <c r="BT547" t="str">
        <f>HYPERLINK("https%3A%2F%2Fwww.webofscience.com%2Fwos%2Fwoscc%2Ffull-record%2FWOS:001019068500001","View Full Record in Web of Science")</f>
        <v>View Full Record in Web of Science</v>
      </c>
    </row>
    <row r="548" spans="1:72" x14ac:dyDescent="0.2">
      <c r="A548" t="s">
        <v>103</v>
      </c>
      <c r="B548" t="s">
        <v>10543</v>
      </c>
      <c r="C548" t="s">
        <v>74</v>
      </c>
      <c r="D548" t="s">
        <v>74</v>
      </c>
      <c r="E548" t="s">
        <v>74</v>
      </c>
      <c r="F548" t="s">
        <v>10544</v>
      </c>
      <c r="G548" t="s">
        <v>74</v>
      </c>
      <c r="H548" t="s">
        <v>74</v>
      </c>
      <c r="I548" t="s">
        <v>10545</v>
      </c>
      <c r="J548" t="s">
        <v>1698</v>
      </c>
      <c r="K548" t="s">
        <v>74</v>
      </c>
      <c r="L548" t="s">
        <v>74</v>
      </c>
      <c r="M548" t="s">
        <v>79</v>
      </c>
      <c r="N548" t="s">
        <v>108</v>
      </c>
      <c r="O548" t="s">
        <v>74</v>
      </c>
      <c r="P548" t="s">
        <v>74</v>
      </c>
      <c r="Q548" t="s">
        <v>74</v>
      </c>
      <c r="R548" t="s">
        <v>74</v>
      </c>
      <c r="S548" t="s">
        <v>74</v>
      </c>
      <c r="T548" t="s">
        <v>10546</v>
      </c>
      <c r="U548" t="s">
        <v>10547</v>
      </c>
      <c r="V548" t="s">
        <v>10548</v>
      </c>
      <c r="W548" t="s">
        <v>10549</v>
      </c>
      <c r="X548" t="s">
        <v>10550</v>
      </c>
      <c r="Y548" t="s">
        <v>10551</v>
      </c>
      <c r="Z548" t="s">
        <v>10552</v>
      </c>
      <c r="AA548" t="s">
        <v>74</v>
      </c>
      <c r="AB548" t="s">
        <v>10553</v>
      </c>
      <c r="AC548" t="s">
        <v>5072</v>
      </c>
      <c r="AD548" t="s">
        <v>5072</v>
      </c>
      <c r="AE548" t="s">
        <v>5072</v>
      </c>
      <c r="AF548" t="s">
        <v>74</v>
      </c>
      <c r="AG548">
        <v>52</v>
      </c>
      <c r="AH548">
        <v>1</v>
      </c>
      <c r="AI548">
        <v>1</v>
      </c>
      <c r="AJ548">
        <v>150</v>
      </c>
      <c r="AK548">
        <v>150</v>
      </c>
      <c r="AL548" t="s">
        <v>343</v>
      </c>
      <c r="AM548" t="s">
        <v>93</v>
      </c>
      <c r="AN548" t="s">
        <v>344</v>
      </c>
      <c r="AO548" t="s">
        <v>1705</v>
      </c>
      <c r="AP548" t="s">
        <v>74</v>
      </c>
      <c r="AQ548" t="s">
        <v>74</v>
      </c>
      <c r="AR548" t="s">
        <v>1706</v>
      </c>
      <c r="AS548" t="s">
        <v>1707</v>
      </c>
      <c r="AT548" t="s">
        <v>9410</v>
      </c>
      <c r="AU548">
        <v>2023</v>
      </c>
      <c r="AV548">
        <v>20</v>
      </c>
      <c r="AW548">
        <v>1</v>
      </c>
      <c r="AX548" t="s">
        <v>74</v>
      </c>
      <c r="AY548" t="s">
        <v>74</v>
      </c>
      <c r="AZ548" t="s">
        <v>74</v>
      </c>
      <c r="BA548" t="s">
        <v>74</v>
      </c>
      <c r="BB548" t="s">
        <v>74</v>
      </c>
      <c r="BC548" t="s">
        <v>74</v>
      </c>
      <c r="BD548">
        <v>59</v>
      </c>
      <c r="BE548" t="s">
        <v>10554</v>
      </c>
      <c r="BF548" t="str">
        <f>HYPERLINK("http://dx.doi.org/10.1186/s41239-023-00427-0","http://dx.doi.org/10.1186/s41239-023-00427-0")</f>
        <v>http://dx.doi.org/10.1186/s41239-023-00427-0</v>
      </c>
      <c r="BG548" t="s">
        <v>74</v>
      </c>
      <c r="BH548" t="s">
        <v>74</v>
      </c>
      <c r="BI548">
        <v>24</v>
      </c>
      <c r="BJ548" t="s">
        <v>423</v>
      </c>
      <c r="BK548" t="s">
        <v>159</v>
      </c>
      <c r="BL548" t="s">
        <v>423</v>
      </c>
      <c r="BM548" t="s">
        <v>10555</v>
      </c>
      <c r="BN548" t="s">
        <v>74</v>
      </c>
      <c r="BO548" t="s">
        <v>425</v>
      </c>
      <c r="BP548" t="s">
        <v>74</v>
      </c>
      <c r="BQ548" t="s">
        <v>74</v>
      </c>
      <c r="BR548" t="s">
        <v>101</v>
      </c>
      <c r="BS548" t="s">
        <v>10556</v>
      </c>
      <c r="BT548" t="str">
        <f>HYPERLINK("https%3A%2F%2Fwww.webofscience.com%2Fwos%2Fwoscc%2Ffull-record%2FWOS:001099156200001","View Full Record in Web of Science")</f>
        <v>View Full Record in Web of Science</v>
      </c>
    </row>
    <row r="549" spans="1:72" x14ac:dyDescent="0.2">
      <c r="A549" t="s">
        <v>72</v>
      </c>
      <c r="B549" t="s">
        <v>10557</v>
      </c>
      <c r="C549" t="s">
        <v>74</v>
      </c>
      <c r="D549" t="s">
        <v>4124</v>
      </c>
      <c r="E549" t="s">
        <v>74</v>
      </c>
      <c r="F549" t="s">
        <v>10558</v>
      </c>
      <c r="G549" t="s">
        <v>74</v>
      </c>
      <c r="H549" t="s">
        <v>74</v>
      </c>
      <c r="I549" t="s">
        <v>10559</v>
      </c>
      <c r="J549" t="s">
        <v>4127</v>
      </c>
      <c r="K549" t="s">
        <v>4128</v>
      </c>
      <c r="L549" t="s">
        <v>74</v>
      </c>
      <c r="M549" t="s">
        <v>79</v>
      </c>
      <c r="N549" t="s">
        <v>80</v>
      </c>
      <c r="O549" t="s">
        <v>4129</v>
      </c>
      <c r="P549" t="s">
        <v>4130</v>
      </c>
      <c r="Q549" t="s">
        <v>4131</v>
      </c>
      <c r="R549" t="s">
        <v>4132</v>
      </c>
      <c r="S549" t="s">
        <v>74</v>
      </c>
      <c r="T549" t="s">
        <v>10560</v>
      </c>
      <c r="U549" t="s">
        <v>74</v>
      </c>
      <c r="V549" t="s">
        <v>10561</v>
      </c>
      <c r="W549" t="s">
        <v>10562</v>
      </c>
      <c r="X549" t="s">
        <v>10563</v>
      </c>
      <c r="Y549" t="s">
        <v>10564</v>
      </c>
      <c r="Z549" t="s">
        <v>74</v>
      </c>
      <c r="AA549" t="s">
        <v>74</v>
      </c>
      <c r="AB549" t="s">
        <v>74</v>
      </c>
      <c r="AC549" t="s">
        <v>10565</v>
      </c>
      <c r="AD549" t="s">
        <v>10566</v>
      </c>
      <c r="AE549" t="s">
        <v>10567</v>
      </c>
      <c r="AF549" t="s">
        <v>74</v>
      </c>
      <c r="AG549">
        <v>14</v>
      </c>
      <c r="AH549">
        <v>0</v>
      </c>
      <c r="AI549">
        <v>0</v>
      </c>
      <c r="AJ549">
        <v>0</v>
      </c>
      <c r="AK549">
        <v>0</v>
      </c>
      <c r="AL549" t="s">
        <v>284</v>
      </c>
      <c r="AM549" t="s">
        <v>93</v>
      </c>
      <c r="AN549" t="s">
        <v>299</v>
      </c>
      <c r="AO549" t="s">
        <v>4144</v>
      </c>
      <c r="AP549" t="s">
        <v>74</v>
      </c>
      <c r="AQ549" t="s">
        <v>4145</v>
      </c>
      <c r="AR549" t="s">
        <v>4146</v>
      </c>
      <c r="AS549" t="s">
        <v>74</v>
      </c>
      <c r="AT549" t="s">
        <v>74</v>
      </c>
      <c r="AU549">
        <v>2023</v>
      </c>
      <c r="AV549" t="s">
        <v>74</v>
      </c>
      <c r="AW549" t="s">
        <v>74</v>
      </c>
      <c r="AX549" t="s">
        <v>74</v>
      </c>
      <c r="AY549" t="s">
        <v>74</v>
      </c>
      <c r="AZ549" t="s">
        <v>74</v>
      </c>
      <c r="BA549" t="s">
        <v>74</v>
      </c>
      <c r="BB549" t="s">
        <v>74</v>
      </c>
      <c r="BC549" t="s">
        <v>74</v>
      </c>
      <c r="BD549" t="s">
        <v>74</v>
      </c>
      <c r="BE549" t="s">
        <v>74</v>
      </c>
      <c r="BF549" t="s">
        <v>74</v>
      </c>
      <c r="BG549" t="s">
        <v>74</v>
      </c>
      <c r="BH549" t="s">
        <v>74</v>
      </c>
      <c r="BI549">
        <v>5</v>
      </c>
      <c r="BJ549" t="s">
        <v>1385</v>
      </c>
      <c r="BK549" t="s">
        <v>98</v>
      </c>
      <c r="BL549" t="s">
        <v>1386</v>
      </c>
      <c r="BM549" t="s">
        <v>4147</v>
      </c>
      <c r="BN549" t="s">
        <v>74</v>
      </c>
      <c r="BO549" t="s">
        <v>74</v>
      </c>
      <c r="BP549" t="s">
        <v>74</v>
      </c>
      <c r="BQ549" t="s">
        <v>74</v>
      </c>
      <c r="BR549" t="s">
        <v>101</v>
      </c>
      <c r="BS549" t="s">
        <v>10568</v>
      </c>
      <c r="BT549" t="str">
        <f>HYPERLINK("https%3A%2F%2Fwww.webofscience.com%2Fwos%2Fwoscc%2Ffull-record%2FWOS:001117985100071","View Full Record in Web of Science")</f>
        <v>View Full Record in Web of Science</v>
      </c>
    </row>
    <row r="550" spans="1:72" x14ac:dyDescent="0.2">
      <c r="A550" t="s">
        <v>72</v>
      </c>
      <c r="B550" t="s">
        <v>10569</v>
      </c>
      <c r="C550" t="s">
        <v>74</v>
      </c>
      <c r="D550" t="s">
        <v>74</v>
      </c>
      <c r="E550" t="s">
        <v>284</v>
      </c>
      <c r="F550" t="s">
        <v>10570</v>
      </c>
      <c r="G550" t="s">
        <v>74</v>
      </c>
      <c r="H550" t="s">
        <v>74</v>
      </c>
      <c r="I550" t="s">
        <v>10571</v>
      </c>
      <c r="J550" t="s">
        <v>10572</v>
      </c>
      <c r="K550" t="s">
        <v>10573</v>
      </c>
      <c r="L550" t="s">
        <v>74</v>
      </c>
      <c r="M550" t="s">
        <v>79</v>
      </c>
      <c r="N550" t="s">
        <v>80</v>
      </c>
      <c r="O550" t="s">
        <v>10574</v>
      </c>
      <c r="P550" t="s">
        <v>10575</v>
      </c>
      <c r="Q550" t="s">
        <v>10576</v>
      </c>
      <c r="R550" t="s">
        <v>284</v>
      </c>
      <c r="S550" t="s">
        <v>74</v>
      </c>
      <c r="T550" t="s">
        <v>10577</v>
      </c>
      <c r="U550" t="s">
        <v>74</v>
      </c>
      <c r="V550" t="s">
        <v>10578</v>
      </c>
      <c r="W550" t="s">
        <v>10579</v>
      </c>
      <c r="X550" t="s">
        <v>10580</v>
      </c>
      <c r="Y550" t="s">
        <v>10581</v>
      </c>
      <c r="Z550" t="s">
        <v>10582</v>
      </c>
      <c r="AA550" t="s">
        <v>74</v>
      </c>
      <c r="AB550" t="s">
        <v>74</v>
      </c>
      <c r="AC550" t="s">
        <v>10583</v>
      </c>
      <c r="AD550" t="s">
        <v>10584</v>
      </c>
      <c r="AE550" t="s">
        <v>10585</v>
      </c>
      <c r="AF550" t="s">
        <v>74</v>
      </c>
      <c r="AG550">
        <v>9</v>
      </c>
      <c r="AH550">
        <v>0</v>
      </c>
      <c r="AI550">
        <v>0</v>
      </c>
      <c r="AJ550">
        <v>0</v>
      </c>
      <c r="AK550">
        <v>0</v>
      </c>
      <c r="AL550" t="s">
        <v>284</v>
      </c>
      <c r="AM550" t="s">
        <v>93</v>
      </c>
      <c r="AN550" t="s">
        <v>299</v>
      </c>
      <c r="AO550" t="s">
        <v>10586</v>
      </c>
      <c r="AP550" t="s">
        <v>74</v>
      </c>
      <c r="AQ550" t="s">
        <v>10587</v>
      </c>
      <c r="AR550" t="s">
        <v>10588</v>
      </c>
      <c r="AS550" t="s">
        <v>74</v>
      </c>
      <c r="AT550" t="s">
        <v>74</v>
      </c>
      <c r="AU550">
        <v>2023</v>
      </c>
      <c r="AV550" t="s">
        <v>74</v>
      </c>
      <c r="AW550" t="s">
        <v>74</v>
      </c>
      <c r="AX550" t="s">
        <v>74</v>
      </c>
      <c r="AY550" t="s">
        <v>74</v>
      </c>
      <c r="AZ550" t="s">
        <v>74</v>
      </c>
      <c r="BA550" t="s">
        <v>74</v>
      </c>
      <c r="BB550" t="s">
        <v>74</v>
      </c>
      <c r="BC550" t="s">
        <v>74</v>
      </c>
      <c r="BD550" t="s">
        <v>74</v>
      </c>
      <c r="BE550" t="s">
        <v>10589</v>
      </c>
      <c r="BF550" t="str">
        <f>HYPERLINK("http://dx.doi.org/10.1109/SECON58729.2023.10287473","http://dx.doi.org/10.1109/SECON58729.2023.10287473")</f>
        <v>http://dx.doi.org/10.1109/SECON58729.2023.10287473</v>
      </c>
      <c r="BG550" t="s">
        <v>74</v>
      </c>
      <c r="BH550" t="s">
        <v>74</v>
      </c>
      <c r="BI550">
        <v>6</v>
      </c>
      <c r="BJ550" t="s">
        <v>10590</v>
      </c>
      <c r="BK550" t="s">
        <v>98</v>
      </c>
      <c r="BL550" t="s">
        <v>10591</v>
      </c>
      <c r="BM550" t="s">
        <v>10592</v>
      </c>
      <c r="BN550" t="s">
        <v>74</v>
      </c>
      <c r="BO550" t="s">
        <v>74</v>
      </c>
      <c r="BP550" t="s">
        <v>74</v>
      </c>
      <c r="BQ550" t="s">
        <v>74</v>
      </c>
      <c r="BR550" t="s">
        <v>101</v>
      </c>
      <c r="BS550" t="s">
        <v>10593</v>
      </c>
      <c r="BT550" t="str">
        <f>HYPERLINK("https%3A%2F%2Fwww.webofscience.com%2Fwos%2Fwoscc%2Ffull-record%2FWOS:001094863700021","View Full Record in Web of Science")</f>
        <v>View Full Record in Web of Science</v>
      </c>
    </row>
    <row r="551" spans="1:72" x14ac:dyDescent="0.2">
      <c r="A551" t="s">
        <v>72</v>
      </c>
      <c r="B551" t="s">
        <v>10594</v>
      </c>
      <c r="C551" t="s">
        <v>74</v>
      </c>
      <c r="D551" t="s">
        <v>8562</v>
      </c>
      <c r="E551" t="s">
        <v>74</v>
      </c>
      <c r="F551" t="s">
        <v>10595</v>
      </c>
      <c r="G551" t="s">
        <v>74</v>
      </c>
      <c r="H551" t="s">
        <v>74</v>
      </c>
      <c r="I551" t="s">
        <v>10596</v>
      </c>
      <c r="J551" t="s">
        <v>10597</v>
      </c>
      <c r="K551" t="s">
        <v>1034</v>
      </c>
      <c r="L551" t="s">
        <v>74</v>
      </c>
      <c r="M551" t="s">
        <v>79</v>
      </c>
      <c r="N551" t="s">
        <v>80</v>
      </c>
      <c r="O551" t="s">
        <v>8566</v>
      </c>
      <c r="P551" t="s">
        <v>8567</v>
      </c>
      <c r="Q551" t="s">
        <v>8568</v>
      </c>
      <c r="R551" t="s">
        <v>8569</v>
      </c>
      <c r="S551" t="s">
        <v>74</v>
      </c>
      <c r="T551" t="s">
        <v>10598</v>
      </c>
      <c r="U551" t="s">
        <v>74</v>
      </c>
      <c r="V551" t="s">
        <v>10599</v>
      </c>
      <c r="W551" t="s">
        <v>10600</v>
      </c>
      <c r="X551" t="s">
        <v>10601</v>
      </c>
      <c r="Y551" t="s">
        <v>10602</v>
      </c>
      <c r="Z551" t="s">
        <v>10603</v>
      </c>
      <c r="AA551" t="s">
        <v>74</v>
      </c>
      <c r="AB551" t="s">
        <v>74</v>
      </c>
      <c r="AC551" t="s">
        <v>10604</v>
      </c>
      <c r="AD551" t="s">
        <v>6006</v>
      </c>
      <c r="AE551" t="s">
        <v>10605</v>
      </c>
      <c r="AF551" t="s">
        <v>74</v>
      </c>
      <c r="AG551">
        <v>23</v>
      </c>
      <c r="AH551">
        <v>1</v>
      </c>
      <c r="AI551">
        <v>1</v>
      </c>
      <c r="AJ551">
        <v>4</v>
      </c>
      <c r="AK551">
        <v>5</v>
      </c>
      <c r="AL551" t="s">
        <v>325</v>
      </c>
      <c r="AM551" t="s">
        <v>245</v>
      </c>
      <c r="AN551" t="s">
        <v>246</v>
      </c>
      <c r="AO551" t="s">
        <v>1042</v>
      </c>
      <c r="AP551" t="s">
        <v>327</v>
      </c>
      <c r="AQ551" t="s">
        <v>10606</v>
      </c>
      <c r="AR551" t="s">
        <v>1044</v>
      </c>
      <c r="AS551" t="s">
        <v>74</v>
      </c>
      <c r="AT551" t="s">
        <v>74</v>
      </c>
      <c r="AU551">
        <v>2023</v>
      </c>
      <c r="AV551">
        <v>13715</v>
      </c>
      <c r="AW551" t="s">
        <v>74</v>
      </c>
      <c r="AX551" t="s">
        <v>74</v>
      </c>
      <c r="AY551" t="s">
        <v>74</v>
      </c>
      <c r="AZ551" t="s">
        <v>74</v>
      </c>
      <c r="BA551" t="s">
        <v>74</v>
      </c>
      <c r="BB551">
        <v>323</v>
      </c>
      <c r="BC551">
        <v>339</v>
      </c>
      <c r="BD551" t="s">
        <v>74</v>
      </c>
      <c r="BE551" t="s">
        <v>10607</v>
      </c>
      <c r="BF551" t="str">
        <f>HYPERLINK("http://dx.doi.org/10.1007/978-3-031-26409-2_20","http://dx.doi.org/10.1007/978-3-031-26409-2_20")</f>
        <v>http://dx.doi.org/10.1007/978-3-031-26409-2_20</v>
      </c>
      <c r="BG551" t="s">
        <v>74</v>
      </c>
      <c r="BH551" t="s">
        <v>74</v>
      </c>
      <c r="BI551">
        <v>17</v>
      </c>
      <c r="BJ551" t="s">
        <v>331</v>
      </c>
      <c r="BK551" t="s">
        <v>98</v>
      </c>
      <c r="BL551" t="s">
        <v>99</v>
      </c>
      <c r="BM551" t="s">
        <v>10608</v>
      </c>
      <c r="BN551" t="s">
        <v>74</v>
      </c>
      <c r="BO551" t="s">
        <v>646</v>
      </c>
      <c r="BP551" t="s">
        <v>74</v>
      </c>
      <c r="BQ551" t="s">
        <v>74</v>
      </c>
      <c r="BR551" t="s">
        <v>101</v>
      </c>
      <c r="BS551" t="s">
        <v>10609</v>
      </c>
      <c r="BT551" t="str">
        <f>HYPERLINK("https%3A%2F%2Fwww.webofscience.com%2Fwos%2Fwoscc%2Ffull-record%2FWOS:000999043300020","View Full Record in Web of Science")</f>
        <v>View Full Record in Web of Science</v>
      </c>
    </row>
    <row r="552" spans="1:72" x14ac:dyDescent="0.2">
      <c r="A552" t="s">
        <v>103</v>
      </c>
      <c r="B552" t="s">
        <v>10610</v>
      </c>
      <c r="C552" t="s">
        <v>74</v>
      </c>
      <c r="D552" t="s">
        <v>74</v>
      </c>
      <c r="E552" t="s">
        <v>74</v>
      </c>
      <c r="F552" t="s">
        <v>10611</v>
      </c>
      <c r="G552" t="s">
        <v>74</v>
      </c>
      <c r="H552" t="s">
        <v>74</v>
      </c>
      <c r="I552" t="s">
        <v>10612</v>
      </c>
      <c r="J552" t="s">
        <v>10613</v>
      </c>
      <c r="K552" t="s">
        <v>74</v>
      </c>
      <c r="L552" t="s">
        <v>74</v>
      </c>
      <c r="M552" t="s">
        <v>79</v>
      </c>
      <c r="N552" t="s">
        <v>108</v>
      </c>
      <c r="O552" t="s">
        <v>74</v>
      </c>
      <c r="P552" t="s">
        <v>74</v>
      </c>
      <c r="Q552" t="s">
        <v>74</v>
      </c>
      <c r="R552" t="s">
        <v>74</v>
      </c>
      <c r="S552" t="s">
        <v>74</v>
      </c>
      <c r="T552" t="s">
        <v>10614</v>
      </c>
      <c r="U552" t="s">
        <v>74</v>
      </c>
      <c r="V552" t="s">
        <v>10615</v>
      </c>
      <c r="W552" t="s">
        <v>10616</v>
      </c>
      <c r="X552" t="s">
        <v>10617</v>
      </c>
      <c r="Y552" t="s">
        <v>10618</v>
      </c>
      <c r="Z552" t="s">
        <v>10619</v>
      </c>
      <c r="AA552" t="s">
        <v>10620</v>
      </c>
      <c r="AB552" t="s">
        <v>10621</v>
      </c>
      <c r="AC552" t="s">
        <v>10622</v>
      </c>
      <c r="AD552" t="s">
        <v>74</v>
      </c>
      <c r="AE552" t="s">
        <v>10623</v>
      </c>
      <c r="AF552" t="s">
        <v>74</v>
      </c>
      <c r="AG552">
        <v>44</v>
      </c>
      <c r="AH552">
        <v>0</v>
      </c>
      <c r="AI552">
        <v>0</v>
      </c>
      <c r="AJ552">
        <v>3</v>
      </c>
      <c r="AK552">
        <v>6</v>
      </c>
      <c r="AL552" t="s">
        <v>939</v>
      </c>
      <c r="AM552" t="s">
        <v>940</v>
      </c>
      <c r="AN552" t="s">
        <v>941</v>
      </c>
      <c r="AO552" t="s">
        <v>10624</v>
      </c>
      <c r="AP552" t="s">
        <v>74</v>
      </c>
      <c r="AQ552" t="s">
        <v>74</v>
      </c>
      <c r="AR552" t="s">
        <v>10613</v>
      </c>
      <c r="AS552" t="s">
        <v>10625</v>
      </c>
      <c r="AT552" t="s">
        <v>2582</v>
      </c>
      <c r="AU552">
        <v>2023</v>
      </c>
      <c r="AV552">
        <v>12</v>
      </c>
      <c r="AW552">
        <v>6</v>
      </c>
      <c r="AX552" t="s">
        <v>74</v>
      </c>
      <c r="AY552" t="s">
        <v>74</v>
      </c>
      <c r="AZ552" t="s">
        <v>74</v>
      </c>
      <c r="BA552" t="s">
        <v>74</v>
      </c>
      <c r="BB552" t="s">
        <v>74</v>
      </c>
      <c r="BC552" t="s">
        <v>74</v>
      </c>
      <c r="BD552">
        <v>119</v>
      </c>
      <c r="BE552" t="s">
        <v>10626</v>
      </c>
      <c r="BF552" t="str">
        <f>HYPERLINK("http://dx.doi.org/10.3390/computers12060119","http://dx.doi.org/10.3390/computers12060119")</f>
        <v>http://dx.doi.org/10.3390/computers12060119</v>
      </c>
      <c r="BG552" t="s">
        <v>74</v>
      </c>
      <c r="BH552" t="s">
        <v>74</v>
      </c>
      <c r="BI552">
        <v>17</v>
      </c>
      <c r="BJ552" t="s">
        <v>351</v>
      </c>
      <c r="BK552" t="s">
        <v>352</v>
      </c>
      <c r="BL552" t="s">
        <v>99</v>
      </c>
      <c r="BM552" t="s">
        <v>10627</v>
      </c>
      <c r="BN552" t="s">
        <v>74</v>
      </c>
      <c r="BO552" t="s">
        <v>425</v>
      </c>
      <c r="BP552" t="s">
        <v>74</v>
      </c>
      <c r="BQ552" t="s">
        <v>74</v>
      </c>
      <c r="BR552" t="s">
        <v>101</v>
      </c>
      <c r="BS552" t="s">
        <v>10628</v>
      </c>
      <c r="BT552" t="str">
        <f>HYPERLINK("https%3A%2F%2Fwww.webofscience.com%2Fwos%2Fwoscc%2Ffull-record%2FWOS:001014371000001","View Full Record in Web of Science")</f>
        <v>View Full Record in Web of Science</v>
      </c>
    </row>
    <row r="553" spans="1:72" x14ac:dyDescent="0.2">
      <c r="A553" t="s">
        <v>103</v>
      </c>
      <c r="B553" t="s">
        <v>10629</v>
      </c>
      <c r="C553" t="s">
        <v>74</v>
      </c>
      <c r="D553" t="s">
        <v>74</v>
      </c>
      <c r="E553" t="s">
        <v>74</v>
      </c>
      <c r="F553" t="s">
        <v>10630</v>
      </c>
      <c r="G553" t="s">
        <v>74</v>
      </c>
      <c r="H553" t="s">
        <v>74</v>
      </c>
      <c r="I553" t="s">
        <v>10631</v>
      </c>
      <c r="J553" t="s">
        <v>10632</v>
      </c>
      <c r="K553" t="s">
        <v>74</v>
      </c>
      <c r="L553" t="s">
        <v>74</v>
      </c>
      <c r="M553" t="s">
        <v>79</v>
      </c>
      <c r="N553" t="s">
        <v>108</v>
      </c>
      <c r="O553" t="s">
        <v>74</v>
      </c>
      <c r="P553" t="s">
        <v>74</v>
      </c>
      <c r="Q553" t="s">
        <v>74</v>
      </c>
      <c r="R553" t="s">
        <v>74</v>
      </c>
      <c r="S553" t="s">
        <v>74</v>
      </c>
      <c r="T553" t="s">
        <v>74</v>
      </c>
      <c r="U553" t="s">
        <v>10633</v>
      </c>
      <c r="V553" t="s">
        <v>10634</v>
      </c>
      <c r="W553" t="s">
        <v>10635</v>
      </c>
      <c r="X553" t="s">
        <v>10636</v>
      </c>
      <c r="Y553" t="s">
        <v>10637</v>
      </c>
      <c r="Z553" t="s">
        <v>10638</v>
      </c>
      <c r="AA553" t="s">
        <v>74</v>
      </c>
      <c r="AB553" t="s">
        <v>74</v>
      </c>
      <c r="AC553" t="s">
        <v>10639</v>
      </c>
      <c r="AD553" t="s">
        <v>5504</v>
      </c>
      <c r="AE553" t="s">
        <v>10640</v>
      </c>
      <c r="AF553" t="s">
        <v>74</v>
      </c>
      <c r="AG553">
        <v>80</v>
      </c>
      <c r="AH553">
        <v>0</v>
      </c>
      <c r="AI553">
        <v>0</v>
      </c>
      <c r="AJ553">
        <v>3</v>
      </c>
      <c r="AK553">
        <v>3</v>
      </c>
      <c r="AL553" t="s">
        <v>3165</v>
      </c>
      <c r="AM553" t="s">
        <v>3166</v>
      </c>
      <c r="AN553" t="s">
        <v>3167</v>
      </c>
      <c r="AO553" t="s">
        <v>10641</v>
      </c>
      <c r="AP553" t="s">
        <v>10642</v>
      </c>
      <c r="AQ553" t="s">
        <v>74</v>
      </c>
      <c r="AR553" t="s">
        <v>10643</v>
      </c>
      <c r="AS553" t="s">
        <v>10644</v>
      </c>
      <c r="AT553" t="s">
        <v>251</v>
      </c>
      <c r="AU553">
        <v>2024</v>
      </c>
      <c r="AV553">
        <v>77</v>
      </c>
      <c r="AW553">
        <v>2</v>
      </c>
      <c r="AX553" t="s">
        <v>74</v>
      </c>
      <c r="AY553" t="s">
        <v>74</v>
      </c>
      <c r="AZ553" t="s">
        <v>74</v>
      </c>
      <c r="BA553" t="s">
        <v>74</v>
      </c>
      <c r="BB553">
        <v>1147</v>
      </c>
      <c r="BC553">
        <v>1223</v>
      </c>
      <c r="BD553" t="s">
        <v>74</v>
      </c>
      <c r="BE553" t="s">
        <v>10645</v>
      </c>
      <c r="BF553" t="str">
        <f>HYPERLINK("http://dx.doi.org/10.1002/cpa.22155","http://dx.doi.org/10.1002/cpa.22155")</f>
        <v>http://dx.doi.org/10.1002/cpa.22155</v>
      </c>
      <c r="BG553" t="s">
        <v>74</v>
      </c>
      <c r="BH553" t="s">
        <v>278</v>
      </c>
      <c r="BI553">
        <v>77</v>
      </c>
      <c r="BJ553" t="s">
        <v>10646</v>
      </c>
      <c r="BK553" t="s">
        <v>130</v>
      </c>
      <c r="BL553" t="s">
        <v>5858</v>
      </c>
      <c r="BM553" t="s">
        <v>10647</v>
      </c>
      <c r="BN553" t="s">
        <v>74</v>
      </c>
      <c r="BO553" t="s">
        <v>646</v>
      </c>
      <c r="BP553" t="s">
        <v>74</v>
      </c>
      <c r="BQ553" t="s">
        <v>74</v>
      </c>
      <c r="BR553" t="s">
        <v>101</v>
      </c>
      <c r="BS553" t="s">
        <v>10648</v>
      </c>
      <c r="BT553" t="str">
        <f>HYPERLINK("https%3A%2F%2Fwww.webofscience.com%2Fwos%2Fwoscc%2Ffull-record%2FWOS:001062231500001","View Full Record in Web of Science")</f>
        <v>View Full Record in Web of Science</v>
      </c>
    </row>
    <row r="554" spans="1:72" x14ac:dyDescent="0.2">
      <c r="A554" t="s">
        <v>72</v>
      </c>
      <c r="B554" t="s">
        <v>10649</v>
      </c>
      <c r="C554" t="s">
        <v>74</v>
      </c>
      <c r="D554" t="s">
        <v>74</v>
      </c>
      <c r="E554" t="s">
        <v>284</v>
      </c>
      <c r="F554" t="s">
        <v>10650</v>
      </c>
      <c r="G554" t="s">
        <v>74</v>
      </c>
      <c r="H554" t="s">
        <v>74</v>
      </c>
      <c r="I554" t="s">
        <v>10651</v>
      </c>
      <c r="J554" t="s">
        <v>10100</v>
      </c>
      <c r="K554" t="s">
        <v>8246</v>
      </c>
      <c r="L554" t="s">
        <v>74</v>
      </c>
      <c r="M554" t="s">
        <v>79</v>
      </c>
      <c r="N554" t="s">
        <v>80</v>
      </c>
      <c r="O554" t="s">
        <v>8247</v>
      </c>
      <c r="P554" t="s">
        <v>8248</v>
      </c>
      <c r="Q554" t="s">
        <v>6017</v>
      </c>
      <c r="R554" t="s">
        <v>8249</v>
      </c>
      <c r="S554" t="s">
        <v>74</v>
      </c>
      <c r="T554" t="s">
        <v>74</v>
      </c>
      <c r="U554" t="s">
        <v>74</v>
      </c>
      <c r="V554" t="s">
        <v>10652</v>
      </c>
      <c r="W554" t="s">
        <v>10653</v>
      </c>
      <c r="X554" t="s">
        <v>10654</v>
      </c>
      <c r="Y554" t="s">
        <v>10655</v>
      </c>
      <c r="Z554" t="s">
        <v>10656</v>
      </c>
      <c r="AA554" t="s">
        <v>10657</v>
      </c>
      <c r="AB554" t="s">
        <v>10658</v>
      </c>
      <c r="AC554" t="s">
        <v>10659</v>
      </c>
      <c r="AD554" t="s">
        <v>10660</v>
      </c>
      <c r="AE554" t="s">
        <v>10661</v>
      </c>
      <c r="AF554" t="s">
        <v>74</v>
      </c>
      <c r="AG554">
        <v>50</v>
      </c>
      <c r="AH554">
        <v>0</v>
      </c>
      <c r="AI554">
        <v>0</v>
      </c>
      <c r="AJ554">
        <v>1</v>
      </c>
      <c r="AK554">
        <v>1</v>
      </c>
      <c r="AL554" t="s">
        <v>638</v>
      </c>
      <c r="AM554" t="s">
        <v>639</v>
      </c>
      <c r="AN554" t="s">
        <v>640</v>
      </c>
      <c r="AO554" t="s">
        <v>8260</v>
      </c>
      <c r="AP554" t="s">
        <v>74</v>
      </c>
      <c r="AQ554" t="s">
        <v>8261</v>
      </c>
      <c r="AR554" t="s">
        <v>8262</v>
      </c>
      <c r="AS554" t="s">
        <v>74</v>
      </c>
      <c r="AT554" t="s">
        <v>74</v>
      </c>
      <c r="AU554">
        <v>2023</v>
      </c>
      <c r="AV554" t="s">
        <v>74</v>
      </c>
      <c r="AW554" t="s">
        <v>74</v>
      </c>
      <c r="AX554" t="s">
        <v>74</v>
      </c>
      <c r="AY554" t="s">
        <v>74</v>
      </c>
      <c r="AZ554" t="s">
        <v>74</v>
      </c>
      <c r="BA554" t="s">
        <v>74</v>
      </c>
      <c r="BB554">
        <v>437</v>
      </c>
      <c r="BC554">
        <v>447</v>
      </c>
      <c r="BD554" t="s">
        <v>74</v>
      </c>
      <c r="BE554" t="s">
        <v>10662</v>
      </c>
      <c r="BF554" t="str">
        <f>HYPERLINK("http://dx.doi.org/10.1109/CVPR52729.2023.00050","http://dx.doi.org/10.1109/CVPR52729.2023.00050")</f>
        <v>http://dx.doi.org/10.1109/CVPR52729.2023.00050</v>
      </c>
      <c r="BG554" t="s">
        <v>74</v>
      </c>
      <c r="BH554" t="s">
        <v>74</v>
      </c>
      <c r="BI554">
        <v>11</v>
      </c>
      <c r="BJ554" t="s">
        <v>10109</v>
      </c>
      <c r="BK554" t="s">
        <v>98</v>
      </c>
      <c r="BL554" t="s">
        <v>99</v>
      </c>
      <c r="BM554" t="s">
        <v>10110</v>
      </c>
      <c r="BN554" t="s">
        <v>74</v>
      </c>
      <c r="BO554" t="s">
        <v>646</v>
      </c>
      <c r="BP554" t="s">
        <v>74</v>
      </c>
      <c r="BQ554" t="s">
        <v>74</v>
      </c>
      <c r="BR554" t="s">
        <v>101</v>
      </c>
      <c r="BS554" t="s">
        <v>10663</v>
      </c>
      <c r="BT554" t="str">
        <f>HYPERLINK("https%3A%2F%2Fwww.webofscience.com%2Fwos%2Fwoscc%2Ffull-record%2FWOS:001058542600042","View Full Record in Web of Science")</f>
        <v>View Full Record in Web of Science</v>
      </c>
    </row>
    <row r="555" spans="1:72" x14ac:dyDescent="0.2">
      <c r="A555" t="s">
        <v>103</v>
      </c>
      <c r="B555" t="s">
        <v>10664</v>
      </c>
      <c r="C555" t="s">
        <v>74</v>
      </c>
      <c r="D555" t="s">
        <v>74</v>
      </c>
      <c r="E555" t="s">
        <v>74</v>
      </c>
      <c r="F555" t="s">
        <v>10665</v>
      </c>
      <c r="G555" t="s">
        <v>74</v>
      </c>
      <c r="H555" t="s">
        <v>74</v>
      </c>
      <c r="I555" t="s">
        <v>10666</v>
      </c>
      <c r="J555" t="s">
        <v>10667</v>
      </c>
      <c r="K555" t="s">
        <v>74</v>
      </c>
      <c r="L555" t="s">
        <v>74</v>
      </c>
      <c r="M555" t="s">
        <v>79</v>
      </c>
      <c r="N555" t="s">
        <v>108</v>
      </c>
      <c r="O555" t="s">
        <v>74</v>
      </c>
      <c r="P555" t="s">
        <v>74</v>
      </c>
      <c r="Q555" t="s">
        <v>74</v>
      </c>
      <c r="R555" t="s">
        <v>74</v>
      </c>
      <c r="S555" t="s">
        <v>74</v>
      </c>
      <c r="T555" t="s">
        <v>74</v>
      </c>
      <c r="U555" t="s">
        <v>10668</v>
      </c>
      <c r="V555" t="s">
        <v>10669</v>
      </c>
      <c r="W555" t="s">
        <v>10670</v>
      </c>
      <c r="X555" t="s">
        <v>10671</v>
      </c>
      <c r="Y555" t="s">
        <v>10672</v>
      </c>
      <c r="Z555" t="s">
        <v>10673</v>
      </c>
      <c r="AA555" t="s">
        <v>10674</v>
      </c>
      <c r="AB555" t="s">
        <v>10675</v>
      </c>
      <c r="AC555" t="s">
        <v>10676</v>
      </c>
      <c r="AD555" t="s">
        <v>10677</v>
      </c>
      <c r="AE555" t="s">
        <v>10678</v>
      </c>
      <c r="AF555" t="s">
        <v>74</v>
      </c>
      <c r="AG555">
        <v>139</v>
      </c>
      <c r="AH555">
        <v>2</v>
      </c>
      <c r="AI555">
        <v>2</v>
      </c>
      <c r="AJ555">
        <v>3</v>
      </c>
      <c r="AK555">
        <v>3</v>
      </c>
      <c r="AL555" t="s">
        <v>3202</v>
      </c>
      <c r="AM555" t="s">
        <v>120</v>
      </c>
      <c r="AN555" t="s">
        <v>3203</v>
      </c>
      <c r="AO555" t="s">
        <v>74</v>
      </c>
      <c r="AP555" t="s">
        <v>10679</v>
      </c>
      <c r="AQ555" t="s">
        <v>74</v>
      </c>
      <c r="AR555" t="s">
        <v>10667</v>
      </c>
      <c r="AS555" t="s">
        <v>10680</v>
      </c>
      <c r="AT555" t="s">
        <v>2016</v>
      </c>
      <c r="AU555">
        <v>2023</v>
      </c>
      <c r="AV555">
        <v>2</v>
      </c>
      <c r="AW555">
        <v>1</v>
      </c>
      <c r="AX555" t="s">
        <v>74</v>
      </c>
      <c r="AY555" t="s">
        <v>74</v>
      </c>
      <c r="AZ555" t="s">
        <v>74</v>
      </c>
      <c r="BA555" t="s">
        <v>74</v>
      </c>
      <c r="BB555" t="s">
        <v>74</v>
      </c>
      <c r="BC555" t="s">
        <v>74</v>
      </c>
      <c r="BD555" t="s">
        <v>74</v>
      </c>
      <c r="BE555" t="s">
        <v>10681</v>
      </c>
      <c r="BF555" t="str">
        <f>HYPERLINK("http://dx.doi.org/10.1093/pnasnexus/pgac265","http://dx.doi.org/10.1093/pnasnexus/pgac265")</f>
        <v>http://dx.doi.org/10.1093/pnasnexus/pgac265</v>
      </c>
      <c r="BG555" t="s">
        <v>74</v>
      </c>
      <c r="BH555" t="s">
        <v>74</v>
      </c>
      <c r="BI555">
        <v>12</v>
      </c>
      <c r="BJ555" t="s">
        <v>10682</v>
      </c>
      <c r="BK555" t="s">
        <v>352</v>
      </c>
      <c r="BL555" t="s">
        <v>10683</v>
      </c>
      <c r="BM555" t="s">
        <v>10684</v>
      </c>
      <c r="BN555">
        <v>36733294</v>
      </c>
      <c r="BO555" t="s">
        <v>4185</v>
      </c>
      <c r="BP555" t="s">
        <v>74</v>
      </c>
      <c r="BQ555" t="s">
        <v>74</v>
      </c>
      <c r="BR555" t="s">
        <v>101</v>
      </c>
      <c r="BS555" t="s">
        <v>10685</v>
      </c>
      <c r="BT555" t="str">
        <f>HYPERLINK("https%3A%2F%2Fwww.webofscience.com%2Fwos%2Fwoscc%2Ffull-record%2FWOS:001063362300001","View Full Record in Web of Science")</f>
        <v>View Full Record in Web of Science</v>
      </c>
    </row>
    <row r="556" spans="1:72" x14ac:dyDescent="0.2">
      <c r="A556" t="s">
        <v>103</v>
      </c>
      <c r="B556" t="s">
        <v>10686</v>
      </c>
      <c r="C556" t="s">
        <v>74</v>
      </c>
      <c r="D556" t="s">
        <v>74</v>
      </c>
      <c r="E556" t="s">
        <v>74</v>
      </c>
      <c r="F556" t="s">
        <v>10687</v>
      </c>
      <c r="G556" t="s">
        <v>74</v>
      </c>
      <c r="H556" t="s">
        <v>74</v>
      </c>
      <c r="I556" t="s">
        <v>10688</v>
      </c>
      <c r="J556" t="s">
        <v>10689</v>
      </c>
      <c r="K556" t="s">
        <v>74</v>
      </c>
      <c r="L556" t="s">
        <v>74</v>
      </c>
      <c r="M556" t="s">
        <v>79</v>
      </c>
      <c r="N556" t="s">
        <v>108</v>
      </c>
      <c r="O556" t="s">
        <v>74</v>
      </c>
      <c r="P556" t="s">
        <v>74</v>
      </c>
      <c r="Q556" t="s">
        <v>74</v>
      </c>
      <c r="R556" t="s">
        <v>74</v>
      </c>
      <c r="S556" t="s">
        <v>74</v>
      </c>
      <c r="T556" t="s">
        <v>10690</v>
      </c>
      <c r="U556" t="s">
        <v>5866</v>
      </c>
      <c r="V556" t="s">
        <v>10691</v>
      </c>
      <c r="W556" t="s">
        <v>10692</v>
      </c>
      <c r="X556" t="s">
        <v>10693</v>
      </c>
      <c r="Y556" t="s">
        <v>10694</v>
      </c>
      <c r="Z556" t="s">
        <v>10695</v>
      </c>
      <c r="AA556" t="s">
        <v>10696</v>
      </c>
      <c r="AB556" t="s">
        <v>10697</v>
      </c>
      <c r="AC556" t="s">
        <v>10698</v>
      </c>
      <c r="AD556" t="s">
        <v>10699</v>
      </c>
      <c r="AE556" t="s">
        <v>10700</v>
      </c>
      <c r="AF556" t="s">
        <v>74</v>
      </c>
      <c r="AG556">
        <v>138</v>
      </c>
      <c r="AH556">
        <v>0</v>
      </c>
      <c r="AI556">
        <v>0</v>
      </c>
      <c r="AJ556">
        <v>33</v>
      </c>
      <c r="AK556">
        <v>33</v>
      </c>
      <c r="AL556" t="s">
        <v>764</v>
      </c>
      <c r="AM556" t="s">
        <v>765</v>
      </c>
      <c r="AN556" t="s">
        <v>766</v>
      </c>
      <c r="AO556" t="s">
        <v>10701</v>
      </c>
      <c r="AP556" t="s">
        <v>10702</v>
      </c>
      <c r="AQ556" t="s">
        <v>74</v>
      </c>
      <c r="AR556" t="s">
        <v>10703</v>
      </c>
      <c r="AS556" t="s">
        <v>10704</v>
      </c>
      <c r="AT556" t="s">
        <v>126</v>
      </c>
      <c r="AU556">
        <v>2024</v>
      </c>
      <c r="AV556">
        <v>103</v>
      </c>
      <c r="AW556" t="s">
        <v>74</v>
      </c>
      <c r="AX556" t="s">
        <v>74</v>
      </c>
      <c r="AY556" t="s">
        <v>74</v>
      </c>
      <c r="AZ556" t="s">
        <v>74</v>
      </c>
      <c r="BA556" t="s">
        <v>74</v>
      </c>
      <c r="BB556" t="s">
        <v>74</v>
      </c>
      <c r="BC556" t="s">
        <v>74</v>
      </c>
      <c r="BD556">
        <v>102135</v>
      </c>
      <c r="BE556" t="s">
        <v>10705</v>
      </c>
      <c r="BF556" t="str">
        <f>HYPERLINK("http://dx.doi.org/10.1016/j.inffus.2023.102135","http://dx.doi.org/10.1016/j.inffus.2023.102135")</f>
        <v>http://dx.doi.org/10.1016/j.inffus.2023.102135</v>
      </c>
      <c r="BG556" t="s">
        <v>74</v>
      </c>
      <c r="BH556" t="s">
        <v>157</v>
      </c>
      <c r="BI556">
        <v>16</v>
      </c>
      <c r="BJ556" t="s">
        <v>331</v>
      </c>
      <c r="BK556" t="s">
        <v>130</v>
      </c>
      <c r="BL556" t="s">
        <v>99</v>
      </c>
      <c r="BM556" t="s">
        <v>10706</v>
      </c>
      <c r="BN556" t="s">
        <v>74</v>
      </c>
      <c r="BO556" t="s">
        <v>646</v>
      </c>
      <c r="BP556" t="s">
        <v>74</v>
      </c>
      <c r="BQ556" t="s">
        <v>74</v>
      </c>
      <c r="BR556" t="s">
        <v>101</v>
      </c>
      <c r="BS556" t="s">
        <v>10707</v>
      </c>
      <c r="BT556" t="str">
        <f>HYPERLINK("https%3A%2F%2Fwww.webofscience.com%2Fwos%2Fwoscc%2Ffull-record%2FWOS:001112351800001","View Full Record in Web of Science")</f>
        <v>View Full Record in Web of Science</v>
      </c>
    </row>
    <row r="557" spans="1:72" x14ac:dyDescent="0.2">
      <c r="A557" t="s">
        <v>103</v>
      </c>
      <c r="B557" t="s">
        <v>10708</v>
      </c>
      <c r="C557" t="s">
        <v>74</v>
      </c>
      <c r="D557" t="s">
        <v>74</v>
      </c>
      <c r="E557" t="s">
        <v>74</v>
      </c>
      <c r="F557" t="s">
        <v>10709</v>
      </c>
      <c r="G557" t="s">
        <v>74</v>
      </c>
      <c r="H557" t="s">
        <v>74</v>
      </c>
      <c r="I557" t="s">
        <v>10710</v>
      </c>
      <c r="J557" t="s">
        <v>10711</v>
      </c>
      <c r="K557" t="s">
        <v>74</v>
      </c>
      <c r="L557" t="s">
        <v>74</v>
      </c>
      <c r="M557" t="s">
        <v>79</v>
      </c>
      <c r="N557" t="s">
        <v>108</v>
      </c>
      <c r="O557" t="s">
        <v>74</v>
      </c>
      <c r="P557" t="s">
        <v>74</v>
      </c>
      <c r="Q557" t="s">
        <v>74</v>
      </c>
      <c r="R557" t="s">
        <v>74</v>
      </c>
      <c r="S557" t="s">
        <v>74</v>
      </c>
      <c r="T557" t="s">
        <v>74</v>
      </c>
      <c r="U557" t="s">
        <v>10712</v>
      </c>
      <c r="V557" t="s">
        <v>10713</v>
      </c>
      <c r="W557" t="s">
        <v>10714</v>
      </c>
      <c r="X557" t="s">
        <v>10715</v>
      </c>
      <c r="Y557" t="s">
        <v>10716</v>
      </c>
      <c r="Z557" t="s">
        <v>10717</v>
      </c>
      <c r="AA557" t="s">
        <v>10718</v>
      </c>
      <c r="AB557" t="s">
        <v>10719</v>
      </c>
      <c r="AC557" t="s">
        <v>10720</v>
      </c>
      <c r="AD557" t="s">
        <v>10721</v>
      </c>
      <c r="AE557" t="s">
        <v>10722</v>
      </c>
      <c r="AF557" t="s">
        <v>74</v>
      </c>
      <c r="AG557">
        <v>51</v>
      </c>
      <c r="AH557">
        <v>1</v>
      </c>
      <c r="AI557">
        <v>1</v>
      </c>
      <c r="AJ557">
        <v>2</v>
      </c>
      <c r="AK557">
        <v>2</v>
      </c>
      <c r="AL557" t="s">
        <v>1880</v>
      </c>
      <c r="AM557" t="s">
        <v>369</v>
      </c>
      <c r="AN557" t="s">
        <v>1881</v>
      </c>
      <c r="AO557" t="s">
        <v>10723</v>
      </c>
      <c r="AP557" t="s">
        <v>74</v>
      </c>
      <c r="AQ557" t="s">
        <v>74</v>
      </c>
      <c r="AR557" t="s">
        <v>10724</v>
      </c>
      <c r="AS557" t="s">
        <v>10725</v>
      </c>
      <c r="AT557" t="s">
        <v>10726</v>
      </c>
      <c r="AU557">
        <v>2023</v>
      </c>
      <c r="AV557">
        <v>13</v>
      </c>
      <c r="AW557">
        <v>1</v>
      </c>
      <c r="AX557" t="s">
        <v>74</v>
      </c>
      <c r="AY557" t="s">
        <v>74</v>
      </c>
      <c r="AZ557" t="s">
        <v>74</v>
      </c>
      <c r="BA557" t="s">
        <v>74</v>
      </c>
      <c r="BB557" t="s">
        <v>74</v>
      </c>
      <c r="BC557" t="s">
        <v>74</v>
      </c>
      <c r="BD557">
        <v>15666</v>
      </c>
      <c r="BE557" t="s">
        <v>10727</v>
      </c>
      <c r="BF557" t="str">
        <f>HYPERLINK("http://dx.doi.org/10.1038/s41598-023-42891-8","http://dx.doi.org/10.1038/s41598-023-42891-8")</f>
        <v>http://dx.doi.org/10.1038/s41598-023-42891-8</v>
      </c>
      <c r="BG557" t="s">
        <v>74</v>
      </c>
      <c r="BH557" t="s">
        <v>74</v>
      </c>
      <c r="BI557">
        <v>15</v>
      </c>
      <c r="BJ557" t="s">
        <v>5686</v>
      </c>
      <c r="BK557" t="s">
        <v>130</v>
      </c>
      <c r="BL557" t="s">
        <v>5687</v>
      </c>
      <c r="BM557" t="s">
        <v>10728</v>
      </c>
      <c r="BN557">
        <v>37731047</v>
      </c>
      <c r="BO557" t="s">
        <v>3503</v>
      </c>
      <c r="BP557" t="s">
        <v>74</v>
      </c>
      <c r="BQ557" t="s">
        <v>74</v>
      </c>
      <c r="BR557" t="s">
        <v>101</v>
      </c>
      <c r="BS557" t="s">
        <v>10729</v>
      </c>
      <c r="BT557" t="str">
        <f>HYPERLINK("https%3A%2F%2Fwww.webofscience.com%2Fwos%2Fwoscc%2Ffull-record%2FWOS:001097104800115","View Full Record in Web of Science")</f>
        <v>View Full Record in Web of Science</v>
      </c>
    </row>
    <row r="558" spans="1:72" x14ac:dyDescent="0.2">
      <c r="A558" t="s">
        <v>103</v>
      </c>
      <c r="B558" t="s">
        <v>10730</v>
      </c>
      <c r="C558" t="s">
        <v>74</v>
      </c>
      <c r="D558" t="s">
        <v>74</v>
      </c>
      <c r="E558" t="s">
        <v>74</v>
      </c>
      <c r="F558" t="s">
        <v>10731</v>
      </c>
      <c r="G558" t="s">
        <v>74</v>
      </c>
      <c r="H558" t="s">
        <v>74</v>
      </c>
      <c r="I558" t="s">
        <v>10732</v>
      </c>
      <c r="J558" t="s">
        <v>10733</v>
      </c>
      <c r="K558" t="s">
        <v>74</v>
      </c>
      <c r="L558" t="s">
        <v>74</v>
      </c>
      <c r="M558" t="s">
        <v>79</v>
      </c>
      <c r="N558" t="s">
        <v>108</v>
      </c>
      <c r="O558" t="s">
        <v>74</v>
      </c>
      <c r="P558" t="s">
        <v>74</v>
      </c>
      <c r="Q558" t="s">
        <v>74</v>
      </c>
      <c r="R558" t="s">
        <v>74</v>
      </c>
      <c r="S558" t="s">
        <v>74</v>
      </c>
      <c r="T558" t="s">
        <v>10734</v>
      </c>
      <c r="U558" t="s">
        <v>10735</v>
      </c>
      <c r="V558" t="s">
        <v>10736</v>
      </c>
      <c r="W558" t="s">
        <v>10737</v>
      </c>
      <c r="X558" t="s">
        <v>10738</v>
      </c>
      <c r="Y558" t="s">
        <v>10739</v>
      </c>
      <c r="Z558" t="s">
        <v>10740</v>
      </c>
      <c r="AA558" t="s">
        <v>10741</v>
      </c>
      <c r="AB558" t="s">
        <v>10742</v>
      </c>
      <c r="AC558" t="s">
        <v>74</v>
      </c>
      <c r="AD558" t="s">
        <v>74</v>
      </c>
      <c r="AE558" t="s">
        <v>74</v>
      </c>
      <c r="AF558" t="s">
        <v>74</v>
      </c>
      <c r="AG558">
        <v>92</v>
      </c>
      <c r="AH558">
        <v>0</v>
      </c>
      <c r="AI558">
        <v>0</v>
      </c>
      <c r="AJ558">
        <v>19</v>
      </c>
      <c r="AK558">
        <v>19</v>
      </c>
      <c r="AL558" t="s">
        <v>764</v>
      </c>
      <c r="AM558" t="s">
        <v>765</v>
      </c>
      <c r="AN558" t="s">
        <v>766</v>
      </c>
      <c r="AO558" t="s">
        <v>10743</v>
      </c>
      <c r="AP558" t="s">
        <v>10744</v>
      </c>
      <c r="AQ558" t="s">
        <v>74</v>
      </c>
      <c r="AR558" t="s">
        <v>10745</v>
      </c>
      <c r="AS558" t="s">
        <v>10746</v>
      </c>
      <c r="AT558" t="s">
        <v>467</v>
      </c>
      <c r="AU558">
        <v>2023</v>
      </c>
      <c r="AV558">
        <v>89</v>
      </c>
      <c r="AW558" t="s">
        <v>74</v>
      </c>
      <c r="AX558" t="s">
        <v>74</v>
      </c>
      <c r="AY558" t="s">
        <v>74</v>
      </c>
      <c r="AZ558" t="s">
        <v>74</v>
      </c>
      <c r="BA558" t="s">
        <v>74</v>
      </c>
      <c r="BB558" t="s">
        <v>74</v>
      </c>
      <c r="BC558" t="s">
        <v>74</v>
      </c>
      <c r="BD558">
        <v>102924</v>
      </c>
      <c r="BE558" t="s">
        <v>10747</v>
      </c>
      <c r="BF558" t="str">
        <f>HYPERLINK("http://dx.doi.org/10.1016/j.media.2023.102924","http://dx.doi.org/10.1016/j.media.2023.102924")</f>
        <v>http://dx.doi.org/10.1016/j.media.2023.102924</v>
      </c>
      <c r="BG558" t="s">
        <v>74</v>
      </c>
      <c r="BH558" t="s">
        <v>255</v>
      </c>
      <c r="BI558">
        <v>15</v>
      </c>
      <c r="BJ558" t="s">
        <v>10748</v>
      </c>
      <c r="BK558" t="s">
        <v>130</v>
      </c>
      <c r="BL558" t="s">
        <v>10749</v>
      </c>
      <c r="BM558" t="s">
        <v>10750</v>
      </c>
      <c r="BN558">
        <v>37597316</v>
      </c>
      <c r="BO558" t="s">
        <v>4286</v>
      </c>
      <c r="BP558" t="s">
        <v>74</v>
      </c>
      <c r="BQ558" t="s">
        <v>74</v>
      </c>
      <c r="BR558" t="s">
        <v>101</v>
      </c>
      <c r="BS558" t="s">
        <v>10751</v>
      </c>
      <c r="BT558" t="str">
        <f>HYPERLINK("https%3A%2F%2Fwww.webofscience.com%2Fwos%2Fwoscc%2Ffull-record%2FWOS:001122641500001","View Full Record in Web of Science")</f>
        <v>View Full Record in Web of Science</v>
      </c>
    </row>
    <row r="559" spans="1:72" x14ac:dyDescent="0.2">
      <c r="A559" t="s">
        <v>103</v>
      </c>
      <c r="B559" t="s">
        <v>10752</v>
      </c>
      <c r="C559" t="s">
        <v>74</v>
      </c>
      <c r="D559" t="s">
        <v>74</v>
      </c>
      <c r="E559" t="s">
        <v>74</v>
      </c>
      <c r="F559" t="s">
        <v>10753</v>
      </c>
      <c r="G559" t="s">
        <v>74</v>
      </c>
      <c r="H559" t="s">
        <v>74</v>
      </c>
      <c r="I559" t="s">
        <v>10754</v>
      </c>
      <c r="J559" t="s">
        <v>4413</v>
      </c>
      <c r="K559" t="s">
        <v>74</v>
      </c>
      <c r="L559" t="s">
        <v>74</v>
      </c>
      <c r="M559" t="s">
        <v>79</v>
      </c>
      <c r="N559" t="s">
        <v>108</v>
      </c>
      <c r="O559" t="s">
        <v>74</v>
      </c>
      <c r="P559" t="s">
        <v>74</v>
      </c>
      <c r="Q559" t="s">
        <v>74</v>
      </c>
      <c r="R559" t="s">
        <v>74</v>
      </c>
      <c r="S559" t="s">
        <v>74</v>
      </c>
      <c r="T559" t="s">
        <v>10755</v>
      </c>
      <c r="U559" t="s">
        <v>74</v>
      </c>
      <c r="V559" t="s">
        <v>10756</v>
      </c>
      <c r="W559" t="s">
        <v>10757</v>
      </c>
      <c r="X559" t="s">
        <v>10758</v>
      </c>
      <c r="Y559" t="s">
        <v>10759</v>
      </c>
      <c r="Z559" t="s">
        <v>10760</v>
      </c>
      <c r="AA559" t="s">
        <v>74</v>
      </c>
      <c r="AB559" t="s">
        <v>74</v>
      </c>
      <c r="AC559" t="s">
        <v>74</v>
      </c>
      <c r="AD559" t="s">
        <v>74</v>
      </c>
      <c r="AE559" t="s">
        <v>74</v>
      </c>
      <c r="AF559" t="s">
        <v>74</v>
      </c>
      <c r="AG559">
        <v>45</v>
      </c>
      <c r="AH559">
        <v>1</v>
      </c>
      <c r="AI559">
        <v>1</v>
      </c>
      <c r="AJ559">
        <v>2</v>
      </c>
      <c r="AK559">
        <v>2</v>
      </c>
      <c r="AL559" t="s">
        <v>939</v>
      </c>
      <c r="AM559" t="s">
        <v>940</v>
      </c>
      <c r="AN559" t="s">
        <v>941</v>
      </c>
      <c r="AO559" t="s">
        <v>74</v>
      </c>
      <c r="AP559" t="s">
        <v>4423</v>
      </c>
      <c r="AQ559" t="s">
        <v>74</v>
      </c>
      <c r="AR559" t="s">
        <v>4413</v>
      </c>
      <c r="AS559" t="s">
        <v>4424</v>
      </c>
      <c r="AT559" t="s">
        <v>467</v>
      </c>
      <c r="AU559">
        <v>2023</v>
      </c>
      <c r="AV559">
        <v>14</v>
      </c>
      <c r="AW559">
        <v>10</v>
      </c>
      <c r="AX559" t="s">
        <v>74</v>
      </c>
      <c r="AY559" t="s">
        <v>74</v>
      </c>
      <c r="AZ559" t="s">
        <v>74</v>
      </c>
      <c r="BA559" t="s">
        <v>74</v>
      </c>
      <c r="BB559" t="s">
        <v>74</v>
      </c>
      <c r="BC559" t="s">
        <v>74</v>
      </c>
      <c r="BD559">
        <v>575</v>
      </c>
      <c r="BE559" t="s">
        <v>10761</v>
      </c>
      <c r="BF559" t="str">
        <f>HYPERLINK("http://dx.doi.org/10.3390/info14100575","http://dx.doi.org/10.3390/info14100575")</f>
        <v>http://dx.doi.org/10.3390/info14100575</v>
      </c>
      <c r="BG559" t="s">
        <v>74</v>
      </c>
      <c r="BH559" t="s">
        <v>74</v>
      </c>
      <c r="BI559">
        <v>23</v>
      </c>
      <c r="BJ559" t="s">
        <v>230</v>
      </c>
      <c r="BK559" t="s">
        <v>352</v>
      </c>
      <c r="BL559" t="s">
        <v>99</v>
      </c>
      <c r="BM559" t="s">
        <v>10762</v>
      </c>
      <c r="BN559" t="s">
        <v>74</v>
      </c>
      <c r="BO559" t="s">
        <v>425</v>
      </c>
      <c r="BP559" t="s">
        <v>74</v>
      </c>
      <c r="BQ559" t="s">
        <v>74</v>
      </c>
      <c r="BR559" t="s">
        <v>101</v>
      </c>
      <c r="BS559" t="s">
        <v>10763</v>
      </c>
      <c r="BT559" t="str">
        <f>HYPERLINK("https%3A%2F%2Fwww.webofscience.com%2Fwos%2Fwoscc%2Ffull-record%2FWOS:001095126200001","View Full Record in Web of Science")</f>
        <v>View Full Record in Web of Science</v>
      </c>
    </row>
    <row r="560" spans="1:72" x14ac:dyDescent="0.2">
      <c r="A560" t="s">
        <v>103</v>
      </c>
      <c r="B560" t="s">
        <v>10764</v>
      </c>
      <c r="C560" t="s">
        <v>74</v>
      </c>
      <c r="D560" t="s">
        <v>74</v>
      </c>
      <c r="E560" t="s">
        <v>74</v>
      </c>
      <c r="F560" t="s">
        <v>10765</v>
      </c>
      <c r="G560" t="s">
        <v>74</v>
      </c>
      <c r="H560" t="s">
        <v>74</v>
      </c>
      <c r="I560" t="s">
        <v>10766</v>
      </c>
      <c r="J560" t="s">
        <v>9204</v>
      </c>
      <c r="K560" t="s">
        <v>74</v>
      </c>
      <c r="L560" t="s">
        <v>74</v>
      </c>
      <c r="M560" t="s">
        <v>79</v>
      </c>
      <c r="N560" t="s">
        <v>108</v>
      </c>
      <c r="O560" t="s">
        <v>74</v>
      </c>
      <c r="P560" t="s">
        <v>74</v>
      </c>
      <c r="Q560" t="s">
        <v>74</v>
      </c>
      <c r="R560" t="s">
        <v>74</v>
      </c>
      <c r="S560" t="s">
        <v>74</v>
      </c>
      <c r="T560" t="s">
        <v>10767</v>
      </c>
      <c r="U560" t="s">
        <v>10768</v>
      </c>
      <c r="V560" t="s">
        <v>10769</v>
      </c>
      <c r="W560" t="s">
        <v>10770</v>
      </c>
      <c r="X560" t="s">
        <v>10771</v>
      </c>
      <c r="Y560" t="s">
        <v>10772</v>
      </c>
      <c r="Z560" t="s">
        <v>10773</v>
      </c>
      <c r="AA560" t="s">
        <v>74</v>
      </c>
      <c r="AB560" t="s">
        <v>74</v>
      </c>
      <c r="AC560" t="s">
        <v>10774</v>
      </c>
      <c r="AD560" t="s">
        <v>10775</v>
      </c>
      <c r="AE560" t="s">
        <v>10776</v>
      </c>
      <c r="AF560" t="s">
        <v>74</v>
      </c>
      <c r="AG560">
        <v>75</v>
      </c>
      <c r="AH560">
        <v>0</v>
      </c>
      <c r="AI560">
        <v>0</v>
      </c>
      <c r="AJ560">
        <v>3</v>
      </c>
      <c r="AK560">
        <v>3</v>
      </c>
      <c r="AL560" t="s">
        <v>9214</v>
      </c>
      <c r="AM560" t="s">
        <v>9215</v>
      </c>
      <c r="AN560" t="s">
        <v>9216</v>
      </c>
      <c r="AO560" t="s">
        <v>9217</v>
      </c>
      <c r="AP560" t="s">
        <v>74</v>
      </c>
      <c r="AQ560" t="s">
        <v>74</v>
      </c>
      <c r="AR560" t="s">
        <v>9218</v>
      </c>
      <c r="AS560" t="s">
        <v>9218</v>
      </c>
      <c r="AT560" t="s">
        <v>74</v>
      </c>
      <c r="AU560">
        <v>2023</v>
      </c>
      <c r="AV560">
        <v>29</v>
      </c>
      <c r="AW560">
        <v>2</v>
      </c>
      <c r="AX560" t="s">
        <v>74</v>
      </c>
      <c r="AY560" t="s">
        <v>74</v>
      </c>
      <c r="AZ560" t="s">
        <v>74</v>
      </c>
      <c r="BA560" t="s">
        <v>74</v>
      </c>
      <c r="BB560" t="s">
        <v>74</v>
      </c>
      <c r="BC560" t="s">
        <v>74</v>
      </c>
      <c r="BD560" t="s">
        <v>74</v>
      </c>
      <c r="BE560" t="s">
        <v>10777</v>
      </c>
      <c r="BF560" t="str">
        <f>HYPERLINK("http://dx.doi.org/10.30827/relieve.v29i2.29295","http://dx.doi.org/10.30827/relieve.v29i2.29295")</f>
        <v>http://dx.doi.org/10.30827/relieve.v29i2.29295</v>
      </c>
      <c r="BG560" t="s">
        <v>74</v>
      </c>
      <c r="BH560" t="s">
        <v>74</v>
      </c>
      <c r="BI560">
        <v>21</v>
      </c>
      <c r="BJ560" t="s">
        <v>423</v>
      </c>
      <c r="BK560" t="s">
        <v>352</v>
      </c>
      <c r="BL560" t="s">
        <v>423</v>
      </c>
      <c r="BM560" t="s">
        <v>9220</v>
      </c>
      <c r="BN560" t="s">
        <v>74</v>
      </c>
      <c r="BO560" t="s">
        <v>425</v>
      </c>
      <c r="BP560" t="s">
        <v>74</v>
      </c>
      <c r="BQ560" t="s">
        <v>74</v>
      </c>
      <c r="BR560" t="s">
        <v>101</v>
      </c>
      <c r="BS560" t="s">
        <v>10778</v>
      </c>
      <c r="BT560" t="str">
        <f>HYPERLINK("https%3A%2F%2Fwww.webofscience.com%2Fwos%2Fwoscc%2Ffull-record%2FWOS:001171855700010","View Full Record in Web of Science")</f>
        <v>View Full Record in Web of Science</v>
      </c>
    </row>
    <row r="561" spans="1:72" x14ac:dyDescent="0.2">
      <c r="A561" t="s">
        <v>103</v>
      </c>
      <c r="B561" t="s">
        <v>10779</v>
      </c>
      <c r="C561" t="s">
        <v>74</v>
      </c>
      <c r="D561" t="s">
        <v>74</v>
      </c>
      <c r="E561" t="s">
        <v>74</v>
      </c>
      <c r="F561" t="s">
        <v>10780</v>
      </c>
      <c r="G561" t="s">
        <v>74</v>
      </c>
      <c r="H561" t="s">
        <v>74</v>
      </c>
      <c r="I561" t="s">
        <v>10781</v>
      </c>
      <c r="J561" t="s">
        <v>10782</v>
      </c>
      <c r="K561" t="s">
        <v>74</v>
      </c>
      <c r="L561" t="s">
        <v>74</v>
      </c>
      <c r="M561" t="s">
        <v>79</v>
      </c>
      <c r="N561" t="s">
        <v>108</v>
      </c>
      <c r="O561" t="s">
        <v>74</v>
      </c>
      <c r="P561" t="s">
        <v>74</v>
      </c>
      <c r="Q561" t="s">
        <v>74</v>
      </c>
      <c r="R561" t="s">
        <v>74</v>
      </c>
      <c r="S561" t="s">
        <v>74</v>
      </c>
      <c r="T561" t="s">
        <v>10783</v>
      </c>
      <c r="U561" t="s">
        <v>10784</v>
      </c>
      <c r="V561" t="s">
        <v>10785</v>
      </c>
      <c r="W561" t="s">
        <v>10786</v>
      </c>
      <c r="X561" t="s">
        <v>10787</v>
      </c>
      <c r="Y561" t="s">
        <v>10788</v>
      </c>
      <c r="Z561" t="s">
        <v>10789</v>
      </c>
      <c r="AA561" t="s">
        <v>10790</v>
      </c>
      <c r="AB561" t="s">
        <v>10791</v>
      </c>
      <c r="AC561" t="s">
        <v>10792</v>
      </c>
      <c r="AD561" t="s">
        <v>10792</v>
      </c>
      <c r="AE561" t="s">
        <v>10793</v>
      </c>
      <c r="AF561" t="s">
        <v>74</v>
      </c>
      <c r="AG561">
        <v>83</v>
      </c>
      <c r="AH561">
        <v>0</v>
      </c>
      <c r="AI561">
        <v>0</v>
      </c>
      <c r="AJ561">
        <v>6</v>
      </c>
      <c r="AK561">
        <v>6</v>
      </c>
      <c r="AL561" t="s">
        <v>809</v>
      </c>
      <c r="AM561" t="s">
        <v>810</v>
      </c>
      <c r="AN561" t="s">
        <v>811</v>
      </c>
      <c r="AO561" t="s">
        <v>10794</v>
      </c>
      <c r="AP561" t="s">
        <v>10795</v>
      </c>
      <c r="AQ561" t="s">
        <v>74</v>
      </c>
      <c r="AR561" t="s">
        <v>10796</v>
      </c>
      <c r="AS561" t="s">
        <v>10797</v>
      </c>
      <c r="AT561" t="s">
        <v>2497</v>
      </c>
      <c r="AU561">
        <v>2023</v>
      </c>
      <c r="AV561">
        <v>15</v>
      </c>
      <c r="AW561">
        <v>2</v>
      </c>
      <c r="AX561" t="s">
        <v>74</v>
      </c>
      <c r="AY561" t="s">
        <v>74</v>
      </c>
      <c r="AZ561" t="s">
        <v>74</v>
      </c>
      <c r="BA561" t="s">
        <v>74</v>
      </c>
      <c r="BB561">
        <v>359</v>
      </c>
      <c r="BC561">
        <v>403</v>
      </c>
      <c r="BD561" t="s">
        <v>74</v>
      </c>
      <c r="BE561" t="s">
        <v>10798</v>
      </c>
      <c r="BF561" t="str">
        <f>HYPERLINK("http://dx.doi.org/10.2478/ausi-2023-0022","http://dx.doi.org/10.2478/ausi-2023-0022")</f>
        <v>http://dx.doi.org/10.2478/ausi-2023-0022</v>
      </c>
      <c r="BG561" t="s">
        <v>74</v>
      </c>
      <c r="BH561" t="s">
        <v>74</v>
      </c>
      <c r="BI561">
        <v>45</v>
      </c>
      <c r="BJ561" t="s">
        <v>9575</v>
      </c>
      <c r="BK561" t="s">
        <v>352</v>
      </c>
      <c r="BL561" t="s">
        <v>99</v>
      </c>
      <c r="BM561" t="s">
        <v>10799</v>
      </c>
      <c r="BN561" t="s">
        <v>74</v>
      </c>
      <c r="BO561" t="s">
        <v>425</v>
      </c>
      <c r="BP561" t="s">
        <v>74</v>
      </c>
      <c r="BQ561" t="s">
        <v>74</v>
      </c>
      <c r="BR561" t="s">
        <v>101</v>
      </c>
      <c r="BS561" t="s">
        <v>10800</v>
      </c>
      <c r="BT561" t="str">
        <f>HYPERLINK("https%3A%2F%2Fwww.webofscience.com%2Fwos%2Fwoscc%2Ffull-record%2FWOS:001124576200002","View Full Record in Web of Science")</f>
        <v>View Full Record in Web of Science</v>
      </c>
    </row>
    <row r="562" spans="1:72" x14ac:dyDescent="0.2">
      <c r="A562" t="s">
        <v>103</v>
      </c>
      <c r="B562" t="s">
        <v>10801</v>
      </c>
      <c r="C562" t="s">
        <v>74</v>
      </c>
      <c r="D562" t="s">
        <v>74</v>
      </c>
      <c r="E562" t="s">
        <v>74</v>
      </c>
      <c r="F562" t="s">
        <v>10802</v>
      </c>
      <c r="G562" t="s">
        <v>74</v>
      </c>
      <c r="H562" t="s">
        <v>74</v>
      </c>
      <c r="I562" t="s">
        <v>10803</v>
      </c>
      <c r="J562" t="s">
        <v>10804</v>
      </c>
      <c r="K562" t="s">
        <v>74</v>
      </c>
      <c r="L562" t="s">
        <v>74</v>
      </c>
      <c r="M562" t="s">
        <v>79</v>
      </c>
      <c r="N562" t="s">
        <v>138</v>
      </c>
      <c r="O562" t="s">
        <v>74</v>
      </c>
      <c r="P562" t="s">
        <v>74</v>
      </c>
      <c r="Q562" t="s">
        <v>74</v>
      </c>
      <c r="R562" t="s">
        <v>74</v>
      </c>
      <c r="S562" t="s">
        <v>74</v>
      </c>
      <c r="T562" t="s">
        <v>10805</v>
      </c>
      <c r="U562" t="s">
        <v>10806</v>
      </c>
      <c r="V562" t="s">
        <v>10807</v>
      </c>
      <c r="W562" t="s">
        <v>10808</v>
      </c>
      <c r="X562" t="s">
        <v>10809</v>
      </c>
      <c r="Y562" t="s">
        <v>10810</v>
      </c>
      <c r="Z562" t="s">
        <v>10811</v>
      </c>
      <c r="AA562" t="s">
        <v>10812</v>
      </c>
      <c r="AB562" t="s">
        <v>10813</v>
      </c>
      <c r="AC562" t="s">
        <v>74</v>
      </c>
      <c r="AD562" t="s">
        <v>74</v>
      </c>
      <c r="AE562" t="s">
        <v>74</v>
      </c>
      <c r="AF562" t="s">
        <v>74</v>
      </c>
      <c r="AG562">
        <v>76</v>
      </c>
      <c r="AH562">
        <v>0</v>
      </c>
      <c r="AI562">
        <v>0</v>
      </c>
      <c r="AJ562">
        <v>5</v>
      </c>
      <c r="AK562">
        <v>6</v>
      </c>
      <c r="AL562" t="s">
        <v>8126</v>
      </c>
      <c r="AM562" t="s">
        <v>8127</v>
      </c>
      <c r="AN562" t="s">
        <v>8128</v>
      </c>
      <c r="AO562" t="s">
        <v>10814</v>
      </c>
      <c r="AP562" t="s">
        <v>10815</v>
      </c>
      <c r="AQ562" t="s">
        <v>74</v>
      </c>
      <c r="AR562" t="s">
        <v>10816</v>
      </c>
      <c r="AS562" t="s">
        <v>10817</v>
      </c>
      <c r="AT562" t="s">
        <v>10818</v>
      </c>
      <c r="AU562">
        <v>2023</v>
      </c>
      <c r="AV562" t="s">
        <v>74</v>
      </c>
      <c r="AW562" t="s">
        <v>74</v>
      </c>
      <c r="AX562" t="s">
        <v>74</v>
      </c>
      <c r="AY562" t="s">
        <v>74</v>
      </c>
      <c r="AZ562" t="s">
        <v>74</v>
      </c>
      <c r="BA562" t="s">
        <v>74</v>
      </c>
      <c r="BB562" t="s">
        <v>74</v>
      </c>
      <c r="BC562" t="s">
        <v>74</v>
      </c>
      <c r="BD562" t="s">
        <v>74</v>
      </c>
      <c r="BE562" t="s">
        <v>10819</v>
      </c>
      <c r="BF562" t="str">
        <f>HYPERLINK("http://dx.doi.org/10.1057/s41254-023-00313-6","http://dx.doi.org/10.1057/s41254-023-00313-6")</f>
        <v>http://dx.doi.org/10.1057/s41254-023-00313-6</v>
      </c>
      <c r="BG562" t="s">
        <v>74</v>
      </c>
      <c r="BH562" t="s">
        <v>255</v>
      </c>
      <c r="BI562">
        <v>23</v>
      </c>
      <c r="BJ562" t="s">
        <v>2911</v>
      </c>
      <c r="BK562" t="s">
        <v>352</v>
      </c>
      <c r="BL562" t="s">
        <v>618</v>
      </c>
      <c r="BM562" t="s">
        <v>10820</v>
      </c>
      <c r="BN562" t="s">
        <v>74</v>
      </c>
      <c r="BO562" t="s">
        <v>74</v>
      </c>
      <c r="BP562" t="s">
        <v>74</v>
      </c>
      <c r="BQ562" t="s">
        <v>74</v>
      </c>
      <c r="BR562" t="s">
        <v>101</v>
      </c>
      <c r="BS562" t="s">
        <v>10821</v>
      </c>
      <c r="BT562" t="str">
        <f>HYPERLINK("https%3A%2F%2Fwww.webofscience.com%2Fwos%2Fwoscc%2Ffull-record%2FWOS:001051455300001","View Full Record in Web of Science")</f>
        <v>View Full Record in Web of Science</v>
      </c>
    </row>
    <row r="563" spans="1:72" x14ac:dyDescent="0.2">
      <c r="A563" t="s">
        <v>72</v>
      </c>
      <c r="B563" t="s">
        <v>10822</v>
      </c>
      <c r="C563" t="s">
        <v>74</v>
      </c>
      <c r="D563" t="s">
        <v>74</v>
      </c>
      <c r="E563" t="s">
        <v>284</v>
      </c>
      <c r="F563" t="s">
        <v>10823</v>
      </c>
      <c r="G563" t="s">
        <v>74</v>
      </c>
      <c r="H563" t="s">
        <v>74</v>
      </c>
      <c r="I563" t="s">
        <v>10824</v>
      </c>
      <c r="J563" t="s">
        <v>8245</v>
      </c>
      <c r="K563" t="s">
        <v>8246</v>
      </c>
      <c r="L563" t="s">
        <v>74</v>
      </c>
      <c r="M563" t="s">
        <v>79</v>
      </c>
      <c r="N563" t="s">
        <v>80</v>
      </c>
      <c r="O563" t="s">
        <v>8247</v>
      </c>
      <c r="P563" t="s">
        <v>8248</v>
      </c>
      <c r="Q563" t="s">
        <v>6017</v>
      </c>
      <c r="R563" t="s">
        <v>8249</v>
      </c>
      <c r="S563" t="s">
        <v>74</v>
      </c>
      <c r="T563" t="s">
        <v>74</v>
      </c>
      <c r="U563" t="s">
        <v>74</v>
      </c>
      <c r="V563" t="s">
        <v>10825</v>
      </c>
      <c r="W563" t="s">
        <v>10826</v>
      </c>
      <c r="X563" t="s">
        <v>10827</v>
      </c>
      <c r="Y563" t="s">
        <v>10828</v>
      </c>
      <c r="Z563" t="s">
        <v>74</v>
      </c>
      <c r="AA563" t="s">
        <v>10829</v>
      </c>
      <c r="AB563" t="s">
        <v>10830</v>
      </c>
      <c r="AC563" t="s">
        <v>10831</v>
      </c>
      <c r="AD563" t="s">
        <v>10832</v>
      </c>
      <c r="AE563" t="s">
        <v>10833</v>
      </c>
      <c r="AF563" t="s">
        <v>74</v>
      </c>
      <c r="AG563">
        <v>83</v>
      </c>
      <c r="AH563">
        <v>4</v>
      </c>
      <c r="AI563">
        <v>4</v>
      </c>
      <c r="AJ563">
        <v>3</v>
      </c>
      <c r="AK563">
        <v>3</v>
      </c>
      <c r="AL563" t="s">
        <v>638</v>
      </c>
      <c r="AM563" t="s">
        <v>639</v>
      </c>
      <c r="AN563" t="s">
        <v>640</v>
      </c>
      <c r="AO563" t="s">
        <v>8260</v>
      </c>
      <c r="AP563" t="s">
        <v>74</v>
      </c>
      <c r="AQ563" t="s">
        <v>8261</v>
      </c>
      <c r="AR563" t="s">
        <v>8262</v>
      </c>
      <c r="AS563" t="s">
        <v>74</v>
      </c>
      <c r="AT563" t="s">
        <v>74</v>
      </c>
      <c r="AU563">
        <v>2023</v>
      </c>
      <c r="AV563" t="s">
        <v>74</v>
      </c>
      <c r="AW563" t="s">
        <v>74</v>
      </c>
      <c r="AX563" t="s">
        <v>74</v>
      </c>
      <c r="AY563" t="s">
        <v>74</v>
      </c>
      <c r="AZ563" t="s">
        <v>74</v>
      </c>
      <c r="BA563" t="s">
        <v>74</v>
      </c>
      <c r="BB563">
        <v>20991</v>
      </c>
      <c r="BC563">
        <v>21002</v>
      </c>
      <c r="BD563" t="s">
        <v>74</v>
      </c>
      <c r="BE563" t="s">
        <v>10834</v>
      </c>
      <c r="BF563" t="str">
        <f>HYPERLINK("http://dx.doi.org/10.1109/CVPR52729.2023.02011","http://dx.doi.org/10.1109/CVPR52729.2023.02011")</f>
        <v>http://dx.doi.org/10.1109/CVPR52729.2023.02011</v>
      </c>
      <c r="BG563" t="s">
        <v>74</v>
      </c>
      <c r="BH563" t="s">
        <v>74</v>
      </c>
      <c r="BI563">
        <v>12</v>
      </c>
      <c r="BJ563" t="s">
        <v>304</v>
      </c>
      <c r="BK563" t="s">
        <v>98</v>
      </c>
      <c r="BL563" t="s">
        <v>99</v>
      </c>
      <c r="BM563" t="s">
        <v>9731</v>
      </c>
      <c r="BN563" t="s">
        <v>74</v>
      </c>
      <c r="BO563" t="s">
        <v>646</v>
      </c>
      <c r="BP563" t="s">
        <v>74</v>
      </c>
      <c r="BQ563" t="s">
        <v>74</v>
      </c>
      <c r="BR563" t="s">
        <v>101</v>
      </c>
      <c r="BS563" t="s">
        <v>10835</v>
      </c>
      <c r="BT563" t="str">
        <f>HYPERLINK("https%3A%2F%2Fwww.webofscience.com%2Fwos%2Fwoscc%2Ffull-record%2FWOS:001062531305032","View Full Record in Web of Science")</f>
        <v>View Full Record in Web of Science</v>
      </c>
    </row>
    <row r="564" spans="1:72" x14ac:dyDescent="0.2">
      <c r="A564" t="s">
        <v>103</v>
      </c>
      <c r="B564" t="s">
        <v>10836</v>
      </c>
      <c r="C564" t="s">
        <v>74</v>
      </c>
      <c r="D564" t="s">
        <v>74</v>
      </c>
      <c r="E564" t="s">
        <v>74</v>
      </c>
      <c r="F564" t="s">
        <v>10837</v>
      </c>
      <c r="G564" t="s">
        <v>74</v>
      </c>
      <c r="H564" t="s">
        <v>74</v>
      </c>
      <c r="I564" t="s">
        <v>10838</v>
      </c>
      <c r="J564" t="s">
        <v>10839</v>
      </c>
      <c r="K564" t="s">
        <v>74</v>
      </c>
      <c r="L564" t="s">
        <v>74</v>
      </c>
      <c r="M564" t="s">
        <v>79</v>
      </c>
      <c r="N564" t="s">
        <v>138</v>
      </c>
      <c r="O564" t="s">
        <v>74</v>
      </c>
      <c r="P564" t="s">
        <v>74</v>
      </c>
      <c r="Q564" t="s">
        <v>74</v>
      </c>
      <c r="R564" t="s">
        <v>74</v>
      </c>
      <c r="S564" t="s">
        <v>74</v>
      </c>
      <c r="T564" t="s">
        <v>10840</v>
      </c>
      <c r="U564" t="s">
        <v>74</v>
      </c>
      <c r="V564" t="s">
        <v>10841</v>
      </c>
      <c r="W564" t="s">
        <v>10842</v>
      </c>
      <c r="X564" t="s">
        <v>10843</v>
      </c>
      <c r="Y564" t="s">
        <v>10844</v>
      </c>
      <c r="Z564" t="s">
        <v>10845</v>
      </c>
      <c r="AA564" t="s">
        <v>74</v>
      </c>
      <c r="AB564" t="s">
        <v>10846</v>
      </c>
      <c r="AC564" t="s">
        <v>10847</v>
      </c>
      <c r="AD564" t="s">
        <v>10848</v>
      </c>
      <c r="AE564" t="s">
        <v>10849</v>
      </c>
      <c r="AF564" t="s">
        <v>74</v>
      </c>
      <c r="AG564">
        <v>23</v>
      </c>
      <c r="AH564">
        <v>1</v>
      </c>
      <c r="AI564">
        <v>1</v>
      </c>
      <c r="AJ564">
        <v>9</v>
      </c>
      <c r="AK564">
        <v>9</v>
      </c>
      <c r="AL564" t="s">
        <v>343</v>
      </c>
      <c r="AM564" t="s">
        <v>93</v>
      </c>
      <c r="AN564" t="s">
        <v>344</v>
      </c>
      <c r="AO564" t="s">
        <v>10850</v>
      </c>
      <c r="AP564" t="s">
        <v>10851</v>
      </c>
      <c r="AQ564" t="s">
        <v>74</v>
      </c>
      <c r="AR564" t="s">
        <v>10852</v>
      </c>
      <c r="AS564" t="s">
        <v>10853</v>
      </c>
      <c r="AT564" t="s">
        <v>2872</v>
      </c>
      <c r="AU564">
        <v>2023</v>
      </c>
      <c r="AV564" t="s">
        <v>74</v>
      </c>
      <c r="AW564" t="s">
        <v>74</v>
      </c>
      <c r="AX564" t="s">
        <v>74</v>
      </c>
      <c r="AY564" t="s">
        <v>74</v>
      </c>
      <c r="AZ564" t="s">
        <v>74</v>
      </c>
      <c r="BA564" t="s">
        <v>74</v>
      </c>
      <c r="BB564" t="s">
        <v>74</v>
      </c>
      <c r="BC564" t="s">
        <v>74</v>
      </c>
      <c r="BD564" t="s">
        <v>74</v>
      </c>
      <c r="BE564" t="s">
        <v>10854</v>
      </c>
      <c r="BF564" t="str">
        <f>HYPERLINK("http://dx.doi.org/10.1007/s00330-023-10384-x","http://dx.doi.org/10.1007/s00330-023-10384-x")</f>
        <v>http://dx.doi.org/10.1007/s00330-023-10384-x</v>
      </c>
      <c r="BG564" t="s">
        <v>74</v>
      </c>
      <c r="BH564" t="s">
        <v>157</v>
      </c>
      <c r="BI564">
        <v>9</v>
      </c>
      <c r="BJ564" t="s">
        <v>5360</v>
      </c>
      <c r="BK564" t="s">
        <v>130</v>
      </c>
      <c r="BL564" t="s">
        <v>5360</v>
      </c>
      <c r="BM564" t="s">
        <v>10855</v>
      </c>
      <c r="BN564">
        <v>37938381</v>
      </c>
      <c r="BO564" t="s">
        <v>74</v>
      </c>
      <c r="BP564" t="s">
        <v>74</v>
      </c>
      <c r="BQ564" t="s">
        <v>74</v>
      </c>
      <c r="BR564" t="s">
        <v>101</v>
      </c>
      <c r="BS564" t="s">
        <v>10856</v>
      </c>
      <c r="BT564" t="str">
        <f>HYPERLINK("https%3A%2F%2Fwww.webofscience.com%2Fwos%2Fwoscc%2Ffull-record%2FWOS:001101905600009","View Full Record in Web of Science")</f>
        <v>View Full Record in Web of Science</v>
      </c>
    </row>
    <row r="565" spans="1:72" x14ac:dyDescent="0.2">
      <c r="A565" t="s">
        <v>103</v>
      </c>
      <c r="B565" t="s">
        <v>10857</v>
      </c>
      <c r="C565" t="s">
        <v>74</v>
      </c>
      <c r="D565" t="s">
        <v>74</v>
      </c>
      <c r="E565" t="s">
        <v>74</v>
      </c>
      <c r="F565" t="s">
        <v>10858</v>
      </c>
      <c r="G565" t="s">
        <v>74</v>
      </c>
      <c r="H565" t="s">
        <v>74</v>
      </c>
      <c r="I565" t="s">
        <v>10859</v>
      </c>
      <c r="J565" t="s">
        <v>10860</v>
      </c>
      <c r="K565" t="s">
        <v>74</v>
      </c>
      <c r="L565" t="s">
        <v>74</v>
      </c>
      <c r="M565" t="s">
        <v>79</v>
      </c>
      <c r="N565" t="s">
        <v>108</v>
      </c>
      <c r="O565" t="s">
        <v>74</v>
      </c>
      <c r="P565" t="s">
        <v>74</v>
      </c>
      <c r="Q565" t="s">
        <v>74</v>
      </c>
      <c r="R565" t="s">
        <v>74</v>
      </c>
      <c r="S565" t="s">
        <v>74</v>
      </c>
      <c r="T565" t="s">
        <v>10861</v>
      </c>
      <c r="U565" t="s">
        <v>10862</v>
      </c>
      <c r="V565" t="s">
        <v>10863</v>
      </c>
      <c r="W565" t="s">
        <v>10864</v>
      </c>
      <c r="X565" t="s">
        <v>10865</v>
      </c>
      <c r="Y565" t="s">
        <v>10866</v>
      </c>
      <c r="Z565" t="s">
        <v>10867</v>
      </c>
      <c r="AA565" t="s">
        <v>74</v>
      </c>
      <c r="AB565" t="s">
        <v>10868</v>
      </c>
      <c r="AC565" t="s">
        <v>10869</v>
      </c>
      <c r="AD565" t="s">
        <v>10870</v>
      </c>
      <c r="AE565" t="s">
        <v>10871</v>
      </c>
      <c r="AF565" t="s">
        <v>74</v>
      </c>
      <c r="AG565">
        <v>24</v>
      </c>
      <c r="AH565">
        <v>0</v>
      </c>
      <c r="AI565">
        <v>0</v>
      </c>
      <c r="AJ565">
        <v>8</v>
      </c>
      <c r="AK565">
        <v>12</v>
      </c>
      <c r="AL565" t="s">
        <v>2492</v>
      </c>
      <c r="AM565" t="s">
        <v>461</v>
      </c>
      <c r="AN565" t="s">
        <v>2493</v>
      </c>
      <c r="AO565" t="s">
        <v>74</v>
      </c>
      <c r="AP565" t="s">
        <v>10872</v>
      </c>
      <c r="AQ565" t="s">
        <v>74</v>
      </c>
      <c r="AR565" t="s">
        <v>10873</v>
      </c>
      <c r="AS565" t="s">
        <v>10874</v>
      </c>
      <c r="AT565" t="s">
        <v>4945</v>
      </c>
      <c r="AU565">
        <v>2023</v>
      </c>
      <c r="AV565">
        <v>5</v>
      </c>
      <c r="AW565" t="s">
        <v>74</v>
      </c>
      <c r="AX565" t="s">
        <v>74</v>
      </c>
      <c r="AY565" t="s">
        <v>74</v>
      </c>
      <c r="AZ565" t="s">
        <v>74</v>
      </c>
      <c r="BA565" t="s">
        <v>74</v>
      </c>
      <c r="BB565" t="s">
        <v>74</v>
      </c>
      <c r="BC565" t="s">
        <v>74</v>
      </c>
      <c r="BD565">
        <v>1193350</v>
      </c>
      <c r="BE565" t="s">
        <v>10875</v>
      </c>
      <c r="BF565" t="str">
        <f>HYPERLINK("http://dx.doi.org/10.3389/fclim.2023.1193350","http://dx.doi.org/10.3389/fclim.2023.1193350")</f>
        <v>http://dx.doi.org/10.3389/fclim.2023.1193350</v>
      </c>
      <c r="BG565" t="s">
        <v>74</v>
      </c>
      <c r="BH565" t="s">
        <v>74</v>
      </c>
      <c r="BI565">
        <v>7</v>
      </c>
      <c r="BJ565" t="s">
        <v>10876</v>
      </c>
      <c r="BK565" t="s">
        <v>352</v>
      </c>
      <c r="BL565" t="s">
        <v>7212</v>
      </c>
      <c r="BM565" t="s">
        <v>10877</v>
      </c>
      <c r="BN565" t="s">
        <v>74</v>
      </c>
      <c r="BO565" t="s">
        <v>4337</v>
      </c>
      <c r="BP565" t="s">
        <v>74</v>
      </c>
      <c r="BQ565" t="s">
        <v>74</v>
      </c>
      <c r="BR565" t="s">
        <v>101</v>
      </c>
      <c r="BS565" t="s">
        <v>10878</v>
      </c>
      <c r="BT565" t="str">
        <f>HYPERLINK("https%3A%2F%2Fwww.webofscience.com%2Fwos%2Fwoscc%2Ffull-record%2FWOS:001029466300001","View Full Record in Web of Science")</f>
        <v>View Full Record in Web of Science</v>
      </c>
    </row>
    <row r="566" spans="1:72" x14ac:dyDescent="0.2">
      <c r="A566" t="s">
        <v>103</v>
      </c>
      <c r="B566" t="s">
        <v>10879</v>
      </c>
      <c r="C566" t="s">
        <v>74</v>
      </c>
      <c r="D566" t="s">
        <v>74</v>
      </c>
      <c r="E566" t="s">
        <v>74</v>
      </c>
      <c r="F566" t="s">
        <v>10880</v>
      </c>
      <c r="G566" t="s">
        <v>74</v>
      </c>
      <c r="H566" t="s">
        <v>74</v>
      </c>
      <c r="I566" t="s">
        <v>10881</v>
      </c>
      <c r="J566" t="s">
        <v>10882</v>
      </c>
      <c r="K566" t="s">
        <v>74</v>
      </c>
      <c r="L566" t="s">
        <v>74</v>
      </c>
      <c r="M566" t="s">
        <v>79</v>
      </c>
      <c r="N566" t="s">
        <v>108</v>
      </c>
      <c r="O566" t="s">
        <v>74</v>
      </c>
      <c r="P566" t="s">
        <v>74</v>
      </c>
      <c r="Q566" t="s">
        <v>74</v>
      </c>
      <c r="R566" t="s">
        <v>74</v>
      </c>
      <c r="S566" t="s">
        <v>74</v>
      </c>
      <c r="T566" t="s">
        <v>10883</v>
      </c>
      <c r="U566" t="s">
        <v>74</v>
      </c>
      <c r="V566" t="s">
        <v>10884</v>
      </c>
      <c r="W566" t="s">
        <v>10885</v>
      </c>
      <c r="X566" t="s">
        <v>10886</v>
      </c>
      <c r="Y566" t="s">
        <v>10887</v>
      </c>
      <c r="Z566" t="s">
        <v>10888</v>
      </c>
      <c r="AA566" t="s">
        <v>74</v>
      </c>
      <c r="AB566" t="s">
        <v>74</v>
      </c>
      <c r="AC566" t="s">
        <v>10889</v>
      </c>
      <c r="AD566" t="s">
        <v>10890</v>
      </c>
      <c r="AE566" t="s">
        <v>10891</v>
      </c>
      <c r="AF566" t="s">
        <v>74</v>
      </c>
      <c r="AG566">
        <v>45</v>
      </c>
      <c r="AH566">
        <v>1</v>
      </c>
      <c r="AI566">
        <v>1</v>
      </c>
      <c r="AJ566">
        <v>94</v>
      </c>
      <c r="AK566">
        <v>94</v>
      </c>
      <c r="AL566" t="s">
        <v>3165</v>
      </c>
      <c r="AM566" t="s">
        <v>3166</v>
      </c>
      <c r="AN566" t="s">
        <v>3167</v>
      </c>
      <c r="AO566" t="s">
        <v>10892</v>
      </c>
      <c r="AP566" t="s">
        <v>10893</v>
      </c>
      <c r="AQ566" t="s">
        <v>74</v>
      </c>
      <c r="AR566" t="s">
        <v>10894</v>
      </c>
      <c r="AS566" t="s">
        <v>10895</v>
      </c>
      <c r="AT566" t="s">
        <v>527</v>
      </c>
      <c r="AU566">
        <v>2023</v>
      </c>
      <c r="AV566">
        <v>40</v>
      </c>
      <c r="AW566">
        <v>4</v>
      </c>
      <c r="AX566" t="s">
        <v>74</v>
      </c>
      <c r="AY566" t="s">
        <v>74</v>
      </c>
      <c r="AZ566" t="s">
        <v>74</v>
      </c>
      <c r="BA566" t="s">
        <v>74</v>
      </c>
      <c r="BB566">
        <v>440</v>
      </c>
      <c r="BC566">
        <v>446</v>
      </c>
      <c r="BD566" t="s">
        <v>74</v>
      </c>
      <c r="BE566" t="s">
        <v>10896</v>
      </c>
      <c r="BF566" t="str">
        <f>HYPERLINK("http://dx.doi.org/10.1111/hir.12509","http://dx.doi.org/10.1111/hir.12509")</f>
        <v>http://dx.doi.org/10.1111/hir.12509</v>
      </c>
      <c r="BG566" t="s">
        <v>74</v>
      </c>
      <c r="BH566" t="s">
        <v>1886</v>
      </c>
      <c r="BI566">
        <v>7</v>
      </c>
      <c r="BJ566" t="s">
        <v>1016</v>
      </c>
      <c r="BK566" t="s">
        <v>159</v>
      </c>
      <c r="BL566" t="s">
        <v>1016</v>
      </c>
      <c r="BM566" t="s">
        <v>10897</v>
      </c>
      <c r="BN566">
        <v>37806782</v>
      </c>
      <c r="BO566" t="s">
        <v>74</v>
      </c>
      <c r="BP566" t="s">
        <v>74</v>
      </c>
      <c r="BQ566" t="s">
        <v>74</v>
      </c>
      <c r="BR566" t="s">
        <v>101</v>
      </c>
      <c r="BS566" t="s">
        <v>10898</v>
      </c>
      <c r="BT566" t="str">
        <f>HYPERLINK("https%3A%2F%2Fwww.webofscience.com%2Fwos%2Fwoscc%2Ffull-record%2FWOS:001080368700001","View Full Record in Web of Science")</f>
        <v>View Full Record in Web of Science</v>
      </c>
    </row>
    <row r="567" spans="1:72" x14ac:dyDescent="0.2">
      <c r="A567" t="s">
        <v>103</v>
      </c>
      <c r="B567" t="s">
        <v>10899</v>
      </c>
      <c r="C567" t="s">
        <v>74</v>
      </c>
      <c r="D567" t="s">
        <v>74</v>
      </c>
      <c r="E567" t="s">
        <v>74</v>
      </c>
      <c r="F567" t="s">
        <v>10900</v>
      </c>
      <c r="G567" t="s">
        <v>74</v>
      </c>
      <c r="H567" t="s">
        <v>74</v>
      </c>
      <c r="I567" t="s">
        <v>10901</v>
      </c>
      <c r="J567" t="s">
        <v>10902</v>
      </c>
      <c r="K567" t="s">
        <v>74</v>
      </c>
      <c r="L567" t="s">
        <v>74</v>
      </c>
      <c r="M567" t="s">
        <v>79</v>
      </c>
      <c r="N567" t="s">
        <v>108</v>
      </c>
      <c r="O567" t="s">
        <v>74</v>
      </c>
      <c r="P567" t="s">
        <v>74</v>
      </c>
      <c r="Q567" t="s">
        <v>74</v>
      </c>
      <c r="R567" t="s">
        <v>74</v>
      </c>
      <c r="S567" t="s">
        <v>74</v>
      </c>
      <c r="T567" t="s">
        <v>10903</v>
      </c>
      <c r="U567" t="s">
        <v>74</v>
      </c>
      <c r="V567" t="s">
        <v>10904</v>
      </c>
      <c r="W567" t="s">
        <v>10905</v>
      </c>
      <c r="X567" t="s">
        <v>10906</v>
      </c>
      <c r="Y567" t="s">
        <v>10907</v>
      </c>
      <c r="Z567" t="s">
        <v>10908</v>
      </c>
      <c r="AA567" t="s">
        <v>10909</v>
      </c>
      <c r="AB567" t="s">
        <v>10910</v>
      </c>
      <c r="AC567" t="s">
        <v>10911</v>
      </c>
      <c r="AD567" t="s">
        <v>10912</v>
      </c>
      <c r="AE567" t="s">
        <v>10913</v>
      </c>
      <c r="AF567" t="s">
        <v>74</v>
      </c>
      <c r="AG567">
        <v>29</v>
      </c>
      <c r="AH567">
        <v>1</v>
      </c>
      <c r="AI567">
        <v>1</v>
      </c>
      <c r="AJ567">
        <v>17</v>
      </c>
      <c r="AK567">
        <v>17</v>
      </c>
      <c r="AL567" t="s">
        <v>220</v>
      </c>
      <c r="AM567" t="s">
        <v>221</v>
      </c>
      <c r="AN567" t="s">
        <v>222</v>
      </c>
      <c r="AO567" t="s">
        <v>10914</v>
      </c>
      <c r="AP567" t="s">
        <v>10915</v>
      </c>
      <c r="AQ567" t="s">
        <v>74</v>
      </c>
      <c r="AR567" t="s">
        <v>10916</v>
      </c>
      <c r="AS567" t="s">
        <v>10917</v>
      </c>
      <c r="AT567" t="s">
        <v>4559</v>
      </c>
      <c r="AU567">
        <v>2024</v>
      </c>
      <c r="AV567">
        <v>29</v>
      </c>
      <c r="AW567">
        <v>2</v>
      </c>
      <c r="AX567" t="s">
        <v>74</v>
      </c>
      <c r="AY567" t="s">
        <v>74</v>
      </c>
      <c r="AZ567" t="s">
        <v>253</v>
      </c>
      <c r="BA567" t="s">
        <v>74</v>
      </c>
      <c r="BB567">
        <v>150</v>
      </c>
      <c r="BC567">
        <v>154</v>
      </c>
      <c r="BD567" t="s">
        <v>74</v>
      </c>
      <c r="BE567" t="s">
        <v>10918</v>
      </c>
      <c r="BF567" t="str">
        <f>HYPERLINK("http://dx.doi.org/10.1080/1059924X.2023.2284959","http://dx.doi.org/10.1080/1059924X.2023.2284959")</f>
        <v>http://dx.doi.org/10.1080/1059924X.2023.2284959</v>
      </c>
      <c r="BG567" t="s">
        <v>74</v>
      </c>
      <c r="BH567" t="s">
        <v>128</v>
      </c>
      <c r="BI567">
        <v>5</v>
      </c>
      <c r="BJ567" t="s">
        <v>10919</v>
      </c>
      <c r="BK567" t="s">
        <v>130</v>
      </c>
      <c r="BL567" t="s">
        <v>10919</v>
      </c>
      <c r="BM567" t="s">
        <v>10920</v>
      </c>
      <c r="BN567">
        <v>38050835</v>
      </c>
      <c r="BO567" t="s">
        <v>74</v>
      </c>
      <c r="BP567" t="s">
        <v>74</v>
      </c>
      <c r="BQ567" t="s">
        <v>74</v>
      </c>
      <c r="BR567" t="s">
        <v>101</v>
      </c>
      <c r="BS567" t="s">
        <v>10921</v>
      </c>
      <c r="BT567" t="str">
        <f>HYPERLINK("https%3A%2F%2Fwww.webofscience.com%2Fwos%2Fwoscc%2Ffull-record%2FWOS:001118133000001","View Full Record in Web of Science")</f>
        <v>View Full Record in Web of Science</v>
      </c>
    </row>
    <row r="568" spans="1:72" x14ac:dyDescent="0.2">
      <c r="A568" t="s">
        <v>72</v>
      </c>
      <c r="B568" t="s">
        <v>10922</v>
      </c>
      <c r="C568" t="s">
        <v>74</v>
      </c>
      <c r="D568" t="s">
        <v>74</v>
      </c>
      <c r="E568" t="s">
        <v>75</v>
      </c>
      <c r="F568" t="s">
        <v>10923</v>
      </c>
      <c r="G568" t="s">
        <v>74</v>
      </c>
      <c r="H568" t="s">
        <v>74</v>
      </c>
      <c r="I568" t="s">
        <v>10924</v>
      </c>
      <c r="J568" t="s">
        <v>2727</v>
      </c>
      <c r="K568" t="s">
        <v>74</v>
      </c>
      <c r="L568" t="s">
        <v>74</v>
      </c>
      <c r="M568" t="s">
        <v>79</v>
      </c>
      <c r="N568" t="s">
        <v>80</v>
      </c>
      <c r="O568" t="s">
        <v>2728</v>
      </c>
      <c r="P568" t="s">
        <v>2729</v>
      </c>
      <c r="Q568" t="s">
        <v>2730</v>
      </c>
      <c r="R568" t="s">
        <v>2731</v>
      </c>
      <c r="S568" t="s">
        <v>74</v>
      </c>
      <c r="T568" t="s">
        <v>10925</v>
      </c>
      <c r="U568" t="s">
        <v>74</v>
      </c>
      <c r="V568" t="s">
        <v>10926</v>
      </c>
      <c r="W568" t="s">
        <v>10927</v>
      </c>
      <c r="X568" t="s">
        <v>7181</v>
      </c>
      <c r="Y568" t="s">
        <v>10928</v>
      </c>
      <c r="Z568" t="s">
        <v>10929</v>
      </c>
      <c r="AA568" t="s">
        <v>74</v>
      </c>
      <c r="AB568" t="s">
        <v>10930</v>
      </c>
      <c r="AC568" t="s">
        <v>74</v>
      </c>
      <c r="AD568" t="s">
        <v>74</v>
      </c>
      <c r="AE568" t="s">
        <v>74</v>
      </c>
      <c r="AF568" t="s">
        <v>74</v>
      </c>
      <c r="AG568">
        <v>21</v>
      </c>
      <c r="AH568">
        <v>0</v>
      </c>
      <c r="AI568">
        <v>0</v>
      </c>
      <c r="AJ568">
        <v>3</v>
      </c>
      <c r="AK568">
        <v>3</v>
      </c>
      <c r="AL568" t="s">
        <v>92</v>
      </c>
      <c r="AM568" t="s">
        <v>93</v>
      </c>
      <c r="AN568" t="s">
        <v>94</v>
      </c>
      <c r="AO568" t="s">
        <v>74</v>
      </c>
      <c r="AP568" t="s">
        <v>74</v>
      </c>
      <c r="AQ568" t="s">
        <v>2740</v>
      </c>
      <c r="AR568" t="s">
        <v>74</v>
      </c>
      <c r="AS568" t="s">
        <v>74</v>
      </c>
      <c r="AT568" t="s">
        <v>74</v>
      </c>
      <c r="AU568">
        <v>2023</v>
      </c>
      <c r="AV568" t="s">
        <v>74</v>
      </c>
      <c r="AW568" t="s">
        <v>74</v>
      </c>
      <c r="AX568" t="s">
        <v>74</v>
      </c>
      <c r="AY568" t="s">
        <v>74</v>
      </c>
      <c r="AZ568" t="s">
        <v>74</v>
      </c>
      <c r="BA568" t="s">
        <v>74</v>
      </c>
      <c r="BB568">
        <v>83</v>
      </c>
      <c r="BC568">
        <v>94</v>
      </c>
      <c r="BD568" t="s">
        <v>74</v>
      </c>
      <c r="BE568" t="s">
        <v>10931</v>
      </c>
      <c r="BF568" t="str">
        <f>HYPERLINK("http://dx.doi.org/10.1145/3616961.3616974","http://dx.doi.org/10.1145/3616961.3616974")</f>
        <v>http://dx.doi.org/10.1145/3616961.3616974</v>
      </c>
      <c r="BG568" t="s">
        <v>74</v>
      </c>
      <c r="BH568" t="s">
        <v>74</v>
      </c>
      <c r="BI568">
        <v>12</v>
      </c>
      <c r="BJ568" t="s">
        <v>2742</v>
      </c>
      <c r="BK568" t="s">
        <v>98</v>
      </c>
      <c r="BL568" t="s">
        <v>99</v>
      </c>
      <c r="BM568" t="s">
        <v>2743</v>
      </c>
      <c r="BN568" t="s">
        <v>74</v>
      </c>
      <c r="BO568" t="s">
        <v>161</v>
      </c>
      <c r="BP568" t="s">
        <v>74</v>
      </c>
      <c r="BQ568" t="s">
        <v>74</v>
      </c>
      <c r="BR568" t="s">
        <v>101</v>
      </c>
      <c r="BS568" t="s">
        <v>10932</v>
      </c>
      <c r="BT568" t="str">
        <f>HYPERLINK("https%3A%2F%2Fwww.webofscience.com%2Fwos%2Fwoscc%2Ffull-record%2FWOS:001147480500008","View Full Record in Web of Science")</f>
        <v>View Full Record in Web of Science</v>
      </c>
    </row>
    <row r="569" spans="1:72" x14ac:dyDescent="0.2">
      <c r="A569" t="s">
        <v>72</v>
      </c>
      <c r="B569" t="s">
        <v>10933</v>
      </c>
      <c r="C569" t="s">
        <v>74</v>
      </c>
      <c r="D569" t="s">
        <v>10934</v>
      </c>
      <c r="E569" t="s">
        <v>74</v>
      </c>
      <c r="F569" t="s">
        <v>10935</v>
      </c>
      <c r="G569" t="s">
        <v>74</v>
      </c>
      <c r="H569" t="s">
        <v>74</v>
      </c>
      <c r="I569" t="s">
        <v>10936</v>
      </c>
      <c r="J569" t="s">
        <v>10937</v>
      </c>
      <c r="K569" t="s">
        <v>10938</v>
      </c>
      <c r="L569" t="s">
        <v>74</v>
      </c>
      <c r="M569" t="s">
        <v>79</v>
      </c>
      <c r="N569" t="s">
        <v>80</v>
      </c>
      <c r="O569" t="s">
        <v>10939</v>
      </c>
      <c r="P569" t="s">
        <v>10940</v>
      </c>
      <c r="Q569" t="s">
        <v>10941</v>
      </c>
      <c r="R569" t="s">
        <v>74</v>
      </c>
      <c r="S569" t="s">
        <v>10942</v>
      </c>
      <c r="T569" t="s">
        <v>10943</v>
      </c>
      <c r="U569" t="s">
        <v>74</v>
      </c>
      <c r="V569" t="s">
        <v>10944</v>
      </c>
      <c r="W569" t="s">
        <v>10945</v>
      </c>
      <c r="X569" t="s">
        <v>2423</v>
      </c>
      <c r="Y569" t="s">
        <v>10946</v>
      </c>
      <c r="Z569" t="s">
        <v>10947</v>
      </c>
      <c r="AA569" t="s">
        <v>74</v>
      </c>
      <c r="AB569" t="s">
        <v>74</v>
      </c>
      <c r="AC569" t="s">
        <v>74</v>
      </c>
      <c r="AD569" t="s">
        <v>74</v>
      </c>
      <c r="AE569" t="s">
        <v>74</v>
      </c>
      <c r="AF569" t="s">
        <v>74</v>
      </c>
      <c r="AG569">
        <v>12</v>
      </c>
      <c r="AH569">
        <v>0</v>
      </c>
      <c r="AI569">
        <v>0</v>
      </c>
      <c r="AJ569">
        <v>5</v>
      </c>
      <c r="AK569">
        <v>13</v>
      </c>
      <c r="AL569" t="s">
        <v>325</v>
      </c>
      <c r="AM569" t="s">
        <v>245</v>
      </c>
      <c r="AN569" t="s">
        <v>246</v>
      </c>
      <c r="AO569" t="s">
        <v>10948</v>
      </c>
      <c r="AP569" t="s">
        <v>10949</v>
      </c>
      <c r="AQ569" t="s">
        <v>10950</v>
      </c>
      <c r="AR569" t="s">
        <v>10951</v>
      </c>
      <c r="AS569" t="s">
        <v>74</v>
      </c>
      <c r="AT569" t="s">
        <v>74</v>
      </c>
      <c r="AU569">
        <v>2023</v>
      </c>
      <c r="AV569">
        <v>314</v>
      </c>
      <c r="AW569" t="s">
        <v>74</v>
      </c>
      <c r="AX569" t="s">
        <v>74</v>
      </c>
      <c r="AY569" t="s">
        <v>74</v>
      </c>
      <c r="AZ569" t="s">
        <v>74</v>
      </c>
      <c r="BA569" t="s">
        <v>74</v>
      </c>
      <c r="BB569">
        <v>236</v>
      </c>
      <c r="BC569">
        <v>246</v>
      </c>
      <c r="BD569" t="s">
        <v>74</v>
      </c>
      <c r="BE569" t="s">
        <v>10952</v>
      </c>
      <c r="BF569" t="str">
        <f>HYPERLINK("http://dx.doi.org/10.1007/978-3-031-05491-4_24","http://dx.doi.org/10.1007/978-3-031-05491-4_24")</f>
        <v>http://dx.doi.org/10.1007/978-3-031-05491-4_24</v>
      </c>
      <c r="BG569" t="s">
        <v>74</v>
      </c>
      <c r="BH569" t="s">
        <v>74</v>
      </c>
      <c r="BI569">
        <v>11</v>
      </c>
      <c r="BJ569" t="s">
        <v>883</v>
      </c>
      <c r="BK569" t="s">
        <v>98</v>
      </c>
      <c r="BL569" t="s">
        <v>99</v>
      </c>
      <c r="BM569" t="s">
        <v>10953</v>
      </c>
      <c r="BN569" t="s">
        <v>74</v>
      </c>
      <c r="BO569" t="s">
        <v>74</v>
      </c>
      <c r="BP569" t="s">
        <v>74</v>
      </c>
      <c r="BQ569" t="s">
        <v>74</v>
      </c>
      <c r="BR569" t="s">
        <v>101</v>
      </c>
      <c r="BS569" t="s">
        <v>10954</v>
      </c>
      <c r="BT569" t="str">
        <f>HYPERLINK("https%3A%2F%2Fwww.webofscience.com%2Fwos%2Fwoscc%2Ffull-record%2FWOS:000945919300024","View Full Record in Web of Science")</f>
        <v>View Full Record in Web of Science</v>
      </c>
    </row>
    <row r="570" spans="1:72" x14ac:dyDescent="0.2">
      <c r="A570" t="s">
        <v>103</v>
      </c>
      <c r="B570" t="s">
        <v>10955</v>
      </c>
      <c r="C570" t="s">
        <v>74</v>
      </c>
      <c r="D570" t="s">
        <v>74</v>
      </c>
      <c r="E570" t="s">
        <v>74</v>
      </c>
      <c r="F570" t="s">
        <v>10956</v>
      </c>
      <c r="G570" t="s">
        <v>74</v>
      </c>
      <c r="H570" t="s">
        <v>74</v>
      </c>
      <c r="I570" t="s">
        <v>10957</v>
      </c>
      <c r="J570" t="s">
        <v>4393</v>
      </c>
      <c r="K570" t="s">
        <v>74</v>
      </c>
      <c r="L570" t="s">
        <v>74</v>
      </c>
      <c r="M570" t="s">
        <v>79</v>
      </c>
      <c r="N570" t="s">
        <v>108</v>
      </c>
      <c r="O570" t="s">
        <v>74</v>
      </c>
      <c r="P570" t="s">
        <v>74</v>
      </c>
      <c r="Q570" t="s">
        <v>74</v>
      </c>
      <c r="R570" t="s">
        <v>74</v>
      </c>
      <c r="S570" t="s">
        <v>74</v>
      </c>
      <c r="T570" t="s">
        <v>10958</v>
      </c>
      <c r="U570" t="s">
        <v>10959</v>
      </c>
      <c r="V570" t="s">
        <v>10960</v>
      </c>
      <c r="W570" t="s">
        <v>10961</v>
      </c>
      <c r="X570" t="s">
        <v>10962</v>
      </c>
      <c r="Y570" t="s">
        <v>10963</v>
      </c>
      <c r="Z570" t="s">
        <v>10964</v>
      </c>
      <c r="AA570" t="s">
        <v>10965</v>
      </c>
      <c r="AB570" t="s">
        <v>10966</v>
      </c>
      <c r="AC570" t="s">
        <v>10967</v>
      </c>
      <c r="AD570" t="s">
        <v>10967</v>
      </c>
      <c r="AE570" t="s">
        <v>3401</v>
      </c>
      <c r="AF570" t="s">
        <v>74</v>
      </c>
      <c r="AG570">
        <v>29</v>
      </c>
      <c r="AH570">
        <v>0</v>
      </c>
      <c r="AI570">
        <v>0</v>
      </c>
      <c r="AJ570">
        <v>4</v>
      </c>
      <c r="AK570">
        <v>4</v>
      </c>
      <c r="AL570" t="s">
        <v>939</v>
      </c>
      <c r="AM570" t="s">
        <v>940</v>
      </c>
      <c r="AN570" t="s">
        <v>941</v>
      </c>
      <c r="AO570" t="s">
        <v>74</v>
      </c>
      <c r="AP570" t="s">
        <v>4403</v>
      </c>
      <c r="AQ570" t="s">
        <v>74</v>
      </c>
      <c r="AR570" t="s">
        <v>4404</v>
      </c>
      <c r="AS570" t="s">
        <v>4405</v>
      </c>
      <c r="AT570" t="s">
        <v>276</v>
      </c>
      <c r="AU570">
        <v>2023</v>
      </c>
      <c r="AV570">
        <v>9</v>
      </c>
      <c r="AW570">
        <v>11</v>
      </c>
      <c r="AX570" t="s">
        <v>74</v>
      </c>
      <c r="AY570" t="s">
        <v>74</v>
      </c>
      <c r="AZ570" t="s">
        <v>74</v>
      </c>
      <c r="BA570" t="s">
        <v>74</v>
      </c>
      <c r="BB570" t="s">
        <v>74</v>
      </c>
      <c r="BC570" t="s">
        <v>74</v>
      </c>
      <c r="BD570">
        <v>235</v>
      </c>
      <c r="BE570" t="s">
        <v>10968</v>
      </c>
      <c r="BF570" t="str">
        <f>HYPERLINK("http://dx.doi.org/10.3390/jimaging9110235","http://dx.doi.org/10.3390/jimaging9110235")</f>
        <v>http://dx.doi.org/10.3390/jimaging9110235</v>
      </c>
      <c r="BG570" t="s">
        <v>74</v>
      </c>
      <c r="BH570" t="s">
        <v>74</v>
      </c>
      <c r="BI570">
        <v>30</v>
      </c>
      <c r="BJ570" t="s">
        <v>4407</v>
      </c>
      <c r="BK570" t="s">
        <v>352</v>
      </c>
      <c r="BL570" t="s">
        <v>4407</v>
      </c>
      <c r="BM570" t="s">
        <v>10969</v>
      </c>
      <c r="BN570">
        <v>37998082</v>
      </c>
      <c r="BO570" t="s">
        <v>4185</v>
      </c>
      <c r="BP570" t="s">
        <v>74</v>
      </c>
      <c r="BQ570" t="s">
        <v>74</v>
      </c>
      <c r="BR570" t="s">
        <v>101</v>
      </c>
      <c r="BS570" t="s">
        <v>10970</v>
      </c>
      <c r="BT570" t="str">
        <f>HYPERLINK("https%3A%2F%2Fwww.webofscience.com%2Fwos%2Fwoscc%2Ffull-record%2FWOS:001116460700001","View Full Record in Web of Science")</f>
        <v>View Full Record in Web of Science</v>
      </c>
    </row>
    <row r="571" spans="1:72" x14ac:dyDescent="0.2">
      <c r="A571" t="s">
        <v>72</v>
      </c>
      <c r="B571" t="s">
        <v>10971</v>
      </c>
      <c r="C571" t="s">
        <v>74</v>
      </c>
      <c r="D571" t="s">
        <v>74</v>
      </c>
      <c r="E571" t="s">
        <v>284</v>
      </c>
      <c r="F571" t="s">
        <v>10972</v>
      </c>
      <c r="G571" t="s">
        <v>74</v>
      </c>
      <c r="H571" t="s">
        <v>74</v>
      </c>
      <c r="I571" t="s">
        <v>10973</v>
      </c>
      <c r="J571" t="s">
        <v>10974</v>
      </c>
      <c r="K571" t="s">
        <v>74</v>
      </c>
      <c r="L571" t="s">
        <v>74</v>
      </c>
      <c r="M571" t="s">
        <v>79</v>
      </c>
      <c r="N571" t="s">
        <v>80</v>
      </c>
      <c r="O571" t="s">
        <v>10975</v>
      </c>
      <c r="P571" t="s">
        <v>10976</v>
      </c>
      <c r="Q571" t="s">
        <v>10977</v>
      </c>
      <c r="R571" t="s">
        <v>10978</v>
      </c>
      <c r="S571" t="s">
        <v>74</v>
      </c>
      <c r="T571" t="s">
        <v>74</v>
      </c>
      <c r="U571" t="s">
        <v>74</v>
      </c>
      <c r="V571" t="s">
        <v>74</v>
      </c>
      <c r="W571" t="s">
        <v>10979</v>
      </c>
      <c r="X571" t="s">
        <v>10980</v>
      </c>
      <c r="Y571" t="s">
        <v>10981</v>
      </c>
      <c r="Z571" t="s">
        <v>74</v>
      </c>
      <c r="AA571" t="s">
        <v>74</v>
      </c>
      <c r="AB571" t="s">
        <v>74</v>
      </c>
      <c r="AC571" t="s">
        <v>74</v>
      </c>
      <c r="AD571" t="s">
        <v>74</v>
      </c>
      <c r="AE571" t="s">
        <v>74</v>
      </c>
      <c r="AF571" t="s">
        <v>74</v>
      </c>
      <c r="AG571">
        <v>0</v>
      </c>
      <c r="AH571">
        <v>0</v>
      </c>
      <c r="AI571">
        <v>0</v>
      </c>
      <c r="AJ571">
        <v>3</v>
      </c>
      <c r="AK571">
        <v>3</v>
      </c>
      <c r="AL571" t="s">
        <v>284</v>
      </c>
      <c r="AM571" t="s">
        <v>93</v>
      </c>
      <c r="AN571" t="s">
        <v>299</v>
      </c>
      <c r="AO571" t="s">
        <v>74</v>
      </c>
      <c r="AP571" t="s">
        <v>74</v>
      </c>
      <c r="AQ571" t="s">
        <v>10982</v>
      </c>
      <c r="AR571" t="s">
        <v>74</v>
      </c>
      <c r="AS571" t="s">
        <v>74</v>
      </c>
      <c r="AT571" t="s">
        <v>74</v>
      </c>
      <c r="AU571">
        <v>2023</v>
      </c>
      <c r="AV571" t="s">
        <v>74</v>
      </c>
      <c r="AW571" t="s">
        <v>74</v>
      </c>
      <c r="AX571" t="s">
        <v>74</v>
      </c>
      <c r="AY571" t="s">
        <v>74</v>
      </c>
      <c r="AZ571" t="s">
        <v>74</v>
      </c>
      <c r="BA571" t="s">
        <v>74</v>
      </c>
      <c r="BB571" t="s">
        <v>74</v>
      </c>
      <c r="BC571" t="s">
        <v>74</v>
      </c>
      <c r="BD571" t="s">
        <v>74</v>
      </c>
      <c r="BE571" t="s">
        <v>10983</v>
      </c>
      <c r="BF571" t="str">
        <f>HYPERLINK("http://dx.doi.org/10.1109/VLSI-TSA/VLSI-DAT57221.2023.10134215","http://dx.doi.org/10.1109/VLSI-TSA/VLSI-DAT57221.2023.10134215")</f>
        <v>http://dx.doi.org/10.1109/VLSI-TSA/VLSI-DAT57221.2023.10134215</v>
      </c>
      <c r="BG571" t="s">
        <v>74</v>
      </c>
      <c r="BH571" t="s">
        <v>74</v>
      </c>
      <c r="BI571">
        <v>1</v>
      </c>
      <c r="BJ571" t="s">
        <v>2822</v>
      </c>
      <c r="BK571" t="s">
        <v>98</v>
      </c>
      <c r="BL571" t="s">
        <v>2823</v>
      </c>
      <c r="BM571" t="s">
        <v>10984</v>
      </c>
      <c r="BN571" t="s">
        <v>74</v>
      </c>
      <c r="BO571" t="s">
        <v>74</v>
      </c>
      <c r="BP571" t="s">
        <v>74</v>
      </c>
      <c r="BQ571" t="s">
        <v>74</v>
      </c>
      <c r="BR571" t="s">
        <v>101</v>
      </c>
      <c r="BS571" t="s">
        <v>10985</v>
      </c>
      <c r="BT571" t="str">
        <f>HYPERLINK("https%3A%2F%2Fwww.webofscience.com%2Fwos%2Fwoscc%2Ffull-record%2FWOS:001012107600062","View Full Record in Web of Science")</f>
        <v>View Full Record in Web of Science</v>
      </c>
    </row>
    <row r="572" spans="1:72" x14ac:dyDescent="0.2">
      <c r="A572" t="s">
        <v>103</v>
      </c>
      <c r="B572" t="s">
        <v>10986</v>
      </c>
      <c r="C572" t="s">
        <v>74</v>
      </c>
      <c r="D572" t="s">
        <v>74</v>
      </c>
      <c r="E572" t="s">
        <v>74</v>
      </c>
      <c r="F572" t="s">
        <v>10987</v>
      </c>
      <c r="G572" t="s">
        <v>74</v>
      </c>
      <c r="H572" t="s">
        <v>74</v>
      </c>
      <c r="I572" t="s">
        <v>10988</v>
      </c>
      <c r="J572" t="s">
        <v>10989</v>
      </c>
      <c r="K572" t="s">
        <v>74</v>
      </c>
      <c r="L572" t="s">
        <v>74</v>
      </c>
      <c r="M572" t="s">
        <v>79</v>
      </c>
      <c r="N572" t="s">
        <v>108</v>
      </c>
      <c r="O572" t="s">
        <v>74</v>
      </c>
      <c r="P572" t="s">
        <v>74</v>
      </c>
      <c r="Q572" t="s">
        <v>74</v>
      </c>
      <c r="R572" t="s">
        <v>74</v>
      </c>
      <c r="S572" t="s">
        <v>74</v>
      </c>
      <c r="T572" t="s">
        <v>74</v>
      </c>
      <c r="U572" t="s">
        <v>10990</v>
      </c>
      <c r="V572" t="s">
        <v>10991</v>
      </c>
      <c r="W572" t="s">
        <v>10992</v>
      </c>
      <c r="X572" t="s">
        <v>10993</v>
      </c>
      <c r="Y572" t="s">
        <v>10994</v>
      </c>
      <c r="Z572" t="s">
        <v>10995</v>
      </c>
      <c r="AA572" t="s">
        <v>10996</v>
      </c>
      <c r="AB572" t="s">
        <v>74</v>
      </c>
      <c r="AC572" t="s">
        <v>10997</v>
      </c>
      <c r="AD572" t="s">
        <v>10998</v>
      </c>
      <c r="AE572" t="s">
        <v>10999</v>
      </c>
      <c r="AF572" t="s">
        <v>74</v>
      </c>
      <c r="AG572">
        <v>42</v>
      </c>
      <c r="AH572">
        <v>1</v>
      </c>
      <c r="AI572">
        <v>1</v>
      </c>
      <c r="AJ572">
        <v>9</v>
      </c>
      <c r="AK572">
        <v>19</v>
      </c>
      <c r="AL572" t="s">
        <v>3980</v>
      </c>
      <c r="AM572" t="s">
        <v>1153</v>
      </c>
      <c r="AN572" t="s">
        <v>3981</v>
      </c>
      <c r="AO572" t="s">
        <v>74</v>
      </c>
      <c r="AP572" t="s">
        <v>11000</v>
      </c>
      <c r="AQ572" t="s">
        <v>74</v>
      </c>
      <c r="AR572" t="s">
        <v>11001</v>
      </c>
      <c r="AS572" t="s">
        <v>11002</v>
      </c>
      <c r="AT572" t="s">
        <v>11003</v>
      </c>
      <c r="AU572">
        <v>2023</v>
      </c>
      <c r="AV572">
        <v>13</v>
      </c>
      <c r="AW572">
        <v>2</v>
      </c>
      <c r="AX572" t="s">
        <v>74</v>
      </c>
      <c r="AY572" t="s">
        <v>74</v>
      </c>
      <c r="AZ572" t="s">
        <v>74</v>
      </c>
      <c r="BA572" t="s">
        <v>74</v>
      </c>
      <c r="BB572">
        <v>1031</v>
      </c>
      <c r="BC572">
        <v>1040</v>
      </c>
      <c r="BD572" t="s">
        <v>74</v>
      </c>
      <c r="BE572" t="s">
        <v>11004</v>
      </c>
      <c r="BF572" t="str">
        <f>HYPERLINK("http://dx.doi.org/10.1039/d2ra07008a","http://dx.doi.org/10.1039/d2ra07008a")</f>
        <v>http://dx.doi.org/10.1039/d2ra07008a</v>
      </c>
      <c r="BG572" t="s">
        <v>74</v>
      </c>
      <c r="BH572" t="s">
        <v>74</v>
      </c>
      <c r="BI572">
        <v>10</v>
      </c>
      <c r="BJ572" t="s">
        <v>11005</v>
      </c>
      <c r="BK572" t="s">
        <v>130</v>
      </c>
      <c r="BL572" t="s">
        <v>11006</v>
      </c>
      <c r="BM572" t="s">
        <v>11007</v>
      </c>
      <c r="BN572">
        <v>36686951</v>
      </c>
      <c r="BO572" t="s">
        <v>1728</v>
      </c>
      <c r="BP572" t="s">
        <v>74</v>
      </c>
      <c r="BQ572" t="s">
        <v>74</v>
      </c>
      <c r="BR572" t="s">
        <v>101</v>
      </c>
      <c r="BS572" t="s">
        <v>11008</v>
      </c>
      <c r="BT572" t="str">
        <f>HYPERLINK("https%3A%2F%2Fwww.webofscience.com%2Fwos%2Fwoscc%2Ffull-record%2FWOS:000907190100001","View Full Record in Web of Science")</f>
        <v>View Full Record in Web of Science</v>
      </c>
    </row>
    <row r="573" spans="1:72" x14ac:dyDescent="0.2">
      <c r="A573" t="s">
        <v>103</v>
      </c>
      <c r="B573" t="s">
        <v>11009</v>
      </c>
      <c r="C573" t="s">
        <v>74</v>
      </c>
      <c r="D573" t="s">
        <v>74</v>
      </c>
      <c r="E573" t="s">
        <v>74</v>
      </c>
      <c r="F573" t="s">
        <v>11010</v>
      </c>
      <c r="G573" t="s">
        <v>74</v>
      </c>
      <c r="H573" t="s">
        <v>74</v>
      </c>
      <c r="I573" t="s">
        <v>11011</v>
      </c>
      <c r="J573" t="s">
        <v>11012</v>
      </c>
      <c r="K573" t="s">
        <v>74</v>
      </c>
      <c r="L573" t="s">
        <v>74</v>
      </c>
      <c r="M573" t="s">
        <v>79</v>
      </c>
      <c r="N573" t="s">
        <v>108</v>
      </c>
      <c r="O573" t="s">
        <v>74</v>
      </c>
      <c r="P573" t="s">
        <v>74</v>
      </c>
      <c r="Q573" t="s">
        <v>74</v>
      </c>
      <c r="R573" t="s">
        <v>74</v>
      </c>
      <c r="S573" t="s">
        <v>74</v>
      </c>
      <c r="T573" t="s">
        <v>11013</v>
      </c>
      <c r="U573" t="s">
        <v>74</v>
      </c>
      <c r="V573" t="s">
        <v>11014</v>
      </c>
      <c r="W573" t="s">
        <v>11015</v>
      </c>
      <c r="X573" t="s">
        <v>11016</v>
      </c>
      <c r="Y573" t="s">
        <v>11017</v>
      </c>
      <c r="Z573" t="s">
        <v>11018</v>
      </c>
      <c r="AA573" t="s">
        <v>11019</v>
      </c>
      <c r="AB573" t="s">
        <v>11020</v>
      </c>
      <c r="AC573" t="s">
        <v>11021</v>
      </c>
      <c r="AD573" t="s">
        <v>11022</v>
      </c>
      <c r="AE573" t="s">
        <v>11023</v>
      </c>
      <c r="AF573" t="s">
        <v>74</v>
      </c>
      <c r="AG573">
        <v>49</v>
      </c>
      <c r="AH573">
        <v>8</v>
      </c>
      <c r="AI573">
        <v>8</v>
      </c>
      <c r="AJ573">
        <v>5</v>
      </c>
      <c r="AK573">
        <v>6</v>
      </c>
      <c r="AL573" t="s">
        <v>119</v>
      </c>
      <c r="AM573" t="s">
        <v>120</v>
      </c>
      <c r="AN573" t="s">
        <v>121</v>
      </c>
      <c r="AO573" t="s">
        <v>11024</v>
      </c>
      <c r="AP573" t="s">
        <v>11025</v>
      </c>
      <c r="AQ573" t="s">
        <v>74</v>
      </c>
      <c r="AR573" t="s">
        <v>11026</v>
      </c>
      <c r="AS573" t="s">
        <v>11027</v>
      </c>
      <c r="AT573" t="s">
        <v>126</v>
      </c>
      <c r="AU573">
        <v>2023</v>
      </c>
      <c r="AV573">
        <v>171</v>
      </c>
      <c r="AW573" t="s">
        <v>74</v>
      </c>
      <c r="AX573" t="s">
        <v>74</v>
      </c>
      <c r="AY573" t="s">
        <v>74</v>
      </c>
      <c r="AZ573" t="s">
        <v>74</v>
      </c>
      <c r="BA573" t="s">
        <v>74</v>
      </c>
      <c r="BB573" t="s">
        <v>74</v>
      </c>
      <c r="BC573" t="s">
        <v>74</v>
      </c>
      <c r="BD573">
        <v>108162</v>
      </c>
      <c r="BE573" t="s">
        <v>11028</v>
      </c>
      <c r="BF573" t="str">
        <f>HYPERLINK("http://dx.doi.org/10.1016/j.compchemeng.2023.108162","http://dx.doi.org/10.1016/j.compchemeng.2023.108162")</f>
        <v>http://dx.doi.org/10.1016/j.compchemeng.2023.108162</v>
      </c>
      <c r="BG573" t="s">
        <v>74</v>
      </c>
      <c r="BH573" t="s">
        <v>2647</v>
      </c>
      <c r="BI573">
        <v>12</v>
      </c>
      <c r="BJ573" t="s">
        <v>11029</v>
      </c>
      <c r="BK573" t="s">
        <v>130</v>
      </c>
      <c r="BL573" t="s">
        <v>906</v>
      </c>
      <c r="BM573" t="s">
        <v>11030</v>
      </c>
      <c r="BN573" t="s">
        <v>74</v>
      </c>
      <c r="BO573" t="s">
        <v>11031</v>
      </c>
      <c r="BP573" t="s">
        <v>74</v>
      </c>
      <c r="BQ573" t="s">
        <v>74</v>
      </c>
      <c r="BR573" t="s">
        <v>101</v>
      </c>
      <c r="BS573" t="s">
        <v>11032</v>
      </c>
      <c r="BT573" t="str">
        <f>HYPERLINK("https%3A%2F%2Fwww.webofscience.com%2Fwos%2Fwoscc%2Ffull-record%2FWOS:000930932000001","View Full Record in Web of Science")</f>
        <v>View Full Record in Web of Science</v>
      </c>
    </row>
    <row r="574" spans="1:72" x14ac:dyDescent="0.2">
      <c r="A574" t="s">
        <v>103</v>
      </c>
      <c r="B574" t="s">
        <v>11033</v>
      </c>
      <c r="C574" t="s">
        <v>74</v>
      </c>
      <c r="D574" t="s">
        <v>74</v>
      </c>
      <c r="E574" t="s">
        <v>74</v>
      </c>
      <c r="F574" t="s">
        <v>11034</v>
      </c>
      <c r="G574" t="s">
        <v>74</v>
      </c>
      <c r="H574" t="s">
        <v>74</v>
      </c>
      <c r="I574" t="s">
        <v>11035</v>
      </c>
      <c r="J574" t="s">
        <v>11036</v>
      </c>
      <c r="K574" t="s">
        <v>74</v>
      </c>
      <c r="L574" t="s">
        <v>74</v>
      </c>
      <c r="M574" t="s">
        <v>79</v>
      </c>
      <c r="N574" t="s">
        <v>108</v>
      </c>
      <c r="O574" t="s">
        <v>74</v>
      </c>
      <c r="P574" t="s">
        <v>74</v>
      </c>
      <c r="Q574" t="s">
        <v>74</v>
      </c>
      <c r="R574" t="s">
        <v>74</v>
      </c>
      <c r="S574" t="s">
        <v>74</v>
      </c>
      <c r="T574" t="s">
        <v>74</v>
      </c>
      <c r="U574" t="s">
        <v>74</v>
      </c>
      <c r="V574" t="s">
        <v>11037</v>
      </c>
      <c r="W574" t="s">
        <v>11038</v>
      </c>
      <c r="X574" t="s">
        <v>11039</v>
      </c>
      <c r="Y574" t="s">
        <v>11040</v>
      </c>
      <c r="Z574" t="s">
        <v>11041</v>
      </c>
      <c r="AA574" t="s">
        <v>11042</v>
      </c>
      <c r="AB574" t="s">
        <v>11043</v>
      </c>
      <c r="AC574" t="s">
        <v>11044</v>
      </c>
      <c r="AD574" t="s">
        <v>11045</v>
      </c>
      <c r="AE574" t="s">
        <v>11046</v>
      </c>
      <c r="AF574" t="s">
        <v>74</v>
      </c>
      <c r="AG574">
        <v>39</v>
      </c>
      <c r="AH574">
        <v>0</v>
      </c>
      <c r="AI574">
        <v>0</v>
      </c>
      <c r="AJ574">
        <v>19</v>
      </c>
      <c r="AK574">
        <v>19</v>
      </c>
      <c r="AL574" t="s">
        <v>547</v>
      </c>
      <c r="AM574" t="s">
        <v>548</v>
      </c>
      <c r="AN574" t="s">
        <v>549</v>
      </c>
      <c r="AO574" t="s">
        <v>11047</v>
      </c>
      <c r="AP574" t="s">
        <v>11048</v>
      </c>
      <c r="AQ574" t="s">
        <v>74</v>
      </c>
      <c r="AR574" t="s">
        <v>11049</v>
      </c>
      <c r="AS574" t="s">
        <v>11050</v>
      </c>
      <c r="AT574" t="s">
        <v>11051</v>
      </c>
      <c r="AU574">
        <v>2023</v>
      </c>
      <c r="AV574">
        <v>145</v>
      </c>
      <c r="AW574">
        <v>49</v>
      </c>
      <c r="AX574" t="s">
        <v>74</v>
      </c>
      <c r="AY574" t="s">
        <v>74</v>
      </c>
      <c r="AZ574" t="s">
        <v>74</v>
      </c>
      <c r="BA574" t="s">
        <v>74</v>
      </c>
      <c r="BB574">
        <v>26817</v>
      </c>
      <c r="BC574">
        <v>26823</v>
      </c>
      <c r="BD574" t="s">
        <v>74</v>
      </c>
      <c r="BE574" t="s">
        <v>11052</v>
      </c>
      <c r="BF574" t="str">
        <f>HYPERLINK("http://dx.doi.org/10.1021/jacs.3c09299","http://dx.doi.org/10.1021/jacs.3c09299")</f>
        <v>http://dx.doi.org/10.1021/jacs.3c09299</v>
      </c>
      <c r="BG574" t="s">
        <v>74</v>
      </c>
      <c r="BH574" t="s">
        <v>74</v>
      </c>
      <c r="BI574">
        <v>7</v>
      </c>
      <c r="BJ574" t="s">
        <v>11005</v>
      </c>
      <c r="BK574" t="s">
        <v>130</v>
      </c>
      <c r="BL574" t="s">
        <v>11006</v>
      </c>
      <c r="BM574" t="s">
        <v>11053</v>
      </c>
      <c r="BN574">
        <v>38019281</v>
      </c>
      <c r="BO574" t="s">
        <v>74</v>
      </c>
      <c r="BP574" t="s">
        <v>74</v>
      </c>
      <c r="BQ574" t="s">
        <v>74</v>
      </c>
      <c r="BR574" t="s">
        <v>101</v>
      </c>
      <c r="BS574" t="s">
        <v>11054</v>
      </c>
      <c r="BT574" t="str">
        <f>HYPERLINK("https%3A%2F%2Fwww.webofscience.com%2Fwos%2Fwoscc%2Ffull-record%2FWOS:001141604800001","View Full Record in Web of Science")</f>
        <v>View Full Record in Web of Science</v>
      </c>
    </row>
    <row r="575" spans="1:72" x14ac:dyDescent="0.2">
      <c r="A575" t="s">
        <v>72</v>
      </c>
      <c r="B575" t="s">
        <v>11055</v>
      </c>
      <c r="C575" t="s">
        <v>74</v>
      </c>
      <c r="D575" t="s">
        <v>74</v>
      </c>
      <c r="E575" t="s">
        <v>284</v>
      </c>
      <c r="F575" t="s">
        <v>11056</v>
      </c>
      <c r="G575" t="s">
        <v>74</v>
      </c>
      <c r="H575" t="s">
        <v>74</v>
      </c>
      <c r="I575" t="s">
        <v>11057</v>
      </c>
      <c r="J575" t="s">
        <v>11058</v>
      </c>
      <c r="K575" t="s">
        <v>11059</v>
      </c>
      <c r="L575" t="s">
        <v>74</v>
      </c>
      <c r="M575" t="s">
        <v>79</v>
      </c>
      <c r="N575" t="s">
        <v>80</v>
      </c>
      <c r="O575" t="s">
        <v>11060</v>
      </c>
      <c r="P575" t="s">
        <v>11061</v>
      </c>
      <c r="Q575" t="s">
        <v>11062</v>
      </c>
      <c r="R575" t="s">
        <v>8249</v>
      </c>
      <c r="S575" t="s">
        <v>74</v>
      </c>
      <c r="T575" t="s">
        <v>74</v>
      </c>
      <c r="U575" t="s">
        <v>74</v>
      </c>
      <c r="V575" t="s">
        <v>11063</v>
      </c>
      <c r="W575" t="s">
        <v>11064</v>
      </c>
      <c r="X575" t="s">
        <v>9584</v>
      </c>
      <c r="Y575" t="s">
        <v>11065</v>
      </c>
      <c r="Z575" t="s">
        <v>11066</v>
      </c>
      <c r="AA575" t="s">
        <v>74</v>
      </c>
      <c r="AB575" t="s">
        <v>74</v>
      </c>
      <c r="AC575" t="s">
        <v>11067</v>
      </c>
      <c r="AD575" t="s">
        <v>11068</v>
      </c>
      <c r="AE575" t="s">
        <v>11069</v>
      </c>
      <c r="AF575" t="s">
        <v>74</v>
      </c>
      <c r="AG575">
        <v>48</v>
      </c>
      <c r="AH575">
        <v>1</v>
      </c>
      <c r="AI575">
        <v>1</v>
      </c>
      <c r="AJ575">
        <v>1</v>
      </c>
      <c r="AK575">
        <v>1</v>
      </c>
      <c r="AL575" t="s">
        <v>638</v>
      </c>
      <c r="AM575" t="s">
        <v>639</v>
      </c>
      <c r="AN575" t="s">
        <v>640</v>
      </c>
      <c r="AO575" t="s">
        <v>11070</v>
      </c>
      <c r="AP575" t="s">
        <v>74</v>
      </c>
      <c r="AQ575" t="s">
        <v>11071</v>
      </c>
      <c r="AR575" t="s">
        <v>11072</v>
      </c>
      <c r="AS575" t="s">
        <v>74</v>
      </c>
      <c r="AT575" t="s">
        <v>74</v>
      </c>
      <c r="AU575">
        <v>2023</v>
      </c>
      <c r="AV575" t="s">
        <v>74</v>
      </c>
      <c r="AW575" t="s">
        <v>74</v>
      </c>
      <c r="AX575" t="s">
        <v>74</v>
      </c>
      <c r="AY575" t="s">
        <v>74</v>
      </c>
      <c r="AZ575" t="s">
        <v>74</v>
      </c>
      <c r="BA575" t="s">
        <v>74</v>
      </c>
      <c r="BB575">
        <v>724</v>
      </c>
      <c r="BC575">
        <v>733</v>
      </c>
      <c r="BD575" t="s">
        <v>74</v>
      </c>
      <c r="BE575" t="s">
        <v>11073</v>
      </c>
      <c r="BF575" t="str">
        <f>HYPERLINK("http://dx.doi.org/10.1109/WACV56688.2023.00079","http://dx.doi.org/10.1109/WACV56688.2023.00079")</f>
        <v>http://dx.doi.org/10.1109/WACV56688.2023.00079</v>
      </c>
      <c r="BG575" t="s">
        <v>74</v>
      </c>
      <c r="BH575" t="s">
        <v>74</v>
      </c>
      <c r="BI575">
        <v>10</v>
      </c>
      <c r="BJ575" t="s">
        <v>11074</v>
      </c>
      <c r="BK575" t="s">
        <v>98</v>
      </c>
      <c r="BL575" t="s">
        <v>11075</v>
      </c>
      <c r="BM575" t="s">
        <v>11076</v>
      </c>
      <c r="BN575" t="s">
        <v>74</v>
      </c>
      <c r="BO575" t="s">
        <v>74</v>
      </c>
      <c r="BP575" t="s">
        <v>74</v>
      </c>
      <c r="BQ575" t="s">
        <v>74</v>
      </c>
      <c r="BR575" t="s">
        <v>101</v>
      </c>
      <c r="BS575" t="s">
        <v>11077</v>
      </c>
      <c r="BT575" t="str">
        <f>HYPERLINK("https%3A%2F%2Fwww.webofscience.com%2Fwos%2Fwoscc%2Ffull-record%2FWOS:000971500200071","View Full Record in Web of Science")</f>
        <v>View Full Record in Web of Science</v>
      </c>
    </row>
    <row r="576" spans="1:72" x14ac:dyDescent="0.2">
      <c r="A576" t="s">
        <v>72</v>
      </c>
      <c r="B576" t="s">
        <v>11078</v>
      </c>
      <c r="C576" t="s">
        <v>74</v>
      </c>
      <c r="D576" t="s">
        <v>74</v>
      </c>
      <c r="E576" t="s">
        <v>284</v>
      </c>
      <c r="F576" t="s">
        <v>11079</v>
      </c>
      <c r="G576" t="s">
        <v>74</v>
      </c>
      <c r="H576" t="s">
        <v>74</v>
      </c>
      <c r="I576" t="s">
        <v>11080</v>
      </c>
      <c r="J576" t="s">
        <v>11081</v>
      </c>
      <c r="K576" t="s">
        <v>11082</v>
      </c>
      <c r="L576" t="s">
        <v>74</v>
      </c>
      <c r="M576" t="s">
        <v>79</v>
      </c>
      <c r="N576" t="s">
        <v>80</v>
      </c>
      <c r="O576" t="s">
        <v>11083</v>
      </c>
      <c r="P576" t="s">
        <v>11084</v>
      </c>
      <c r="Q576" t="s">
        <v>11085</v>
      </c>
      <c r="R576" t="s">
        <v>11086</v>
      </c>
      <c r="S576" t="s">
        <v>74</v>
      </c>
      <c r="T576" t="s">
        <v>74</v>
      </c>
      <c r="U576" t="s">
        <v>74</v>
      </c>
      <c r="V576" t="s">
        <v>11087</v>
      </c>
      <c r="W576" t="s">
        <v>11088</v>
      </c>
      <c r="X576" t="s">
        <v>74</v>
      </c>
      <c r="Y576" t="s">
        <v>11089</v>
      </c>
      <c r="Z576" t="s">
        <v>11090</v>
      </c>
      <c r="AA576" t="s">
        <v>74</v>
      </c>
      <c r="AB576" t="s">
        <v>74</v>
      </c>
      <c r="AC576" t="s">
        <v>74</v>
      </c>
      <c r="AD576" t="s">
        <v>74</v>
      </c>
      <c r="AE576" t="s">
        <v>74</v>
      </c>
      <c r="AF576" t="s">
        <v>74</v>
      </c>
      <c r="AG576">
        <v>33</v>
      </c>
      <c r="AH576">
        <v>0</v>
      </c>
      <c r="AI576">
        <v>0</v>
      </c>
      <c r="AJ576">
        <v>0</v>
      </c>
      <c r="AK576">
        <v>0</v>
      </c>
      <c r="AL576" t="s">
        <v>638</v>
      </c>
      <c r="AM576" t="s">
        <v>639</v>
      </c>
      <c r="AN576" t="s">
        <v>640</v>
      </c>
      <c r="AO576" t="s">
        <v>11091</v>
      </c>
      <c r="AP576" t="s">
        <v>74</v>
      </c>
      <c r="AQ576" t="s">
        <v>11092</v>
      </c>
      <c r="AR576" t="s">
        <v>11093</v>
      </c>
      <c r="AS576" t="s">
        <v>74</v>
      </c>
      <c r="AT576" t="s">
        <v>74</v>
      </c>
      <c r="AU576">
        <v>2023</v>
      </c>
      <c r="AV576" t="s">
        <v>74</v>
      </c>
      <c r="AW576" t="s">
        <v>74</v>
      </c>
      <c r="AX576" t="s">
        <v>74</v>
      </c>
      <c r="AY576" t="s">
        <v>74</v>
      </c>
      <c r="AZ576" t="s">
        <v>74</v>
      </c>
      <c r="BA576" t="s">
        <v>74</v>
      </c>
      <c r="BB576">
        <v>1445</v>
      </c>
      <c r="BC576">
        <v>1450</v>
      </c>
      <c r="BD576" t="s">
        <v>74</v>
      </c>
      <c r="BE576" t="s">
        <v>11094</v>
      </c>
      <c r="BF576" t="str">
        <f>HYPERLINK("http://dx.doi.org/10.1109/ICCVW60793.2023.00157","http://dx.doi.org/10.1109/ICCVW60793.2023.00157")</f>
        <v>http://dx.doi.org/10.1109/ICCVW60793.2023.00157</v>
      </c>
      <c r="BG576" t="s">
        <v>74</v>
      </c>
      <c r="BH576" t="s">
        <v>74</v>
      </c>
      <c r="BI576">
        <v>6</v>
      </c>
      <c r="BJ576" t="s">
        <v>11095</v>
      </c>
      <c r="BK576" t="s">
        <v>98</v>
      </c>
      <c r="BL576" t="s">
        <v>2179</v>
      </c>
      <c r="BM576" t="s">
        <v>11096</v>
      </c>
      <c r="BN576" t="s">
        <v>74</v>
      </c>
      <c r="BO576" t="s">
        <v>646</v>
      </c>
      <c r="BP576" t="s">
        <v>74</v>
      </c>
      <c r="BQ576" t="s">
        <v>74</v>
      </c>
      <c r="BR576" t="s">
        <v>101</v>
      </c>
      <c r="BS576" t="s">
        <v>11097</v>
      </c>
      <c r="BT576" t="str">
        <f>HYPERLINK("https%3A%2F%2Fwww.webofscience.com%2Fwos%2Fwoscc%2Ffull-record%2FWOS:001156680301058","View Full Record in Web of Science")</f>
        <v>View Full Record in Web of Science</v>
      </c>
    </row>
    <row r="577" spans="1:72" x14ac:dyDescent="0.2">
      <c r="A577" t="s">
        <v>103</v>
      </c>
      <c r="B577" t="s">
        <v>11098</v>
      </c>
      <c r="C577" t="s">
        <v>74</v>
      </c>
      <c r="D577" t="s">
        <v>74</v>
      </c>
      <c r="E577" t="s">
        <v>74</v>
      </c>
      <c r="F577" t="s">
        <v>11099</v>
      </c>
      <c r="G577" t="s">
        <v>74</v>
      </c>
      <c r="H577" t="s">
        <v>74</v>
      </c>
      <c r="I577" t="s">
        <v>11100</v>
      </c>
      <c r="J577" t="s">
        <v>11101</v>
      </c>
      <c r="K577" t="s">
        <v>74</v>
      </c>
      <c r="L577" t="s">
        <v>74</v>
      </c>
      <c r="M577" t="s">
        <v>79</v>
      </c>
      <c r="N577" t="s">
        <v>108</v>
      </c>
      <c r="O577" t="s">
        <v>74</v>
      </c>
      <c r="P577" t="s">
        <v>74</v>
      </c>
      <c r="Q577" t="s">
        <v>74</v>
      </c>
      <c r="R577" t="s">
        <v>74</v>
      </c>
      <c r="S577" t="s">
        <v>74</v>
      </c>
      <c r="T577" t="s">
        <v>74</v>
      </c>
      <c r="U577" t="s">
        <v>11102</v>
      </c>
      <c r="V577" t="s">
        <v>11103</v>
      </c>
      <c r="W577" t="s">
        <v>11104</v>
      </c>
      <c r="X577" t="s">
        <v>4515</v>
      </c>
      <c r="Y577" t="s">
        <v>11105</v>
      </c>
      <c r="Z577" t="s">
        <v>11106</v>
      </c>
      <c r="AA577" t="s">
        <v>11107</v>
      </c>
      <c r="AB577" t="s">
        <v>11108</v>
      </c>
      <c r="AC577" t="s">
        <v>74</v>
      </c>
      <c r="AD577" t="s">
        <v>74</v>
      </c>
      <c r="AE577" t="s">
        <v>74</v>
      </c>
      <c r="AF577" t="s">
        <v>74</v>
      </c>
      <c r="AG577">
        <v>57</v>
      </c>
      <c r="AH577">
        <v>0</v>
      </c>
      <c r="AI577">
        <v>0</v>
      </c>
      <c r="AJ577">
        <v>13</v>
      </c>
      <c r="AK577">
        <v>15</v>
      </c>
      <c r="AL577" t="s">
        <v>1880</v>
      </c>
      <c r="AM577" t="s">
        <v>369</v>
      </c>
      <c r="AN577" t="s">
        <v>1881</v>
      </c>
      <c r="AO577" t="s">
        <v>74</v>
      </c>
      <c r="AP577" t="s">
        <v>11109</v>
      </c>
      <c r="AQ577" t="s">
        <v>74</v>
      </c>
      <c r="AR577" t="s">
        <v>11110</v>
      </c>
      <c r="AS577" t="s">
        <v>11111</v>
      </c>
      <c r="AT577" t="s">
        <v>11112</v>
      </c>
      <c r="AU577">
        <v>2023</v>
      </c>
      <c r="AV577">
        <v>9</v>
      </c>
      <c r="AW577">
        <v>1</v>
      </c>
      <c r="AX577" t="s">
        <v>74</v>
      </c>
      <c r="AY577" t="s">
        <v>74</v>
      </c>
      <c r="AZ577" t="s">
        <v>74</v>
      </c>
      <c r="BA577" t="s">
        <v>74</v>
      </c>
      <c r="BB577" t="s">
        <v>74</v>
      </c>
      <c r="BC577" t="s">
        <v>74</v>
      </c>
      <c r="BD577">
        <v>133</v>
      </c>
      <c r="BE577" t="s">
        <v>11113</v>
      </c>
      <c r="BF577" t="str">
        <f>HYPERLINK("http://dx.doi.org/10.1038/s41524-023-01088-3","http://dx.doi.org/10.1038/s41524-023-01088-3")</f>
        <v>http://dx.doi.org/10.1038/s41524-023-01088-3</v>
      </c>
      <c r="BG577" t="s">
        <v>74</v>
      </c>
      <c r="BH577" t="s">
        <v>74</v>
      </c>
      <c r="BI577">
        <v>11</v>
      </c>
      <c r="BJ577" t="s">
        <v>11114</v>
      </c>
      <c r="BK577" t="s">
        <v>130</v>
      </c>
      <c r="BL577" t="s">
        <v>11115</v>
      </c>
      <c r="BM577" t="s">
        <v>11116</v>
      </c>
      <c r="BN577" t="s">
        <v>74</v>
      </c>
      <c r="BO577" t="s">
        <v>1711</v>
      </c>
      <c r="BP577" t="s">
        <v>74</v>
      </c>
      <c r="BQ577" t="s">
        <v>74</v>
      </c>
      <c r="BR577" t="s">
        <v>101</v>
      </c>
      <c r="BS577" t="s">
        <v>11117</v>
      </c>
      <c r="BT577" t="str">
        <f>HYPERLINK("https%3A%2F%2Fwww.webofscience.com%2Fwos%2Fwoscc%2Ffull-record%2FWOS:001039089300001","View Full Record in Web of Science")</f>
        <v>View Full Record in Web of Science</v>
      </c>
    </row>
    <row r="578" spans="1:72" x14ac:dyDescent="0.2">
      <c r="A578" t="s">
        <v>103</v>
      </c>
      <c r="B578" t="s">
        <v>11118</v>
      </c>
      <c r="C578" t="s">
        <v>74</v>
      </c>
      <c r="D578" t="s">
        <v>74</v>
      </c>
      <c r="E578" t="s">
        <v>74</v>
      </c>
      <c r="F578" t="s">
        <v>11119</v>
      </c>
      <c r="G578" t="s">
        <v>74</v>
      </c>
      <c r="H578" t="s">
        <v>74</v>
      </c>
      <c r="I578" t="s">
        <v>11120</v>
      </c>
      <c r="J578" t="s">
        <v>6611</v>
      </c>
      <c r="K578" t="s">
        <v>74</v>
      </c>
      <c r="L578" t="s">
        <v>74</v>
      </c>
      <c r="M578" t="s">
        <v>79</v>
      </c>
      <c r="N578" t="s">
        <v>108</v>
      </c>
      <c r="O578" t="s">
        <v>74</v>
      </c>
      <c r="P578" t="s">
        <v>74</v>
      </c>
      <c r="Q578" t="s">
        <v>74</v>
      </c>
      <c r="R578" t="s">
        <v>74</v>
      </c>
      <c r="S578" t="s">
        <v>74</v>
      </c>
      <c r="T578" t="s">
        <v>11121</v>
      </c>
      <c r="U578" t="s">
        <v>74</v>
      </c>
      <c r="V578" t="s">
        <v>11122</v>
      </c>
      <c r="W578" t="s">
        <v>11123</v>
      </c>
      <c r="X578" t="s">
        <v>11124</v>
      </c>
      <c r="Y578" t="s">
        <v>11125</v>
      </c>
      <c r="Z578" t="s">
        <v>11126</v>
      </c>
      <c r="AA578" t="s">
        <v>11127</v>
      </c>
      <c r="AB578" t="s">
        <v>11128</v>
      </c>
      <c r="AC578" t="s">
        <v>11129</v>
      </c>
      <c r="AD578" t="s">
        <v>74</v>
      </c>
      <c r="AE578" t="s">
        <v>11130</v>
      </c>
      <c r="AF578" t="s">
        <v>74</v>
      </c>
      <c r="AG578">
        <v>53</v>
      </c>
      <c r="AH578">
        <v>0</v>
      </c>
      <c r="AI578">
        <v>0</v>
      </c>
      <c r="AJ578">
        <v>2</v>
      </c>
      <c r="AK578">
        <v>2</v>
      </c>
      <c r="AL578" t="s">
        <v>638</v>
      </c>
      <c r="AM578" t="s">
        <v>639</v>
      </c>
      <c r="AN578" t="s">
        <v>1557</v>
      </c>
      <c r="AO578" t="s">
        <v>6621</v>
      </c>
      <c r="AP578" t="s">
        <v>6622</v>
      </c>
      <c r="AQ578" t="s">
        <v>74</v>
      </c>
      <c r="AR578" t="s">
        <v>6623</v>
      </c>
      <c r="AS578" t="s">
        <v>6624</v>
      </c>
      <c r="AT578" t="s">
        <v>527</v>
      </c>
      <c r="AU578">
        <v>2023</v>
      </c>
      <c r="AV578">
        <v>45</v>
      </c>
      <c r="AW578">
        <v>12</v>
      </c>
      <c r="AX578" t="s">
        <v>74</v>
      </c>
      <c r="AY578" t="s">
        <v>74</v>
      </c>
      <c r="AZ578" t="s">
        <v>74</v>
      </c>
      <c r="BA578" t="s">
        <v>74</v>
      </c>
      <c r="BB578">
        <v>14611</v>
      </c>
      <c r="BC578">
        <v>14624</v>
      </c>
      <c r="BD578" t="s">
        <v>74</v>
      </c>
      <c r="BE578" t="s">
        <v>11131</v>
      </c>
      <c r="BF578" t="str">
        <f>HYPERLINK("http://dx.doi.org/10.1109/TPAMI.2023.3295772","http://dx.doi.org/10.1109/TPAMI.2023.3295772")</f>
        <v>http://dx.doi.org/10.1109/TPAMI.2023.3295772</v>
      </c>
      <c r="BG578" t="s">
        <v>74</v>
      </c>
      <c r="BH578" t="s">
        <v>74</v>
      </c>
      <c r="BI578">
        <v>14</v>
      </c>
      <c r="BJ578" t="s">
        <v>6627</v>
      </c>
      <c r="BK578" t="s">
        <v>130</v>
      </c>
      <c r="BL578" t="s">
        <v>906</v>
      </c>
      <c r="BM578" t="s">
        <v>8203</v>
      </c>
      <c r="BN578">
        <v>37450360</v>
      </c>
      <c r="BO578" t="s">
        <v>646</v>
      </c>
      <c r="BP578" t="s">
        <v>74</v>
      </c>
      <c r="BQ578" t="s">
        <v>74</v>
      </c>
      <c r="BR578" t="s">
        <v>101</v>
      </c>
      <c r="BS578" t="s">
        <v>11132</v>
      </c>
      <c r="BT578" t="str">
        <f>HYPERLINK("https%3A%2F%2Fwww.webofscience.com%2Fwos%2Fwoscc%2Ffull-record%2FWOS:001104973300034","View Full Record in Web of Science")</f>
        <v>View Full Record in Web of Science</v>
      </c>
    </row>
    <row r="579" spans="1:72" x14ac:dyDescent="0.2">
      <c r="A579" t="s">
        <v>103</v>
      </c>
      <c r="B579" t="s">
        <v>11133</v>
      </c>
      <c r="C579" t="s">
        <v>74</v>
      </c>
      <c r="D579" t="s">
        <v>74</v>
      </c>
      <c r="E579" t="s">
        <v>74</v>
      </c>
      <c r="F579" t="s">
        <v>11134</v>
      </c>
      <c r="G579" t="s">
        <v>74</v>
      </c>
      <c r="H579" t="s">
        <v>74</v>
      </c>
      <c r="I579" t="s">
        <v>11135</v>
      </c>
      <c r="J579" t="s">
        <v>10711</v>
      </c>
      <c r="K579" t="s">
        <v>74</v>
      </c>
      <c r="L579" t="s">
        <v>74</v>
      </c>
      <c r="M579" t="s">
        <v>79</v>
      </c>
      <c r="N579" t="s">
        <v>108</v>
      </c>
      <c r="O579" t="s">
        <v>74</v>
      </c>
      <c r="P579" t="s">
        <v>74</v>
      </c>
      <c r="Q579" t="s">
        <v>74</v>
      </c>
      <c r="R579" t="s">
        <v>74</v>
      </c>
      <c r="S579" t="s">
        <v>74</v>
      </c>
      <c r="T579" t="s">
        <v>74</v>
      </c>
      <c r="U579" t="s">
        <v>11136</v>
      </c>
      <c r="V579" t="s">
        <v>11137</v>
      </c>
      <c r="W579" t="s">
        <v>11138</v>
      </c>
      <c r="X579" t="s">
        <v>11139</v>
      </c>
      <c r="Y579" t="s">
        <v>11140</v>
      </c>
      <c r="Z579" t="s">
        <v>11141</v>
      </c>
      <c r="AA579" t="s">
        <v>74</v>
      </c>
      <c r="AB579" t="s">
        <v>11142</v>
      </c>
      <c r="AC579" t="s">
        <v>11143</v>
      </c>
      <c r="AD579" t="s">
        <v>11144</v>
      </c>
      <c r="AE579" t="s">
        <v>11145</v>
      </c>
      <c r="AF579" t="s">
        <v>74</v>
      </c>
      <c r="AG579">
        <v>52</v>
      </c>
      <c r="AH579">
        <v>1</v>
      </c>
      <c r="AI579">
        <v>1</v>
      </c>
      <c r="AJ579">
        <v>0</v>
      </c>
      <c r="AK579">
        <v>1</v>
      </c>
      <c r="AL579" t="s">
        <v>1880</v>
      </c>
      <c r="AM579" t="s">
        <v>369</v>
      </c>
      <c r="AN579" t="s">
        <v>1881</v>
      </c>
      <c r="AO579" t="s">
        <v>10723</v>
      </c>
      <c r="AP579" t="s">
        <v>74</v>
      </c>
      <c r="AQ579" t="s">
        <v>74</v>
      </c>
      <c r="AR579" t="s">
        <v>10724</v>
      </c>
      <c r="AS579" t="s">
        <v>10725</v>
      </c>
      <c r="AT579" t="s">
        <v>10061</v>
      </c>
      <c r="AU579">
        <v>2023</v>
      </c>
      <c r="AV579">
        <v>13</v>
      </c>
      <c r="AW579">
        <v>1</v>
      </c>
      <c r="AX579" t="s">
        <v>74</v>
      </c>
      <c r="AY579" t="s">
        <v>74</v>
      </c>
      <c r="AZ579" t="s">
        <v>74</v>
      </c>
      <c r="BA579" t="s">
        <v>74</v>
      </c>
      <c r="BB579" t="s">
        <v>74</v>
      </c>
      <c r="BC579" t="s">
        <v>74</v>
      </c>
      <c r="BD579">
        <v>4316</v>
      </c>
      <c r="BE579" t="s">
        <v>11146</v>
      </c>
      <c r="BF579" t="str">
        <f>HYPERLINK("http://dx.doi.org/10.1038/s41598-023-30818-2","http://dx.doi.org/10.1038/s41598-023-30818-2")</f>
        <v>http://dx.doi.org/10.1038/s41598-023-30818-2</v>
      </c>
      <c r="BG579" t="s">
        <v>74</v>
      </c>
      <c r="BH579" t="s">
        <v>74</v>
      </c>
      <c r="BI579">
        <v>12</v>
      </c>
      <c r="BJ579" t="s">
        <v>5686</v>
      </c>
      <c r="BK579" t="s">
        <v>130</v>
      </c>
      <c r="BL579" t="s">
        <v>5687</v>
      </c>
      <c r="BM579" t="s">
        <v>11147</v>
      </c>
      <c r="BN579">
        <v>36922525</v>
      </c>
      <c r="BO579" t="s">
        <v>1728</v>
      </c>
      <c r="BP579" t="s">
        <v>74</v>
      </c>
      <c r="BQ579" t="s">
        <v>74</v>
      </c>
      <c r="BR579" t="s">
        <v>101</v>
      </c>
      <c r="BS579" t="s">
        <v>11148</v>
      </c>
      <c r="BT579" t="str">
        <f>HYPERLINK("https%3A%2F%2Fwww.webofscience.com%2Fwos%2Fwoscc%2Ffull-record%2FWOS:000984356200012","View Full Record in Web of Science")</f>
        <v>View Full Record in Web of Science</v>
      </c>
    </row>
    <row r="580" spans="1:72" x14ac:dyDescent="0.2">
      <c r="A580" t="s">
        <v>103</v>
      </c>
      <c r="B580" t="s">
        <v>11149</v>
      </c>
      <c r="C580" t="s">
        <v>74</v>
      </c>
      <c r="D580" t="s">
        <v>74</v>
      </c>
      <c r="E580" t="s">
        <v>74</v>
      </c>
      <c r="F580" t="s">
        <v>11150</v>
      </c>
      <c r="G580" t="s">
        <v>74</v>
      </c>
      <c r="H580" t="s">
        <v>74</v>
      </c>
      <c r="I580" t="s">
        <v>11151</v>
      </c>
      <c r="J580" t="s">
        <v>11152</v>
      </c>
      <c r="K580" t="s">
        <v>74</v>
      </c>
      <c r="L580" t="s">
        <v>74</v>
      </c>
      <c r="M580" t="s">
        <v>79</v>
      </c>
      <c r="N580" t="s">
        <v>108</v>
      </c>
      <c r="O580" t="s">
        <v>74</v>
      </c>
      <c r="P580" t="s">
        <v>74</v>
      </c>
      <c r="Q580" t="s">
        <v>74</v>
      </c>
      <c r="R580" t="s">
        <v>74</v>
      </c>
      <c r="S580" t="s">
        <v>74</v>
      </c>
      <c r="T580" t="s">
        <v>11153</v>
      </c>
      <c r="U580" t="s">
        <v>74</v>
      </c>
      <c r="V580" t="s">
        <v>11154</v>
      </c>
      <c r="W580" t="s">
        <v>11155</v>
      </c>
      <c r="X580" t="s">
        <v>11156</v>
      </c>
      <c r="Y580" t="s">
        <v>11157</v>
      </c>
      <c r="Z580" t="s">
        <v>11158</v>
      </c>
      <c r="AA580" t="s">
        <v>11159</v>
      </c>
      <c r="AB580" t="s">
        <v>11160</v>
      </c>
      <c r="AC580" t="s">
        <v>74</v>
      </c>
      <c r="AD580" t="s">
        <v>74</v>
      </c>
      <c r="AE580" t="s">
        <v>74</v>
      </c>
      <c r="AF580" t="s">
        <v>74</v>
      </c>
      <c r="AG580">
        <v>12</v>
      </c>
      <c r="AH580">
        <v>6</v>
      </c>
      <c r="AI580">
        <v>6</v>
      </c>
      <c r="AJ580">
        <v>33</v>
      </c>
      <c r="AK580">
        <v>33</v>
      </c>
      <c r="AL580" t="s">
        <v>764</v>
      </c>
      <c r="AM580" t="s">
        <v>765</v>
      </c>
      <c r="AN580" t="s">
        <v>766</v>
      </c>
      <c r="AO580" t="s">
        <v>11161</v>
      </c>
      <c r="AP580" t="s">
        <v>11162</v>
      </c>
      <c r="AQ580" t="s">
        <v>74</v>
      </c>
      <c r="AR580" t="s">
        <v>11163</v>
      </c>
      <c r="AS580" t="s">
        <v>11164</v>
      </c>
      <c r="AT580" t="s">
        <v>771</v>
      </c>
      <c r="AU580">
        <v>2023</v>
      </c>
      <c r="AV580">
        <v>11</v>
      </c>
      <c r="AW580">
        <v>9</v>
      </c>
      <c r="AX580" t="s">
        <v>74</v>
      </c>
      <c r="AY580" t="s">
        <v>74</v>
      </c>
      <c r="AZ580" t="s">
        <v>74</v>
      </c>
      <c r="BA580" t="s">
        <v>74</v>
      </c>
      <c r="BB580">
        <v>2697</v>
      </c>
      <c r="BC580">
        <v>2700</v>
      </c>
      <c r="BD580" t="s">
        <v>74</v>
      </c>
      <c r="BE580" t="s">
        <v>11165</v>
      </c>
      <c r="BF580" t="str">
        <f>HYPERLINK("http://dx.doi.org/10.1016/j.jaip.2023.05.042","http://dx.doi.org/10.1016/j.jaip.2023.05.042")</f>
        <v>http://dx.doi.org/10.1016/j.jaip.2023.05.042</v>
      </c>
      <c r="BG580" t="s">
        <v>74</v>
      </c>
      <c r="BH580" t="s">
        <v>278</v>
      </c>
      <c r="BI580">
        <v>4</v>
      </c>
      <c r="BJ580" t="s">
        <v>11166</v>
      </c>
      <c r="BK580" t="s">
        <v>130</v>
      </c>
      <c r="BL580" t="s">
        <v>11166</v>
      </c>
      <c r="BM580" t="s">
        <v>11167</v>
      </c>
      <c r="BN580">
        <v>37301435</v>
      </c>
      <c r="BO580" t="s">
        <v>161</v>
      </c>
      <c r="BP580" t="s">
        <v>74</v>
      </c>
      <c r="BQ580" t="s">
        <v>74</v>
      </c>
      <c r="BR580" t="s">
        <v>101</v>
      </c>
      <c r="BS580" t="s">
        <v>11168</v>
      </c>
      <c r="BT580" t="str">
        <f>HYPERLINK("https%3A%2F%2Fwww.webofscience.com%2Fwos%2Fwoscc%2Ffull-record%2FWOS:001073611400001","View Full Record in Web of Science")</f>
        <v>View Full Record in Web of Science</v>
      </c>
    </row>
    <row r="581" spans="1:72" x14ac:dyDescent="0.2">
      <c r="A581" t="s">
        <v>72</v>
      </c>
      <c r="B581" t="s">
        <v>11169</v>
      </c>
      <c r="C581" t="s">
        <v>74</v>
      </c>
      <c r="D581" t="s">
        <v>74</v>
      </c>
      <c r="E581" t="s">
        <v>75</v>
      </c>
      <c r="F581" t="s">
        <v>11170</v>
      </c>
      <c r="G581" t="s">
        <v>74</v>
      </c>
      <c r="H581" t="s">
        <v>74</v>
      </c>
      <c r="I581" t="s">
        <v>11171</v>
      </c>
      <c r="J581" t="s">
        <v>4621</v>
      </c>
      <c r="K581" t="s">
        <v>74</v>
      </c>
      <c r="L581" t="s">
        <v>74</v>
      </c>
      <c r="M581" t="s">
        <v>79</v>
      </c>
      <c r="N581" t="s">
        <v>80</v>
      </c>
      <c r="O581" t="s">
        <v>4622</v>
      </c>
      <c r="P581" t="s">
        <v>4623</v>
      </c>
      <c r="Q581" t="s">
        <v>315</v>
      </c>
      <c r="R581" t="s">
        <v>4624</v>
      </c>
      <c r="S581" t="s">
        <v>74</v>
      </c>
      <c r="T581" t="s">
        <v>11172</v>
      </c>
      <c r="U581" t="s">
        <v>74</v>
      </c>
      <c r="V581" t="s">
        <v>11173</v>
      </c>
      <c r="W581" t="s">
        <v>11174</v>
      </c>
      <c r="X581" t="s">
        <v>11175</v>
      </c>
      <c r="Y581" t="s">
        <v>11176</v>
      </c>
      <c r="Z581" t="s">
        <v>11177</v>
      </c>
      <c r="AA581" t="s">
        <v>74</v>
      </c>
      <c r="AB581" t="s">
        <v>74</v>
      </c>
      <c r="AC581" t="s">
        <v>11178</v>
      </c>
      <c r="AD581" t="s">
        <v>4633</v>
      </c>
      <c r="AE581" t="s">
        <v>11179</v>
      </c>
      <c r="AF581" t="s">
        <v>74</v>
      </c>
      <c r="AG581">
        <v>65</v>
      </c>
      <c r="AH581">
        <v>0</v>
      </c>
      <c r="AI581">
        <v>0</v>
      </c>
      <c r="AJ581">
        <v>0</v>
      </c>
      <c r="AK581">
        <v>0</v>
      </c>
      <c r="AL581" t="s">
        <v>92</v>
      </c>
      <c r="AM581" t="s">
        <v>93</v>
      </c>
      <c r="AN581" t="s">
        <v>94</v>
      </c>
      <c r="AO581" t="s">
        <v>74</v>
      </c>
      <c r="AP581" t="s">
        <v>74</v>
      </c>
      <c r="AQ581" t="s">
        <v>4635</v>
      </c>
      <c r="AR581" t="s">
        <v>74</v>
      </c>
      <c r="AS581" t="s">
        <v>74</v>
      </c>
      <c r="AT581" t="s">
        <v>74</v>
      </c>
      <c r="AU581">
        <v>2023</v>
      </c>
      <c r="AV581" t="s">
        <v>74</v>
      </c>
      <c r="AW581" t="s">
        <v>74</v>
      </c>
      <c r="AX581" t="s">
        <v>74</v>
      </c>
      <c r="AY581" t="s">
        <v>74</v>
      </c>
      <c r="AZ581" t="s">
        <v>74</v>
      </c>
      <c r="BA581" t="s">
        <v>74</v>
      </c>
      <c r="BB581">
        <v>460</v>
      </c>
      <c r="BC581">
        <v>474</v>
      </c>
      <c r="BD581" t="s">
        <v>74</v>
      </c>
      <c r="BE581" t="s">
        <v>11180</v>
      </c>
      <c r="BF581" t="str">
        <f>HYPERLINK("http://dx.doi.org/10.1145/3576915.3623209","http://dx.doi.org/10.1145/3576915.3623209")</f>
        <v>http://dx.doi.org/10.1145/3576915.3623209</v>
      </c>
      <c r="BG581" t="s">
        <v>74</v>
      </c>
      <c r="BH581" t="s">
        <v>74</v>
      </c>
      <c r="BI581">
        <v>15</v>
      </c>
      <c r="BJ581" t="s">
        <v>4637</v>
      </c>
      <c r="BK581" t="s">
        <v>98</v>
      </c>
      <c r="BL581" t="s">
        <v>644</v>
      </c>
      <c r="BM581" t="s">
        <v>4638</v>
      </c>
      <c r="BN581" t="s">
        <v>74</v>
      </c>
      <c r="BO581" t="s">
        <v>161</v>
      </c>
      <c r="BP581" t="s">
        <v>74</v>
      </c>
      <c r="BQ581" t="s">
        <v>74</v>
      </c>
      <c r="BR581" t="s">
        <v>101</v>
      </c>
      <c r="BS581" t="s">
        <v>11181</v>
      </c>
      <c r="BT581" t="str">
        <f>HYPERLINK("https%3A%2F%2Fwww.webofscience.com%2Fwos%2Fwoscc%2Ffull-record%2FWOS:001124987200032","View Full Record in Web of Science")</f>
        <v>View Full Record in Web of Science</v>
      </c>
    </row>
    <row r="582" spans="1:72" x14ac:dyDescent="0.2">
      <c r="A582" t="s">
        <v>103</v>
      </c>
      <c r="B582" t="s">
        <v>11182</v>
      </c>
      <c r="C582" t="s">
        <v>74</v>
      </c>
      <c r="D582" t="s">
        <v>74</v>
      </c>
      <c r="E582" t="s">
        <v>74</v>
      </c>
      <c r="F582" t="s">
        <v>11183</v>
      </c>
      <c r="G582" t="s">
        <v>74</v>
      </c>
      <c r="H582" t="s">
        <v>74</v>
      </c>
      <c r="I582" t="s">
        <v>11184</v>
      </c>
      <c r="J582" t="s">
        <v>11185</v>
      </c>
      <c r="K582" t="s">
        <v>74</v>
      </c>
      <c r="L582" t="s">
        <v>74</v>
      </c>
      <c r="M582" t="s">
        <v>79</v>
      </c>
      <c r="N582" t="s">
        <v>108</v>
      </c>
      <c r="O582" t="s">
        <v>74</v>
      </c>
      <c r="P582" t="s">
        <v>74</v>
      </c>
      <c r="Q582" t="s">
        <v>74</v>
      </c>
      <c r="R582" t="s">
        <v>74</v>
      </c>
      <c r="S582" t="s">
        <v>74</v>
      </c>
      <c r="T582" t="s">
        <v>11186</v>
      </c>
      <c r="U582" t="s">
        <v>74</v>
      </c>
      <c r="V582" t="s">
        <v>11187</v>
      </c>
      <c r="W582" t="s">
        <v>11188</v>
      </c>
      <c r="X582" t="s">
        <v>11189</v>
      </c>
      <c r="Y582" t="s">
        <v>11190</v>
      </c>
      <c r="Z582" t="s">
        <v>11191</v>
      </c>
      <c r="AA582" t="s">
        <v>11192</v>
      </c>
      <c r="AB582" t="s">
        <v>11193</v>
      </c>
      <c r="AC582" t="s">
        <v>11194</v>
      </c>
      <c r="AD582" t="s">
        <v>11195</v>
      </c>
      <c r="AE582" t="s">
        <v>11196</v>
      </c>
      <c r="AF582" t="s">
        <v>74</v>
      </c>
      <c r="AG582">
        <v>98</v>
      </c>
      <c r="AH582">
        <v>0</v>
      </c>
      <c r="AI582">
        <v>0</v>
      </c>
      <c r="AJ582">
        <v>10</v>
      </c>
      <c r="AK582">
        <v>10</v>
      </c>
      <c r="AL582" t="s">
        <v>1379</v>
      </c>
      <c r="AM582" t="s">
        <v>1380</v>
      </c>
      <c r="AN582" t="s">
        <v>1381</v>
      </c>
      <c r="AO582" t="s">
        <v>11197</v>
      </c>
      <c r="AP582" t="s">
        <v>74</v>
      </c>
      <c r="AQ582" t="s">
        <v>74</v>
      </c>
      <c r="AR582" t="s">
        <v>11198</v>
      </c>
      <c r="AS582" t="s">
        <v>11199</v>
      </c>
      <c r="AT582" t="s">
        <v>11200</v>
      </c>
      <c r="AU582">
        <v>2023</v>
      </c>
      <c r="AV582">
        <v>14</v>
      </c>
      <c r="AW582">
        <v>3</v>
      </c>
      <c r="AX582" t="s">
        <v>74</v>
      </c>
      <c r="AY582" t="s">
        <v>74</v>
      </c>
      <c r="AZ582" t="s">
        <v>74</v>
      </c>
      <c r="BA582" t="s">
        <v>74</v>
      </c>
      <c r="BB582">
        <v>2127</v>
      </c>
      <c r="BC582">
        <v>2138</v>
      </c>
      <c r="BD582" t="s">
        <v>74</v>
      </c>
      <c r="BE582" t="s">
        <v>11201</v>
      </c>
      <c r="BF582" t="str">
        <f>HYPERLINK("http://dx.doi.org/10.1109/TAFFC.2022.3155105","http://dx.doi.org/10.1109/TAFFC.2022.3155105")</f>
        <v>http://dx.doi.org/10.1109/TAFFC.2022.3155105</v>
      </c>
      <c r="BG582" t="s">
        <v>74</v>
      </c>
      <c r="BH582" t="s">
        <v>74</v>
      </c>
      <c r="BI582">
        <v>12</v>
      </c>
      <c r="BJ582" t="s">
        <v>5138</v>
      </c>
      <c r="BK582" t="s">
        <v>130</v>
      </c>
      <c r="BL582" t="s">
        <v>99</v>
      </c>
      <c r="BM582" t="s">
        <v>11202</v>
      </c>
      <c r="BN582" t="s">
        <v>74</v>
      </c>
      <c r="BO582" t="s">
        <v>74</v>
      </c>
      <c r="BP582" t="s">
        <v>74</v>
      </c>
      <c r="BQ582" t="s">
        <v>74</v>
      </c>
      <c r="BR582" t="s">
        <v>101</v>
      </c>
      <c r="BS582" t="s">
        <v>11203</v>
      </c>
      <c r="BT582" t="str">
        <f>HYPERLINK("https%3A%2F%2Fwww.webofscience.com%2Fwos%2Fwoscc%2Ffull-record%2FWOS:001075041900032","View Full Record in Web of Science")</f>
        <v>View Full Record in Web of Science</v>
      </c>
    </row>
    <row r="583" spans="1:72" x14ac:dyDescent="0.2">
      <c r="A583" t="s">
        <v>103</v>
      </c>
      <c r="B583" t="s">
        <v>11204</v>
      </c>
      <c r="C583" t="s">
        <v>74</v>
      </c>
      <c r="D583" t="s">
        <v>74</v>
      </c>
      <c r="E583" t="s">
        <v>74</v>
      </c>
      <c r="F583" t="s">
        <v>11205</v>
      </c>
      <c r="G583" t="s">
        <v>74</v>
      </c>
      <c r="H583" t="s">
        <v>74</v>
      </c>
      <c r="I583" t="s">
        <v>11206</v>
      </c>
      <c r="J583" t="s">
        <v>11207</v>
      </c>
      <c r="K583" t="s">
        <v>74</v>
      </c>
      <c r="L583" t="s">
        <v>74</v>
      </c>
      <c r="M583" t="s">
        <v>79</v>
      </c>
      <c r="N583" t="s">
        <v>108</v>
      </c>
      <c r="O583" t="s">
        <v>74</v>
      </c>
      <c r="P583" t="s">
        <v>74</v>
      </c>
      <c r="Q583" t="s">
        <v>74</v>
      </c>
      <c r="R583" t="s">
        <v>74</v>
      </c>
      <c r="S583" t="s">
        <v>74</v>
      </c>
      <c r="T583" t="s">
        <v>74</v>
      </c>
      <c r="U583" t="s">
        <v>11208</v>
      </c>
      <c r="V583" t="s">
        <v>11209</v>
      </c>
      <c r="W583" t="s">
        <v>11210</v>
      </c>
      <c r="X583" t="s">
        <v>11211</v>
      </c>
      <c r="Y583" t="s">
        <v>11212</v>
      </c>
      <c r="Z583" t="s">
        <v>11213</v>
      </c>
      <c r="AA583" t="s">
        <v>74</v>
      </c>
      <c r="AB583" t="s">
        <v>11214</v>
      </c>
      <c r="AC583" t="s">
        <v>74</v>
      </c>
      <c r="AD583" t="s">
        <v>74</v>
      </c>
      <c r="AE583" t="s">
        <v>74</v>
      </c>
      <c r="AF583" t="s">
        <v>74</v>
      </c>
      <c r="AG583">
        <v>38</v>
      </c>
      <c r="AH583">
        <v>0</v>
      </c>
      <c r="AI583">
        <v>0</v>
      </c>
      <c r="AJ583">
        <v>3</v>
      </c>
      <c r="AK583">
        <v>3</v>
      </c>
      <c r="AL583" t="s">
        <v>547</v>
      </c>
      <c r="AM583" t="s">
        <v>548</v>
      </c>
      <c r="AN583" t="s">
        <v>549</v>
      </c>
      <c r="AO583" t="s">
        <v>11215</v>
      </c>
      <c r="AP583" t="s">
        <v>11216</v>
      </c>
      <c r="AQ583" t="s">
        <v>74</v>
      </c>
      <c r="AR583" t="s">
        <v>11217</v>
      </c>
      <c r="AS583" t="s">
        <v>11218</v>
      </c>
      <c r="AT583" t="s">
        <v>11219</v>
      </c>
      <c r="AU583">
        <v>2023</v>
      </c>
      <c r="AV583">
        <v>64</v>
      </c>
      <c r="AW583">
        <v>1</v>
      </c>
      <c r="AX583" t="s">
        <v>74</v>
      </c>
      <c r="AY583" t="s">
        <v>74</v>
      </c>
      <c r="AZ583" t="s">
        <v>74</v>
      </c>
      <c r="BA583" t="s">
        <v>74</v>
      </c>
      <c r="BB583">
        <v>3</v>
      </c>
      <c r="BC583">
        <v>8</v>
      </c>
      <c r="BD583" t="s">
        <v>74</v>
      </c>
      <c r="BE583" t="s">
        <v>11220</v>
      </c>
      <c r="BF583" t="str">
        <f>HYPERLINK("http://dx.doi.org/10.1021/acs.jcim.3c01016","http://dx.doi.org/10.1021/acs.jcim.3c01016")</f>
        <v>http://dx.doi.org/10.1021/acs.jcim.3c01016</v>
      </c>
      <c r="BG583" t="s">
        <v>74</v>
      </c>
      <c r="BH583" t="s">
        <v>74</v>
      </c>
      <c r="BI583">
        <v>6</v>
      </c>
      <c r="BJ583" t="s">
        <v>11221</v>
      </c>
      <c r="BK583" t="s">
        <v>130</v>
      </c>
      <c r="BL583" t="s">
        <v>11222</v>
      </c>
      <c r="BM583" t="s">
        <v>11223</v>
      </c>
      <c r="BN583">
        <v>38134123</v>
      </c>
      <c r="BO583" t="s">
        <v>4863</v>
      </c>
      <c r="BP583" t="s">
        <v>74</v>
      </c>
      <c r="BQ583" t="s">
        <v>74</v>
      </c>
      <c r="BR583" t="s">
        <v>101</v>
      </c>
      <c r="BS583" t="s">
        <v>11224</v>
      </c>
      <c r="BT583" t="str">
        <f>HYPERLINK("https%3A%2F%2Fwww.webofscience.com%2Fwos%2Fwoscc%2Ffull-record%2FWOS:001138367600001","View Full Record in Web of Science")</f>
        <v>View Full Record in Web of Science</v>
      </c>
    </row>
    <row r="584" spans="1:72" x14ac:dyDescent="0.2">
      <c r="A584" t="s">
        <v>72</v>
      </c>
      <c r="B584" t="s">
        <v>11225</v>
      </c>
      <c r="C584" t="s">
        <v>74</v>
      </c>
      <c r="D584" t="s">
        <v>74</v>
      </c>
      <c r="E584" t="s">
        <v>284</v>
      </c>
      <c r="F584" t="s">
        <v>11226</v>
      </c>
      <c r="G584" t="s">
        <v>74</v>
      </c>
      <c r="H584" t="s">
        <v>74</v>
      </c>
      <c r="I584" t="s">
        <v>11227</v>
      </c>
      <c r="J584" t="s">
        <v>11058</v>
      </c>
      <c r="K584" t="s">
        <v>11059</v>
      </c>
      <c r="L584" t="s">
        <v>74</v>
      </c>
      <c r="M584" t="s">
        <v>79</v>
      </c>
      <c r="N584" t="s">
        <v>80</v>
      </c>
      <c r="O584" t="s">
        <v>11060</v>
      </c>
      <c r="P584" t="s">
        <v>11061</v>
      </c>
      <c r="Q584" t="s">
        <v>11062</v>
      </c>
      <c r="R584" t="s">
        <v>8249</v>
      </c>
      <c r="S584" t="s">
        <v>74</v>
      </c>
      <c r="T584" t="s">
        <v>74</v>
      </c>
      <c r="U584" t="s">
        <v>11228</v>
      </c>
      <c r="V584" t="s">
        <v>11229</v>
      </c>
      <c r="W584" t="s">
        <v>11230</v>
      </c>
      <c r="X584" t="s">
        <v>11231</v>
      </c>
      <c r="Y584" t="s">
        <v>11232</v>
      </c>
      <c r="Z584" t="s">
        <v>11233</v>
      </c>
      <c r="AA584" t="s">
        <v>74</v>
      </c>
      <c r="AB584" t="s">
        <v>11234</v>
      </c>
      <c r="AC584" t="s">
        <v>11235</v>
      </c>
      <c r="AD584" t="s">
        <v>11236</v>
      </c>
      <c r="AE584" t="s">
        <v>11237</v>
      </c>
      <c r="AF584" t="s">
        <v>74</v>
      </c>
      <c r="AG584">
        <v>56</v>
      </c>
      <c r="AH584">
        <v>0</v>
      </c>
      <c r="AI584">
        <v>0</v>
      </c>
      <c r="AJ584">
        <v>8</v>
      </c>
      <c r="AK584">
        <v>8</v>
      </c>
      <c r="AL584" t="s">
        <v>638</v>
      </c>
      <c r="AM584" t="s">
        <v>639</v>
      </c>
      <c r="AN584" t="s">
        <v>640</v>
      </c>
      <c r="AO584" t="s">
        <v>11070</v>
      </c>
      <c r="AP584" t="s">
        <v>74</v>
      </c>
      <c r="AQ584" t="s">
        <v>11071</v>
      </c>
      <c r="AR584" t="s">
        <v>11072</v>
      </c>
      <c r="AS584" t="s">
        <v>74</v>
      </c>
      <c r="AT584" t="s">
        <v>74</v>
      </c>
      <c r="AU584">
        <v>2023</v>
      </c>
      <c r="AV584" t="s">
        <v>74</v>
      </c>
      <c r="AW584" t="s">
        <v>74</v>
      </c>
      <c r="AX584" t="s">
        <v>74</v>
      </c>
      <c r="AY584" t="s">
        <v>74</v>
      </c>
      <c r="AZ584" t="s">
        <v>74</v>
      </c>
      <c r="BA584" t="s">
        <v>74</v>
      </c>
      <c r="BB584">
        <v>4986</v>
      </c>
      <c r="BC584">
        <v>4996</v>
      </c>
      <c r="BD584" t="s">
        <v>74</v>
      </c>
      <c r="BE584" t="s">
        <v>11238</v>
      </c>
      <c r="BF584" t="str">
        <f>HYPERLINK("http://dx.doi.org/10.1109/WACV56688.2023.00497","http://dx.doi.org/10.1109/WACV56688.2023.00497")</f>
        <v>http://dx.doi.org/10.1109/WACV56688.2023.00497</v>
      </c>
      <c r="BG584" t="s">
        <v>74</v>
      </c>
      <c r="BH584" t="s">
        <v>74</v>
      </c>
      <c r="BI584">
        <v>11</v>
      </c>
      <c r="BJ584" t="s">
        <v>11074</v>
      </c>
      <c r="BK584" t="s">
        <v>98</v>
      </c>
      <c r="BL584" t="s">
        <v>11075</v>
      </c>
      <c r="BM584" t="s">
        <v>11076</v>
      </c>
      <c r="BN584" t="s">
        <v>74</v>
      </c>
      <c r="BO584" t="s">
        <v>646</v>
      </c>
      <c r="BP584" t="s">
        <v>74</v>
      </c>
      <c r="BQ584" t="s">
        <v>74</v>
      </c>
      <c r="BR584" t="s">
        <v>101</v>
      </c>
      <c r="BS584" t="s">
        <v>11239</v>
      </c>
      <c r="BT584" t="str">
        <f>HYPERLINK("https%3A%2F%2Fwww.webofscience.com%2Fwos%2Fwoscc%2Ffull-record%2FWOS:000971500205010","View Full Record in Web of Science")</f>
        <v>View Full Record in Web of Science</v>
      </c>
    </row>
    <row r="585" spans="1:72" x14ac:dyDescent="0.2">
      <c r="A585" t="s">
        <v>72</v>
      </c>
      <c r="B585" t="s">
        <v>11240</v>
      </c>
      <c r="C585" t="s">
        <v>74</v>
      </c>
      <c r="D585" t="s">
        <v>74</v>
      </c>
      <c r="E585" t="s">
        <v>284</v>
      </c>
      <c r="F585" t="s">
        <v>11241</v>
      </c>
      <c r="G585" t="s">
        <v>74</v>
      </c>
      <c r="H585" t="s">
        <v>74</v>
      </c>
      <c r="I585" t="s">
        <v>11242</v>
      </c>
      <c r="J585" t="s">
        <v>11243</v>
      </c>
      <c r="K585" t="s">
        <v>11244</v>
      </c>
      <c r="L585" t="s">
        <v>74</v>
      </c>
      <c r="M585" t="s">
        <v>79</v>
      </c>
      <c r="N585" t="s">
        <v>80</v>
      </c>
      <c r="O585" t="s">
        <v>11245</v>
      </c>
      <c r="P585" t="s">
        <v>11246</v>
      </c>
      <c r="Q585" t="s">
        <v>11247</v>
      </c>
      <c r="R585" t="s">
        <v>11248</v>
      </c>
      <c r="S585" t="s">
        <v>74</v>
      </c>
      <c r="T585" t="s">
        <v>11249</v>
      </c>
      <c r="U585" t="s">
        <v>74</v>
      </c>
      <c r="V585" t="s">
        <v>11250</v>
      </c>
      <c r="W585" t="s">
        <v>11251</v>
      </c>
      <c r="X585" t="s">
        <v>11252</v>
      </c>
      <c r="Y585" t="s">
        <v>11253</v>
      </c>
      <c r="Z585" t="s">
        <v>11254</v>
      </c>
      <c r="AA585" t="s">
        <v>11255</v>
      </c>
      <c r="AB585" t="s">
        <v>11256</v>
      </c>
      <c r="AC585" t="s">
        <v>11257</v>
      </c>
      <c r="AD585" t="s">
        <v>11258</v>
      </c>
      <c r="AE585" t="s">
        <v>11259</v>
      </c>
      <c r="AF585" t="s">
        <v>74</v>
      </c>
      <c r="AG585">
        <v>19</v>
      </c>
      <c r="AH585">
        <v>0</v>
      </c>
      <c r="AI585">
        <v>0</v>
      </c>
      <c r="AJ585">
        <v>2</v>
      </c>
      <c r="AK585">
        <v>2</v>
      </c>
      <c r="AL585" t="s">
        <v>284</v>
      </c>
      <c r="AM585" t="s">
        <v>93</v>
      </c>
      <c r="AN585" t="s">
        <v>299</v>
      </c>
      <c r="AO585" t="s">
        <v>11260</v>
      </c>
      <c r="AP585" t="s">
        <v>74</v>
      </c>
      <c r="AQ585" t="s">
        <v>11261</v>
      </c>
      <c r="AR585" t="s">
        <v>11262</v>
      </c>
      <c r="AS585" t="s">
        <v>74</v>
      </c>
      <c r="AT585" t="s">
        <v>74</v>
      </c>
      <c r="AU585">
        <v>2023</v>
      </c>
      <c r="AV585" t="s">
        <v>74</v>
      </c>
      <c r="AW585" t="s">
        <v>74</v>
      </c>
      <c r="AX585" t="s">
        <v>74</v>
      </c>
      <c r="AY585" t="s">
        <v>74</v>
      </c>
      <c r="AZ585" t="s">
        <v>74</v>
      </c>
      <c r="BA585" t="s">
        <v>74</v>
      </c>
      <c r="BB585">
        <v>397</v>
      </c>
      <c r="BC585">
        <v>400</v>
      </c>
      <c r="BD585" t="s">
        <v>74</v>
      </c>
      <c r="BE585" t="s">
        <v>11263</v>
      </c>
      <c r="BF585" t="str">
        <f>HYPERLINK("http://dx.doi.org/10.1109/ICAIIC57133.2023.10066964","http://dx.doi.org/10.1109/ICAIIC57133.2023.10066964")</f>
        <v>http://dx.doi.org/10.1109/ICAIIC57133.2023.10066964</v>
      </c>
      <c r="BG585" t="s">
        <v>74</v>
      </c>
      <c r="BH585" t="s">
        <v>74</v>
      </c>
      <c r="BI585">
        <v>4</v>
      </c>
      <c r="BJ585" t="s">
        <v>11264</v>
      </c>
      <c r="BK585" t="s">
        <v>98</v>
      </c>
      <c r="BL585" t="s">
        <v>906</v>
      </c>
      <c r="BM585" t="s">
        <v>11265</v>
      </c>
      <c r="BN585" t="s">
        <v>74</v>
      </c>
      <c r="BO585" t="s">
        <v>74</v>
      </c>
      <c r="BP585" t="s">
        <v>74</v>
      </c>
      <c r="BQ585" t="s">
        <v>74</v>
      </c>
      <c r="BR585" t="s">
        <v>101</v>
      </c>
      <c r="BS585" t="s">
        <v>11266</v>
      </c>
      <c r="BT585" t="str">
        <f>HYPERLINK("https%3A%2F%2Fwww.webofscience.com%2Fwos%2Fwoscc%2Ffull-record%2FWOS:001012997600073","View Full Record in Web of Science")</f>
        <v>View Full Record in Web of Science</v>
      </c>
    </row>
    <row r="586" spans="1:72" x14ac:dyDescent="0.2">
      <c r="A586" t="s">
        <v>72</v>
      </c>
      <c r="B586" t="s">
        <v>11267</v>
      </c>
      <c r="C586" t="s">
        <v>74</v>
      </c>
      <c r="D586" t="s">
        <v>3598</v>
      </c>
      <c r="E586" t="s">
        <v>74</v>
      </c>
      <c r="F586" t="s">
        <v>11268</v>
      </c>
      <c r="G586" t="s">
        <v>74</v>
      </c>
      <c r="H586" t="s">
        <v>74</v>
      </c>
      <c r="I586" t="s">
        <v>11269</v>
      </c>
      <c r="J586" t="s">
        <v>3601</v>
      </c>
      <c r="K586" t="s">
        <v>312</v>
      </c>
      <c r="L586" t="s">
        <v>74</v>
      </c>
      <c r="M586" t="s">
        <v>79</v>
      </c>
      <c r="N586" t="s">
        <v>80</v>
      </c>
      <c r="O586" t="s">
        <v>3602</v>
      </c>
      <c r="P586" t="s">
        <v>3603</v>
      </c>
      <c r="Q586" t="s">
        <v>3604</v>
      </c>
      <c r="R586" t="s">
        <v>74</v>
      </c>
      <c r="S586" t="s">
        <v>74</v>
      </c>
      <c r="T586" t="s">
        <v>11270</v>
      </c>
      <c r="U586" t="s">
        <v>74</v>
      </c>
      <c r="V586" t="s">
        <v>11271</v>
      </c>
      <c r="W586" t="s">
        <v>11272</v>
      </c>
      <c r="X586" t="s">
        <v>11273</v>
      </c>
      <c r="Y586" t="s">
        <v>11274</v>
      </c>
      <c r="Z586" t="s">
        <v>11275</v>
      </c>
      <c r="AA586" t="s">
        <v>11276</v>
      </c>
      <c r="AB586" t="s">
        <v>11277</v>
      </c>
      <c r="AC586" t="s">
        <v>74</v>
      </c>
      <c r="AD586" t="s">
        <v>74</v>
      </c>
      <c r="AE586" t="s">
        <v>74</v>
      </c>
      <c r="AF586" t="s">
        <v>74</v>
      </c>
      <c r="AG586">
        <v>18</v>
      </c>
      <c r="AH586">
        <v>0</v>
      </c>
      <c r="AI586">
        <v>0</v>
      </c>
      <c r="AJ586">
        <v>7</v>
      </c>
      <c r="AK586">
        <v>7</v>
      </c>
      <c r="AL586" t="s">
        <v>325</v>
      </c>
      <c r="AM586" t="s">
        <v>245</v>
      </c>
      <c r="AN586" t="s">
        <v>246</v>
      </c>
      <c r="AO586" t="s">
        <v>326</v>
      </c>
      <c r="AP586" t="s">
        <v>327</v>
      </c>
      <c r="AQ586" t="s">
        <v>3614</v>
      </c>
      <c r="AR586" t="s">
        <v>329</v>
      </c>
      <c r="AS586" t="s">
        <v>74</v>
      </c>
      <c r="AT586" t="s">
        <v>74</v>
      </c>
      <c r="AU586">
        <v>2023</v>
      </c>
      <c r="AV586">
        <v>13988</v>
      </c>
      <c r="AW586" t="s">
        <v>74</v>
      </c>
      <c r="AX586" t="s">
        <v>74</v>
      </c>
      <c r="AY586" t="s">
        <v>74</v>
      </c>
      <c r="AZ586" t="s">
        <v>74</v>
      </c>
      <c r="BA586" t="s">
        <v>74</v>
      </c>
      <c r="BB586">
        <v>100</v>
      </c>
      <c r="BC586">
        <v>116</v>
      </c>
      <c r="BD586" t="s">
        <v>74</v>
      </c>
      <c r="BE586" t="s">
        <v>11278</v>
      </c>
      <c r="BF586" t="str">
        <f>HYPERLINK("http://dx.doi.org/10.1007/978-3-031-29956-8_7","http://dx.doi.org/10.1007/978-3-031-29956-8_7")</f>
        <v>http://dx.doi.org/10.1007/978-3-031-29956-8_7</v>
      </c>
      <c r="BG586" t="s">
        <v>74</v>
      </c>
      <c r="BH586" t="s">
        <v>74</v>
      </c>
      <c r="BI586">
        <v>17</v>
      </c>
      <c r="BJ586" t="s">
        <v>1851</v>
      </c>
      <c r="BK586" t="s">
        <v>98</v>
      </c>
      <c r="BL586" t="s">
        <v>99</v>
      </c>
      <c r="BM586" t="s">
        <v>3616</v>
      </c>
      <c r="BN586" t="s">
        <v>74</v>
      </c>
      <c r="BO586" t="s">
        <v>74</v>
      </c>
      <c r="BP586" t="s">
        <v>74</v>
      </c>
      <c r="BQ586" t="s">
        <v>74</v>
      </c>
      <c r="BR586" t="s">
        <v>101</v>
      </c>
      <c r="BS586" t="s">
        <v>11279</v>
      </c>
      <c r="BT586" t="str">
        <f>HYPERLINK("https%3A%2F%2Fwww.webofscience.com%2Fwos%2Fwoscc%2Ffull-record%2FWOS:000999872400007","View Full Record in Web of Science")</f>
        <v>View Full Record in Web of Science</v>
      </c>
    </row>
    <row r="587" spans="1:72" x14ac:dyDescent="0.2">
      <c r="A587" t="s">
        <v>72</v>
      </c>
      <c r="B587" t="s">
        <v>11280</v>
      </c>
      <c r="C587" t="s">
        <v>74</v>
      </c>
      <c r="D587" t="s">
        <v>74</v>
      </c>
      <c r="E587" t="s">
        <v>75</v>
      </c>
      <c r="F587" t="s">
        <v>11281</v>
      </c>
      <c r="G587" t="s">
        <v>74</v>
      </c>
      <c r="H587" t="s">
        <v>74</v>
      </c>
      <c r="I587" t="s">
        <v>11282</v>
      </c>
      <c r="J587" t="s">
        <v>11283</v>
      </c>
      <c r="K587" t="s">
        <v>74</v>
      </c>
      <c r="L587" t="s">
        <v>74</v>
      </c>
      <c r="M587" t="s">
        <v>79</v>
      </c>
      <c r="N587" t="s">
        <v>80</v>
      </c>
      <c r="O587" t="s">
        <v>11284</v>
      </c>
      <c r="P587" t="s">
        <v>11285</v>
      </c>
      <c r="Q587" t="s">
        <v>11286</v>
      </c>
      <c r="R587" t="s">
        <v>11287</v>
      </c>
      <c r="S587" t="s">
        <v>74</v>
      </c>
      <c r="T587" t="s">
        <v>11288</v>
      </c>
      <c r="U587" t="s">
        <v>11289</v>
      </c>
      <c r="V587" t="s">
        <v>11290</v>
      </c>
      <c r="W587" t="s">
        <v>11291</v>
      </c>
      <c r="X587" t="s">
        <v>11292</v>
      </c>
      <c r="Y587" t="s">
        <v>11293</v>
      </c>
      <c r="Z587" t="s">
        <v>11294</v>
      </c>
      <c r="AA587" t="s">
        <v>11295</v>
      </c>
      <c r="AB587" t="s">
        <v>11296</v>
      </c>
      <c r="AC587" t="s">
        <v>11297</v>
      </c>
      <c r="AD587" t="s">
        <v>11298</v>
      </c>
      <c r="AE587" t="s">
        <v>11299</v>
      </c>
      <c r="AF587" t="s">
        <v>74</v>
      </c>
      <c r="AG587">
        <v>29</v>
      </c>
      <c r="AH587">
        <v>0</v>
      </c>
      <c r="AI587">
        <v>0</v>
      </c>
      <c r="AJ587">
        <v>0</v>
      </c>
      <c r="AK587">
        <v>0</v>
      </c>
      <c r="AL587" t="s">
        <v>92</v>
      </c>
      <c r="AM587" t="s">
        <v>93</v>
      </c>
      <c r="AN587" t="s">
        <v>94</v>
      </c>
      <c r="AO587" t="s">
        <v>74</v>
      </c>
      <c r="AP587" t="s">
        <v>74</v>
      </c>
      <c r="AQ587" t="s">
        <v>11300</v>
      </c>
      <c r="AR587" t="s">
        <v>74</v>
      </c>
      <c r="AS587" t="s">
        <v>74</v>
      </c>
      <c r="AT587" t="s">
        <v>74</v>
      </c>
      <c r="AU587">
        <v>2023</v>
      </c>
      <c r="AV587" t="s">
        <v>74</v>
      </c>
      <c r="AW587" t="s">
        <v>74</v>
      </c>
      <c r="AX587" t="s">
        <v>74</v>
      </c>
      <c r="AY587" t="s">
        <v>74</v>
      </c>
      <c r="AZ587" t="s">
        <v>74</v>
      </c>
      <c r="BA587" t="s">
        <v>74</v>
      </c>
      <c r="BB587">
        <v>58</v>
      </c>
      <c r="BC587">
        <v>66</v>
      </c>
      <c r="BD587" t="s">
        <v>74</v>
      </c>
      <c r="BE587" t="s">
        <v>11301</v>
      </c>
      <c r="BF587" t="str">
        <f>HYPERLINK("http://dx.doi.org/10.1145/3625135.3625141","http://dx.doi.org/10.1145/3625135.3625141")</f>
        <v>http://dx.doi.org/10.1145/3625135.3625141</v>
      </c>
      <c r="BG587" t="s">
        <v>74</v>
      </c>
      <c r="BH587" t="s">
        <v>74</v>
      </c>
      <c r="BI587">
        <v>9</v>
      </c>
      <c r="BJ587" t="s">
        <v>11302</v>
      </c>
      <c r="BK587" t="s">
        <v>180</v>
      </c>
      <c r="BL587" t="s">
        <v>11303</v>
      </c>
      <c r="BM587" t="s">
        <v>11304</v>
      </c>
      <c r="BN587" t="s">
        <v>74</v>
      </c>
      <c r="BO587" t="s">
        <v>2310</v>
      </c>
      <c r="BP587" t="s">
        <v>74</v>
      </c>
      <c r="BQ587" t="s">
        <v>74</v>
      </c>
      <c r="BR587" t="s">
        <v>101</v>
      </c>
      <c r="BS587" t="s">
        <v>11305</v>
      </c>
      <c r="BT587" t="str">
        <f>HYPERLINK("https%3A%2F%2Fwww.webofscience.com%2Fwos%2Fwoscc%2Ffull-record%2FWOS:001139082400009","View Full Record in Web of Science")</f>
        <v>View Full Record in Web of Science</v>
      </c>
    </row>
    <row r="588" spans="1:72" x14ac:dyDescent="0.2">
      <c r="A588" t="s">
        <v>72</v>
      </c>
      <c r="B588" t="s">
        <v>11306</v>
      </c>
      <c r="C588" t="s">
        <v>74</v>
      </c>
      <c r="D588" t="s">
        <v>74</v>
      </c>
      <c r="E588" t="s">
        <v>284</v>
      </c>
      <c r="F588" t="s">
        <v>11307</v>
      </c>
      <c r="G588" t="s">
        <v>74</v>
      </c>
      <c r="H588" t="s">
        <v>74</v>
      </c>
      <c r="I588" t="s">
        <v>11308</v>
      </c>
      <c r="J588" t="s">
        <v>2786</v>
      </c>
      <c r="K588" t="s">
        <v>74</v>
      </c>
      <c r="L588" t="s">
        <v>74</v>
      </c>
      <c r="M588" t="s">
        <v>79</v>
      </c>
      <c r="N588" t="s">
        <v>80</v>
      </c>
      <c r="O588" t="s">
        <v>2787</v>
      </c>
      <c r="P588" t="s">
        <v>2788</v>
      </c>
      <c r="Q588" t="s">
        <v>2789</v>
      </c>
      <c r="R588" t="s">
        <v>74</v>
      </c>
      <c r="S588" t="s">
        <v>74</v>
      </c>
      <c r="T588" t="s">
        <v>11309</v>
      </c>
      <c r="U588" t="s">
        <v>11310</v>
      </c>
      <c r="V588" t="s">
        <v>11311</v>
      </c>
      <c r="W588" t="s">
        <v>11312</v>
      </c>
      <c r="X588" t="s">
        <v>11313</v>
      </c>
      <c r="Y588" t="s">
        <v>11314</v>
      </c>
      <c r="Z588" t="s">
        <v>11315</v>
      </c>
      <c r="AA588" t="s">
        <v>74</v>
      </c>
      <c r="AB588" t="s">
        <v>74</v>
      </c>
      <c r="AC588" t="s">
        <v>11316</v>
      </c>
      <c r="AD588" t="s">
        <v>11316</v>
      </c>
      <c r="AE588" t="s">
        <v>11317</v>
      </c>
      <c r="AF588" t="s">
        <v>74</v>
      </c>
      <c r="AG588">
        <v>31</v>
      </c>
      <c r="AH588">
        <v>0</v>
      </c>
      <c r="AI588">
        <v>0</v>
      </c>
      <c r="AJ588">
        <v>0</v>
      </c>
      <c r="AK588">
        <v>0</v>
      </c>
      <c r="AL588" t="s">
        <v>284</v>
      </c>
      <c r="AM588" t="s">
        <v>93</v>
      </c>
      <c r="AN588" t="s">
        <v>299</v>
      </c>
      <c r="AO588" t="s">
        <v>74</v>
      </c>
      <c r="AP588" t="s">
        <v>74</v>
      </c>
      <c r="AQ588" t="s">
        <v>2796</v>
      </c>
      <c r="AR588" t="s">
        <v>74</v>
      </c>
      <c r="AS588" t="s">
        <v>74</v>
      </c>
      <c r="AT588" t="s">
        <v>74</v>
      </c>
      <c r="AU588">
        <v>2023</v>
      </c>
      <c r="AV588" t="s">
        <v>74</v>
      </c>
      <c r="AW588" t="s">
        <v>74</v>
      </c>
      <c r="AX588" t="s">
        <v>74</v>
      </c>
      <c r="AY588" t="s">
        <v>74</v>
      </c>
      <c r="AZ588" t="s">
        <v>74</v>
      </c>
      <c r="BA588" t="s">
        <v>74</v>
      </c>
      <c r="BB588" t="s">
        <v>74</v>
      </c>
      <c r="BC588" t="s">
        <v>74</v>
      </c>
      <c r="BD588" t="s">
        <v>74</v>
      </c>
      <c r="BE588" t="s">
        <v>11318</v>
      </c>
      <c r="BF588" t="str">
        <f>HYPERLINK("http://dx.doi.org/10.1109/ACIIW59127.2023.10388202","http://dx.doi.org/10.1109/ACIIW59127.2023.10388202")</f>
        <v>http://dx.doi.org/10.1109/ACIIW59127.2023.10388202</v>
      </c>
      <c r="BG588" t="s">
        <v>74</v>
      </c>
      <c r="BH588" t="s">
        <v>74</v>
      </c>
      <c r="BI588">
        <v>8</v>
      </c>
      <c r="BJ588" t="s">
        <v>2798</v>
      </c>
      <c r="BK588" t="s">
        <v>98</v>
      </c>
      <c r="BL588" t="s">
        <v>99</v>
      </c>
      <c r="BM588" t="s">
        <v>2799</v>
      </c>
      <c r="BN588" t="s">
        <v>74</v>
      </c>
      <c r="BO588" t="s">
        <v>74</v>
      </c>
      <c r="BP588" t="s">
        <v>74</v>
      </c>
      <c r="BQ588" t="s">
        <v>74</v>
      </c>
      <c r="BR588" t="s">
        <v>101</v>
      </c>
      <c r="BS588" t="s">
        <v>11319</v>
      </c>
      <c r="BT588" t="str">
        <f>HYPERLINK("https%3A%2F%2Fwww.webofscience.com%2Fwos%2Fwoscc%2Ffull-record%2FWOS:001161364800088","View Full Record in Web of Science")</f>
        <v>View Full Record in Web of Science</v>
      </c>
    </row>
    <row r="589" spans="1:72" x14ac:dyDescent="0.2">
      <c r="A589" t="s">
        <v>103</v>
      </c>
      <c r="B589" t="s">
        <v>11320</v>
      </c>
      <c r="C589" t="s">
        <v>74</v>
      </c>
      <c r="D589" t="s">
        <v>74</v>
      </c>
      <c r="E589" t="s">
        <v>74</v>
      </c>
      <c r="F589" t="s">
        <v>11321</v>
      </c>
      <c r="G589" t="s">
        <v>74</v>
      </c>
      <c r="H589" t="s">
        <v>74</v>
      </c>
      <c r="I589" t="s">
        <v>11322</v>
      </c>
      <c r="J589" t="s">
        <v>11323</v>
      </c>
      <c r="K589" t="s">
        <v>74</v>
      </c>
      <c r="L589" t="s">
        <v>74</v>
      </c>
      <c r="M589" t="s">
        <v>79</v>
      </c>
      <c r="N589" t="s">
        <v>108</v>
      </c>
      <c r="O589" t="s">
        <v>74</v>
      </c>
      <c r="P589" t="s">
        <v>74</v>
      </c>
      <c r="Q589" t="s">
        <v>74</v>
      </c>
      <c r="R589" t="s">
        <v>74</v>
      </c>
      <c r="S589" t="s">
        <v>74</v>
      </c>
      <c r="T589" t="s">
        <v>11324</v>
      </c>
      <c r="U589" t="s">
        <v>11325</v>
      </c>
      <c r="V589" t="s">
        <v>11326</v>
      </c>
      <c r="W589" t="s">
        <v>11327</v>
      </c>
      <c r="X589" t="s">
        <v>11328</v>
      </c>
      <c r="Y589" t="s">
        <v>11329</v>
      </c>
      <c r="Z589" t="s">
        <v>11330</v>
      </c>
      <c r="AA589" t="s">
        <v>11331</v>
      </c>
      <c r="AB589" t="s">
        <v>11332</v>
      </c>
      <c r="AC589" t="s">
        <v>11333</v>
      </c>
      <c r="AD589" t="s">
        <v>11334</v>
      </c>
      <c r="AE589" t="s">
        <v>11335</v>
      </c>
      <c r="AF589" t="s">
        <v>74</v>
      </c>
      <c r="AG589">
        <v>56</v>
      </c>
      <c r="AH589">
        <v>0</v>
      </c>
      <c r="AI589">
        <v>0</v>
      </c>
      <c r="AJ589">
        <v>42</v>
      </c>
      <c r="AK589">
        <v>42</v>
      </c>
      <c r="AL589" t="s">
        <v>764</v>
      </c>
      <c r="AM589" t="s">
        <v>765</v>
      </c>
      <c r="AN589" t="s">
        <v>766</v>
      </c>
      <c r="AO589" t="s">
        <v>11336</v>
      </c>
      <c r="AP589" t="s">
        <v>11337</v>
      </c>
      <c r="AQ589" t="s">
        <v>74</v>
      </c>
      <c r="AR589" t="s">
        <v>11323</v>
      </c>
      <c r="AS589" t="s">
        <v>11338</v>
      </c>
      <c r="AT589" t="s">
        <v>527</v>
      </c>
      <c r="AU589">
        <v>2023</v>
      </c>
      <c r="AV589">
        <v>101</v>
      </c>
      <c r="AW589" t="s">
        <v>74</v>
      </c>
      <c r="AX589" t="s">
        <v>74</v>
      </c>
      <c r="AY589" t="s">
        <v>74</v>
      </c>
      <c r="AZ589" t="s">
        <v>74</v>
      </c>
      <c r="BA589" t="s">
        <v>74</v>
      </c>
      <c r="BB589" t="s">
        <v>74</v>
      </c>
      <c r="BC589" t="s">
        <v>74</v>
      </c>
      <c r="BD589">
        <v>101839</v>
      </c>
      <c r="BE589" t="s">
        <v>11339</v>
      </c>
      <c r="BF589" t="str">
        <f>HYPERLINK("http://dx.doi.org/10.1016/j.poetic.2023.101839","http://dx.doi.org/10.1016/j.poetic.2023.101839")</f>
        <v>http://dx.doi.org/10.1016/j.poetic.2023.101839</v>
      </c>
      <c r="BG589" t="s">
        <v>74</v>
      </c>
      <c r="BH589" t="s">
        <v>157</v>
      </c>
      <c r="BI589">
        <v>11</v>
      </c>
      <c r="BJ589" t="s">
        <v>11340</v>
      </c>
      <c r="BK589" t="s">
        <v>530</v>
      </c>
      <c r="BL589" t="s">
        <v>11340</v>
      </c>
      <c r="BM589" t="s">
        <v>11341</v>
      </c>
      <c r="BN589" t="s">
        <v>74</v>
      </c>
      <c r="BO589" t="s">
        <v>161</v>
      </c>
      <c r="BP589" t="s">
        <v>74</v>
      </c>
      <c r="BQ589" t="s">
        <v>74</v>
      </c>
      <c r="BR589" t="s">
        <v>101</v>
      </c>
      <c r="BS589" t="s">
        <v>11342</v>
      </c>
      <c r="BT589" t="str">
        <f>HYPERLINK("https%3A%2F%2Fwww.webofscience.com%2Fwos%2Fwoscc%2Ffull-record%2FWOS:001109270900001","View Full Record in Web of Science")</f>
        <v>View Full Record in Web of Science</v>
      </c>
    </row>
    <row r="590" spans="1:72" x14ac:dyDescent="0.2">
      <c r="A590" t="s">
        <v>103</v>
      </c>
      <c r="B590" t="s">
        <v>11343</v>
      </c>
      <c r="C590" t="s">
        <v>74</v>
      </c>
      <c r="D590" t="s">
        <v>74</v>
      </c>
      <c r="E590" t="s">
        <v>74</v>
      </c>
      <c r="F590" t="s">
        <v>11344</v>
      </c>
      <c r="G590" t="s">
        <v>74</v>
      </c>
      <c r="H590" t="s">
        <v>74</v>
      </c>
      <c r="I590" t="s">
        <v>11345</v>
      </c>
      <c r="J590" t="s">
        <v>11346</v>
      </c>
      <c r="K590" t="s">
        <v>74</v>
      </c>
      <c r="L590" t="s">
        <v>74</v>
      </c>
      <c r="M590" t="s">
        <v>79</v>
      </c>
      <c r="N590" t="s">
        <v>108</v>
      </c>
      <c r="O590" t="s">
        <v>74</v>
      </c>
      <c r="P590" t="s">
        <v>74</v>
      </c>
      <c r="Q590" t="s">
        <v>74</v>
      </c>
      <c r="R590" t="s">
        <v>74</v>
      </c>
      <c r="S590" t="s">
        <v>74</v>
      </c>
      <c r="T590" t="s">
        <v>11347</v>
      </c>
      <c r="U590" t="s">
        <v>74</v>
      </c>
      <c r="V590" t="s">
        <v>11348</v>
      </c>
      <c r="W590" t="s">
        <v>11349</v>
      </c>
      <c r="X590" t="s">
        <v>11350</v>
      </c>
      <c r="Y590" t="s">
        <v>11351</v>
      </c>
      <c r="Z590" t="s">
        <v>11352</v>
      </c>
      <c r="AA590" t="s">
        <v>74</v>
      </c>
      <c r="AB590" t="s">
        <v>11353</v>
      </c>
      <c r="AC590" t="s">
        <v>74</v>
      </c>
      <c r="AD590" t="s">
        <v>74</v>
      </c>
      <c r="AE590" t="s">
        <v>74</v>
      </c>
      <c r="AF590" t="s">
        <v>74</v>
      </c>
      <c r="AG590">
        <v>30</v>
      </c>
      <c r="AH590">
        <v>1</v>
      </c>
      <c r="AI590">
        <v>1</v>
      </c>
      <c r="AJ590">
        <v>76</v>
      </c>
      <c r="AK590">
        <v>76</v>
      </c>
      <c r="AL590" t="s">
        <v>3202</v>
      </c>
      <c r="AM590" t="s">
        <v>120</v>
      </c>
      <c r="AN590" t="s">
        <v>3203</v>
      </c>
      <c r="AO590" t="s">
        <v>11354</v>
      </c>
      <c r="AP590" t="s">
        <v>11355</v>
      </c>
      <c r="AQ590" t="s">
        <v>74</v>
      </c>
      <c r="AR590" t="s">
        <v>11356</v>
      </c>
      <c r="AS590" t="s">
        <v>11357</v>
      </c>
      <c r="AT590" t="s">
        <v>4697</v>
      </c>
      <c r="AU590">
        <v>2023</v>
      </c>
      <c r="AV590">
        <v>38</v>
      </c>
      <c r="AW590">
        <v>12</v>
      </c>
      <c r="AX590" t="s">
        <v>74</v>
      </c>
      <c r="AY590" t="s">
        <v>74</v>
      </c>
      <c r="AZ590" t="s">
        <v>74</v>
      </c>
      <c r="BA590" t="s">
        <v>74</v>
      </c>
      <c r="BB590">
        <v>2281</v>
      </c>
      <c r="BC590">
        <v>2288</v>
      </c>
      <c r="BD590" t="s">
        <v>74</v>
      </c>
      <c r="BE590" t="s">
        <v>11358</v>
      </c>
      <c r="BF590" t="str">
        <f>HYPERLINK("http://dx.doi.org/10.1093/humrep/dead207","http://dx.doi.org/10.1093/humrep/dead207")</f>
        <v>http://dx.doi.org/10.1093/humrep/dead207</v>
      </c>
      <c r="BG590" t="s">
        <v>74</v>
      </c>
      <c r="BH590" t="s">
        <v>1886</v>
      </c>
      <c r="BI590">
        <v>8</v>
      </c>
      <c r="BJ590" t="s">
        <v>7739</v>
      </c>
      <c r="BK590" t="s">
        <v>130</v>
      </c>
      <c r="BL590" t="s">
        <v>7739</v>
      </c>
      <c r="BM590" t="s">
        <v>11359</v>
      </c>
      <c r="BN590">
        <v>37833847</v>
      </c>
      <c r="BO590" t="s">
        <v>74</v>
      </c>
      <c r="BP590" t="s">
        <v>74</v>
      </c>
      <c r="BQ590" t="s">
        <v>74</v>
      </c>
      <c r="BR590" t="s">
        <v>101</v>
      </c>
      <c r="BS590" t="s">
        <v>11360</v>
      </c>
      <c r="BT590" t="str">
        <f>HYPERLINK("https%3A%2F%2Fwww.webofscience.com%2Fwos%2Fwoscc%2Ffull-record%2FWOS:001083309500001","View Full Record in Web of Science")</f>
        <v>View Full Record in Web of Science</v>
      </c>
    </row>
    <row r="591" spans="1:72" x14ac:dyDescent="0.2">
      <c r="A591" t="s">
        <v>103</v>
      </c>
      <c r="B591" t="s">
        <v>11361</v>
      </c>
      <c r="C591" t="s">
        <v>74</v>
      </c>
      <c r="D591" t="s">
        <v>74</v>
      </c>
      <c r="E591" t="s">
        <v>74</v>
      </c>
      <c r="F591" t="s">
        <v>11362</v>
      </c>
      <c r="G591" t="s">
        <v>74</v>
      </c>
      <c r="H591" t="s">
        <v>74</v>
      </c>
      <c r="I591" t="s">
        <v>11363</v>
      </c>
      <c r="J591" t="s">
        <v>4686</v>
      </c>
      <c r="K591" t="s">
        <v>74</v>
      </c>
      <c r="L591" t="s">
        <v>74</v>
      </c>
      <c r="M591" t="s">
        <v>79</v>
      </c>
      <c r="N591" t="s">
        <v>108</v>
      </c>
      <c r="O591" t="s">
        <v>74</v>
      </c>
      <c r="P591" t="s">
        <v>74</v>
      </c>
      <c r="Q591" t="s">
        <v>74</v>
      </c>
      <c r="R591" t="s">
        <v>74</v>
      </c>
      <c r="S591" t="s">
        <v>74</v>
      </c>
      <c r="T591" t="s">
        <v>11364</v>
      </c>
      <c r="U591" t="s">
        <v>74</v>
      </c>
      <c r="V591" t="s">
        <v>11365</v>
      </c>
      <c r="W591" t="s">
        <v>11366</v>
      </c>
      <c r="X591" t="s">
        <v>74</v>
      </c>
      <c r="Y591" t="s">
        <v>11367</v>
      </c>
      <c r="Z591" t="s">
        <v>11368</v>
      </c>
      <c r="AA591" t="s">
        <v>74</v>
      </c>
      <c r="AB591" t="s">
        <v>11369</v>
      </c>
      <c r="AC591" t="s">
        <v>74</v>
      </c>
      <c r="AD591" t="s">
        <v>74</v>
      </c>
      <c r="AE591" t="s">
        <v>74</v>
      </c>
      <c r="AF591" t="s">
        <v>74</v>
      </c>
      <c r="AG591">
        <v>18</v>
      </c>
      <c r="AH591">
        <v>1</v>
      </c>
      <c r="AI591">
        <v>1</v>
      </c>
      <c r="AJ591">
        <v>4</v>
      </c>
      <c r="AK591">
        <v>4</v>
      </c>
      <c r="AL591" t="s">
        <v>2032</v>
      </c>
      <c r="AM591" t="s">
        <v>149</v>
      </c>
      <c r="AN591" t="s">
        <v>2033</v>
      </c>
      <c r="AO591" t="s">
        <v>74</v>
      </c>
      <c r="AP591" t="s">
        <v>4694</v>
      </c>
      <c r="AQ591" t="s">
        <v>74</v>
      </c>
      <c r="AR591" t="s">
        <v>4695</v>
      </c>
      <c r="AS591" t="s">
        <v>4696</v>
      </c>
      <c r="AT591" t="s">
        <v>5905</v>
      </c>
      <c r="AU591">
        <v>2023</v>
      </c>
      <c r="AV591">
        <v>15</v>
      </c>
      <c r="AW591">
        <v>11</v>
      </c>
      <c r="AX591" t="s">
        <v>74</v>
      </c>
      <c r="AY591" t="s">
        <v>74</v>
      </c>
      <c r="AZ591" t="s">
        <v>74</v>
      </c>
      <c r="BA591" t="s">
        <v>74</v>
      </c>
      <c r="BB591" t="s">
        <v>74</v>
      </c>
      <c r="BC591" t="s">
        <v>74</v>
      </c>
      <c r="BD591" t="s">
        <v>11370</v>
      </c>
      <c r="BE591" t="s">
        <v>11371</v>
      </c>
      <c r="BF591" t="str">
        <f>HYPERLINK("http://dx.doi.org/10.7759/cureus.48919","http://dx.doi.org/10.7759/cureus.48919")</f>
        <v>http://dx.doi.org/10.7759/cureus.48919</v>
      </c>
      <c r="BG591" t="s">
        <v>74</v>
      </c>
      <c r="BH591" t="s">
        <v>74</v>
      </c>
      <c r="BI591">
        <v>7</v>
      </c>
      <c r="BJ591" t="s">
        <v>3440</v>
      </c>
      <c r="BK591" t="s">
        <v>352</v>
      </c>
      <c r="BL591" t="s">
        <v>3441</v>
      </c>
      <c r="BM591" t="s">
        <v>11372</v>
      </c>
      <c r="BN591">
        <v>38024047</v>
      </c>
      <c r="BO591" t="s">
        <v>4185</v>
      </c>
      <c r="BP591" t="s">
        <v>74</v>
      </c>
      <c r="BQ591" t="s">
        <v>74</v>
      </c>
      <c r="BR591" t="s">
        <v>101</v>
      </c>
      <c r="BS591" t="s">
        <v>11373</v>
      </c>
      <c r="BT591" t="str">
        <f>HYPERLINK("https%3A%2F%2Fwww.webofscience.com%2Fwos%2Fwoscc%2Ffull-record%2FWOS:001109754900025","View Full Record in Web of Science")</f>
        <v>View Full Record in Web of Science</v>
      </c>
    </row>
    <row r="592" spans="1:72" x14ac:dyDescent="0.2">
      <c r="A592" t="s">
        <v>103</v>
      </c>
      <c r="B592" t="s">
        <v>11374</v>
      </c>
      <c r="C592" t="s">
        <v>74</v>
      </c>
      <c r="D592" t="s">
        <v>74</v>
      </c>
      <c r="E592" t="s">
        <v>74</v>
      </c>
      <c r="F592" t="s">
        <v>11375</v>
      </c>
      <c r="G592" t="s">
        <v>74</v>
      </c>
      <c r="H592" t="s">
        <v>74</v>
      </c>
      <c r="I592" t="s">
        <v>11376</v>
      </c>
      <c r="J592" t="s">
        <v>11207</v>
      </c>
      <c r="K592" t="s">
        <v>74</v>
      </c>
      <c r="L592" t="s">
        <v>74</v>
      </c>
      <c r="M592" t="s">
        <v>79</v>
      </c>
      <c r="N592" t="s">
        <v>108</v>
      </c>
      <c r="O592" t="s">
        <v>74</v>
      </c>
      <c r="P592" t="s">
        <v>74</v>
      </c>
      <c r="Q592" t="s">
        <v>74</v>
      </c>
      <c r="R592" t="s">
        <v>74</v>
      </c>
      <c r="S592" t="s">
        <v>74</v>
      </c>
      <c r="T592" t="s">
        <v>74</v>
      </c>
      <c r="U592" t="s">
        <v>11377</v>
      </c>
      <c r="V592" t="s">
        <v>11378</v>
      </c>
      <c r="W592" t="s">
        <v>11379</v>
      </c>
      <c r="X592" t="s">
        <v>11380</v>
      </c>
      <c r="Y592" t="s">
        <v>11381</v>
      </c>
      <c r="Z592" t="s">
        <v>11382</v>
      </c>
      <c r="AA592" t="s">
        <v>11383</v>
      </c>
      <c r="AB592" t="s">
        <v>11384</v>
      </c>
      <c r="AC592" t="s">
        <v>74</v>
      </c>
      <c r="AD592" t="s">
        <v>74</v>
      </c>
      <c r="AE592" t="s">
        <v>74</v>
      </c>
      <c r="AF592" t="s">
        <v>74</v>
      </c>
      <c r="AG592">
        <v>78</v>
      </c>
      <c r="AH592">
        <v>6</v>
      </c>
      <c r="AI592">
        <v>6</v>
      </c>
      <c r="AJ592">
        <v>3</v>
      </c>
      <c r="AK592">
        <v>6</v>
      </c>
      <c r="AL592" t="s">
        <v>547</v>
      </c>
      <c r="AM592" t="s">
        <v>548</v>
      </c>
      <c r="AN592" t="s">
        <v>549</v>
      </c>
      <c r="AO592" t="s">
        <v>11215</v>
      </c>
      <c r="AP592" t="s">
        <v>11216</v>
      </c>
      <c r="AQ592" t="s">
        <v>74</v>
      </c>
      <c r="AR592" t="s">
        <v>11217</v>
      </c>
      <c r="AS592" t="s">
        <v>11218</v>
      </c>
      <c r="AT592" t="s">
        <v>11385</v>
      </c>
      <c r="AU592">
        <v>2023</v>
      </c>
      <c r="AV592">
        <v>63</v>
      </c>
      <c r="AW592">
        <v>11</v>
      </c>
      <c r="AX592" t="s">
        <v>74</v>
      </c>
      <c r="AY592" t="s">
        <v>74</v>
      </c>
      <c r="AZ592" t="s">
        <v>74</v>
      </c>
      <c r="BA592" t="s">
        <v>74</v>
      </c>
      <c r="BB592">
        <v>3307</v>
      </c>
      <c r="BC592">
        <v>3318</v>
      </c>
      <c r="BD592" t="s">
        <v>74</v>
      </c>
      <c r="BE592" t="s">
        <v>11386</v>
      </c>
      <c r="BF592" t="str">
        <f>HYPERLINK("http://dx.doi.org/10.1021/acs.jcim.3c00562","http://dx.doi.org/10.1021/acs.jcim.3c00562")</f>
        <v>http://dx.doi.org/10.1021/acs.jcim.3c00562</v>
      </c>
      <c r="BG592" t="s">
        <v>74</v>
      </c>
      <c r="BH592" t="s">
        <v>74</v>
      </c>
      <c r="BI592">
        <v>12</v>
      </c>
      <c r="BJ592" t="s">
        <v>11221</v>
      </c>
      <c r="BK592" t="s">
        <v>130</v>
      </c>
      <c r="BL592" t="s">
        <v>11222</v>
      </c>
      <c r="BM592" t="s">
        <v>11387</v>
      </c>
      <c r="BN592">
        <v>37171372</v>
      </c>
      <c r="BO592" t="s">
        <v>11388</v>
      </c>
      <c r="BP592" t="s">
        <v>74</v>
      </c>
      <c r="BQ592" t="s">
        <v>74</v>
      </c>
      <c r="BR592" t="s">
        <v>101</v>
      </c>
      <c r="BS592" t="s">
        <v>11389</v>
      </c>
      <c r="BT592" t="str">
        <f>HYPERLINK("https%3A%2F%2Fwww.webofscience.com%2Fwos%2Fwoscc%2Ffull-record%2FWOS:001020703700001","View Full Record in Web of Science")</f>
        <v>View Full Record in Web of Science</v>
      </c>
    </row>
    <row r="593" spans="1:72" x14ac:dyDescent="0.2">
      <c r="A593" t="s">
        <v>103</v>
      </c>
      <c r="B593" t="s">
        <v>11390</v>
      </c>
      <c r="C593" t="s">
        <v>74</v>
      </c>
      <c r="D593" t="s">
        <v>74</v>
      </c>
      <c r="E593" t="s">
        <v>74</v>
      </c>
      <c r="F593" t="s">
        <v>11391</v>
      </c>
      <c r="G593" t="s">
        <v>74</v>
      </c>
      <c r="H593" t="s">
        <v>74</v>
      </c>
      <c r="I593" t="s">
        <v>11392</v>
      </c>
      <c r="J593" t="s">
        <v>11393</v>
      </c>
      <c r="K593" t="s">
        <v>74</v>
      </c>
      <c r="L593" t="s">
        <v>74</v>
      </c>
      <c r="M593" t="s">
        <v>79</v>
      </c>
      <c r="N593" t="s">
        <v>108</v>
      </c>
      <c r="O593" t="s">
        <v>74</v>
      </c>
      <c r="P593" t="s">
        <v>74</v>
      </c>
      <c r="Q593" t="s">
        <v>74</v>
      </c>
      <c r="R593" t="s">
        <v>74</v>
      </c>
      <c r="S593" t="s">
        <v>74</v>
      </c>
      <c r="T593" t="s">
        <v>11394</v>
      </c>
      <c r="U593" t="s">
        <v>11395</v>
      </c>
      <c r="V593" t="s">
        <v>11396</v>
      </c>
      <c r="W593" t="s">
        <v>11397</v>
      </c>
      <c r="X593" t="s">
        <v>11398</v>
      </c>
      <c r="Y593" t="s">
        <v>11399</v>
      </c>
      <c r="Z593" t="s">
        <v>11400</v>
      </c>
      <c r="AA593" t="s">
        <v>11401</v>
      </c>
      <c r="AB593" t="s">
        <v>11402</v>
      </c>
      <c r="AC593" t="s">
        <v>74</v>
      </c>
      <c r="AD593" t="s">
        <v>74</v>
      </c>
      <c r="AE593" t="s">
        <v>74</v>
      </c>
      <c r="AF593" t="s">
        <v>74</v>
      </c>
      <c r="AG593">
        <v>53</v>
      </c>
      <c r="AH593">
        <v>14</v>
      </c>
      <c r="AI593">
        <v>14</v>
      </c>
      <c r="AJ593">
        <v>3</v>
      </c>
      <c r="AK593">
        <v>3</v>
      </c>
      <c r="AL593" t="s">
        <v>638</v>
      </c>
      <c r="AM593" t="s">
        <v>639</v>
      </c>
      <c r="AN593" t="s">
        <v>1557</v>
      </c>
      <c r="AO593" t="s">
        <v>11403</v>
      </c>
      <c r="AP593" t="s">
        <v>11404</v>
      </c>
      <c r="AQ593" t="s">
        <v>74</v>
      </c>
      <c r="AR593" t="s">
        <v>11405</v>
      </c>
      <c r="AS593" t="s">
        <v>11406</v>
      </c>
      <c r="AT593" t="s">
        <v>2497</v>
      </c>
      <c r="AU593">
        <v>2023</v>
      </c>
      <c r="AV593">
        <v>35</v>
      </c>
      <c r="AW593">
        <v>12</v>
      </c>
      <c r="AX593" t="s">
        <v>74</v>
      </c>
      <c r="AY593" t="s">
        <v>74</v>
      </c>
      <c r="AZ593" t="s">
        <v>74</v>
      </c>
      <c r="BA593" t="s">
        <v>74</v>
      </c>
      <c r="BB593">
        <v>12220</v>
      </c>
      <c r="BC593">
        <v>12233</v>
      </c>
      <c r="BD593" t="s">
        <v>74</v>
      </c>
      <c r="BE593" t="s">
        <v>11407</v>
      </c>
      <c r="BF593" t="str">
        <f>HYPERLINK("http://dx.doi.org/10.1109/TKDE.2021.3119326","http://dx.doi.org/10.1109/TKDE.2021.3119326")</f>
        <v>http://dx.doi.org/10.1109/TKDE.2021.3119326</v>
      </c>
      <c r="BG593" t="s">
        <v>74</v>
      </c>
      <c r="BH593" t="s">
        <v>74</v>
      </c>
      <c r="BI593">
        <v>14</v>
      </c>
      <c r="BJ593" t="s">
        <v>11408</v>
      </c>
      <c r="BK593" t="s">
        <v>130</v>
      </c>
      <c r="BL593" t="s">
        <v>906</v>
      </c>
      <c r="BM593" t="s">
        <v>11409</v>
      </c>
      <c r="BN593" t="s">
        <v>74</v>
      </c>
      <c r="BO593" t="s">
        <v>646</v>
      </c>
      <c r="BP593" t="s">
        <v>74</v>
      </c>
      <c r="BQ593" t="s">
        <v>74</v>
      </c>
      <c r="BR593" t="s">
        <v>101</v>
      </c>
      <c r="BS593" t="s">
        <v>11410</v>
      </c>
      <c r="BT593" t="str">
        <f>HYPERLINK("https%3A%2F%2Fwww.webofscience.com%2Fwos%2Fwoscc%2Ffull-record%2FWOS:001105152100066","View Full Record in Web of Science")</f>
        <v>View Full Record in Web of Science</v>
      </c>
    </row>
    <row r="594" spans="1:72" x14ac:dyDescent="0.2">
      <c r="A594" t="s">
        <v>72</v>
      </c>
      <c r="B594" t="s">
        <v>11411</v>
      </c>
      <c r="C594" t="s">
        <v>74</v>
      </c>
      <c r="D594" t="s">
        <v>74</v>
      </c>
      <c r="E594" t="s">
        <v>75</v>
      </c>
      <c r="F594" t="s">
        <v>11412</v>
      </c>
      <c r="G594" t="s">
        <v>74</v>
      </c>
      <c r="H594" t="s">
        <v>74</v>
      </c>
      <c r="I594" t="s">
        <v>11413</v>
      </c>
      <c r="J594" t="s">
        <v>2829</v>
      </c>
      <c r="K594" t="s">
        <v>74</v>
      </c>
      <c r="L594" t="s">
        <v>74</v>
      </c>
      <c r="M594" t="s">
        <v>79</v>
      </c>
      <c r="N594" t="s">
        <v>80</v>
      </c>
      <c r="O594" t="s">
        <v>2830</v>
      </c>
      <c r="P594" t="s">
        <v>1221</v>
      </c>
      <c r="Q594" t="s">
        <v>2831</v>
      </c>
      <c r="R594" t="s">
        <v>1223</v>
      </c>
      <c r="S594" t="s">
        <v>74</v>
      </c>
      <c r="T594" t="s">
        <v>11414</v>
      </c>
      <c r="U594" t="s">
        <v>74</v>
      </c>
      <c r="V594" t="s">
        <v>11415</v>
      </c>
      <c r="W594" t="s">
        <v>11416</v>
      </c>
      <c r="X594" t="s">
        <v>5516</v>
      </c>
      <c r="Y594" t="s">
        <v>11417</v>
      </c>
      <c r="Z594" t="s">
        <v>11418</v>
      </c>
      <c r="AA594" t="s">
        <v>74</v>
      </c>
      <c r="AB594" t="s">
        <v>11419</v>
      </c>
      <c r="AC594" t="s">
        <v>11420</v>
      </c>
      <c r="AD594" t="s">
        <v>11421</v>
      </c>
      <c r="AE594" t="s">
        <v>11422</v>
      </c>
      <c r="AF594" t="s">
        <v>74</v>
      </c>
      <c r="AG594">
        <v>61</v>
      </c>
      <c r="AH594">
        <v>0</v>
      </c>
      <c r="AI594">
        <v>0</v>
      </c>
      <c r="AJ594">
        <v>3</v>
      </c>
      <c r="AK594">
        <v>3</v>
      </c>
      <c r="AL594" t="s">
        <v>92</v>
      </c>
      <c r="AM594" t="s">
        <v>93</v>
      </c>
      <c r="AN594" t="s">
        <v>94</v>
      </c>
      <c r="AO594" t="s">
        <v>74</v>
      </c>
      <c r="AP594" t="s">
        <v>74</v>
      </c>
      <c r="AQ594" t="s">
        <v>2839</v>
      </c>
      <c r="AR594" t="s">
        <v>74</v>
      </c>
      <c r="AS594" t="s">
        <v>74</v>
      </c>
      <c r="AT594" t="s">
        <v>74</v>
      </c>
      <c r="AU594">
        <v>2023</v>
      </c>
      <c r="AV594" t="s">
        <v>74</v>
      </c>
      <c r="AW594" t="s">
        <v>74</v>
      </c>
      <c r="AX594" t="s">
        <v>74</v>
      </c>
      <c r="AY594" t="s">
        <v>74</v>
      </c>
      <c r="AZ594" t="s">
        <v>74</v>
      </c>
      <c r="BA594" t="s">
        <v>74</v>
      </c>
      <c r="BB594">
        <v>1978</v>
      </c>
      <c r="BC594">
        <v>1996</v>
      </c>
      <c r="BD594" t="s">
        <v>74</v>
      </c>
      <c r="BE594" t="s">
        <v>11423</v>
      </c>
      <c r="BF594" t="str">
        <f>HYPERLINK("http://dx.doi.org/10.1145/3563657.3595977","http://dx.doi.org/10.1145/3563657.3595977")</f>
        <v>http://dx.doi.org/10.1145/3563657.3595977</v>
      </c>
      <c r="BG594" t="s">
        <v>74</v>
      </c>
      <c r="BH594" t="s">
        <v>74</v>
      </c>
      <c r="BI594">
        <v>19</v>
      </c>
      <c r="BJ594" t="s">
        <v>1235</v>
      </c>
      <c r="BK594" t="s">
        <v>180</v>
      </c>
      <c r="BL594" t="s">
        <v>906</v>
      </c>
      <c r="BM594" t="s">
        <v>2841</v>
      </c>
      <c r="BN594" t="s">
        <v>74</v>
      </c>
      <c r="BO594" t="s">
        <v>1237</v>
      </c>
      <c r="BP594" t="s">
        <v>74</v>
      </c>
      <c r="BQ594" t="s">
        <v>74</v>
      </c>
      <c r="BR594" t="s">
        <v>101</v>
      </c>
      <c r="BS594" t="s">
        <v>11424</v>
      </c>
      <c r="BT594" t="str">
        <f>HYPERLINK("https%3A%2F%2Fwww.webofscience.com%2Fwos%2Fwoscc%2Ffull-record%2FWOS:001090855700129","View Full Record in Web of Science")</f>
        <v>View Full Record in Web of Science</v>
      </c>
    </row>
    <row r="595" spans="1:72" x14ac:dyDescent="0.2">
      <c r="A595" t="s">
        <v>103</v>
      </c>
      <c r="B595" t="s">
        <v>11425</v>
      </c>
      <c r="C595" t="s">
        <v>74</v>
      </c>
      <c r="D595" t="s">
        <v>74</v>
      </c>
      <c r="E595" t="s">
        <v>74</v>
      </c>
      <c r="F595" t="s">
        <v>11426</v>
      </c>
      <c r="G595" t="s">
        <v>74</v>
      </c>
      <c r="H595" t="s">
        <v>74</v>
      </c>
      <c r="I595" t="s">
        <v>11427</v>
      </c>
      <c r="J595" t="s">
        <v>2433</v>
      </c>
      <c r="K595" t="s">
        <v>74</v>
      </c>
      <c r="L595" t="s">
        <v>74</v>
      </c>
      <c r="M595" t="s">
        <v>79</v>
      </c>
      <c r="N595" t="s">
        <v>108</v>
      </c>
      <c r="O595" t="s">
        <v>74</v>
      </c>
      <c r="P595" t="s">
        <v>74</v>
      </c>
      <c r="Q595" t="s">
        <v>74</v>
      </c>
      <c r="R595" t="s">
        <v>74</v>
      </c>
      <c r="S595" t="s">
        <v>74</v>
      </c>
      <c r="T595" t="s">
        <v>11428</v>
      </c>
      <c r="U595" t="s">
        <v>74</v>
      </c>
      <c r="V595" t="s">
        <v>11429</v>
      </c>
      <c r="W595" t="s">
        <v>11430</v>
      </c>
      <c r="X595" t="s">
        <v>11431</v>
      </c>
      <c r="Y595" t="s">
        <v>11432</v>
      </c>
      <c r="Z595" t="s">
        <v>11433</v>
      </c>
      <c r="AA595" t="s">
        <v>74</v>
      </c>
      <c r="AB595" t="s">
        <v>74</v>
      </c>
      <c r="AC595" t="s">
        <v>74</v>
      </c>
      <c r="AD595" t="s">
        <v>74</v>
      </c>
      <c r="AE595" t="s">
        <v>74</v>
      </c>
      <c r="AF595" t="s">
        <v>74</v>
      </c>
      <c r="AG595">
        <v>64</v>
      </c>
      <c r="AH595">
        <v>0</v>
      </c>
      <c r="AI595">
        <v>0</v>
      </c>
      <c r="AJ595">
        <v>10</v>
      </c>
      <c r="AK595">
        <v>10</v>
      </c>
      <c r="AL595" t="s">
        <v>939</v>
      </c>
      <c r="AM595" t="s">
        <v>940</v>
      </c>
      <c r="AN595" t="s">
        <v>941</v>
      </c>
      <c r="AO595" t="s">
        <v>74</v>
      </c>
      <c r="AP595" t="s">
        <v>2444</v>
      </c>
      <c r="AQ595" t="s">
        <v>74</v>
      </c>
      <c r="AR595" t="s">
        <v>2445</v>
      </c>
      <c r="AS595" t="s">
        <v>2446</v>
      </c>
      <c r="AT595" t="s">
        <v>527</v>
      </c>
      <c r="AU595">
        <v>2023</v>
      </c>
      <c r="AV595">
        <v>13</v>
      </c>
      <c r="AW595">
        <v>24</v>
      </c>
      <c r="AX595" t="s">
        <v>74</v>
      </c>
      <c r="AY595" t="s">
        <v>74</v>
      </c>
      <c r="AZ595" t="s">
        <v>74</v>
      </c>
      <c r="BA595" t="s">
        <v>74</v>
      </c>
      <c r="BB595" t="s">
        <v>74</v>
      </c>
      <c r="BC595" t="s">
        <v>74</v>
      </c>
      <c r="BD595">
        <v>13140</v>
      </c>
      <c r="BE595" t="s">
        <v>11434</v>
      </c>
      <c r="BF595" t="str">
        <f>HYPERLINK("http://dx.doi.org/10.3390/app132413140","http://dx.doi.org/10.3390/app132413140")</f>
        <v>http://dx.doi.org/10.3390/app132413140</v>
      </c>
      <c r="BG595" t="s">
        <v>74</v>
      </c>
      <c r="BH595" t="s">
        <v>74</v>
      </c>
      <c r="BI595">
        <v>15</v>
      </c>
      <c r="BJ595" t="s">
        <v>2448</v>
      </c>
      <c r="BK595" t="s">
        <v>130</v>
      </c>
      <c r="BL595" t="s">
        <v>2449</v>
      </c>
      <c r="BM595" t="s">
        <v>11435</v>
      </c>
      <c r="BN595" t="s">
        <v>74</v>
      </c>
      <c r="BO595" t="s">
        <v>425</v>
      </c>
      <c r="BP595" t="s">
        <v>74</v>
      </c>
      <c r="BQ595" t="s">
        <v>74</v>
      </c>
      <c r="BR595" t="s">
        <v>101</v>
      </c>
      <c r="BS595" t="s">
        <v>11436</v>
      </c>
      <c r="BT595" t="str">
        <f>HYPERLINK("https%3A%2F%2Fwww.webofscience.com%2Fwos%2Fwoscc%2Ffull-record%2FWOS:001131269000001","View Full Record in Web of Science")</f>
        <v>View Full Record in Web of Science</v>
      </c>
    </row>
    <row r="596" spans="1:72" x14ac:dyDescent="0.2">
      <c r="A596" t="s">
        <v>103</v>
      </c>
      <c r="B596" t="s">
        <v>11437</v>
      </c>
      <c r="C596" t="s">
        <v>74</v>
      </c>
      <c r="D596" t="s">
        <v>74</v>
      </c>
      <c r="E596" t="s">
        <v>74</v>
      </c>
      <c r="F596" t="s">
        <v>11438</v>
      </c>
      <c r="G596" t="s">
        <v>74</v>
      </c>
      <c r="H596" t="s">
        <v>74</v>
      </c>
      <c r="I596" t="s">
        <v>11439</v>
      </c>
      <c r="J596" t="s">
        <v>11440</v>
      </c>
      <c r="K596" t="s">
        <v>74</v>
      </c>
      <c r="L596" t="s">
        <v>74</v>
      </c>
      <c r="M596" t="s">
        <v>79</v>
      </c>
      <c r="N596" t="s">
        <v>138</v>
      </c>
      <c r="O596" t="s">
        <v>74</v>
      </c>
      <c r="P596" t="s">
        <v>74</v>
      </c>
      <c r="Q596" t="s">
        <v>74</v>
      </c>
      <c r="R596" t="s">
        <v>74</v>
      </c>
      <c r="S596" t="s">
        <v>74</v>
      </c>
      <c r="T596" t="s">
        <v>11441</v>
      </c>
      <c r="U596" t="s">
        <v>74</v>
      </c>
      <c r="V596" t="s">
        <v>11442</v>
      </c>
      <c r="W596" t="s">
        <v>11443</v>
      </c>
      <c r="X596" t="s">
        <v>11444</v>
      </c>
      <c r="Y596" t="s">
        <v>11445</v>
      </c>
      <c r="Z596" t="s">
        <v>11446</v>
      </c>
      <c r="AA596" t="s">
        <v>74</v>
      </c>
      <c r="AB596" t="s">
        <v>74</v>
      </c>
      <c r="AC596" t="s">
        <v>74</v>
      </c>
      <c r="AD596" t="s">
        <v>74</v>
      </c>
      <c r="AE596" t="s">
        <v>74</v>
      </c>
      <c r="AF596" t="s">
        <v>74</v>
      </c>
      <c r="AG596">
        <v>61</v>
      </c>
      <c r="AH596">
        <v>1</v>
      </c>
      <c r="AI596">
        <v>1</v>
      </c>
      <c r="AJ596">
        <v>24</v>
      </c>
      <c r="AK596">
        <v>24</v>
      </c>
      <c r="AL596" t="s">
        <v>2377</v>
      </c>
      <c r="AM596" t="s">
        <v>738</v>
      </c>
      <c r="AN596" t="s">
        <v>2378</v>
      </c>
      <c r="AO596" t="s">
        <v>11447</v>
      </c>
      <c r="AP596" t="s">
        <v>11448</v>
      </c>
      <c r="AQ596" t="s">
        <v>74</v>
      </c>
      <c r="AR596" t="s">
        <v>11449</v>
      </c>
      <c r="AS596" t="s">
        <v>11450</v>
      </c>
      <c r="AT596" t="s">
        <v>11451</v>
      </c>
      <c r="AU596">
        <v>2023</v>
      </c>
      <c r="AV596" t="s">
        <v>74</v>
      </c>
      <c r="AW596" t="s">
        <v>74</v>
      </c>
      <c r="AX596" t="s">
        <v>74</v>
      </c>
      <c r="AY596" t="s">
        <v>74</v>
      </c>
      <c r="AZ596" t="s">
        <v>74</v>
      </c>
      <c r="BA596" t="s">
        <v>74</v>
      </c>
      <c r="BB596" t="s">
        <v>74</v>
      </c>
      <c r="BC596" t="s">
        <v>74</v>
      </c>
      <c r="BD596" t="s">
        <v>74</v>
      </c>
      <c r="BE596" t="s">
        <v>11452</v>
      </c>
      <c r="BF596" t="str">
        <f>HYPERLINK("http://dx.doi.org/10.1080/0144929X.2023.2286532","http://dx.doi.org/10.1080/0144929X.2023.2286532")</f>
        <v>http://dx.doi.org/10.1080/0144929X.2023.2286532</v>
      </c>
      <c r="BG596" t="s">
        <v>74</v>
      </c>
      <c r="BH596" t="s">
        <v>157</v>
      </c>
      <c r="BI596">
        <v>14</v>
      </c>
      <c r="BJ596" t="s">
        <v>4305</v>
      </c>
      <c r="BK596" t="s">
        <v>947</v>
      </c>
      <c r="BL596" t="s">
        <v>906</v>
      </c>
      <c r="BM596" t="s">
        <v>11453</v>
      </c>
      <c r="BN596" t="s">
        <v>74</v>
      </c>
      <c r="BO596" t="s">
        <v>2310</v>
      </c>
      <c r="BP596" t="s">
        <v>74</v>
      </c>
      <c r="BQ596" t="s">
        <v>74</v>
      </c>
      <c r="BR596" t="s">
        <v>101</v>
      </c>
      <c r="BS596" t="s">
        <v>11454</v>
      </c>
      <c r="BT596" t="str">
        <f>HYPERLINK("https%3A%2F%2Fwww.webofscience.com%2Fwos%2Fwoscc%2Ffull-record%2FWOS:001110113900001","View Full Record in Web of Science")</f>
        <v>View Full Record in Web of Science</v>
      </c>
    </row>
    <row r="597" spans="1:72" x14ac:dyDescent="0.2">
      <c r="A597" t="s">
        <v>103</v>
      </c>
      <c r="B597" t="s">
        <v>11455</v>
      </c>
      <c r="C597" t="s">
        <v>74</v>
      </c>
      <c r="D597" t="s">
        <v>74</v>
      </c>
      <c r="E597" t="s">
        <v>74</v>
      </c>
      <c r="F597" t="s">
        <v>11456</v>
      </c>
      <c r="G597" t="s">
        <v>74</v>
      </c>
      <c r="H597" t="s">
        <v>74</v>
      </c>
      <c r="I597" t="s">
        <v>11457</v>
      </c>
      <c r="J597" t="s">
        <v>11458</v>
      </c>
      <c r="K597" t="s">
        <v>74</v>
      </c>
      <c r="L597" t="s">
        <v>74</v>
      </c>
      <c r="M597" t="s">
        <v>79</v>
      </c>
      <c r="N597" t="s">
        <v>108</v>
      </c>
      <c r="O597" t="s">
        <v>74</v>
      </c>
      <c r="P597" t="s">
        <v>74</v>
      </c>
      <c r="Q597" t="s">
        <v>74</v>
      </c>
      <c r="R597" t="s">
        <v>74</v>
      </c>
      <c r="S597" t="s">
        <v>74</v>
      </c>
      <c r="T597" t="s">
        <v>11459</v>
      </c>
      <c r="U597" t="s">
        <v>11460</v>
      </c>
      <c r="V597" t="s">
        <v>11461</v>
      </c>
      <c r="W597" t="s">
        <v>11462</v>
      </c>
      <c r="X597" t="s">
        <v>11463</v>
      </c>
      <c r="Y597" t="s">
        <v>11464</v>
      </c>
      <c r="Z597" t="s">
        <v>11465</v>
      </c>
      <c r="AA597" t="s">
        <v>74</v>
      </c>
      <c r="AB597" t="s">
        <v>11466</v>
      </c>
      <c r="AC597" t="s">
        <v>11467</v>
      </c>
      <c r="AD597" t="s">
        <v>11468</v>
      </c>
      <c r="AE597" t="s">
        <v>11469</v>
      </c>
      <c r="AF597" t="s">
        <v>74</v>
      </c>
      <c r="AG597">
        <v>24</v>
      </c>
      <c r="AH597">
        <v>0</v>
      </c>
      <c r="AI597">
        <v>0</v>
      </c>
      <c r="AJ597">
        <v>14</v>
      </c>
      <c r="AK597">
        <v>14</v>
      </c>
      <c r="AL597" t="s">
        <v>764</v>
      </c>
      <c r="AM597" t="s">
        <v>765</v>
      </c>
      <c r="AN597" t="s">
        <v>766</v>
      </c>
      <c r="AO597" t="s">
        <v>11470</v>
      </c>
      <c r="AP597" t="s">
        <v>11471</v>
      </c>
      <c r="AQ597" t="s">
        <v>74</v>
      </c>
      <c r="AR597" t="s">
        <v>11472</v>
      </c>
      <c r="AS597" t="s">
        <v>11473</v>
      </c>
      <c r="AT597" t="s">
        <v>7855</v>
      </c>
      <c r="AU597">
        <v>2023</v>
      </c>
      <c r="AV597">
        <v>230</v>
      </c>
      <c r="AW597" t="s">
        <v>74</v>
      </c>
      <c r="AX597" t="s">
        <v>74</v>
      </c>
      <c r="AY597" t="s">
        <v>74</v>
      </c>
      <c r="AZ597" t="s">
        <v>74</v>
      </c>
      <c r="BA597" t="s">
        <v>74</v>
      </c>
      <c r="BB597" t="s">
        <v>74</v>
      </c>
      <c r="BC597" t="s">
        <v>74</v>
      </c>
      <c r="BD597">
        <v>112525</v>
      </c>
      <c r="BE597" t="s">
        <v>11474</v>
      </c>
      <c r="BF597" t="str">
        <f>HYPERLINK("http://dx.doi.org/10.1016/j.commatsci.2023.112525","http://dx.doi.org/10.1016/j.commatsci.2023.112525")</f>
        <v>http://dx.doi.org/10.1016/j.commatsci.2023.112525</v>
      </c>
      <c r="BG597" t="s">
        <v>74</v>
      </c>
      <c r="BH597" t="s">
        <v>278</v>
      </c>
      <c r="BI597">
        <v>10</v>
      </c>
      <c r="BJ597" t="s">
        <v>3846</v>
      </c>
      <c r="BK597" t="s">
        <v>130</v>
      </c>
      <c r="BL597" t="s">
        <v>3847</v>
      </c>
      <c r="BM597" t="s">
        <v>11475</v>
      </c>
      <c r="BN597" t="s">
        <v>74</v>
      </c>
      <c r="BO597" t="s">
        <v>74</v>
      </c>
      <c r="BP597" t="s">
        <v>74</v>
      </c>
      <c r="BQ597" t="s">
        <v>74</v>
      </c>
      <c r="BR597" t="s">
        <v>101</v>
      </c>
      <c r="BS597" t="s">
        <v>11476</v>
      </c>
      <c r="BT597" t="str">
        <f>HYPERLINK("https%3A%2F%2Fwww.webofscience.com%2Fwos%2Fwoscc%2Ffull-record%2FWOS:001082402700001","View Full Record in Web of Science")</f>
        <v>View Full Record in Web of Science</v>
      </c>
    </row>
    <row r="598" spans="1:72" x14ac:dyDescent="0.2">
      <c r="A598" t="s">
        <v>72</v>
      </c>
      <c r="B598" t="s">
        <v>11477</v>
      </c>
      <c r="C598" t="s">
        <v>74</v>
      </c>
      <c r="D598" t="s">
        <v>74</v>
      </c>
      <c r="E598" t="s">
        <v>284</v>
      </c>
      <c r="F598" t="s">
        <v>11478</v>
      </c>
      <c r="G598" t="s">
        <v>74</v>
      </c>
      <c r="H598" t="s">
        <v>74</v>
      </c>
      <c r="I598" t="s">
        <v>11479</v>
      </c>
      <c r="J598" t="s">
        <v>11480</v>
      </c>
      <c r="K598" t="s">
        <v>11481</v>
      </c>
      <c r="L598" t="s">
        <v>74</v>
      </c>
      <c r="M598" t="s">
        <v>79</v>
      </c>
      <c r="N598" t="s">
        <v>80</v>
      </c>
      <c r="O598" t="s">
        <v>11482</v>
      </c>
      <c r="P598" t="s">
        <v>5082</v>
      </c>
      <c r="Q598" t="s">
        <v>11483</v>
      </c>
      <c r="R598" t="s">
        <v>284</v>
      </c>
      <c r="S598" t="s">
        <v>74</v>
      </c>
      <c r="T598" t="s">
        <v>11484</v>
      </c>
      <c r="U598" t="s">
        <v>74</v>
      </c>
      <c r="V598" t="s">
        <v>11485</v>
      </c>
      <c r="W598" t="s">
        <v>11486</v>
      </c>
      <c r="X598" t="s">
        <v>11487</v>
      </c>
      <c r="Y598" t="s">
        <v>11488</v>
      </c>
      <c r="Z598" t="s">
        <v>11489</v>
      </c>
      <c r="AA598" t="s">
        <v>74</v>
      </c>
      <c r="AB598" t="s">
        <v>74</v>
      </c>
      <c r="AC598" t="s">
        <v>11490</v>
      </c>
      <c r="AD598" t="s">
        <v>7904</v>
      </c>
      <c r="AE598" t="s">
        <v>11491</v>
      </c>
      <c r="AF598" t="s">
        <v>74</v>
      </c>
      <c r="AG598">
        <v>41</v>
      </c>
      <c r="AH598">
        <v>0</v>
      </c>
      <c r="AI598">
        <v>0</v>
      </c>
      <c r="AJ598">
        <v>1</v>
      </c>
      <c r="AK598">
        <v>1</v>
      </c>
      <c r="AL598" t="s">
        <v>284</v>
      </c>
      <c r="AM598" t="s">
        <v>93</v>
      </c>
      <c r="AN598" t="s">
        <v>299</v>
      </c>
      <c r="AO598" t="s">
        <v>11492</v>
      </c>
      <c r="AP598" t="s">
        <v>74</v>
      </c>
      <c r="AQ598" t="s">
        <v>11493</v>
      </c>
      <c r="AR598" t="s">
        <v>11494</v>
      </c>
      <c r="AS598" t="s">
        <v>74</v>
      </c>
      <c r="AT598" t="s">
        <v>74</v>
      </c>
      <c r="AU598">
        <v>2023</v>
      </c>
      <c r="AV598" t="s">
        <v>74</v>
      </c>
      <c r="AW598" t="s">
        <v>74</v>
      </c>
      <c r="AX598" t="s">
        <v>74</v>
      </c>
      <c r="AY598" t="s">
        <v>74</v>
      </c>
      <c r="AZ598" t="s">
        <v>74</v>
      </c>
      <c r="BA598" t="s">
        <v>74</v>
      </c>
      <c r="BB598" t="s">
        <v>74</v>
      </c>
      <c r="BC598" t="s">
        <v>74</v>
      </c>
      <c r="BD598" t="s">
        <v>74</v>
      </c>
      <c r="BE598" t="s">
        <v>11495</v>
      </c>
      <c r="BF598" t="str">
        <f>HYPERLINK("http://dx.doi.org/10.1109/WASPAA58266.2023.10248189","http://dx.doi.org/10.1109/WASPAA58266.2023.10248189")</f>
        <v>http://dx.doi.org/10.1109/WASPAA58266.2023.10248189</v>
      </c>
      <c r="BG598" t="s">
        <v>74</v>
      </c>
      <c r="BH598" t="s">
        <v>74</v>
      </c>
      <c r="BI598">
        <v>5</v>
      </c>
      <c r="BJ598" t="s">
        <v>11496</v>
      </c>
      <c r="BK598" t="s">
        <v>98</v>
      </c>
      <c r="BL598" t="s">
        <v>11497</v>
      </c>
      <c r="BM598" t="s">
        <v>11498</v>
      </c>
      <c r="BN598" t="s">
        <v>74</v>
      </c>
      <c r="BO598" t="s">
        <v>646</v>
      </c>
      <c r="BP598" t="s">
        <v>74</v>
      </c>
      <c r="BQ598" t="s">
        <v>74</v>
      </c>
      <c r="BR598" t="s">
        <v>101</v>
      </c>
      <c r="BS598" t="s">
        <v>11499</v>
      </c>
      <c r="BT598" t="str">
        <f>HYPERLINK("https%3A%2F%2Fwww.webofscience.com%2Fwos%2Fwoscc%2Ffull-record%2FWOS:001073615200081","View Full Record in Web of Science")</f>
        <v>View Full Record in Web of Science</v>
      </c>
    </row>
    <row r="599" spans="1:72" x14ac:dyDescent="0.2">
      <c r="A599" t="s">
        <v>72</v>
      </c>
      <c r="B599" t="s">
        <v>11500</v>
      </c>
      <c r="C599" t="s">
        <v>74</v>
      </c>
      <c r="D599" t="s">
        <v>7666</v>
      </c>
      <c r="E599" t="s">
        <v>74</v>
      </c>
      <c r="F599" t="s">
        <v>11501</v>
      </c>
      <c r="G599" t="s">
        <v>74</v>
      </c>
      <c r="H599" t="s">
        <v>74</v>
      </c>
      <c r="I599" t="s">
        <v>11502</v>
      </c>
      <c r="J599" t="s">
        <v>7669</v>
      </c>
      <c r="K599" t="s">
        <v>312</v>
      </c>
      <c r="L599" t="s">
        <v>74</v>
      </c>
      <c r="M599" t="s">
        <v>79</v>
      </c>
      <c r="N599" t="s">
        <v>80</v>
      </c>
      <c r="O599" t="s">
        <v>7670</v>
      </c>
      <c r="P599" t="s">
        <v>6016</v>
      </c>
      <c r="Q599" t="s">
        <v>6017</v>
      </c>
      <c r="R599" t="s">
        <v>74</v>
      </c>
      <c r="S599" t="s">
        <v>74</v>
      </c>
      <c r="T599" t="s">
        <v>11503</v>
      </c>
      <c r="U599" t="s">
        <v>74</v>
      </c>
      <c r="V599" t="s">
        <v>11504</v>
      </c>
      <c r="W599" t="s">
        <v>11505</v>
      </c>
      <c r="X599" t="s">
        <v>11506</v>
      </c>
      <c r="Y599" t="s">
        <v>11507</v>
      </c>
      <c r="Z599" t="s">
        <v>11508</v>
      </c>
      <c r="AA599" t="s">
        <v>74</v>
      </c>
      <c r="AB599" t="s">
        <v>74</v>
      </c>
      <c r="AC599" t="s">
        <v>11509</v>
      </c>
      <c r="AD599" t="s">
        <v>11510</v>
      </c>
      <c r="AE599" t="s">
        <v>11511</v>
      </c>
      <c r="AF599" t="s">
        <v>74</v>
      </c>
      <c r="AG599">
        <v>11</v>
      </c>
      <c r="AH599">
        <v>0</v>
      </c>
      <c r="AI599">
        <v>0</v>
      </c>
      <c r="AJ599">
        <v>0</v>
      </c>
      <c r="AK599">
        <v>0</v>
      </c>
      <c r="AL599" t="s">
        <v>325</v>
      </c>
      <c r="AM599" t="s">
        <v>245</v>
      </c>
      <c r="AN599" t="s">
        <v>246</v>
      </c>
      <c r="AO599" t="s">
        <v>326</v>
      </c>
      <c r="AP599" t="s">
        <v>327</v>
      </c>
      <c r="AQ599" t="s">
        <v>7680</v>
      </c>
      <c r="AR599" t="s">
        <v>329</v>
      </c>
      <c r="AS599" t="s">
        <v>74</v>
      </c>
      <c r="AT599" t="s">
        <v>74</v>
      </c>
      <c r="AU599">
        <v>2023</v>
      </c>
      <c r="AV599">
        <v>14393</v>
      </c>
      <c r="AW599" t="s">
        <v>74</v>
      </c>
      <c r="AX599" t="s">
        <v>74</v>
      </c>
      <c r="AY599" t="s">
        <v>74</v>
      </c>
      <c r="AZ599" t="s">
        <v>74</v>
      </c>
      <c r="BA599" t="s">
        <v>74</v>
      </c>
      <c r="BB599">
        <v>151</v>
      </c>
      <c r="BC599">
        <v>160</v>
      </c>
      <c r="BD599" t="s">
        <v>74</v>
      </c>
      <c r="BE599" t="s">
        <v>11512</v>
      </c>
      <c r="BF599" t="str">
        <f>HYPERLINK("http://dx.doi.org/10.1007/978-3-031-47401-9_15","http://dx.doi.org/10.1007/978-3-031-47401-9_15")</f>
        <v>http://dx.doi.org/10.1007/978-3-031-47401-9_15</v>
      </c>
      <c r="BG599" t="s">
        <v>74</v>
      </c>
      <c r="BH599" t="s">
        <v>74</v>
      </c>
      <c r="BI599">
        <v>10</v>
      </c>
      <c r="BJ599" t="s">
        <v>6029</v>
      </c>
      <c r="BK599" t="s">
        <v>98</v>
      </c>
      <c r="BL599" t="s">
        <v>6030</v>
      </c>
      <c r="BM599" t="s">
        <v>7682</v>
      </c>
      <c r="BN599" t="s">
        <v>74</v>
      </c>
      <c r="BO599" t="s">
        <v>646</v>
      </c>
      <c r="BP599" t="s">
        <v>74</v>
      </c>
      <c r="BQ599" t="s">
        <v>74</v>
      </c>
      <c r="BR599" t="s">
        <v>101</v>
      </c>
      <c r="BS599" t="s">
        <v>11513</v>
      </c>
      <c r="BT599" t="str">
        <f>HYPERLINK("https%3A%2F%2Fwww.webofscience.com%2Fwos%2Fwoscc%2Ffull-record%2FWOS:001160722800015","View Full Record in Web of Science")</f>
        <v>View Full Record in Web of Science</v>
      </c>
    </row>
    <row r="600" spans="1:72" x14ac:dyDescent="0.2">
      <c r="A600" t="s">
        <v>103</v>
      </c>
      <c r="B600" t="s">
        <v>11514</v>
      </c>
      <c r="C600" t="s">
        <v>74</v>
      </c>
      <c r="D600" t="s">
        <v>74</v>
      </c>
      <c r="E600" t="s">
        <v>74</v>
      </c>
      <c r="F600" t="s">
        <v>11515</v>
      </c>
      <c r="G600" t="s">
        <v>74</v>
      </c>
      <c r="H600" t="s">
        <v>74</v>
      </c>
      <c r="I600" t="s">
        <v>11516</v>
      </c>
      <c r="J600" t="s">
        <v>10711</v>
      </c>
      <c r="K600" t="s">
        <v>74</v>
      </c>
      <c r="L600" t="s">
        <v>74</v>
      </c>
      <c r="M600" t="s">
        <v>79</v>
      </c>
      <c r="N600" t="s">
        <v>108</v>
      </c>
      <c r="O600" t="s">
        <v>74</v>
      </c>
      <c r="P600" t="s">
        <v>74</v>
      </c>
      <c r="Q600" t="s">
        <v>74</v>
      </c>
      <c r="R600" t="s">
        <v>74</v>
      </c>
      <c r="S600" t="s">
        <v>74</v>
      </c>
      <c r="T600" t="s">
        <v>74</v>
      </c>
      <c r="U600" t="s">
        <v>11517</v>
      </c>
      <c r="V600" t="s">
        <v>11518</v>
      </c>
      <c r="W600" t="s">
        <v>11519</v>
      </c>
      <c r="X600" t="s">
        <v>11520</v>
      </c>
      <c r="Y600" t="s">
        <v>11521</v>
      </c>
      <c r="Z600" t="s">
        <v>11522</v>
      </c>
      <c r="AA600" t="s">
        <v>74</v>
      </c>
      <c r="AB600" t="s">
        <v>74</v>
      </c>
      <c r="AC600" t="s">
        <v>11523</v>
      </c>
      <c r="AD600" t="s">
        <v>11523</v>
      </c>
      <c r="AE600" t="s">
        <v>11524</v>
      </c>
      <c r="AF600" t="s">
        <v>74</v>
      </c>
      <c r="AG600">
        <v>46</v>
      </c>
      <c r="AH600">
        <v>1</v>
      </c>
      <c r="AI600">
        <v>1</v>
      </c>
      <c r="AJ600">
        <v>1</v>
      </c>
      <c r="AK600">
        <v>2</v>
      </c>
      <c r="AL600" t="s">
        <v>1880</v>
      </c>
      <c r="AM600" t="s">
        <v>369</v>
      </c>
      <c r="AN600" t="s">
        <v>1881</v>
      </c>
      <c r="AO600" t="s">
        <v>10723</v>
      </c>
      <c r="AP600" t="s">
        <v>74</v>
      </c>
      <c r="AQ600" t="s">
        <v>74</v>
      </c>
      <c r="AR600" t="s">
        <v>10724</v>
      </c>
      <c r="AS600" t="s">
        <v>10725</v>
      </c>
      <c r="AT600" t="s">
        <v>11525</v>
      </c>
      <c r="AU600">
        <v>2023</v>
      </c>
      <c r="AV600">
        <v>13</v>
      </c>
      <c r="AW600">
        <v>1</v>
      </c>
      <c r="AX600" t="s">
        <v>74</v>
      </c>
      <c r="AY600" t="s">
        <v>74</v>
      </c>
      <c r="AZ600" t="s">
        <v>74</v>
      </c>
      <c r="BA600" t="s">
        <v>74</v>
      </c>
      <c r="BB600" t="s">
        <v>74</v>
      </c>
      <c r="BC600" t="s">
        <v>74</v>
      </c>
      <c r="BD600">
        <v>5639</v>
      </c>
      <c r="BE600" t="s">
        <v>11526</v>
      </c>
      <c r="BF600" t="str">
        <f>HYPERLINK("http://dx.doi.org/10.1038/s41598-023-32398-7","http://dx.doi.org/10.1038/s41598-023-32398-7")</f>
        <v>http://dx.doi.org/10.1038/s41598-023-32398-7</v>
      </c>
      <c r="BG600" t="s">
        <v>74</v>
      </c>
      <c r="BH600" t="s">
        <v>74</v>
      </c>
      <c r="BI600">
        <v>10</v>
      </c>
      <c r="BJ600" t="s">
        <v>5686</v>
      </c>
      <c r="BK600" t="s">
        <v>130</v>
      </c>
      <c r="BL600" t="s">
        <v>5687</v>
      </c>
      <c r="BM600" t="s">
        <v>11527</v>
      </c>
      <c r="BN600">
        <v>37024576</v>
      </c>
      <c r="BO600" t="s">
        <v>1728</v>
      </c>
      <c r="BP600" t="s">
        <v>74</v>
      </c>
      <c r="BQ600" t="s">
        <v>74</v>
      </c>
      <c r="BR600" t="s">
        <v>101</v>
      </c>
      <c r="BS600" t="s">
        <v>11528</v>
      </c>
      <c r="BT600" t="str">
        <f>HYPERLINK("https%3A%2F%2Fwww.webofscience.com%2Fwos%2Fwoscc%2Ffull-record%2FWOS:001039063700023","View Full Record in Web of Science")</f>
        <v>View Full Record in Web of Science</v>
      </c>
    </row>
    <row r="601" spans="1:72" x14ac:dyDescent="0.2">
      <c r="A601" t="s">
        <v>103</v>
      </c>
      <c r="B601" t="s">
        <v>11529</v>
      </c>
      <c r="C601" t="s">
        <v>74</v>
      </c>
      <c r="D601" t="s">
        <v>74</v>
      </c>
      <c r="E601" t="s">
        <v>74</v>
      </c>
      <c r="F601" t="s">
        <v>11530</v>
      </c>
      <c r="G601" t="s">
        <v>74</v>
      </c>
      <c r="H601" t="s">
        <v>74</v>
      </c>
      <c r="I601" t="s">
        <v>11531</v>
      </c>
      <c r="J601" t="s">
        <v>11532</v>
      </c>
      <c r="K601" t="s">
        <v>74</v>
      </c>
      <c r="L601" t="s">
        <v>74</v>
      </c>
      <c r="M601" t="s">
        <v>79</v>
      </c>
      <c r="N601" t="s">
        <v>108</v>
      </c>
      <c r="O601" t="s">
        <v>74</v>
      </c>
      <c r="P601" t="s">
        <v>74</v>
      </c>
      <c r="Q601" t="s">
        <v>74</v>
      </c>
      <c r="R601" t="s">
        <v>74</v>
      </c>
      <c r="S601" t="s">
        <v>74</v>
      </c>
      <c r="T601" t="s">
        <v>11533</v>
      </c>
      <c r="U601" t="s">
        <v>74</v>
      </c>
      <c r="V601" t="s">
        <v>11534</v>
      </c>
      <c r="W601" t="s">
        <v>11535</v>
      </c>
      <c r="X601" t="s">
        <v>11536</v>
      </c>
      <c r="Y601" t="s">
        <v>11537</v>
      </c>
      <c r="Z601" t="s">
        <v>74</v>
      </c>
      <c r="AA601" t="s">
        <v>11538</v>
      </c>
      <c r="AB601" t="s">
        <v>11539</v>
      </c>
      <c r="AC601" t="s">
        <v>74</v>
      </c>
      <c r="AD601" t="s">
        <v>74</v>
      </c>
      <c r="AE601" t="s">
        <v>74</v>
      </c>
      <c r="AF601" t="s">
        <v>74</v>
      </c>
      <c r="AG601">
        <v>54</v>
      </c>
      <c r="AH601">
        <v>1</v>
      </c>
      <c r="AI601">
        <v>1</v>
      </c>
      <c r="AJ601">
        <v>10</v>
      </c>
      <c r="AK601">
        <v>13</v>
      </c>
      <c r="AL601" t="s">
        <v>270</v>
      </c>
      <c r="AM601" t="s">
        <v>120</v>
      </c>
      <c r="AN601" t="s">
        <v>271</v>
      </c>
      <c r="AO601" t="s">
        <v>11540</v>
      </c>
      <c r="AP601" t="s">
        <v>11541</v>
      </c>
      <c r="AQ601" t="s">
        <v>74</v>
      </c>
      <c r="AR601" t="s">
        <v>11542</v>
      </c>
      <c r="AS601" t="s">
        <v>11543</v>
      </c>
      <c r="AT601" t="s">
        <v>615</v>
      </c>
      <c r="AU601">
        <v>2023</v>
      </c>
      <c r="AV601">
        <v>210</v>
      </c>
      <c r="AW601" t="s">
        <v>74</v>
      </c>
      <c r="AX601" t="s">
        <v>74</v>
      </c>
      <c r="AY601" t="s">
        <v>74</v>
      </c>
      <c r="AZ601" t="s">
        <v>74</v>
      </c>
      <c r="BA601" t="s">
        <v>74</v>
      </c>
      <c r="BB601" t="s">
        <v>74</v>
      </c>
      <c r="BC601" t="s">
        <v>74</v>
      </c>
      <c r="BD601">
        <v>109425</v>
      </c>
      <c r="BE601" t="s">
        <v>11544</v>
      </c>
      <c r="BF601" t="str">
        <f>HYPERLINK("http://dx.doi.org/10.1016/j.apacoust.2023.109425","http://dx.doi.org/10.1016/j.apacoust.2023.109425")</f>
        <v>http://dx.doi.org/10.1016/j.apacoust.2023.109425</v>
      </c>
      <c r="BG601" t="s">
        <v>74</v>
      </c>
      <c r="BH601" t="s">
        <v>2889</v>
      </c>
      <c r="BI601">
        <v>10</v>
      </c>
      <c r="BJ601" t="s">
        <v>11545</v>
      </c>
      <c r="BK601" t="s">
        <v>130</v>
      </c>
      <c r="BL601" t="s">
        <v>11545</v>
      </c>
      <c r="BM601" t="s">
        <v>11546</v>
      </c>
      <c r="BN601" t="s">
        <v>74</v>
      </c>
      <c r="BO601" t="s">
        <v>646</v>
      </c>
      <c r="BP601" t="s">
        <v>74</v>
      </c>
      <c r="BQ601" t="s">
        <v>74</v>
      </c>
      <c r="BR601" t="s">
        <v>101</v>
      </c>
      <c r="BS601" t="s">
        <v>11547</v>
      </c>
      <c r="BT601" t="str">
        <f>HYPERLINK("https%3A%2F%2Fwww.webofscience.com%2Fwos%2Fwoscc%2Ffull-record%2FWOS:001011158300001","View Full Record in Web of Science")</f>
        <v>View Full Record in Web of Science</v>
      </c>
    </row>
    <row r="602" spans="1:72" x14ac:dyDescent="0.2">
      <c r="A602" t="s">
        <v>72</v>
      </c>
      <c r="B602" t="s">
        <v>11548</v>
      </c>
      <c r="C602" t="s">
        <v>74</v>
      </c>
      <c r="D602" t="s">
        <v>74</v>
      </c>
      <c r="E602" t="s">
        <v>284</v>
      </c>
      <c r="F602" t="s">
        <v>11549</v>
      </c>
      <c r="G602" t="s">
        <v>74</v>
      </c>
      <c r="H602" t="s">
        <v>74</v>
      </c>
      <c r="I602" t="s">
        <v>11550</v>
      </c>
      <c r="J602" t="s">
        <v>11551</v>
      </c>
      <c r="K602" t="s">
        <v>11552</v>
      </c>
      <c r="L602" t="s">
        <v>74</v>
      </c>
      <c r="M602" t="s">
        <v>79</v>
      </c>
      <c r="N602" t="s">
        <v>80</v>
      </c>
      <c r="O602" t="s">
        <v>11553</v>
      </c>
      <c r="P602" t="s">
        <v>11554</v>
      </c>
      <c r="Q602" t="s">
        <v>11555</v>
      </c>
      <c r="R602" t="s">
        <v>11556</v>
      </c>
      <c r="S602" t="s">
        <v>74</v>
      </c>
      <c r="T602" t="s">
        <v>11557</v>
      </c>
      <c r="U602" t="s">
        <v>74</v>
      </c>
      <c r="V602" t="s">
        <v>11558</v>
      </c>
      <c r="W602" t="s">
        <v>11559</v>
      </c>
      <c r="X602" t="s">
        <v>3750</v>
      </c>
      <c r="Y602" t="s">
        <v>11560</v>
      </c>
      <c r="Z602" t="s">
        <v>11561</v>
      </c>
      <c r="AA602" t="s">
        <v>74</v>
      </c>
      <c r="AB602" t="s">
        <v>74</v>
      </c>
      <c r="AC602" t="s">
        <v>11562</v>
      </c>
      <c r="AD602" t="s">
        <v>11563</v>
      </c>
      <c r="AE602" t="s">
        <v>11564</v>
      </c>
      <c r="AF602" t="s">
        <v>74</v>
      </c>
      <c r="AG602">
        <v>12</v>
      </c>
      <c r="AH602">
        <v>0</v>
      </c>
      <c r="AI602">
        <v>0</v>
      </c>
      <c r="AJ602">
        <v>0</v>
      </c>
      <c r="AK602">
        <v>0</v>
      </c>
      <c r="AL602" t="s">
        <v>284</v>
      </c>
      <c r="AM602" t="s">
        <v>93</v>
      </c>
      <c r="AN602" t="s">
        <v>299</v>
      </c>
      <c r="AO602" t="s">
        <v>11565</v>
      </c>
      <c r="AP602" t="s">
        <v>74</v>
      </c>
      <c r="AQ602" t="s">
        <v>11566</v>
      </c>
      <c r="AR602" t="s">
        <v>11567</v>
      </c>
      <c r="AS602" t="s">
        <v>74</v>
      </c>
      <c r="AT602" t="s">
        <v>74</v>
      </c>
      <c r="AU602">
        <v>2023</v>
      </c>
      <c r="AV602" t="s">
        <v>74</v>
      </c>
      <c r="AW602" t="s">
        <v>74</v>
      </c>
      <c r="AX602" t="s">
        <v>74</v>
      </c>
      <c r="AY602" t="s">
        <v>74</v>
      </c>
      <c r="AZ602" t="s">
        <v>74</v>
      </c>
      <c r="BA602" t="s">
        <v>74</v>
      </c>
      <c r="BB602">
        <v>7288</v>
      </c>
      <c r="BC602">
        <v>7291</v>
      </c>
      <c r="BD602" t="s">
        <v>74</v>
      </c>
      <c r="BE602" t="s">
        <v>11568</v>
      </c>
      <c r="BF602" t="str">
        <f>HYPERLINK("http://dx.doi.org/10.1109/IGARSS52108.2023.10283005","http://dx.doi.org/10.1109/IGARSS52108.2023.10283005")</f>
        <v>http://dx.doi.org/10.1109/IGARSS52108.2023.10283005</v>
      </c>
      <c r="BG602" t="s">
        <v>74</v>
      </c>
      <c r="BH602" t="s">
        <v>74</v>
      </c>
      <c r="BI602">
        <v>4</v>
      </c>
      <c r="BJ602" t="s">
        <v>11569</v>
      </c>
      <c r="BK602" t="s">
        <v>98</v>
      </c>
      <c r="BL602" t="s">
        <v>11570</v>
      </c>
      <c r="BM602" t="s">
        <v>11571</v>
      </c>
      <c r="BN602" t="s">
        <v>74</v>
      </c>
      <c r="BO602" t="s">
        <v>74</v>
      </c>
      <c r="BP602" t="s">
        <v>74</v>
      </c>
      <c r="BQ602" t="s">
        <v>74</v>
      </c>
      <c r="BR602" t="s">
        <v>101</v>
      </c>
      <c r="BS602" t="s">
        <v>11572</v>
      </c>
      <c r="BT602" t="str">
        <f>HYPERLINK("https%3A%2F%2Fwww.webofscience.com%2Fwos%2Fwoscc%2Ffull-record%2FWOS:001098971607087","View Full Record in Web of Science")</f>
        <v>View Full Record in Web of Science</v>
      </c>
    </row>
    <row r="603" spans="1:72" x14ac:dyDescent="0.2">
      <c r="A603" t="s">
        <v>103</v>
      </c>
      <c r="B603" t="s">
        <v>11573</v>
      </c>
      <c r="C603" t="s">
        <v>74</v>
      </c>
      <c r="D603" t="s">
        <v>74</v>
      </c>
      <c r="E603" t="s">
        <v>74</v>
      </c>
      <c r="F603" t="s">
        <v>11574</v>
      </c>
      <c r="G603" t="s">
        <v>74</v>
      </c>
      <c r="H603" t="s">
        <v>74</v>
      </c>
      <c r="I603" t="s">
        <v>11575</v>
      </c>
      <c r="J603" t="s">
        <v>11576</v>
      </c>
      <c r="K603" t="s">
        <v>74</v>
      </c>
      <c r="L603" t="s">
        <v>74</v>
      </c>
      <c r="M603" t="s">
        <v>79</v>
      </c>
      <c r="N603" t="s">
        <v>108</v>
      </c>
      <c r="O603" t="s">
        <v>74</v>
      </c>
      <c r="P603" t="s">
        <v>74</v>
      </c>
      <c r="Q603" t="s">
        <v>74</v>
      </c>
      <c r="R603" t="s">
        <v>74</v>
      </c>
      <c r="S603" t="s">
        <v>74</v>
      </c>
      <c r="T603" t="s">
        <v>74</v>
      </c>
      <c r="U603" t="s">
        <v>74</v>
      </c>
      <c r="V603" t="s">
        <v>74</v>
      </c>
      <c r="W603" t="s">
        <v>11577</v>
      </c>
      <c r="X603" t="s">
        <v>11578</v>
      </c>
      <c r="Y603" t="s">
        <v>11579</v>
      </c>
      <c r="Z603" t="s">
        <v>74</v>
      </c>
      <c r="AA603" t="s">
        <v>74</v>
      </c>
      <c r="AB603" t="s">
        <v>74</v>
      </c>
      <c r="AC603" t="s">
        <v>74</v>
      </c>
      <c r="AD603" t="s">
        <v>74</v>
      </c>
      <c r="AE603" t="s">
        <v>74</v>
      </c>
      <c r="AF603" t="s">
        <v>74</v>
      </c>
      <c r="AG603">
        <v>11</v>
      </c>
      <c r="AH603">
        <v>0</v>
      </c>
      <c r="AI603">
        <v>0</v>
      </c>
      <c r="AJ603">
        <v>1</v>
      </c>
      <c r="AK603">
        <v>1</v>
      </c>
      <c r="AL603" t="s">
        <v>11580</v>
      </c>
      <c r="AM603" t="s">
        <v>11581</v>
      </c>
      <c r="AN603" t="s">
        <v>11582</v>
      </c>
      <c r="AO603" t="s">
        <v>11583</v>
      </c>
      <c r="AP603" t="s">
        <v>11584</v>
      </c>
      <c r="AQ603" t="s">
        <v>74</v>
      </c>
      <c r="AR603" t="s">
        <v>11585</v>
      </c>
      <c r="AS603" t="s">
        <v>11586</v>
      </c>
      <c r="AT603" t="s">
        <v>771</v>
      </c>
      <c r="AU603">
        <v>2023</v>
      </c>
      <c r="AV603">
        <v>106</v>
      </c>
      <c r="AW603">
        <v>3</v>
      </c>
      <c r="AX603" t="s">
        <v>74</v>
      </c>
      <c r="AY603" t="s">
        <v>74</v>
      </c>
      <c r="AZ603" t="s">
        <v>74</v>
      </c>
      <c r="BA603" t="s">
        <v>74</v>
      </c>
      <c r="BB603">
        <v>355</v>
      </c>
      <c r="BC603">
        <v>362</v>
      </c>
      <c r="BD603" t="s">
        <v>74</v>
      </c>
      <c r="BE603" t="s">
        <v>11587</v>
      </c>
      <c r="BF603" t="str">
        <f>HYPERLINK("http://dx.doi.org/10.1353/hpn.2023.a906568","http://dx.doi.org/10.1353/hpn.2023.a906568")</f>
        <v>http://dx.doi.org/10.1353/hpn.2023.a906568</v>
      </c>
      <c r="BG603" t="s">
        <v>74</v>
      </c>
      <c r="BH603" t="s">
        <v>74</v>
      </c>
      <c r="BI603">
        <v>8</v>
      </c>
      <c r="BJ603" t="s">
        <v>11588</v>
      </c>
      <c r="BK603" t="s">
        <v>530</v>
      </c>
      <c r="BL603" t="s">
        <v>11589</v>
      </c>
      <c r="BM603" t="s">
        <v>11590</v>
      </c>
      <c r="BN603" t="s">
        <v>74</v>
      </c>
      <c r="BO603" t="s">
        <v>74</v>
      </c>
      <c r="BP603" t="s">
        <v>74</v>
      </c>
      <c r="BQ603" t="s">
        <v>74</v>
      </c>
      <c r="BR603" t="s">
        <v>101</v>
      </c>
      <c r="BS603" t="s">
        <v>11591</v>
      </c>
      <c r="BT603" t="str">
        <f>HYPERLINK("https%3A%2F%2Fwww.webofscience.com%2Fwos%2Fwoscc%2Ffull-record%2FWOS:001152093200003","View Full Record in Web of Science")</f>
        <v>View Full Record in Web of Science</v>
      </c>
    </row>
    <row r="604" spans="1:72" x14ac:dyDescent="0.2">
      <c r="A604" t="s">
        <v>103</v>
      </c>
      <c r="B604" t="s">
        <v>11592</v>
      </c>
      <c r="C604" t="s">
        <v>74</v>
      </c>
      <c r="D604" t="s">
        <v>74</v>
      </c>
      <c r="E604" t="s">
        <v>74</v>
      </c>
      <c r="F604" t="s">
        <v>11593</v>
      </c>
      <c r="G604" t="s">
        <v>74</v>
      </c>
      <c r="H604" t="s">
        <v>74</v>
      </c>
      <c r="I604" t="s">
        <v>11594</v>
      </c>
      <c r="J604" t="s">
        <v>8654</v>
      </c>
      <c r="K604" t="s">
        <v>74</v>
      </c>
      <c r="L604" t="s">
        <v>74</v>
      </c>
      <c r="M604" t="s">
        <v>79</v>
      </c>
      <c r="N604" t="s">
        <v>108</v>
      </c>
      <c r="O604" t="s">
        <v>74</v>
      </c>
      <c r="P604" t="s">
        <v>74</v>
      </c>
      <c r="Q604" t="s">
        <v>74</v>
      </c>
      <c r="R604" t="s">
        <v>74</v>
      </c>
      <c r="S604" t="s">
        <v>74</v>
      </c>
      <c r="T604" t="s">
        <v>11595</v>
      </c>
      <c r="U604" t="s">
        <v>11596</v>
      </c>
      <c r="V604" t="s">
        <v>11597</v>
      </c>
      <c r="W604" t="s">
        <v>11598</v>
      </c>
      <c r="X604" t="s">
        <v>11599</v>
      </c>
      <c r="Y604" t="s">
        <v>11600</v>
      </c>
      <c r="Z604" t="s">
        <v>11601</v>
      </c>
      <c r="AA604" t="s">
        <v>11602</v>
      </c>
      <c r="AB604" t="s">
        <v>11603</v>
      </c>
      <c r="AC604" t="s">
        <v>74</v>
      </c>
      <c r="AD604" t="s">
        <v>74</v>
      </c>
      <c r="AE604" t="s">
        <v>74</v>
      </c>
      <c r="AF604" t="s">
        <v>74</v>
      </c>
      <c r="AG604">
        <v>65</v>
      </c>
      <c r="AH604">
        <v>0</v>
      </c>
      <c r="AI604">
        <v>0</v>
      </c>
      <c r="AJ604">
        <v>15</v>
      </c>
      <c r="AK604">
        <v>36</v>
      </c>
      <c r="AL604" t="s">
        <v>8663</v>
      </c>
      <c r="AM604" t="s">
        <v>149</v>
      </c>
      <c r="AN604" t="s">
        <v>8664</v>
      </c>
      <c r="AO604" t="s">
        <v>8665</v>
      </c>
      <c r="AP604" t="s">
        <v>74</v>
      </c>
      <c r="AQ604" t="s">
        <v>74</v>
      </c>
      <c r="AR604" t="s">
        <v>8666</v>
      </c>
      <c r="AS604" t="s">
        <v>8667</v>
      </c>
      <c r="AT604" t="s">
        <v>11604</v>
      </c>
      <c r="AU604">
        <v>2023</v>
      </c>
      <c r="AV604">
        <v>10</v>
      </c>
      <c r="AW604">
        <v>1</v>
      </c>
      <c r="AX604" t="s">
        <v>74</v>
      </c>
      <c r="AY604" t="s">
        <v>74</v>
      </c>
      <c r="AZ604" t="s">
        <v>74</v>
      </c>
      <c r="BA604" t="s">
        <v>74</v>
      </c>
      <c r="BB604" t="s">
        <v>74</v>
      </c>
      <c r="BC604" t="s">
        <v>74</v>
      </c>
      <c r="BD604">
        <v>220238</v>
      </c>
      <c r="BE604" t="s">
        <v>11605</v>
      </c>
      <c r="BF604" t="str">
        <f>HYPERLINK("http://dx.doi.org/10.1098/rsos.220238","http://dx.doi.org/10.1098/rsos.220238")</f>
        <v>http://dx.doi.org/10.1098/rsos.220238</v>
      </c>
      <c r="BG604" t="s">
        <v>74</v>
      </c>
      <c r="BH604" t="s">
        <v>74</v>
      </c>
      <c r="BI604">
        <v>23</v>
      </c>
      <c r="BJ604" t="s">
        <v>5686</v>
      </c>
      <c r="BK604" t="s">
        <v>130</v>
      </c>
      <c r="BL604" t="s">
        <v>5687</v>
      </c>
      <c r="BM604" t="s">
        <v>11606</v>
      </c>
      <c r="BN604">
        <v>36636309</v>
      </c>
      <c r="BO604" t="s">
        <v>4185</v>
      </c>
      <c r="BP604" t="s">
        <v>74</v>
      </c>
      <c r="BQ604" t="s">
        <v>74</v>
      </c>
      <c r="BR604" t="s">
        <v>101</v>
      </c>
      <c r="BS604" t="s">
        <v>11607</v>
      </c>
      <c r="BT604" t="str">
        <f>HYPERLINK("https%3A%2F%2Fwww.webofscience.com%2Fwos%2Fwoscc%2Ffull-record%2FWOS:000906903800001","View Full Record in Web of Science")</f>
        <v>View Full Record in Web of Science</v>
      </c>
    </row>
    <row r="605" spans="1:72" x14ac:dyDescent="0.2">
      <c r="A605" t="s">
        <v>72</v>
      </c>
      <c r="B605" t="s">
        <v>11608</v>
      </c>
      <c r="C605" t="s">
        <v>74</v>
      </c>
      <c r="D605" t="s">
        <v>3598</v>
      </c>
      <c r="E605" t="s">
        <v>74</v>
      </c>
      <c r="F605" t="s">
        <v>11609</v>
      </c>
      <c r="G605" t="s">
        <v>74</v>
      </c>
      <c r="H605" t="s">
        <v>74</v>
      </c>
      <c r="I605" t="s">
        <v>11610</v>
      </c>
      <c r="J605" t="s">
        <v>3601</v>
      </c>
      <c r="K605" t="s">
        <v>312</v>
      </c>
      <c r="L605" t="s">
        <v>74</v>
      </c>
      <c r="M605" t="s">
        <v>79</v>
      </c>
      <c r="N605" t="s">
        <v>80</v>
      </c>
      <c r="O605" t="s">
        <v>3602</v>
      </c>
      <c r="P605" t="s">
        <v>3603</v>
      </c>
      <c r="Q605" t="s">
        <v>3604</v>
      </c>
      <c r="R605" t="s">
        <v>74</v>
      </c>
      <c r="S605" t="s">
        <v>74</v>
      </c>
      <c r="T605" t="s">
        <v>11611</v>
      </c>
      <c r="U605" t="s">
        <v>74</v>
      </c>
      <c r="V605" t="s">
        <v>11612</v>
      </c>
      <c r="W605" t="s">
        <v>11613</v>
      </c>
      <c r="X605" t="s">
        <v>11614</v>
      </c>
      <c r="Y605" t="s">
        <v>11615</v>
      </c>
      <c r="Z605" t="s">
        <v>11616</v>
      </c>
      <c r="AA605" t="s">
        <v>74</v>
      </c>
      <c r="AB605" t="s">
        <v>74</v>
      </c>
      <c r="AC605" t="s">
        <v>11617</v>
      </c>
      <c r="AD605" t="s">
        <v>11618</v>
      </c>
      <c r="AE605" t="s">
        <v>11619</v>
      </c>
      <c r="AF605" t="s">
        <v>74</v>
      </c>
      <c r="AG605">
        <v>18</v>
      </c>
      <c r="AH605">
        <v>0</v>
      </c>
      <c r="AI605">
        <v>0</v>
      </c>
      <c r="AJ605">
        <v>4</v>
      </c>
      <c r="AK605">
        <v>7</v>
      </c>
      <c r="AL605" t="s">
        <v>325</v>
      </c>
      <c r="AM605" t="s">
        <v>245</v>
      </c>
      <c r="AN605" t="s">
        <v>246</v>
      </c>
      <c r="AO605" t="s">
        <v>326</v>
      </c>
      <c r="AP605" t="s">
        <v>327</v>
      </c>
      <c r="AQ605" t="s">
        <v>3614</v>
      </c>
      <c r="AR605" t="s">
        <v>329</v>
      </c>
      <c r="AS605" t="s">
        <v>74</v>
      </c>
      <c r="AT605" t="s">
        <v>74</v>
      </c>
      <c r="AU605">
        <v>2023</v>
      </c>
      <c r="AV605">
        <v>13988</v>
      </c>
      <c r="AW605" t="s">
        <v>74</v>
      </c>
      <c r="AX605" t="s">
        <v>74</v>
      </c>
      <c r="AY605" t="s">
        <v>74</v>
      </c>
      <c r="AZ605" t="s">
        <v>74</v>
      </c>
      <c r="BA605" t="s">
        <v>74</v>
      </c>
      <c r="BB605">
        <v>212</v>
      </c>
      <c r="BC605">
        <v>227</v>
      </c>
      <c r="BD605" t="s">
        <v>74</v>
      </c>
      <c r="BE605" t="s">
        <v>11620</v>
      </c>
      <c r="BF605" t="str">
        <f>HYPERLINK("http://dx.doi.org/10.1007/978-3-031-29956-8_14","http://dx.doi.org/10.1007/978-3-031-29956-8_14")</f>
        <v>http://dx.doi.org/10.1007/978-3-031-29956-8_14</v>
      </c>
      <c r="BG605" t="s">
        <v>74</v>
      </c>
      <c r="BH605" t="s">
        <v>74</v>
      </c>
      <c r="BI605">
        <v>16</v>
      </c>
      <c r="BJ605" t="s">
        <v>1851</v>
      </c>
      <c r="BK605" t="s">
        <v>98</v>
      </c>
      <c r="BL605" t="s">
        <v>99</v>
      </c>
      <c r="BM605" t="s">
        <v>3616</v>
      </c>
      <c r="BN605" t="s">
        <v>74</v>
      </c>
      <c r="BO605" t="s">
        <v>74</v>
      </c>
      <c r="BP605" t="s">
        <v>74</v>
      </c>
      <c r="BQ605" t="s">
        <v>74</v>
      </c>
      <c r="BR605" t="s">
        <v>101</v>
      </c>
      <c r="BS605" t="s">
        <v>11621</v>
      </c>
      <c r="BT605" t="str">
        <f>HYPERLINK("https%3A%2F%2Fwww.webofscience.com%2Fwos%2Fwoscc%2Ffull-record%2FWOS:000999872400014","View Full Record in Web of Science")</f>
        <v>View Full Record in Web of Science</v>
      </c>
    </row>
    <row r="606" spans="1:72" x14ac:dyDescent="0.2">
      <c r="A606" t="s">
        <v>72</v>
      </c>
      <c r="B606" t="s">
        <v>11622</v>
      </c>
      <c r="C606" t="s">
        <v>74</v>
      </c>
      <c r="D606" t="s">
        <v>74</v>
      </c>
      <c r="E606" t="s">
        <v>284</v>
      </c>
      <c r="F606" t="s">
        <v>11623</v>
      </c>
      <c r="G606" t="s">
        <v>74</v>
      </c>
      <c r="H606" t="s">
        <v>74</v>
      </c>
      <c r="I606" t="s">
        <v>11624</v>
      </c>
      <c r="J606" t="s">
        <v>11625</v>
      </c>
      <c r="K606" t="s">
        <v>11626</v>
      </c>
      <c r="L606" t="s">
        <v>74</v>
      </c>
      <c r="M606" t="s">
        <v>79</v>
      </c>
      <c r="N606" t="s">
        <v>80</v>
      </c>
      <c r="O606" t="s">
        <v>11627</v>
      </c>
      <c r="P606" t="s">
        <v>11628</v>
      </c>
      <c r="Q606" t="s">
        <v>11629</v>
      </c>
      <c r="R606" t="s">
        <v>11630</v>
      </c>
      <c r="S606" t="s">
        <v>74</v>
      </c>
      <c r="T606" t="s">
        <v>11631</v>
      </c>
      <c r="U606" t="s">
        <v>74</v>
      </c>
      <c r="V606" t="s">
        <v>11632</v>
      </c>
      <c r="W606" t="s">
        <v>11633</v>
      </c>
      <c r="X606" t="s">
        <v>11634</v>
      </c>
      <c r="Y606" t="s">
        <v>11635</v>
      </c>
      <c r="Z606" t="s">
        <v>11636</v>
      </c>
      <c r="AA606" t="s">
        <v>11637</v>
      </c>
      <c r="AB606" t="s">
        <v>11638</v>
      </c>
      <c r="AC606" t="s">
        <v>11639</v>
      </c>
      <c r="AD606" t="s">
        <v>11640</v>
      </c>
      <c r="AE606" t="s">
        <v>11641</v>
      </c>
      <c r="AF606" t="s">
        <v>74</v>
      </c>
      <c r="AG606">
        <v>19</v>
      </c>
      <c r="AH606">
        <v>0</v>
      </c>
      <c r="AI606">
        <v>0</v>
      </c>
      <c r="AJ606">
        <v>0</v>
      </c>
      <c r="AK606">
        <v>0</v>
      </c>
      <c r="AL606" t="s">
        <v>284</v>
      </c>
      <c r="AM606" t="s">
        <v>93</v>
      </c>
      <c r="AN606" t="s">
        <v>299</v>
      </c>
      <c r="AO606" t="s">
        <v>11642</v>
      </c>
      <c r="AP606" t="s">
        <v>74</v>
      </c>
      <c r="AQ606" t="s">
        <v>11643</v>
      </c>
      <c r="AR606" t="s">
        <v>11644</v>
      </c>
      <c r="AS606" t="s">
        <v>74</v>
      </c>
      <c r="AT606" t="s">
        <v>74</v>
      </c>
      <c r="AU606">
        <v>2023</v>
      </c>
      <c r="AV606" t="s">
        <v>74</v>
      </c>
      <c r="AW606" t="s">
        <v>74</v>
      </c>
      <c r="AX606" t="s">
        <v>74</v>
      </c>
      <c r="AY606" t="s">
        <v>74</v>
      </c>
      <c r="AZ606" t="s">
        <v>74</v>
      </c>
      <c r="BA606" t="s">
        <v>74</v>
      </c>
      <c r="BB606" t="s">
        <v>74</v>
      </c>
      <c r="BC606" t="s">
        <v>74</v>
      </c>
      <c r="BD606" t="s">
        <v>74</v>
      </c>
      <c r="BE606" t="s">
        <v>11645</v>
      </c>
      <c r="BF606" t="str">
        <f>HYPERLINK("http://dx.doi.org/10.1109/FUZZ52849.2023.10309670","http://dx.doi.org/10.1109/FUZZ52849.2023.10309670")</f>
        <v>http://dx.doi.org/10.1109/FUZZ52849.2023.10309670</v>
      </c>
      <c r="BG606" t="s">
        <v>74</v>
      </c>
      <c r="BH606" t="s">
        <v>74</v>
      </c>
      <c r="BI606">
        <v>6</v>
      </c>
      <c r="BJ606" t="s">
        <v>304</v>
      </c>
      <c r="BK606" t="s">
        <v>98</v>
      </c>
      <c r="BL606" t="s">
        <v>99</v>
      </c>
      <c r="BM606" t="s">
        <v>11646</v>
      </c>
      <c r="BN606" t="s">
        <v>74</v>
      </c>
      <c r="BO606" t="s">
        <v>74</v>
      </c>
      <c r="BP606" t="s">
        <v>74</v>
      </c>
      <c r="BQ606" t="s">
        <v>74</v>
      </c>
      <c r="BR606" t="s">
        <v>101</v>
      </c>
      <c r="BS606" t="s">
        <v>11647</v>
      </c>
      <c r="BT606" t="str">
        <f>HYPERLINK("https%3A%2F%2Fwww.webofscience.com%2Fwos%2Fwoscc%2Ffull-record%2FWOS:001103277400002","View Full Record in Web of Science")</f>
        <v>View Full Record in Web of Science</v>
      </c>
    </row>
    <row r="607" spans="1:72" x14ac:dyDescent="0.2">
      <c r="A607" t="s">
        <v>103</v>
      </c>
      <c r="B607" t="s">
        <v>11648</v>
      </c>
      <c r="C607" t="s">
        <v>74</v>
      </c>
      <c r="D607" t="s">
        <v>74</v>
      </c>
      <c r="E607" t="s">
        <v>74</v>
      </c>
      <c r="F607" t="s">
        <v>11649</v>
      </c>
      <c r="G607" t="s">
        <v>74</v>
      </c>
      <c r="H607" t="s">
        <v>74</v>
      </c>
      <c r="I607" t="s">
        <v>11650</v>
      </c>
      <c r="J607" t="s">
        <v>11651</v>
      </c>
      <c r="K607" t="s">
        <v>74</v>
      </c>
      <c r="L607" t="s">
        <v>74</v>
      </c>
      <c r="M607" t="s">
        <v>79</v>
      </c>
      <c r="N607" t="s">
        <v>108</v>
      </c>
      <c r="O607" t="s">
        <v>74</v>
      </c>
      <c r="P607" t="s">
        <v>74</v>
      </c>
      <c r="Q607" t="s">
        <v>74</v>
      </c>
      <c r="R607" t="s">
        <v>74</v>
      </c>
      <c r="S607" t="s">
        <v>74</v>
      </c>
      <c r="T607" t="s">
        <v>11652</v>
      </c>
      <c r="U607" t="s">
        <v>11653</v>
      </c>
      <c r="V607" t="s">
        <v>11654</v>
      </c>
      <c r="W607" t="s">
        <v>11655</v>
      </c>
      <c r="X607" t="s">
        <v>11656</v>
      </c>
      <c r="Y607" t="s">
        <v>11657</v>
      </c>
      <c r="Z607" t="s">
        <v>11658</v>
      </c>
      <c r="AA607" t="s">
        <v>11659</v>
      </c>
      <c r="AB607" t="s">
        <v>11660</v>
      </c>
      <c r="AC607" t="s">
        <v>74</v>
      </c>
      <c r="AD607" t="s">
        <v>74</v>
      </c>
      <c r="AE607" t="s">
        <v>74</v>
      </c>
      <c r="AF607" t="s">
        <v>74</v>
      </c>
      <c r="AG607">
        <v>94</v>
      </c>
      <c r="AH607">
        <v>1</v>
      </c>
      <c r="AI607">
        <v>1</v>
      </c>
      <c r="AJ607">
        <v>87</v>
      </c>
      <c r="AK607">
        <v>87</v>
      </c>
      <c r="AL607" t="s">
        <v>148</v>
      </c>
      <c r="AM607" t="s">
        <v>149</v>
      </c>
      <c r="AN607" t="s">
        <v>150</v>
      </c>
      <c r="AO607" t="s">
        <v>11661</v>
      </c>
      <c r="AP607" t="s">
        <v>11662</v>
      </c>
      <c r="AQ607" t="s">
        <v>74</v>
      </c>
      <c r="AR607" t="s">
        <v>11663</v>
      </c>
      <c r="AS607" t="s">
        <v>11664</v>
      </c>
      <c r="AT607" t="s">
        <v>467</v>
      </c>
      <c r="AU607">
        <v>2023</v>
      </c>
      <c r="AV607">
        <v>37</v>
      </c>
      <c r="AW607">
        <v>5</v>
      </c>
      <c r="AX607" t="s">
        <v>74</v>
      </c>
      <c r="AY607" t="s">
        <v>74</v>
      </c>
      <c r="AZ607" t="s">
        <v>74</v>
      </c>
      <c r="BA607" t="s">
        <v>74</v>
      </c>
      <c r="BB607">
        <v>593</v>
      </c>
      <c r="BC607">
        <v>600</v>
      </c>
      <c r="BD607" t="s">
        <v>74</v>
      </c>
      <c r="BE607" t="s">
        <v>11665</v>
      </c>
      <c r="BF607" t="str">
        <f>HYPERLINK("http://dx.doi.org/10.1177/09504222231199989","http://dx.doi.org/10.1177/09504222231199989")</f>
        <v>http://dx.doi.org/10.1177/09504222231199989</v>
      </c>
      <c r="BG607" t="s">
        <v>74</v>
      </c>
      <c r="BH607" t="s">
        <v>278</v>
      </c>
      <c r="BI607">
        <v>8</v>
      </c>
      <c r="BJ607" t="s">
        <v>423</v>
      </c>
      <c r="BK607" t="s">
        <v>352</v>
      </c>
      <c r="BL607" t="s">
        <v>423</v>
      </c>
      <c r="BM607" t="s">
        <v>11666</v>
      </c>
      <c r="BN607" t="s">
        <v>74</v>
      </c>
      <c r="BO607" t="s">
        <v>74</v>
      </c>
      <c r="BP607" t="s">
        <v>74</v>
      </c>
      <c r="BQ607" t="s">
        <v>74</v>
      </c>
      <c r="BR607" t="s">
        <v>101</v>
      </c>
      <c r="BS607" t="s">
        <v>11667</v>
      </c>
      <c r="BT607" t="str">
        <f>HYPERLINK("https%3A%2F%2Fwww.webofscience.com%2Fwos%2Fwoscc%2Ffull-record%2FWOS:001075331300001","View Full Record in Web of Science")</f>
        <v>View Full Record in Web of Science</v>
      </c>
    </row>
    <row r="608" spans="1:72" x14ac:dyDescent="0.2">
      <c r="A608" t="s">
        <v>103</v>
      </c>
      <c r="B608" t="s">
        <v>11668</v>
      </c>
      <c r="C608" t="s">
        <v>74</v>
      </c>
      <c r="D608" t="s">
        <v>74</v>
      </c>
      <c r="E608" t="s">
        <v>74</v>
      </c>
      <c r="F608" t="s">
        <v>11669</v>
      </c>
      <c r="G608" t="s">
        <v>74</v>
      </c>
      <c r="H608" t="s">
        <v>74</v>
      </c>
      <c r="I608" t="s">
        <v>11670</v>
      </c>
      <c r="J608" t="s">
        <v>3704</v>
      </c>
      <c r="K608" t="s">
        <v>74</v>
      </c>
      <c r="L608" t="s">
        <v>74</v>
      </c>
      <c r="M608" t="s">
        <v>79</v>
      </c>
      <c r="N608" t="s">
        <v>108</v>
      </c>
      <c r="O608" t="s">
        <v>74</v>
      </c>
      <c r="P608" t="s">
        <v>74</v>
      </c>
      <c r="Q608" t="s">
        <v>74</v>
      </c>
      <c r="R608" t="s">
        <v>74</v>
      </c>
      <c r="S608" t="s">
        <v>74</v>
      </c>
      <c r="T608" t="s">
        <v>11671</v>
      </c>
      <c r="U608" t="s">
        <v>74</v>
      </c>
      <c r="V608" t="s">
        <v>74</v>
      </c>
      <c r="W608" t="s">
        <v>11672</v>
      </c>
      <c r="X608" t="s">
        <v>3357</v>
      </c>
      <c r="Y608" t="s">
        <v>11673</v>
      </c>
      <c r="Z608" t="s">
        <v>11674</v>
      </c>
      <c r="AA608" t="s">
        <v>74</v>
      </c>
      <c r="AB608" t="s">
        <v>74</v>
      </c>
      <c r="AC608" t="s">
        <v>74</v>
      </c>
      <c r="AD608" t="s">
        <v>74</v>
      </c>
      <c r="AE608" t="s">
        <v>74</v>
      </c>
      <c r="AF608" t="s">
        <v>74</v>
      </c>
      <c r="AG608">
        <v>22</v>
      </c>
      <c r="AH608">
        <v>2</v>
      </c>
      <c r="AI608">
        <v>2</v>
      </c>
      <c r="AJ608">
        <v>16</v>
      </c>
      <c r="AK608">
        <v>16</v>
      </c>
      <c r="AL608" t="s">
        <v>244</v>
      </c>
      <c r="AM608" t="s">
        <v>245</v>
      </c>
      <c r="AN608" t="s">
        <v>246</v>
      </c>
      <c r="AO608" t="s">
        <v>3713</v>
      </c>
      <c r="AP608" t="s">
        <v>3714</v>
      </c>
      <c r="AQ608" t="s">
        <v>74</v>
      </c>
      <c r="AR608" t="s">
        <v>3704</v>
      </c>
      <c r="AS608" t="s">
        <v>3715</v>
      </c>
      <c r="AT608" t="s">
        <v>771</v>
      </c>
      <c r="AU608">
        <v>2023</v>
      </c>
      <c r="AV608">
        <v>67</v>
      </c>
      <c r="AW608">
        <v>5</v>
      </c>
      <c r="AX608" t="s">
        <v>74</v>
      </c>
      <c r="AY608" t="s">
        <v>74</v>
      </c>
      <c r="AZ608" t="s">
        <v>253</v>
      </c>
      <c r="BA608" t="s">
        <v>74</v>
      </c>
      <c r="BB608">
        <v>767</v>
      </c>
      <c r="BC608">
        <v>773</v>
      </c>
      <c r="BD608" t="s">
        <v>74</v>
      </c>
      <c r="BE608" t="s">
        <v>11675</v>
      </c>
      <c r="BF608" t="str">
        <f>HYPERLINK("http://dx.doi.org/10.1007/s11528-023-00888-0","http://dx.doi.org/10.1007/s11528-023-00888-0")</f>
        <v>http://dx.doi.org/10.1007/s11528-023-00888-0</v>
      </c>
      <c r="BG608" t="s">
        <v>74</v>
      </c>
      <c r="BH608" t="s">
        <v>278</v>
      </c>
      <c r="BI608">
        <v>7</v>
      </c>
      <c r="BJ608" t="s">
        <v>423</v>
      </c>
      <c r="BK608" t="s">
        <v>352</v>
      </c>
      <c r="BL608" t="s">
        <v>423</v>
      </c>
      <c r="BM608" t="s">
        <v>11676</v>
      </c>
      <c r="BN608" t="s">
        <v>74</v>
      </c>
      <c r="BO608" t="s">
        <v>74</v>
      </c>
      <c r="BP608" t="s">
        <v>74</v>
      </c>
      <c r="BQ608" t="s">
        <v>74</v>
      </c>
      <c r="BR608" t="s">
        <v>101</v>
      </c>
      <c r="BS608" t="s">
        <v>11677</v>
      </c>
      <c r="BT608" t="str">
        <f>HYPERLINK("https%3A%2F%2Fwww.webofscience.com%2Fwos%2Fwoscc%2Ffull-record%2FWOS:001064457600001","View Full Record in Web of Science")</f>
        <v>View Full Record in Web of Science</v>
      </c>
    </row>
    <row r="609" spans="1:72" x14ac:dyDescent="0.2">
      <c r="A609" t="s">
        <v>72</v>
      </c>
      <c r="B609" t="s">
        <v>11678</v>
      </c>
      <c r="C609" t="s">
        <v>74</v>
      </c>
      <c r="D609" t="s">
        <v>74</v>
      </c>
      <c r="E609" t="s">
        <v>75</v>
      </c>
      <c r="F609" t="s">
        <v>11679</v>
      </c>
      <c r="G609" t="s">
        <v>74</v>
      </c>
      <c r="H609" t="s">
        <v>74</v>
      </c>
      <c r="I609" t="s">
        <v>11680</v>
      </c>
      <c r="J609" t="s">
        <v>2829</v>
      </c>
      <c r="K609" t="s">
        <v>74</v>
      </c>
      <c r="L609" t="s">
        <v>74</v>
      </c>
      <c r="M609" t="s">
        <v>79</v>
      </c>
      <c r="N609" t="s">
        <v>80</v>
      </c>
      <c r="O609" t="s">
        <v>2830</v>
      </c>
      <c r="P609" t="s">
        <v>1221</v>
      </c>
      <c r="Q609" t="s">
        <v>2831</v>
      </c>
      <c r="R609" t="s">
        <v>1223</v>
      </c>
      <c r="S609" t="s">
        <v>74</v>
      </c>
      <c r="T609" t="s">
        <v>11681</v>
      </c>
      <c r="U609" t="s">
        <v>74</v>
      </c>
      <c r="V609" t="s">
        <v>11682</v>
      </c>
      <c r="W609" t="s">
        <v>11683</v>
      </c>
      <c r="X609" t="s">
        <v>11684</v>
      </c>
      <c r="Y609" t="s">
        <v>11685</v>
      </c>
      <c r="Z609" t="s">
        <v>11686</v>
      </c>
      <c r="AA609" t="s">
        <v>11687</v>
      </c>
      <c r="AB609" t="s">
        <v>11688</v>
      </c>
      <c r="AC609" t="s">
        <v>11689</v>
      </c>
      <c r="AD609" t="s">
        <v>11690</v>
      </c>
      <c r="AE609" t="s">
        <v>11691</v>
      </c>
      <c r="AF609" t="s">
        <v>74</v>
      </c>
      <c r="AG609">
        <v>41</v>
      </c>
      <c r="AH609">
        <v>0</v>
      </c>
      <c r="AI609">
        <v>0</v>
      </c>
      <c r="AJ609">
        <v>0</v>
      </c>
      <c r="AK609">
        <v>0</v>
      </c>
      <c r="AL609" t="s">
        <v>92</v>
      </c>
      <c r="AM609" t="s">
        <v>93</v>
      </c>
      <c r="AN609" t="s">
        <v>94</v>
      </c>
      <c r="AO609" t="s">
        <v>74</v>
      </c>
      <c r="AP609" t="s">
        <v>74</v>
      </c>
      <c r="AQ609" t="s">
        <v>2839</v>
      </c>
      <c r="AR609" t="s">
        <v>74</v>
      </c>
      <c r="AS609" t="s">
        <v>74</v>
      </c>
      <c r="AT609" t="s">
        <v>74</v>
      </c>
      <c r="AU609">
        <v>2023</v>
      </c>
      <c r="AV609" t="s">
        <v>74</v>
      </c>
      <c r="AW609" t="s">
        <v>74</v>
      </c>
      <c r="AX609" t="s">
        <v>74</v>
      </c>
      <c r="AY609" t="s">
        <v>74</v>
      </c>
      <c r="AZ609" t="s">
        <v>74</v>
      </c>
      <c r="BA609" t="s">
        <v>74</v>
      </c>
      <c r="BB609">
        <v>136</v>
      </c>
      <c r="BC609">
        <v>146</v>
      </c>
      <c r="BD609" t="s">
        <v>74</v>
      </c>
      <c r="BE609" t="s">
        <v>11692</v>
      </c>
      <c r="BF609" t="str">
        <f>HYPERLINK("http://dx.doi.org/10.1145/3563657.3596072","http://dx.doi.org/10.1145/3563657.3596072")</f>
        <v>http://dx.doi.org/10.1145/3563657.3596072</v>
      </c>
      <c r="BG609" t="s">
        <v>74</v>
      </c>
      <c r="BH609" t="s">
        <v>74</v>
      </c>
      <c r="BI609">
        <v>11</v>
      </c>
      <c r="BJ609" t="s">
        <v>1235</v>
      </c>
      <c r="BK609" t="s">
        <v>180</v>
      </c>
      <c r="BL609" t="s">
        <v>906</v>
      </c>
      <c r="BM609" t="s">
        <v>2841</v>
      </c>
      <c r="BN609" t="s">
        <v>74</v>
      </c>
      <c r="BO609" t="s">
        <v>74</v>
      </c>
      <c r="BP609" t="s">
        <v>74</v>
      </c>
      <c r="BQ609" t="s">
        <v>74</v>
      </c>
      <c r="BR609" t="s">
        <v>101</v>
      </c>
      <c r="BS609" t="s">
        <v>11693</v>
      </c>
      <c r="BT609" t="str">
        <f>HYPERLINK("https%3A%2F%2Fwww.webofscience.com%2Fwos%2Fwoscc%2Ffull-record%2FWOS:001090855700009","View Full Record in Web of Science")</f>
        <v>View Full Record in Web of Science</v>
      </c>
    </row>
    <row r="610" spans="1:72" x14ac:dyDescent="0.2">
      <c r="A610" t="s">
        <v>103</v>
      </c>
      <c r="B610" t="s">
        <v>11694</v>
      </c>
      <c r="C610" t="s">
        <v>74</v>
      </c>
      <c r="D610" t="s">
        <v>74</v>
      </c>
      <c r="E610" t="s">
        <v>74</v>
      </c>
      <c r="F610" t="s">
        <v>11695</v>
      </c>
      <c r="G610" t="s">
        <v>74</v>
      </c>
      <c r="H610" t="s">
        <v>74</v>
      </c>
      <c r="I610" t="s">
        <v>11696</v>
      </c>
      <c r="J610" t="s">
        <v>3527</v>
      </c>
      <c r="K610" t="s">
        <v>74</v>
      </c>
      <c r="L610" t="s">
        <v>74</v>
      </c>
      <c r="M610" t="s">
        <v>79</v>
      </c>
      <c r="N610" t="s">
        <v>108</v>
      </c>
      <c r="O610" t="s">
        <v>74</v>
      </c>
      <c r="P610" t="s">
        <v>74</v>
      </c>
      <c r="Q610" t="s">
        <v>74</v>
      </c>
      <c r="R610" t="s">
        <v>74</v>
      </c>
      <c r="S610" t="s">
        <v>74</v>
      </c>
      <c r="T610" t="s">
        <v>11697</v>
      </c>
      <c r="U610" t="s">
        <v>11698</v>
      </c>
      <c r="V610" t="s">
        <v>11699</v>
      </c>
      <c r="W610" t="s">
        <v>11700</v>
      </c>
      <c r="X610" t="s">
        <v>11701</v>
      </c>
      <c r="Y610" t="s">
        <v>11702</v>
      </c>
      <c r="Z610" t="s">
        <v>11703</v>
      </c>
      <c r="AA610" t="s">
        <v>11704</v>
      </c>
      <c r="AB610" t="s">
        <v>11705</v>
      </c>
      <c r="AC610" t="s">
        <v>74</v>
      </c>
      <c r="AD610" t="s">
        <v>74</v>
      </c>
      <c r="AE610" t="s">
        <v>74</v>
      </c>
      <c r="AF610" t="s">
        <v>74</v>
      </c>
      <c r="AG610">
        <v>72</v>
      </c>
      <c r="AH610">
        <v>52</v>
      </c>
      <c r="AI610">
        <v>52</v>
      </c>
      <c r="AJ610">
        <v>90</v>
      </c>
      <c r="AK610">
        <v>318</v>
      </c>
      <c r="AL610" t="s">
        <v>3537</v>
      </c>
      <c r="AM610" t="s">
        <v>3538</v>
      </c>
      <c r="AN610" t="s">
        <v>3539</v>
      </c>
      <c r="AO610" t="s">
        <v>3540</v>
      </c>
      <c r="AP610" t="s">
        <v>74</v>
      </c>
      <c r="AQ610" t="s">
        <v>74</v>
      </c>
      <c r="AR610" t="s">
        <v>3541</v>
      </c>
      <c r="AS610" t="s">
        <v>3542</v>
      </c>
      <c r="AT610" t="s">
        <v>74</v>
      </c>
      <c r="AU610">
        <v>2023</v>
      </c>
      <c r="AV610">
        <v>20</v>
      </c>
      <c r="AW610">
        <v>3</v>
      </c>
      <c r="AX610" t="s">
        <v>74</v>
      </c>
      <c r="AY610" t="s">
        <v>74</v>
      </c>
      <c r="AZ610" t="s">
        <v>74</v>
      </c>
      <c r="BA610" t="s">
        <v>74</v>
      </c>
      <c r="BB610" t="s">
        <v>74</v>
      </c>
      <c r="BC610" t="s">
        <v>74</v>
      </c>
      <c r="BD610">
        <v>2</v>
      </c>
      <c r="BE610" t="s">
        <v>11706</v>
      </c>
      <c r="BF610" t="str">
        <f>HYPERLINK("http://dx.doi.org/10.53761/1.20.3.02","http://dx.doi.org/10.53761/1.20.3.02")</f>
        <v>http://dx.doi.org/10.53761/1.20.3.02</v>
      </c>
      <c r="BG610" t="s">
        <v>74</v>
      </c>
      <c r="BH610" t="s">
        <v>74</v>
      </c>
      <c r="BI610">
        <v>21</v>
      </c>
      <c r="BJ610" t="s">
        <v>423</v>
      </c>
      <c r="BK610" t="s">
        <v>352</v>
      </c>
      <c r="BL610" t="s">
        <v>423</v>
      </c>
      <c r="BM610" t="s">
        <v>11707</v>
      </c>
      <c r="BN610" t="s">
        <v>74</v>
      </c>
      <c r="BO610" t="s">
        <v>1711</v>
      </c>
      <c r="BP610" t="s">
        <v>74</v>
      </c>
      <c r="BQ610" t="s">
        <v>74</v>
      </c>
      <c r="BR610" t="s">
        <v>101</v>
      </c>
      <c r="BS610" t="s">
        <v>11708</v>
      </c>
      <c r="BT610" t="str">
        <f>HYPERLINK("https%3A%2F%2Fwww.webofscience.com%2Fwos%2Fwoscc%2Ffull-record%2FWOS:000950113500004","View Full Record in Web of Science")</f>
        <v>View Full Record in Web of Science</v>
      </c>
    </row>
    <row r="611" spans="1:72" x14ac:dyDescent="0.2">
      <c r="A611" t="s">
        <v>72</v>
      </c>
      <c r="B611" t="s">
        <v>11709</v>
      </c>
      <c r="C611" t="s">
        <v>74</v>
      </c>
      <c r="D611" t="s">
        <v>74</v>
      </c>
      <c r="E611" t="s">
        <v>75</v>
      </c>
      <c r="F611" t="s">
        <v>11710</v>
      </c>
      <c r="G611" t="s">
        <v>74</v>
      </c>
      <c r="H611" t="s">
        <v>74</v>
      </c>
      <c r="I611" t="s">
        <v>11711</v>
      </c>
      <c r="J611" t="s">
        <v>6103</v>
      </c>
      <c r="K611" t="s">
        <v>74</v>
      </c>
      <c r="L611" t="s">
        <v>74</v>
      </c>
      <c r="M611" t="s">
        <v>79</v>
      </c>
      <c r="N611" t="s">
        <v>80</v>
      </c>
      <c r="O611" t="s">
        <v>6104</v>
      </c>
      <c r="P611" t="s">
        <v>6105</v>
      </c>
      <c r="Q611" t="s">
        <v>2295</v>
      </c>
      <c r="R611" t="s">
        <v>6106</v>
      </c>
      <c r="S611" t="s">
        <v>2297</v>
      </c>
      <c r="T611" t="s">
        <v>11712</v>
      </c>
      <c r="U611" t="s">
        <v>74</v>
      </c>
      <c r="V611" t="s">
        <v>11713</v>
      </c>
      <c r="W611" t="s">
        <v>11714</v>
      </c>
      <c r="X611" t="s">
        <v>11715</v>
      </c>
      <c r="Y611" t="s">
        <v>11716</v>
      </c>
      <c r="Z611" t="s">
        <v>11717</v>
      </c>
      <c r="AA611" t="s">
        <v>11718</v>
      </c>
      <c r="AB611" t="s">
        <v>11719</v>
      </c>
      <c r="AC611" t="s">
        <v>74</v>
      </c>
      <c r="AD611" t="s">
        <v>74</v>
      </c>
      <c r="AE611" t="s">
        <v>74</v>
      </c>
      <c r="AF611" t="s">
        <v>74</v>
      </c>
      <c r="AG611">
        <v>18</v>
      </c>
      <c r="AH611">
        <v>2</v>
      </c>
      <c r="AI611">
        <v>2</v>
      </c>
      <c r="AJ611">
        <v>20</v>
      </c>
      <c r="AK611">
        <v>22</v>
      </c>
      <c r="AL611" t="s">
        <v>92</v>
      </c>
      <c r="AM611" t="s">
        <v>93</v>
      </c>
      <c r="AN611" t="s">
        <v>94</v>
      </c>
      <c r="AO611" t="s">
        <v>74</v>
      </c>
      <c r="AP611" t="s">
        <v>74</v>
      </c>
      <c r="AQ611" t="s">
        <v>6114</v>
      </c>
      <c r="AR611" t="s">
        <v>74</v>
      </c>
      <c r="AS611" t="s">
        <v>74</v>
      </c>
      <c r="AT611" t="s">
        <v>74</v>
      </c>
      <c r="AU611">
        <v>2023</v>
      </c>
      <c r="AV611" t="s">
        <v>74</v>
      </c>
      <c r="AW611" t="s">
        <v>74</v>
      </c>
      <c r="AX611" t="s">
        <v>74</v>
      </c>
      <c r="AY611" t="s">
        <v>74</v>
      </c>
      <c r="AZ611" t="s">
        <v>74</v>
      </c>
      <c r="BA611" t="s">
        <v>74</v>
      </c>
      <c r="BB611">
        <v>3</v>
      </c>
      <c r="BC611">
        <v>4</v>
      </c>
      <c r="BD611" t="s">
        <v>74</v>
      </c>
      <c r="BE611" t="s">
        <v>11720</v>
      </c>
      <c r="BF611" t="str">
        <f>HYPERLINK("http://dx.doi.org/10.1145/3587102.3588773","http://dx.doi.org/10.1145/3587102.3588773")</f>
        <v>http://dx.doi.org/10.1145/3587102.3588773</v>
      </c>
      <c r="BG611" t="s">
        <v>74</v>
      </c>
      <c r="BH611" t="s">
        <v>74</v>
      </c>
      <c r="BI611">
        <v>2</v>
      </c>
      <c r="BJ611" t="s">
        <v>5766</v>
      </c>
      <c r="BK611" t="s">
        <v>180</v>
      </c>
      <c r="BL611" t="s">
        <v>423</v>
      </c>
      <c r="BM611" t="s">
        <v>6116</v>
      </c>
      <c r="BN611" t="s">
        <v>74</v>
      </c>
      <c r="BO611" t="s">
        <v>74</v>
      </c>
      <c r="BP611" t="s">
        <v>74</v>
      </c>
      <c r="BQ611" t="s">
        <v>74</v>
      </c>
      <c r="BR611" t="s">
        <v>101</v>
      </c>
      <c r="BS611" t="s">
        <v>11721</v>
      </c>
      <c r="BT611" t="str">
        <f>HYPERLINK("https%3A%2F%2Fwww.webofscience.com%2Fwos%2Fwoscc%2Ffull-record%2FWOS:001051691300002","View Full Record in Web of Science")</f>
        <v>View Full Record in Web of Science</v>
      </c>
    </row>
    <row r="612" spans="1:72" x14ac:dyDescent="0.2">
      <c r="A612" t="s">
        <v>103</v>
      </c>
      <c r="B612" t="s">
        <v>11722</v>
      </c>
      <c r="C612" t="s">
        <v>74</v>
      </c>
      <c r="D612" t="s">
        <v>74</v>
      </c>
      <c r="E612" t="s">
        <v>74</v>
      </c>
      <c r="F612" t="s">
        <v>11723</v>
      </c>
      <c r="G612" t="s">
        <v>74</v>
      </c>
      <c r="H612" t="s">
        <v>74</v>
      </c>
      <c r="I612" t="s">
        <v>11724</v>
      </c>
      <c r="J612" t="s">
        <v>10310</v>
      </c>
      <c r="K612" t="s">
        <v>74</v>
      </c>
      <c r="L612" t="s">
        <v>74</v>
      </c>
      <c r="M612" t="s">
        <v>79</v>
      </c>
      <c r="N612" t="s">
        <v>108</v>
      </c>
      <c r="O612" t="s">
        <v>74</v>
      </c>
      <c r="P612" t="s">
        <v>74</v>
      </c>
      <c r="Q612" t="s">
        <v>74</v>
      </c>
      <c r="R612" t="s">
        <v>74</v>
      </c>
      <c r="S612" t="s">
        <v>74</v>
      </c>
      <c r="T612" t="s">
        <v>11725</v>
      </c>
      <c r="U612" t="s">
        <v>74</v>
      </c>
      <c r="V612" t="s">
        <v>11726</v>
      </c>
      <c r="W612" t="s">
        <v>11727</v>
      </c>
      <c r="X612" t="s">
        <v>11728</v>
      </c>
      <c r="Y612" t="s">
        <v>11729</v>
      </c>
      <c r="Z612" t="s">
        <v>11730</v>
      </c>
      <c r="AA612" t="s">
        <v>11731</v>
      </c>
      <c r="AB612" t="s">
        <v>11732</v>
      </c>
      <c r="AC612" t="s">
        <v>11733</v>
      </c>
      <c r="AD612" t="s">
        <v>11733</v>
      </c>
      <c r="AE612" t="s">
        <v>11734</v>
      </c>
      <c r="AF612" t="s">
        <v>74</v>
      </c>
      <c r="AG612">
        <v>20</v>
      </c>
      <c r="AH612">
        <v>2</v>
      </c>
      <c r="AI612">
        <v>2</v>
      </c>
      <c r="AJ612">
        <v>13</v>
      </c>
      <c r="AK612">
        <v>13</v>
      </c>
      <c r="AL612" t="s">
        <v>2492</v>
      </c>
      <c r="AM612" t="s">
        <v>461</v>
      </c>
      <c r="AN612" t="s">
        <v>2493</v>
      </c>
      <c r="AO612" t="s">
        <v>74</v>
      </c>
      <c r="AP612" t="s">
        <v>10317</v>
      </c>
      <c r="AQ612" t="s">
        <v>74</v>
      </c>
      <c r="AR612" t="s">
        <v>10318</v>
      </c>
      <c r="AS612" t="s">
        <v>10319</v>
      </c>
      <c r="AT612" t="s">
        <v>11735</v>
      </c>
      <c r="AU612">
        <v>2023</v>
      </c>
      <c r="AV612">
        <v>10</v>
      </c>
      <c r="AW612" t="s">
        <v>74</v>
      </c>
      <c r="AX612" t="s">
        <v>74</v>
      </c>
      <c r="AY612" t="s">
        <v>74</v>
      </c>
      <c r="AZ612" t="s">
        <v>74</v>
      </c>
      <c r="BA612" t="s">
        <v>74</v>
      </c>
      <c r="BB612" t="s">
        <v>74</v>
      </c>
      <c r="BC612" t="s">
        <v>74</v>
      </c>
      <c r="BD612">
        <v>1231436</v>
      </c>
      <c r="BE612" t="s">
        <v>11736</v>
      </c>
      <c r="BF612" t="str">
        <f>HYPERLINK("http://dx.doi.org/10.3389/fmed.2023.1231436","http://dx.doi.org/10.3389/fmed.2023.1231436")</f>
        <v>http://dx.doi.org/10.3389/fmed.2023.1231436</v>
      </c>
      <c r="BG612" t="s">
        <v>74</v>
      </c>
      <c r="BH612" t="s">
        <v>74</v>
      </c>
      <c r="BI612">
        <v>8</v>
      </c>
      <c r="BJ612" t="s">
        <v>3440</v>
      </c>
      <c r="BK612" t="s">
        <v>130</v>
      </c>
      <c r="BL612" t="s">
        <v>3441</v>
      </c>
      <c r="BM612" t="s">
        <v>11737</v>
      </c>
      <c r="BN612">
        <v>37928464</v>
      </c>
      <c r="BO612" t="s">
        <v>4185</v>
      </c>
      <c r="BP612" t="s">
        <v>74</v>
      </c>
      <c r="BQ612" t="s">
        <v>74</v>
      </c>
      <c r="BR612" t="s">
        <v>101</v>
      </c>
      <c r="BS612" t="s">
        <v>11738</v>
      </c>
      <c r="BT612" t="str">
        <f>HYPERLINK("https%3A%2F%2Fwww.webofscience.com%2Fwos%2Fwoscc%2Ffull-record%2FWOS:001092377500001","View Full Record in Web of Science")</f>
        <v>View Full Record in Web of Science</v>
      </c>
    </row>
    <row r="613" spans="1:72" x14ac:dyDescent="0.2">
      <c r="A613" t="s">
        <v>103</v>
      </c>
      <c r="B613" t="s">
        <v>11739</v>
      </c>
      <c r="C613" t="s">
        <v>74</v>
      </c>
      <c r="D613" t="s">
        <v>74</v>
      </c>
      <c r="E613" t="s">
        <v>74</v>
      </c>
      <c r="F613" t="s">
        <v>11740</v>
      </c>
      <c r="G613" t="s">
        <v>74</v>
      </c>
      <c r="H613" t="s">
        <v>74</v>
      </c>
      <c r="I613" t="s">
        <v>11741</v>
      </c>
      <c r="J613" t="s">
        <v>11742</v>
      </c>
      <c r="K613" t="s">
        <v>74</v>
      </c>
      <c r="L613" t="s">
        <v>74</v>
      </c>
      <c r="M613" t="s">
        <v>79</v>
      </c>
      <c r="N613" t="s">
        <v>108</v>
      </c>
      <c r="O613" t="s">
        <v>74</v>
      </c>
      <c r="P613" t="s">
        <v>74</v>
      </c>
      <c r="Q613" t="s">
        <v>74</v>
      </c>
      <c r="R613" t="s">
        <v>74</v>
      </c>
      <c r="S613" t="s">
        <v>74</v>
      </c>
      <c r="T613" t="s">
        <v>74</v>
      </c>
      <c r="U613" t="s">
        <v>11743</v>
      </c>
      <c r="V613" t="s">
        <v>11744</v>
      </c>
      <c r="W613" t="s">
        <v>11745</v>
      </c>
      <c r="X613" t="s">
        <v>11746</v>
      </c>
      <c r="Y613" t="s">
        <v>11747</v>
      </c>
      <c r="Z613" t="s">
        <v>11748</v>
      </c>
      <c r="AA613" t="s">
        <v>11749</v>
      </c>
      <c r="AB613" t="s">
        <v>11750</v>
      </c>
      <c r="AC613" t="s">
        <v>11751</v>
      </c>
      <c r="AD613" t="s">
        <v>11752</v>
      </c>
      <c r="AE613" t="s">
        <v>11753</v>
      </c>
      <c r="AF613" t="s">
        <v>74</v>
      </c>
      <c r="AG613">
        <v>31</v>
      </c>
      <c r="AH613">
        <v>3</v>
      </c>
      <c r="AI613">
        <v>3</v>
      </c>
      <c r="AJ613">
        <v>5</v>
      </c>
      <c r="AK613">
        <v>8</v>
      </c>
      <c r="AL613" t="s">
        <v>11754</v>
      </c>
      <c r="AM613" t="s">
        <v>11755</v>
      </c>
      <c r="AN613" t="s">
        <v>11756</v>
      </c>
      <c r="AO613" t="s">
        <v>11757</v>
      </c>
      <c r="AP613" t="s">
        <v>74</v>
      </c>
      <c r="AQ613" t="s">
        <v>74</v>
      </c>
      <c r="AR613" t="s">
        <v>11742</v>
      </c>
      <c r="AS613" t="s">
        <v>11758</v>
      </c>
      <c r="AT613" t="s">
        <v>5335</v>
      </c>
      <c r="AU613">
        <v>2023</v>
      </c>
      <c r="AV613">
        <v>18</v>
      </c>
      <c r="AW613">
        <v>4</v>
      </c>
      <c r="AX613" t="s">
        <v>74</v>
      </c>
      <c r="AY613" t="s">
        <v>74</v>
      </c>
      <c r="AZ613" t="s">
        <v>74</v>
      </c>
      <c r="BA613" t="s">
        <v>74</v>
      </c>
      <c r="BB613" t="s">
        <v>74</v>
      </c>
      <c r="BC613" t="s">
        <v>74</v>
      </c>
      <c r="BD613" t="s">
        <v>11759</v>
      </c>
      <c r="BE613" t="s">
        <v>11760</v>
      </c>
      <c r="BF613" t="str">
        <f>HYPERLINK("http://dx.doi.org/10.1371/journal.pone.0279349","http://dx.doi.org/10.1371/journal.pone.0279349")</f>
        <v>http://dx.doi.org/10.1371/journal.pone.0279349</v>
      </c>
      <c r="BG613" t="s">
        <v>74</v>
      </c>
      <c r="BH613" t="s">
        <v>74</v>
      </c>
      <c r="BI613">
        <v>13</v>
      </c>
      <c r="BJ613" t="s">
        <v>5686</v>
      </c>
      <c r="BK613" t="s">
        <v>130</v>
      </c>
      <c r="BL613" t="s">
        <v>5687</v>
      </c>
      <c r="BM613" t="s">
        <v>11761</v>
      </c>
      <c r="BN613">
        <v>37043456</v>
      </c>
      <c r="BO613" t="s">
        <v>1728</v>
      </c>
      <c r="BP613" t="s">
        <v>74</v>
      </c>
      <c r="BQ613" t="s">
        <v>74</v>
      </c>
      <c r="BR613" t="s">
        <v>101</v>
      </c>
      <c r="BS613" t="s">
        <v>11762</v>
      </c>
      <c r="BT613" t="str">
        <f>HYPERLINK("https%3A%2F%2Fwww.webofscience.com%2Fwos%2Fwoscc%2Ffull-record%2FWOS:000970555500015","View Full Record in Web of Science")</f>
        <v>View Full Record in Web of Science</v>
      </c>
    </row>
    <row r="614" spans="1:72" x14ac:dyDescent="0.2">
      <c r="A614" t="s">
        <v>72</v>
      </c>
      <c r="B614" t="s">
        <v>11763</v>
      </c>
      <c r="C614" t="s">
        <v>74</v>
      </c>
      <c r="D614" t="s">
        <v>2161</v>
      </c>
      <c r="E614" t="s">
        <v>74</v>
      </c>
      <c r="F614" t="s">
        <v>11764</v>
      </c>
      <c r="G614" t="s">
        <v>74</v>
      </c>
      <c r="H614" t="s">
        <v>74</v>
      </c>
      <c r="I614" t="s">
        <v>11765</v>
      </c>
      <c r="J614" t="s">
        <v>11766</v>
      </c>
      <c r="K614" t="s">
        <v>74</v>
      </c>
      <c r="L614" t="s">
        <v>74</v>
      </c>
      <c r="M614" t="s">
        <v>79</v>
      </c>
      <c r="N614" t="s">
        <v>80</v>
      </c>
      <c r="O614" t="s">
        <v>11767</v>
      </c>
      <c r="P614" t="s">
        <v>914</v>
      </c>
      <c r="Q614" t="s">
        <v>4781</v>
      </c>
      <c r="R614" t="s">
        <v>3661</v>
      </c>
      <c r="S614" t="s">
        <v>74</v>
      </c>
      <c r="T614" t="s">
        <v>11768</v>
      </c>
      <c r="U614" t="s">
        <v>74</v>
      </c>
      <c r="V614" t="s">
        <v>11769</v>
      </c>
      <c r="W614" t="s">
        <v>11770</v>
      </c>
      <c r="X614" t="s">
        <v>11771</v>
      </c>
      <c r="Y614" t="s">
        <v>11772</v>
      </c>
      <c r="Z614" t="s">
        <v>11773</v>
      </c>
      <c r="AA614" t="s">
        <v>11774</v>
      </c>
      <c r="AB614" t="s">
        <v>11775</v>
      </c>
      <c r="AC614" t="s">
        <v>11776</v>
      </c>
      <c r="AD614" t="s">
        <v>11777</v>
      </c>
      <c r="AE614" t="s">
        <v>11778</v>
      </c>
      <c r="AF614" t="s">
        <v>74</v>
      </c>
      <c r="AG614">
        <v>58</v>
      </c>
      <c r="AH614">
        <v>4</v>
      </c>
      <c r="AI614">
        <v>4</v>
      </c>
      <c r="AJ614">
        <v>3</v>
      </c>
      <c r="AK614">
        <v>3</v>
      </c>
      <c r="AL614" t="s">
        <v>92</v>
      </c>
      <c r="AM614" t="s">
        <v>93</v>
      </c>
      <c r="AN614" t="s">
        <v>94</v>
      </c>
      <c r="AO614" t="s">
        <v>74</v>
      </c>
      <c r="AP614" t="s">
        <v>74</v>
      </c>
      <c r="AQ614" t="s">
        <v>11779</v>
      </c>
      <c r="AR614" t="s">
        <v>74</v>
      </c>
      <c r="AS614" t="s">
        <v>74</v>
      </c>
      <c r="AT614" t="s">
        <v>74</v>
      </c>
      <c r="AU614">
        <v>2023</v>
      </c>
      <c r="AV614" t="s">
        <v>74</v>
      </c>
      <c r="AW614" t="s">
        <v>74</v>
      </c>
      <c r="AX614" t="s">
        <v>74</v>
      </c>
      <c r="AY614" t="s">
        <v>74</v>
      </c>
      <c r="AZ614" t="s">
        <v>74</v>
      </c>
      <c r="BA614" t="s">
        <v>74</v>
      </c>
      <c r="BB614" t="s">
        <v>74</v>
      </c>
      <c r="BC614" t="s">
        <v>74</v>
      </c>
      <c r="BD614">
        <v>78</v>
      </c>
      <c r="BE614" t="s">
        <v>11780</v>
      </c>
      <c r="BF614" t="str">
        <f>HYPERLINK("http://dx.doi.org/10.1145/3588432.3591500","http://dx.doi.org/10.1145/3588432.3591500")</f>
        <v>http://dx.doi.org/10.1145/3588432.3591500</v>
      </c>
      <c r="BG614" t="s">
        <v>74</v>
      </c>
      <c r="BH614" t="s">
        <v>74</v>
      </c>
      <c r="BI614">
        <v>11</v>
      </c>
      <c r="BJ614" t="s">
        <v>331</v>
      </c>
      <c r="BK614" t="s">
        <v>98</v>
      </c>
      <c r="BL614" t="s">
        <v>99</v>
      </c>
      <c r="BM614" t="s">
        <v>11781</v>
      </c>
      <c r="BN614" t="s">
        <v>74</v>
      </c>
      <c r="BO614" t="s">
        <v>2310</v>
      </c>
      <c r="BP614" t="s">
        <v>74</v>
      </c>
      <c r="BQ614" t="s">
        <v>74</v>
      </c>
      <c r="BR614" t="s">
        <v>101</v>
      </c>
      <c r="BS614" t="s">
        <v>11782</v>
      </c>
      <c r="BT614" t="str">
        <f>HYPERLINK("https%3A%2F%2Fwww.webofscience.com%2Fwos%2Fwoscc%2Ffull-record%2FWOS:001117690500078","View Full Record in Web of Science")</f>
        <v>View Full Record in Web of Science</v>
      </c>
    </row>
    <row r="615" spans="1:72" x14ac:dyDescent="0.2">
      <c r="A615" t="s">
        <v>103</v>
      </c>
      <c r="B615" t="s">
        <v>11783</v>
      </c>
      <c r="C615" t="s">
        <v>74</v>
      </c>
      <c r="D615" t="s">
        <v>74</v>
      </c>
      <c r="E615" t="s">
        <v>74</v>
      </c>
      <c r="F615" t="s">
        <v>11784</v>
      </c>
      <c r="G615" t="s">
        <v>74</v>
      </c>
      <c r="H615" t="s">
        <v>74</v>
      </c>
      <c r="I615" t="s">
        <v>11785</v>
      </c>
      <c r="J615" t="s">
        <v>11786</v>
      </c>
      <c r="K615" t="s">
        <v>74</v>
      </c>
      <c r="L615" t="s">
        <v>74</v>
      </c>
      <c r="M615" t="s">
        <v>79</v>
      </c>
      <c r="N615" t="s">
        <v>108</v>
      </c>
      <c r="O615" t="s">
        <v>74</v>
      </c>
      <c r="P615" t="s">
        <v>74</v>
      </c>
      <c r="Q615" t="s">
        <v>74</v>
      </c>
      <c r="R615" t="s">
        <v>74</v>
      </c>
      <c r="S615" t="s">
        <v>74</v>
      </c>
      <c r="T615" t="s">
        <v>11787</v>
      </c>
      <c r="U615" t="s">
        <v>11788</v>
      </c>
      <c r="V615" t="s">
        <v>11789</v>
      </c>
      <c r="W615" t="s">
        <v>11790</v>
      </c>
      <c r="X615" t="s">
        <v>11791</v>
      </c>
      <c r="Y615" t="s">
        <v>11792</v>
      </c>
      <c r="Z615" t="s">
        <v>11793</v>
      </c>
      <c r="AA615" t="s">
        <v>11794</v>
      </c>
      <c r="AB615" t="s">
        <v>11795</v>
      </c>
      <c r="AC615" t="s">
        <v>11796</v>
      </c>
      <c r="AD615" t="s">
        <v>11797</v>
      </c>
      <c r="AE615" t="s">
        <v>11798</v>
      </c>
      <c r="AF615" t="s">
        <v>74</v>
      </c>
      <c r="AG615">
        <v>45</v>
      </c>
      <c r="AH615">
        <v>13</v>
      </c>
      <c r="AI615">
        <v>13</v>
      </c>
      <c r="AJ615">
        <v>13</v>
      </c>
      <c r="AK615">
        <v>16</v>
      </c>
      <c r="AL615" t="s">
        <v>764</v>
      </c>
      <c r="AM615" t="s">
        <v>765</v>
      </c>
      <c r="AN615" t="s">
        <v>766</v>
      </c>
      <c r="AO615" t="s">
        <v>11799</v>
      </c>
      <c r="AP615" t="s">
        <v>11800</v>
      </c>
      <c r="AQ615" t="s">
        <v>74</v>
      </c>
      <c r="AR615" t="s">
        <v>11801</v>
      </c>
      <c r="AS615" t="s">
        <v>11802</v>
      </c>
      <c r="AT615" t="s">
        <v>445</v>
      </c>
      <c r="AU615">
        <v>2023</v>
      </c>
      <c r="AV615">
        <v>137</v>
      </c>
      <c r="AW615" t="s">
        <v>74</v>
      </c>
      <c r="AX615" t="s">
        <v>74</v>
      </c>
      <c r="AY615" t="s">
        <v>74</v>
      </c>
      <c r="AZ615" t="s">
        <v>74</v>
      </c>
      <c r="BA615" t="s">
        <v>74</v>
      </c>
      <c r="BB615" t="s">
        <v>74</v>
      </c>
      <c r="BC615" t="s">
        <v>74</v>
      </c>
      <c r="BD615">
        <v>110088</v>
      </c>
      <c r="BE615" t="s">
        <v>11803</v>
      </c>
      <c r="BF615" t="str">
        <f>HYPERLINK("http://dx.doi.org/10.1016/j.asoc.2023.110088","http://dx.doi.org/10.1016/j.asoc.2023.110088")</f>
        <v>http://dx.doi.org/10.1016/j.asoc.2023.110088</v>
      </c>
      <c r="BG615" t="s">
        <v>74</v>
      </c>
      <c r="BH615" t="s">
        <v>1431</v>
      </c>
      <c r="BI615">
        <v>24</v>
      </c>
      <c r="BJ615" t="s">
        <v>1069</v>
      </c>
      <c r="BK615" t="s">
        <v>130</v>
      </c>
      <c r="BL615" t="s">
        <v>99</v>
      </c>
      <c r="BM615" t="s">
        <v>11804</v>
      </c>
      <c r="BN615" t="s">
        <v>74</v>
      </c>
      <c r="BO615" t="s">
        <v>74</v>
      </c>
      <c r="BP615" t="s">
        <v>74</v>
      </c>
      <c r="BQ615" t="s">
        <v>74</v>
      </c>
      <c r="BR615" t="s">
        <v>101</v>
      </c>
      <c r="BS615" t="s">
        <v>11805</v>
      </c>
      <c r="BT615" t="str">
        <f>HYPERLINK("https%3A%2F%2Fwww.webofscience.com%2Fwos%2Fwoscc%2Ffull-record%2FWOS:000995886700001","View Full Record in Web of Science")</f>
        <v>View Full Record in Web of Science</v>
      </c>
    </row>
    <row r="616" spans="1:72" x14ac:dyDescent="0.2">
      <c r="A616" t="s">
        <v>103</v>
      </c>
      <c r="B616" t="s">
        <v>11806</v>
      </c>
      <c r="C616" t="s">
        <v>74</v>
      </c>
      <c r="D616" t="s">
        <v>74</v>
      </c>
      <c r="E616" t="s">
        <v>74</v>
      </c>
      <c r="F616" t="s">
        <v>11807</v>
      </c>
      <c r="G616" t="s">
        <v>74</v>
      </c>
      <c r="H616" t="s">
        <v>74</v>
      </c>
      <c r="I616" t="s">
        <v>11808</v>
      </c>
      <c r="J616" t="s">
        <v>11809</v>
      </c>
      <c r="K616" t="s">
        <v>74</v>
      </c>
      <c r="L616" t="s">
        <v>74</v>
      </c>
      <c r="M616" t="s">
        <v>79</v>
      </c>
      <c r="N616" t="s">
        <v>108</v>
      </c>
      <c r="O616" t="s">
        <v>74</v>
      </c>
      <c r="P616" t="s">
        <v>74</v>
      </c>
      <c r="Q616" t="s">
        <v>74</v>
      </c>
      <c r="R616" t="s">
        <v>74</v>
      </c>
      <c r="S616" t="s">
        <v>74</v>
      </c>
      <c r="T616" t="s">
        <v>11810</v>
      </c>
      <c r="U616" t="s">
        <v>11811</v>
      </c>
      <c r="V616" t="s">
        <v>11812</v>
      </c>
      <c r="W616" t="s">
        <v>11813</v>
      </c>
      <c r="X616" t="s">
        <v>11814</v>
      </c>
      <c r="Y616" t="s">
        <v>11815</v>
      </c>
      <c r="Z616" t="s">
        <v>11816</v>
      </c>
      <c r="AA616" t="s">
        <v>74</v>
      </c>
      <c r="AB616" t="s">
        <v>11817</v>
      </c>
      <c r="AC616" t="s">
        <v>74</v>
      </c>
      <c r="AD616" t="s">
        <v>74</v>
      </c>
      <c r="AE616" t="s">
        <v>74</v>
      </c>
      <c r="AF616" t="s">
        <v>74</v>
      </c>
      <c r="AG616">
        <v>32</v>
      </c>
      <c r="AH616">
        <v>0</v>
      </c>
      <c r="AI616">
        <v>0</v>
      </c>
      <c r="AJ616">
        <v>3</v>
      </c>
      <c r="AK616">
        <v>3</v>
      </c>
      <c r="AL616" t="s">
        <v>3202</v>
      </c>
      <c r="AM616" t="s">
        <v>120</v>
      </c>
      <c r="AN616" t="s">
        <v>3203</v>
      </c>
      <c r="AO616" t="s">
        <v>11818</v>
      </c>
      <c r="AP616" t="s">
        <v>11819</v>
      </c>
      <c r="AQ616" t="s">
        <v>74</v>
      </c>
      <c r="AR616" t="s">
        <v>11820</v>
      </c>
      <c r="AS616" t="s">
        <v>11821</v>
      </c>
      <c r="AT616" t="s">
        <v>11822</v>
      </c>
      <c r="AU616">
        <v>2024</v>
      </c>
      <c r="AV616">
        <v>81</v>
      </c>
      <c r="AW616">
        <v>1</v>
      </c>
      <c r="AX616" t="s">
        <v>74</v>
      </c>
      <c r="AY616" t="s">
        <v>74</v>
      </c>
      <c r="AZ616" t="s">
        <v>74</v>
      </c>
      <c r="BA616" t="s">
        <v>74</v>
      </c>
      <c r="BB616">
        <v>55</v>
      </c>
      <c r="BC616">
        <v>65</v>
      </c>
      <c r="BD616" t="s">
        <v>74</v>
      </c>
      <c r="BE616" t="s">
        <v>11823</v>
      </c>
      <c r="BF616" t="str">
        <f>HYPERLINK("http://dx.doi.org/10.1093/icesjms/fsad170","http://dx.doi.org/10.1093/icesjms/fsad170")</f>
        <v>http://dx.doi.org/10.1093/icesjms/fsad170</v>
      </c>
      <c r="BG616" t="s">
        <v>74</v>
      </c>
      <c r="BH616" t="s">
        <v>157</v>
      </c>
      <c r="BI616">
        <v>11</v>
      </c>
      <c r="BJ616" t="s">
        <v>11824</v>
      </c>
      <c r="BK616" t="s">
        <v>130</v>
      </c>
      <c r="BL616" t="s">
        <v>11824</v>
      </c>
      <c r="BM616" t="s">
        <v>11825</v>
      </c>
      <c r="BN616" t="s">
        <v>74</v>
      </c>
      <c r="BO616" t="s">
        <v>425</v>
      </c>
      <c r="BP616" t="s">
        <v>74</v>
      </c>
      <c r="BQ616" t="s">
        <v>74</v>
      </c>
      <c r="BR616" t="s">
        <v>101</v>
      </c>
      <c r="BS616" t="s">
        <v>11826</v>
      </c>
      <c r="BT616" t="str">
        <f>HYPERLINK("https%3A%2F%2Fwww.webofscience.com%2Fwos%2Fwoscc%2Ffull-record%2FWOS:001097836800001","View Full Record in Web of Science")</f>
        <v>View Full Record in Web of Science</v>
      </c>
    </row>
    <row r="617" spans="1:72" x14ac:dyDescent="0.2">
      <c r="A617" t="s">
        <v>103</v>
      </c>
      <c r="B617" t="s">
        <v>11827</v>
      </c>
      <c r="C617" t="s">
        <v>74</v>
      </c>
      <c r="D617" t="s">
        <v>74</v>
      </c>
      <c r="E617" t="s">
        <v>74</v>
      </c>
      <c r="F617" t="s">
        <v>11828</v>
      </c>
      <c r="G617" t="s">
        <v>74</v>
      </c>
      <c r="H617" t="s">
        <v>74</v>
      </c>
      <c r="I617" t="s">
        <v>11829</v>
      </c>
      <c r="J617" t="s">
        <v>11830</v>
      </c>
      <c r="K617" t="s">
        <v>74</v>
      </c>
      <c r="L617" t="s">
        <v>74</v>
      </c>
      <c r="M617" t="s">
        <v>79</v>
      </c>
      <c r="N617" t="s">
        <v>108</v>
      </c>
      <c r="O617" t="s">
        <v>74</v>
      </c>
      <c r="P617" t="s">
        <v>74</v>
      </c>
      <c r="Q617" t="s">
        <v>74</v>
      </c>
      <c r="R617" t="s">
        <v>74</v>
      </c>
      <c r="S617" t="s">
        <v>74</v>
      </c>
      <c r="T617" t="s">
        <v>74</v>
      </c>
      <c r="U617" t="s">
        <v>11831</v>
      </c>
      <c r="V617" t="s">
        <v>11832</v>
      </c>
      <c r="W617" t="s">
        <v>11833</v>
      </c>
      <c r="X617" t="s">
        <v>11834</v>
      </c>
      <c r="Y617" t="s">
        <v>11835</v>
      </c>
      <c r="Z617" t="s">
        <v>11836</v>
      </c>
      <c r="AA617" t="s">
        <v>11837</v>
      </c>
      <c r="AB617" t="s">
        <v>11838</v>
      </c>
      <c r="AC617" t="s">
        <v>11839</v>
      </c>
      <c r="AD617" t="s">
        <v>11840</v>
      </c>
      <c r="AE617" t="s">
        <v>11841</v>
      </c>
      <c r="AF617" t="s">
        <v>74</v>
      </c>
      <c r="AG617">
        <v>33</v>
      </c>
      <c r="AH617">
        <v>5</v>
      </c>
      <c r="AI617">
        <v>6</v>
      </c>
      <c r="AJ617">
        <v>1</v>
      </c>
      <c r="AK617">
        <v>1</v>
      </c>
      <c r="AL617" t="s">
        <v>547</v>
      </c>
      <c r="AM617" t="s">
        <v>548</v>
      </c>
      <c r="AN617" t="s">
        <v>549</v>
      </c>
      <c r="AO617" t="s">
        <v>11842</v>
      </c>
      <c r="AP617" t="s">
        <v>11843</v>
      </c>
      <c r="AQ617" t="s">
        <v>74</v>
      </c>
      <c r="AR617" t="s">
        <v>11844</v>
      </c>
      <c r="AS617" t="s">
        <v>11845</v>
      </c>
      <c r="AT617" t="s">
        <v>11846</v>
      </c>
      <c r="AU617">
        <v>2023</v>
      </c>
      <c r="AV617">
        <v>19</v>
      </c>
      <c r="AW617">
        <v>9</v>
      </c>
      <c r="AX617" t="s">
        <v>74</v>
      </c>
      <c r="AY617" t="s">
        <v>74</v>
      </c>
      <c r="AZ617" t="s">
        <v>74</v>
      </c>
      <c r="BA617" t="s">
        <v>74</v>
      </c>
      <c r="BB617">
        <v>2484</v>
      </c>
      <c r="BC617">
        <v>2490</v>
      </c>
      <c r="BD617" t="s">
        <v>74</v>
      </c>
      <c r="BE617" t="s">
        <v>11847</v>
      </c>
      <c r="BF617" t="str">
        <f>HYPERLINK("http://dx.doi.org/10.1021/acs.jctc.2c01216","http://dx.doi.org/10.1021/acs.jctc.2c01216")</f>
        <v>http://dx.doi.org/10.1021/acs.jctc.2c01216</v>
      </c>
      <c r="BG617" t="s">
        <v>74</v>
      </c>
      <c r="BH617" t="s">
        <v>793</v>
      </c>
      <c r="BI617">
        <v>7</v>
      </c>
      <c r="BJ617" t="s">
        <v>11848</v>
      </c>
      <c r="BK617" t="s">
        <v>130</v>
      </c>
      <c r="BL617" t="s">
        <v>11849</v>
      </c>
      <c r="BM617" t="s">
        <v>11850</v>
      </c>
      <c r="BN617">
        <v>37043718</v>
      </c>
      <c r="BO617" t="s">
        <v>646</v>
      </c>
      <c r="BP617" t="s">
        <v>74</v>
      </c>
      <c r="BQ617" t="s">
        <v>74</v>
      </c>
      <c r="BR617" t="s">
        <v>101</v>
      </c>
      <c r="BS617" t="s">
        <v>11851</v>
      </c>
      <c r="BT617" t="str">
        <f>HYPERLINK("https%3A%2F%2Fwww.webofscience.com%2Fwos%2Fwoscc%2Ffull-record%2FWOS:000973223200001","View Full Record in Web of Science")</f>
        <v>View Full Record in Web of Science</v>
      </c>
    </row>
    <row r="618" spans="1:72" x14ac:dyDescent="0.2">
      <c r="A618" t="s">
        <v>72</v>
      </c>
      <c r="B618" t="s">
        <v>11852</v>
      </c>
      <c r="C618" t="s">
        <v>74</v>
      </c>
      <c r="D618" t="s">
        <v>74</v>
      </c>
      <c r="E618" t="s">
        <v>75</v>
      </c>
      <c r="F618" t="s">
        <v>11853</v>
      </c>
      <c r="G618" t="s">
        <v>74</v>
      </c>
      <c r="H618" t="s">
        <v>74</v>
      </c>
      <c r="I618" t="s">
        <v>11854</v>
      </c>
      <c r="J618" t="s">
        <v>11855</v>
      </c>
      <c r="K618" t="s">
        <v>74</v>
      </c>
      <c r="L618" t="s">
        <v>74</v>
      </c>
      <c r="M618" t="s">
        <v>79</v>
      </c>
      <c r="N618" t="s">
        <v>80</v>
      </c>
      <c r="O618" t="s">
        <v>11856</v>
      </c>
      <c r="P618" t="s">
        <v>11857</v>
      </c>
      <c r="Q618" t="s">
        <v>11858</v>
      </c>
      <c r="R618" t="s">
        <v>11859</v>
      </c>
      <c r="S618" t="s">
        <v>74</v>
      </c>
      <c r="T618" t="s">
        <v>74</v>
      </c>
      <c r="U618" t="s">
        <v>74</v>
      </c>
      <c r="V618" t="s">
        <v>11860</v>
      </c>
      <c r="W618" t="s">
        <v>11861</v>
      </c>
      <c r="X618" t="s">
        <v>11862</v>
      </c>
      <c r="Y618" t="s">
        <v>11863</v>
      </c>
      <c r="Z618" t="s">
        <v>11864</v>
      </c>
      <c r="AA618" t="s">
        <v>74</v>
      </c>
      <c r="AB618" t="s">
        <v>11865</v>
      </c>
      <c r="AC618" t="s">
        <v>11866</v>
      </c>
      <c r="AD618" t="s">
        <v>11867</v>
      </c>
      <c r="AE618" t="s">
        <v>11868</v>
      </c>
      <c r="AF618" t="s">
        <v>74</v>
      </c>
      <c r="AG618">
        <v>48</v>
      </c>
      <c r="AH618">
        <v>0</v>
      </c>
      <c r="AI618">
        <v>0</v>
      </c>
      <c r="AJ618">
        <v>4</v>
      </c>
      <c r="AK618">
        <v>4</v>
      </c>
      <c r="AL618" t="s">
        <v>92</v>
      </c>
      <c r="AM618" t="s">
        <v>93</v>
      </c>
      <c r="AN618" t="s">
        <v>94</v>
      </c>
      <c r="AO618" t="s">
        <v>74</v>
      </c>
      <c r="AP618" t="s">
        <v>74</v>
      </c>
      <c r="AQ618" t="s">
        <v>11869</v>
      </c>
      <c r="AR618" t="s">
        <v>74</v>
      </c>
      <c r="AS618" t="s">
        <v>74</v>
      </c>
      <c r="AT618" t="s">
        <v>74</v>
      </c>
      <c r="AU618">
        <v>2023</v>
      </c>
      <c r="AV618" t="s">
        <v>74</v>
      </c>
      <c r="AW618" t="s">
        <v>74</v>
      </c>
      <c r="AX618" t="s">
        <v>74</v>
      </c>
      <c r="AY618" t="s">
        <v>74</v>
      </c>
      <c r="AZ618" t="s">
        <v>74</v>
      </c>
      <c r="BA618" t="s">
        <v>74</v>
      </c>
      <c r="BB618">
        <v>294</v>
      </c>
      <c r="BC618">
        <v>297</v>
      </c>
      <c r="BD618" t="s">
        <v>74</v>
      </c>
      <c r="BE618" t="s">
        <v>11870</v>
      </c>
      <c r="BF618" t="str">
        <f>HYPERLINK("http://dx.doi.org/10.1145/3624918.3629547","http://dx.doi.org/10.1145/3624918.3629547")</f>
        <v>http://dx.doi.org/10.1145/3624918.3629547</v>
      </c>
      <c r="BG618" t="s">
        <v>74</v>
      </c>
      <c r="BH618" t="s">
        <v>74</v>
      </c>
      <c r="BI618">
        <v>4</v>
      </c>
      <c r="BJ618" t="s">
        <v>9511</v>
      </c>
      <c r="BK618" t="s">
        <v>98</v>
      </c>
      <c r="BL618" t="s">
        <v>99</v>
      </c>
      <c r="BM618" t="s">
        <v>11871</v>
      </c>
      <c r="BN618" t="s">
        <v>74</v>
      </c>
      <c r="BO618" t="s">
        <v>161</v>
      </c>
      <c r="BP618" t="s">
        <v>74</v>
      </c>
      <c r="BQ618" t="s">
        <v>74</v>
      </c>
      <c r="BR618" t="s">
        <v>101</v>
      </c>
      <c r="BS618" t="s">
        <v>11872</v>
      </c>
      <c r="BT618" t="str">
        <f>HYPERLINK("https%3A%2F%2Fwww.webofscience.com%2Fwos%2Fwoscc%2Ffull-record%2FWOS:001122582700033","View Full Record in Web of Science")</f>
        <v>View Full Record in Web of Science</v>
      </c>
    </row>
    <row r="619" spans="1:72" x14ac:dyDescent="0.2">
      <c r="A619" t="s">
        <v>72</v>
      </c>
      <c r="B619" t="s">
        <v>11873</v>
      </c>
      <c r="C619" t="s">
        <v>74</v>
      </c>
      <c r="D619" t="s">
        <v>74</v>
      </c>
      <c r="E619" t="s">
        <v>284</v>
      </c>
      <c r="F619" t="s">
        <v>11874</v>
      </c>
      <c r="G619" t="s">
        <v>74</v>
      </c>
      <c r="H619" t="s">
        <v>74</v>
      </c>
      <c r="I619" t="s">
        <v>11875</v>
      </c>
      <c r="J619" t="s">
        <v>11081</v>
      </c>
      <c r="K619" t="s">
        <v>11082</v>
      </c>
      <c r="L619" t="s">
        <v>74</v>
      </c>
      <c r="M619" t="s">
        <v>79</v>
      </c>
      <c r="N619" t="s">
        <v>80</v>
      </c>
      <c r="O619" t="s">
        <v>11083</v>
      </c>
      <c r="P619" t="s">
        <v>11084</v>
      </c>
      <c r="Q619" t="s">
        <v>11085</v>
      </c>
      <c r="R619" t="s">
        <v>11086</v>
      </c>
      <c r="S619" t="s">
        <v>74</v>
      </c>
      <c r="T619" t="s">
        <v>74</v>
      </c>
      <c r="U619" t="s">
        <v>74</v>
      </c>
      <c r="V619" t="s">
        <v>11876</v>
      </c>
      <c r="W619" t="s">
        <v>11877</v>
      </c>
      <c r="X619" t="s">
        <v>11878</v>
      </c>
      <c r="Y619" t="s">
        <v>11879</v>
      </c>
      <c r="Z619" t="s">
        <v>11880</v>
      </c>
      <c r="AA619" t="s">
        <v>74</v>
      </c>
      <c r="AB619" t="s">
        <v>74</v>
      </c>
      <c r="AC619" t="s">
        <v>11881</v>
      </c>
      <c r="AD619" t="s">
        <v>11882</v>
      </c>
      <c r="AE619" t="s">
        <v>11883</v>
      </c>
      <c r="AF619" t="s">
        <v>74</v>
      </c>
      <c r="AG619">
        <v>50</v>
      </c>
      <c r="AH619">
        <v>0</v>
      </c>
      <c r="AI619">
        <v>0</v>
      </c>
      <c r="AJ619">
        <v>0</v>
      </c>
      <c r="AK619">
        <v>0</v>
      </c>
      <c r="AL619" t="s">
        <v>638</v>
      </c>
      <c r="AM619" t="s">
        <v>639</v>
      </c>
      <c r="AN619" t="s">
        <v>640</v>
      </c>
      <c r="AO619" t="s">
        <v>11091</v>
      </c>
      <c r="AP619" t="s">
        <v>74</v>
      </c>
      <c r="AQ619" t="s">
        <v>11092</v>
      </c>
      <c r="AR619" t="s">
        <v>11093</v>
      </c>
      <c r="AS619" t="s">
        <v>74</v>
      </c>
      <c r="AT619" t="s">
        <v>74</v>
      </c>
      <c r="AU619">
        <v>2023</v>
      </c>
      <c r="AV619" t="s">
        <v>74</v>
      </c>
      <c r="AW619" t="s">
        <v>74</v>
      </c>
      <c r="AX619" t="s">
        <v>74</v>
      </c>
      <c r="AY619" t="s">
        <v>74</v>
      </c>
      <c r="AZ619" t="s">
        <v>74</v>
      </c>
      <c r="BA619" t="s">
        <v>74</v>
      </c>
      <c r="BB619">
        <v>1010</v>
      </c>
      <c r="BC619">
        <v>1019</v>
      </c>
      <c r="BD619" t="s">
        <v>74</v>
      </c>
      <c r="BE619" t="s">
        <v>11884</v>
      </c>
      <c r="BF619" t="str">
        <f>HYPERLINK("http://dx.doi.org/10.1109/ICCVW60793.2023.00108","http://dx.doi.org/10.1109/ICCVW60793.2023.00108")</f>
        <v>http://dx.doi.org/10.1109/ICCVW60793.2023.00108</v>
      </c>
      <c r="BG619" t="s">
        <v>74</v>
      </c>
      <c r="BH619" t="s">
        <v>74</v>
      </c>
      <c r="BI619">
        <v>10</v>
      </c>
      <c r="BJ619" t="s">
        <v>11095</v>
      </c>
      <c r="BK619" t="s">
        <v>98</v>
      </c>
      <c r="BL619" t="s">
        <v>2179</v>
      </c>
      <c r="BM619" t="s">
        <v>11096</v>
      </c>
      <c r="BN619" t="s">
        <v>74</v>
      </c>
      <c r="BO619" t="s">
        <v>74</v>
      </c>
      <c r="BP619" t="s">
        <v>74</v>
      </c>
      <c r="BQ619" t="s">
        <v>74</v>
      </c>
      <c r="BR619" t="s">
        <v>101</v>
      </c>
      <c r="BS619" t="s">
        <v>11885</v>
      </c>
      <c r="BT619" t="str">
        <f>HYPERLINK("https%3A%2F%2Fwww.webofscience.com%2Fwos%2Fwoscc%2Ffull-record%2FWOS:001156680301010","View Full Record in Web of Science")</f>
        <v>View Full Record in Web of Science</v>
      </c>
    </row>
    <row r="620" spans="1:72" x14ac:dyDescent="0.2">
      <c r="A620" t="s">
        <v>103</v>
      </c>
      <c r="B620" t="s">
        <v>11886</v>
      </c>
      <c r="C620" t="s">
        <v>74</v>
      </c>
      <c r="D620" t="s">
        <v>74</v>
      </c>
      <c r="E620" t="s">
        <v>74</v>
      </c>
      <c r="F620" t="s">
        <v>11887</v>
      </c>
      <c r="G620" t="s">
        <v>74</v>
      </c>
      <c r="H620" t="s">
        <v>74</v>
      </c>
      <c r="I620" t="s">
        <v>11888</v>
      </c>
      <c r="J620" t="s">
        <v>11889</v>
      </c>
      <c r="K620" t="s">
        <v>74</v>
      </c>
      <c r="L620" t="s">
        <v>74</v>
      </c>
      <c r="M620" t="s">
        <v>79</v>
      </c>
      <c r="N620" t="s">
        <v>4779</v>
      </c>
      <c r="O620" t="s">
        <v>11890</v>
      </c>
      <c r="P620" t="s">
        <v>11891</v>
      </c>
      <c r="Q620" t="s">
        <v>11892</v>
      </c>
      <c r="R620" t="s">
        <v>11893</v>
      </c>
      <c r="S620" t="s">
        <v>11894</v>
      </c>
      <c r="T620" t="s">
        <v>11895</v>
      </c>
      <c r="U620" t="s">
        <v>11896</v>
      </c>
      <c r="V620" t="s">
        <v>11897</v>
      </c>
      <c r="W620" t="s">
        <v>11898</v>
      </c>
      <c r="X620" t="s">
        <v>11899</v>
      </c>
      <c r="Y620" t="s">
        <v>11900</v>
      </c>
      <c r="Z620" t="s">
        <v>11901</v>
      </c>
      <c r="AA620" t="s">
        <v>11902</v>
      </c>
      <c r="AB620" t="s">
        <v>11903</v>
      </c>
      <c r="AC620" t="s">
        <v>11904</v>
      </c>
      <c r="AD620" t="s">
        <v>11904</v>
      </c>
      <c r="AE620" t="s">
        <v>11905</v>
      </c>
      <c r="AF620" t="s">
        <v>74</v>
      </c>
      <c r="AG620">
        <v>40</v>
      </c>
      <c r="AH620">
        <v>0</v>
      </c>
      <c r="AI620">
        <v>0</v>
      </c>
      <c r="AJ620">
        <v>1</v>
      </c>
      <c r="AK620">
        <v>1</v>
      </c>
      <c r="AL620" t="s">
        <v>764</v>
      </c>
      <c r="AM620" t="s">
        <v>765</v>
      </c>
      <c r="AN620" t="s">
        <v>766</v>
      </c>
      <c r="AO620" t="s">
        <v>11906</v>
      </c>
      <c r="AP620" t="s">
        <v>74</v>
      </c>
      <c r="AQ620" t="s">
        <v>74</v>
      </c>
      <c r="AR620" t="s">
        <v>11907</v>
      </c>
      <c r="AS620" t="s">
        <v>11908</v>
      </c>
      <c r="AT620" t="s">
        <v>791</v>
      </c>
      <c r="AU620">
        <v>2023</v>
      </c>
      <c r="AV620">
        <v>35</v>
      </c>
      <c r="AW620" t="s">
        <v>74</v>
      </c>
      <c r="AX620" t="s">
        <v>74</v>
      </c>
      <c r="AY620" t="s">
        <v>11909</v>
      </c>
      <c r="AZ620" t="s">
        <v>74</v>
      </c>
      <c r="BA620" t="s">
        <v>74</v>
      </c>
      <c r="BB620">
        <v>1081</v>
      </c>
      <c r="BC620">
        <v>1088</v>
      </c>
      <c r="BD620" t="s">
        <v>74</v>
      </c>
      <c r="BE620" t="s">
        <v>11910</v>
      </c>
      <c r="BF620" t="str">
        <f>HYPERLINK("http://dx.doi.org/10.1016/j.mfglet.2023.08.083","http://dx.doi.org/10.1016/j.mfglet.2023.08.083")</f>
        <v>http://dx.doi.org/10.1016/j.mfglet.2023.08.083</v>
      </c>
      <c r="BG620" t="s">
        <v>74</v>
      </c>
      <c r="BH620" t="s">
        <v>1886</v>
      </c>
      <c r="BI620">
        <v>8</v>
      </c>
      <c r="BJ620" t="s">
        <v>11911</v>
      </c>
      <c r="BK620" t="s">
        <v>352</v>
      </c>
      <c r="BL620" t="s">
        <v>1797</v>
      </c>
      <c r="BM620" t="s">
        <v>11912</v>
      </c>
      <c r="BN620" t="s">
        <v>74</v>
      </c>
      <c r="BO620" t="s">
        <v>74</v>
      </c>
      <c r="BP620" t="s">
        <v>74</v>
      </c>
      <c r="BQ620" t="s">
        <v>74</v>
      </c>
      <c r="BR620" t="s">
        <v>101</v>
      </c>
      <c r="BS620" t="s">
        <v>11913</v>
      </c>
      <c r="BT620" t="str">
        <f>HYPERLINK("https%3A%2F%2Fwww.webofscience.com%2Fwos%2Fwoscc%2Ffull-record%2FWOS:001089014800126","View Full Record in Web of Science")</f>
        <v>View Full Record in Web of Science</v>
      </c>
    </row>
    <row r="621" spans="1:72" x14ac:dyDescent="0.2">
      <c r="A621" t="s">
        <v>72</v>
      </c>
      <c r="B621" t="s">
        <v>11914</v>
      </c>
      <c r="C621" t="s">
        <v>74</v>
      </c>
      <c r="D621" t="s">
        <v>74</v>
      </c>
      <c r="E621" t="s">
        <v>284</v>
      </c>
      <c r="F621" t="s">
        <v>11915</v>
      </c>
      <c r="G621" t="s">
        <v>74</v>
      </c>
      <c r="H621" t="s">
        <v>74</v>
      </c>
      <c r="I621" t="s">
        <v>11916</v>
      </c>
      <c r="J621" t="s">
        <v>10100</v>
      </c>
      <c r="K621" t="s">
        <v>8246</v>
      </c>
      <c r="L621" t="s">
        <v>74</v>
      </c>
      <c r="M621" t="s">
        <v>79</v>
      </c>
      <c r="N621" t="s">
        <v>80</v>
      </c>
      <c r="O621" t="s">
        <v>8247</v>
      </c>
      <c r="P621" t="s">
        <v>8248</v>
      </c>
      <c r="Q621" t="s">
        <v>6017</v>
      </c>
      <c r="R621" t="s">
        <v>8249</v>
      </c>
      <c r="S621" t="s">
        <v>74</v>
      </c>
      <c r="T621" t="s">
        <v>74</v>
      </c>
      <c r="U621" t="s">
        <v>74</v>
      </c>
      <c r="V621" t="s">
        <v>11917</v>
      </c>
      <c r="W621" t="s">
        <v>11918</v>
      </c>
      <c r="X621" t="s">
        <v>11919</v>
      </c>
      <c r="Y621" t="s">
        <v>11920</v>
      </c>
      <c r="Z621" t="s">
        <v>74</v>
      </c>
      <c r="AA621" t="s">
        <v>11921</v>
      </c>
      <c r="AB621" t="s">
        <v>11922</v>
      </c>
      <c r="AC621" t="s">
        <v>11923</v>
      </c>
      <c r="AD621" t="s">
        <v>11924</v>
      </c>
      <c r="AE621" t="s">
        <v>11925</v>
      </c>
      <c r="AF621" t="s">
        <v>74</v>
      </c>
      <c r="AG621">
        <v>55</v>
      </c>
      <c r="AH621">
        <v>0</v>
      </c>
      <c r="AI621">
        <v>0</v>
      </c>
      <c r="AJ621">
        <v>0</v>
      </c>
      <c r="AK621">
        <v>0</v>
      </c>
      <c r="AL621" t="s">
        <v>638</v>
      </c>
      <c r="AM621" t="s">
        <v>639</v>
      </c>
      <c r="AN621" t="s">
        <v>640</v>
      </c>
      <c r="AO621" t="s">
        <v>8260</v>
      </c>
      <c r="AP621" t="s">
        <v>74</v>
      </c>
      <c r="AQ621" t="s">
        <v>8261</v>
      </c>
      <c r="AR621" t="s">
        <v>8262</v>
      </c>
      <c r="AS621" t="s">
        <v>74</v>
      </c>
      <c r="AT621" t="s">
        <v>74</v>
      </c>
      <c r="AU621">
        <v>2023</v>
      </c>
      <c r="AV621" t="s">
        <v>74</v>
      </c>
      <c r="AW621" t="s">
        <v>74</v>
      </c>
      <c r="AX621" t="s">
        <v>74</v>
      </c>
      <c r="AY621" t="s">
        <v>74</v>
      </c>
      <c r="AZ621" t="s">
        <v>74</v>
      </c>
      <c r="BA621" t="s">
        <v>74</v>
      </c>
      <c r="BB621">
        <v>4541</v>
      </c>
      <c r="BC621">
        <v>4551</v>
      </c>
      <c r="BD621" t="s">
        <v>74</v>
      </c>
      <c r="BE621" t="s">
        <v>11926</v>
      </c>
      <c r="BF621" t="str">
        <f>HYPERLINK("http://dx.doi.org/10.1109/CVPR52729.2023.00441","http://dx.doi.org/10.1109/CVPR52729.2023.00441")</f>
        <v>http://dx.doi.org/10.1109/CVPR52729.2023.00441</v>
      </c>
      <c r="BG621" t="s">
        <v>74</v>
      </c>
      <c r="BH621" t="s">
        <v>74</v>
      </c>
      <c r="BI621">
        <v>11</v>
      </c>
      <c r="BJ621" t="s">
        <v>10109</v>
      </c>
      <c r="BK621" t="s">
        <v>98</v>
      </c>
      <c r="BL621" t="s">
        <v>99</v>
      </c>
      <c r="BM621" t="s">
        <v>10110</v>
      </c>
      <c r="BN621" t="s">
        <v>74</v>
      </c>
      <c r="BO621" t="s">
        <v>646</v>
      </c>
      <c r="BP621" t="s">
        <v>74</v>
      </c>
      <c r="BQ621" t="s">
        <v>74</v>
      </c>
      <c r="BR621" t="s">
        <v>101</v>
      </c>
      <c r="BS621" t="s">
        <v>11927</v>
      </c>
      <c r="BT621" t="str">
        <f>HYPERLINK("https%3A%2F%2Fwww.webofscience.com%2Fwos%2Fwoscc%2Ffull-record%2FWOS:001058542604084","View Full Record in Web of Science")</f>
        <v>View Full Record in Web of Science</v>
      </c>
    </row>
    <row r="622" spans="1:72" x14ac:dyDescent="0.2">
      <c r="A622" t="s">
        <v>103</v>
      </c>
      <c r="B622" t="s">
        <v>11928</v>
      </c>
      <c r="C622" t="s">
        <v>74</v>
      </c>
      <c r="D622" t="s">
        <v>74</v>
      </c>
      <c r="E622" t="s">
        <v>74</v>
      </c>
      <c r="F622" t="s">
        <v>11929</v>
      </c>
      <c r="G622" t="s">
        <v>74</v>
      </c>
      <c r="H622" t="s">
        <v>74</v>
      </c>
      <c r="I622" t="s">
        <v>11930</v>
      </c>
      <c r="J622" t="s">
        <v>8365</v>
      </c>
      <c r="K622" t="s">
        <v>74</v>
      </c>
      <c r="L622" t="s">
        <v>74</v>
      </c>
      <c r="M622" t="s">
        <v>79</v>
      </c>
      <c r="N622" t="s">
        <v>108</v>
      </c>
      <c r="O622" t="s">
        <v>74</v>
      </c>
      <c r="P622" t="s">
        <v>74</v>
      </c>
      <c r="Q622" t="s">
        <v>74</v>
      </c>
      <c r="R622" t="s">
        <v>74</v>
      </c>
      <c r="S622" t="s">
        <v>74</v>
      </c>
      <c r="T622" t="s">
        <v>11931</v>
      </c>
      <c r="U622" t="s">
        <v>11932</v>
      </c>
      <c r="V622" t="s">
        <v>11933</v>
      </c>
      <c r="W622" t="s">
        <v>11934</v>
      </c>
      <c r="X622" t="s">
        <v>74</v>
      </c>
      <c r="Y622" t="s">
        <v>11935</v>
      </c>
      <c r="Z622" t="s">
        <v>11936</v>
      </c>
      <c r="AA622" t="s">
        <v>11937</v>
      </c>
      <c r="AB622" t="s">
        <v>11938</v>
      </c>
      <c r="AC622" t="s">
        <v>74</v>
      </c>
      <c r="AD622" t="s">
        <v>74</v>
      </c>
      <c r="AE622" t="s">
        <v>74</v>
      </c>
      <c r="AF622" t="s">
        <v>74</v>
      </c>
      <c r="AG622">
        <v>98</v>
      </c>
      <c r="AH622">
        <v>5</v>
      </c>
      <c r="AI622">
        <v>5</v>
      </c>
      <c r="AJ622">
        <v>19</v>
      </c>
      <c r="AK622">
        <v>24</v>
      </c>
      <c r="AL622" t="s">
        <v>547</v>
      </c>
      <c r="AM622" t="s">
        <v>548</v>
      </c>
      <c r="AN622" t="s">
        <v>549</v>
      </c>
      <c r="AO622" t="s">
        <v>8375</v>
      </c>
      <c r="AP622" t="s">
        <v>74</v>
      </c>
      <c r="AQ622" t="s">
        <v>74</v>
      </c>
      <c r="AR622" t="s">
        <v>8376</v>
      </c>
      <c r="AS622" t="s">
        <v>8377</v>
      </c>
      <c r="AT622" t="s">
        <v>11939</v>
      </c>
      <c r="AU622">
        <v>2023</v>
      </c>
      <c r="AV622">
        <v>14</v>
      </c>
      <c r="AW622">
        <v>7</v>
      </c>
      <c r="AX622" t="s">
        <v>74</v>
      </c>
      <c r="AY622" t="s">
        <v>74</v>
      </c>
      <c r="AZ622" t="s">
        <v>74</v>
      </c>
      <c r="BA622" t="s">
        <v>74</v>
      </c>
      <c r="BB622">
        <v>901</v>
      </c>
      <c r="BC622">
        <v>915</v>
      </c>
      <c r="BD622" t="s">
        <v>74</v>
      </c>
      <c r="BE622" t="s">
        <v>11940</v>
      </c>
      <c r="BF622" t="str">
        <f>HYPERLINK("http://dx.doi.org/10.1021/acsmedchemlett.3c00041","http://dx.doi.org/10.1021/acsmedchemlett.3c00041")</f>
        <v>http://dx.doi.org/10.1021/acsmedchemlett.3c00041</v>
      </c>
      <c r="BG622" t="s">
        <v>74</v>
      </c>
      <c r="BH622" t="s">
        <v>1910</v>
      </c>
      <c r="BI622">
        <v>15</v>
      </c>
      <c r="BJ622" t="s">
        <v>8380</v>
      </c>
      <c r="BK622" t="s">
        <v>130</v>
      </c>
      <c r="BL622" t="s">
        <v>1726</v>
      </c>
      <c r="BM622" t="s">
        <v>11941</v>
      </c>
      <c r="BN622">
        <v>37465301</v>
      </c>
      <c r="BO622" t="s">
        <v>1214</v>
      </c>
      <c r="BP622" t="s">
        <v>74</v>
      </c>
      <c r="BQ622" t="s">
        <v>74</v>
      </c>
      <c r="BR622" t="s">
        <v>101</v>
      </c>
      <c r="BS622" t="s">
        <v>11942</v>
      </c>
      <c r="BT622" t="str">
        <f>HYPERLINK("https%3A%2F%2Fwww.webofscience.com%2Fwos%2Fwoscc%2Ffull-record%2FWOS:001020627700001","View Full Record in Web of Science")</f>
        <v>View Full Record in Web of Science</v>
      </c>
    </row>
    <row r="623" spans="1:72" x14ac:dyDescent="0.2">
      <c r="A623" t="s">
        <v>103</v>
      </c>
      <c r="B623" t="s">
        <v>11943</v>
      </c>
      <c r="C623" t="s">
        <v>74</v>
      </c>
      <c r="D623" t="s">
        <v>74</v>
      </c>
      <c r="E623" t="s">
        <v>74</v>
      </c>
      <c r="F623" t="s">
        <v>11944</v>
      </c>
      <c r="G623" t="s">
        <v>74</v>
      </c>
      <c r="H623" t="s">
        <v>74</v>
      </c>
      <c r="I623" t="s">
        <v>11945</v>
      </c>
      <c r="J623" t="s">
        <v>11946</v>
      </c>
      <c r="K623" t="s">
        <v>74</v>
      </c>
      <c r="L623" t="s">
        <v>74</v>
      </c>
      <c r="M623" t="s">
        <v>79</v>
      </c>
      <c r="N623" t="s">
        <v>108</v>
      </c>
      <c r="O623" t="s">
        <v>74</v>
      </c>
      <c r="P623" t="s">
        <v>74</v>
      </c>
      <c r="Q623" t="s">
        <v>74</v>
      </c>
      <c r="R623" t="s">
        <v>74</v>
      </c>
      <c r="S623" t="s">
        <v>74</v>
      </c>
      <c r="T623" t="s">
        <v>11947</v>
      </c>
      <c r="U623" t="s">
        <v>74</v>
      </c>
      <c r="V623" t="s">
        <v>11948</v>
      </c>
      <c r="W623" t="s">
        <v>11949</v>
      </c>
      <c r="X623" t="s">
        <v>11950</v>
      </c>
      <c r="Y623" t="s">
        <v>11951</v>
      </c>
      <c r="Z623" t="s">
        <v>11952</v>
      </c>
      <c r="AA623" t="s">
        <v>11953</v>
      </c>
      <c r="AB623" t="s">
        <v>11954</v>
      </c>
      <c r="AC623" t="s">
        <v>11955</v>
      </c>
      <c r="AD623" t="s">
        <v>11955</v>
      </c>
      <c r="AE623" t="s">
        <v>11955</v>
      </c>
      <c r="AF623" t="s">
        <v>74</v>
      </c>
      <c r="AG623">
        <v>29</v>
      </c>
      <c r="AH623">
        <v>0</v>
      </c>
      <c r="AI623">
        <v>0</v>
      </c>
      <c r="AJ623">
        <v>9</v>
      </c>
      <c r="AK623">
        <v>9</v>
      </c>
      <c r="AL623" t="s">
        <v>2377</v>
      </c>
      <c r="AM623" t="s">
        <v>738</v>
      </c>
      <c r="AN623" t="s">
        <v>2378</v>
      </c>
      <c r="AO623" t="s">
        <v>11956</v>
      </c>
      <c r="AP623" t="s">
        <v>11957</v>
      </c>
      <c r="AQ623" t="s">
        <v>74</v>
      </c>
      <c r="AR623" t="s">
        <v>11958</v>
      </c>
      <c r="AS623" t="s">
        <v>11959</v>
      </c>
      <c r="AT623" t="s">
        <v>1908</v>
      </c>
      <c r="AU623">
        <v>2024</v>
      </c>
      <c r="AV623">
        <v>58</v>
      </c>
      <c r="AW623">
        <v>1</v>
      </c>
      <c r="AX623" t="s">
        <v>74</v>
      </c>
      <c r="AY623" t="s">
        <v>74</v>
      </c>
      <c r="AZ623" t="s">
        <v>253</v>
      </c>
      <c r="BA623" t="s">
        <v>74</v>
      </c>
      <c r="BB623">
        <v>74</v>
      </c>
      <c r="BC623">
        <v>88</v>
      </c>
      <c r="BD623" t="s">
        <v>74</v>
      </c>
      <c r="BE623" t="s">
        <v>11960</v>
      </c>
      <c r="BF623" t="str">
        <f>HYPERLINK("http://dx.doi.org/10.1080/04250494.2023.2271971","http://dx.doi.org/10.1080/04250494.2023.2271971")</f>
        <v>http://dx.doi.org/10.1080/04250494.2023.2271971</v>
      </c>
      <c r="BG623" t="s">
        <v>74</v>
      </c>
      <c r="BH623" t="s">
        <v>157</v>
      </c>
      <c r="BI623">
        <v>15</v>
      </c>
      <c r="BJ623" t="s">
        <v>423</v>
      </c>
      <c r="BK623" t="s">
        <v>159</v>
      </c>
      <c r="BL623" t="s">
        <v>423</v>
      </c>
      <c r="BM623" t="s">
        <v>11961</v>
      </c>
      <c r="BN623" t="s">
        <v>74</v>
      </c>
      <c r="BO623" t="s">
        <v>74</v>
      </c>
      <c r="BP623" t="s">
        <v>74</v>
      </c>
      <c r="BQ623" t="s">
        <v>74</v>
      </c>
      <c r="BR623" t="s">
        <v>101</v>
      </c>
      <c r="BS623" t="s">
        <v>11962</v>
      </c>
      <c r="BT623" t="str">
        <f>HYPERLINK("https%3A%2F%2Fwww.webofscience.com%2Fwos%2Fwoscc%2Ffull-record%2FWOS:001092281400001","View Full Record in Web of Science")</f>
        <v>View Full Record in Web of Science</v>
      </c>
    </row>
    <row r="624" spans="1:72" x14ac:dyDescent="0.2">
      <c r="A624" t="s">
        <v>103</v>
      </c>
      <c r="B624" t="s">
        <v>11963</v>
      </c>
      <c r="C624" t="s">
        <v>74</v>
      </c>
      <c r="D624" t="s">
        <v>74</v>
      </c>
      <c r="E624" t="s">
        <v>74</v>
      </c>
      <c r="F624" t="s">
        <v>11964</v>
      </c>
      <c r="G624" t="s">
        <v>74</v>
      </c>
      <c r="H624" t="s">
        <v>74</v>
      </c>
      <c r="I624" t="s">
        <v>11965</v>
      </c>
      <c r="J624" t="s">
        <v>2433</v>
      </c>
      <c r="K624" t="s">
        <v>74</v>
      </c>
      <c r="L624" t="s">
        <v>74</v>
      </c>
      <c r="M624" t="s">
        <v>79</v>
      </c>
      <c r="N624" t="s">
        <v>108</v>
      </c>
      <c r="O624" t="s">
        <v>74</v>
      </c>
      <c r="P624" t="s">
        <v>74</v>
      </c>
      <c r="Q624" t="s">
        <v>74</v>
      </c>
      <c r="R624" t="s">
        <v>74</v>
      </c>
      <c r="S624" t="s">
        <v>74</v>
      </c>
      <c r="T624" t="s">
        <v>11966</v>
      </c>
      <c r="U624" t="s">
        <v>11967</v>
      </c>
      <c r="V624" t="s">
        <v>11968</v>
      </c>
      <c r="W624" t="s">
        <v>11969</v>
      </c>
      <c r="X624" t="s">
        <v>11970</v>
      </c>
      <c r="Y624" t="s">
        <v>11971</v>
      </c>
      <c r="Z624" t="s">
        <v>11972</v>
      </c>
      <c r="AA624" t="s">
        <v>11973</v>
      </c>
      <c r="AB624" t="s">
        <v>11974</v>
      </c>
      <c r="AC624" t="s">
        <v>74</v>
      </c>
      <c r="AD624" t="s">
        <v>74</v>
      </c>
      <c r="AE624" t="s">
        <v>74</v>
      </c>
      <c r="AF624" t="s">
        <v>74</v>
      </c>
      <c r="AG624">
        <v>18</v>
      </c>
      <c r="AH624">
        <v>1</v>
      </c>
      <c r="AI624">
        <v>1</v>
      </c>
      <c r="AJ624">
        <v>6</v>
      </c>
      <c r="AK624">
        <v>12</v>
      </c>
      <c r="AL624" t="s">
        <v>939</v>
      </c>
      <c r="AM624" t="s">
        <v>940</v>
      </c>
      <c r="AN624" t="s">
        <v>941</v>
      </c>
      <c r="AO624" t="s">
        <v>74</v>
      </c>
      <c r="AP624" t="s">
        <v>2444</v>
      </c>
      <c r="AQ624" t="s">
        <v>74</v>
      </c>
      <c r="AR624" t="s">
        <v>2445</v>
      </c>
      <c r="AS624" t="s">
        <v>2446</v>
      </c>
      <c r="AT624" t="s">
        <v>2016</v>
      </c>
      <c r="AU624">
        <v>2023</v>
      </c>
      <c r="AV624">
        <v>13</v>
      </c>
      <c r="AW624">
        <v>2</v>
      </c>
      <c r="AX624" t="s">
        <v>74</v>
      </c>
      <c r="AY624" t="s">
        <v>74</v>
      </c>
      <c r="AZ624" t="s">
        <v>74</v>
      </c>
      <c r="BA624" t="s">
        <v>74</v>
      </c>
      <c r="BB624" t="s">
        <v>74</v>
      </c>
      <c r="BC624" t="s">
        <v>74</v>
      </c>
      <c r="BD624">
        <v>804</v>
      </c>
      <c r="BE624" t="s">
        <v>11975</v>
      </c>
      <c r="BF624" t="str">
        <f>HYPERLINK("http://dx.doi.org/10.3390/app13020804","http://dx.doi.org/10.3390/app13020804")</f>
        <v>http://dx.doi.org/10.3390/app13020804</v>
      </c>
      <c r="BG624" t="s">
        <v>74</v>
      </c>
      <c r="BH624" t="s">
        <v>74</v>
      </c>
      <c r="BI624">
        <v>16</v>
      </c>
      <c r="BJ624" t="s">
        <v>2448</v>
      </c>
      <c r="BK624" t="s">
        <v>130</v>
      </c>
      <c r="BL624" t="s">
        <v>2449</v>
      </c>
      <c r="BM624" t="s">
        <v>11976</v>
      </c>
      <c r="BN624" t="s">
        <v>74</v>
      </c>
      <c r="BO624" t="s">
        <v>425</v>
      </c>
      <c r="BP624" t="s">
        <v>74</v>
      </c>
      <c r="BQ624" t="s">
        <v>74</v>
      </c>
      <c r="BR624" t="s">
        <v>101</v>
      </c>
      <c r="BS624" t="s">
        <v>11977</v>
      </c>
      <c r="BT624" t="str">
        <f>HYPERLINK("https%3A%2F%2Fwww.webofscience.com%2Fwos%2Fwoscc%2Ffull-record%2FWOS:000914404000001","View Full Record in Web of Science")</f>
        <v>View Full Record in Web of Science</v>
      </c>
    </row>
    <row r="625" spans="1:72" x14ac:dyDescent="0.2">
      <c r="A625" t="s">
        <v>103</v>
      </c>
      <c r="B625" t="s">
        <v>11978</v>
      </c>
      <c r="C625" t="s">
        <v>74</v>
      </c>
      <c r="D625" t="s">
        <v>74</v>
      </c>
      <c r="E625" t="s">
        <v>74</v>
      </c>
      <c r="F625" t="s">
        <v>11979</v>
      </c>
      <c r="G625" t="s">
        <v>74</v>
      </c>
      <c r="H625" t="s">
        <v>74</v>
      </c>
      <c r="I625" t="s">
        <v>11980</v>
      </c>
      <c r="J625" t="s">
        <v>4688</v>
      </c>
      <c r="K625" t="s">
        <v>74</v>
      </c>
      <c r="L625" t="s">
        <v>74</v>
      </c>
      <c r="M625" t="s">
        <v>79</v>
      </c>
      <c r="N625" t="s">
        <v>108</v>
      </c>
      <c r="O625" t="s">
        <v>74</v>
      </c>
      <c r="P625" t="s">
        <v>74</v>
      </c>
      <c r="Q625" t="s">
        <v>74</v>
      </c>
      <c r="R625" t="s">
        <v>74</v>
      </c>
      <c r="S625" t="s">
        <v>74</v>
      </c>
      <c r="T625" t="s">
        <v>74</v>
      </c>
      <c r="U625" t="s">
        <v>11981</v>
      </c>
      <c r="V625" t="s">
        <v>11982</v>
      </c>
      <c r="W625" t="s">
        <v>11983</v>
      </c>
      <c r="X625" t="s">
        <v>11984</v>
      </c>
      <c r="Y625" t="s">
        <v>11985</v>
      </c>
      <c r="Z625" t="s">
        <v>11986</v>
      </c>
      <c r="AA625" t="s">
        <v>11987</v>
      </c>
      <c r="AB625" t="s">
        <v>11988</v>
      </c>
      <c r="AC625" t="s">
        <v>11989</v>
      </c>
      <c r="AD625" t="s">
        <v>11990</v>
      </c>
      <c r="AE625" t="s">
        <v>11991</v>
      </c>
      <c r="AF625" t="s">
        <v>74</v>
      </c>
      <c r="AG625">
        <v>35</v>
      </c>
      <c r="AH625">
        <v>5</v>
      </c>
      <c r="AI625">
        <v>6</v>
      </c>
      <c r="AJ625">
        <v>2</v>
      </c>
      <c r="AK625">
        <v>4</v>
      </c>
      <c r="AL625" t="s">
        <v>11992</v>
      </c>
      <c r="AM625" t="s">
        <v>11993</v>
      </c>
      <c r="AN625" t="s">
        <v>11994</v>
      </c>
      <c r="AO625" t="s">
        <v>11995</v>
      </c>
      <c r="AP625" t="s">
        <v>74</v>
      </c>
      <c r="AQ625" t="s">
        <v>74</v>
      </c>
      <c r="AR625" t="s">
        <v>4688</v>
      </c>
      <c r="AS625" t="s">
        <v>11996</v>
      </c>
      <c r="AT625" t="s">
        <v>445</v>
      </c>
      <c r="AU625">
        <v>2023</v>
      </c>
      <c r="AV625">
        <v>307</v>
      </c>
      <c r="AW625">
        <v>2</v>
      </c>
      <c r="AX625" t="s">
        <v>74</v>
      </c>
      <c r="AY625" t="s">
        <v>74</v>
      </c>
      <c r="AZ625" t="s">
        <v>74</v>
      </c>
      <c r="BA625" t="s">
        <v>74</v>
      </c>
      <c r="BB625" t="s">
        <v>74</v>
      </c>
      <c r="BC625" t="s">
        <v>74</v>
      </c>
      <c r="BD625" t="s">
        <v>74</v>
      </c>
      <c r="BE625" t="s">
        <v>11997</v>
      </c>
      <c r="BF625" t="str">
        <f>HYPERLINK("http://dx.doi.org/10.1148/radiol.221425","http://dx.doi.org/10.1148/radiol.221425")</f>
        <v>http://dx.doi.org/10.1148/radiol.221425</v>
      </c>
      <c r="BG625" t="s">
        <v>74</v>
      </c>
      <c r="BH625" t="s">
        <v>74</v>
      </c>
      <c r="BI625">
        <v>8</v>
      </c>
      <c r="BJ625" t="s">
        <v>5360</v>
      </c>
      <c r="BK625" t="s">
        <v>130</v>
      </c>
      <c r="BL625" t="s">
        <v>5360</v>
      </c>
      <c r="BM625" t="s">
        <v>11998</v>
      </c>
      <c r="BN625">
        <v>36749211</v>
      </c>
      <c r="BO625" t="s">
        <v>646</v>
      </c>
      <c r="BP625" t="s">
        <v>74</v>
      </c>
      <c r="BQ625" t="s">
        <v>74</v>
      </c>
      <c r="BR625" t="s">
        <v>101</v>
      </c>
      <c r="BS625" t="s">
        <v>11999</v>
      </c>
      <c r="BT625" t="str">
        <f>HYPERLINK("https%3A%2F%2Fwww.webofscience.com%2Fwos%2Fwoscc%2Ffull-record%2FWOS:000989675600018","View Full Record in Web of Science")</f>
        <v>View Full Record in Web of Science</v>
      </c>
    </row>
    <row r="626" spans="1:72" x14ac:dyDescent="0.2">
      <c r="A626" t="s">
        <v>72</v>
      </c>
      <c r="B626" t="s">
        <v>12000</v>
      </c>
      <c r="C626" t="s">
        <v>74</v>
      </c>
      <c r="D626" t="s">
        <v>74</v>
      </c>
      <c r="E626" t="s">
        <v>75</v>
      </c>
      <c r="F626" t="s">
        <v>12001</v>
      </c>
      <c r="G626" t="s">
        <v>74</v>
      </c>
      <c r="H626" t="s">
        <v>74</v>
      </c>
      <c r="I626" t="s">
        <v>12002</v>
      </c>
      <c r="J626" t="s">
        <v>1264</v>
      </c>
      <c r="K626" t="s">
        <v>74</v>
      </c>
      <c r="L626" t="s">
        <v>74</v>
      </c>
      <c r="M626" t="s">
        <v>79</v>
      </c>
      <c r="N626" t="s">
        <v>80</v>
      </c>
      <c r="O626" t="s">
        <v>1265</v>
      </c>
      <c r="P626" t="s">
        <v>290</v>
      </c>
      <c r="Q626" t="s">
        <v>1266</v>
      </c>
      <c r="R626" t="s">
        <v>1267</v>
      </c>
      <c r="S626" t="s">
        <v>74</v>
      </c>
      <c r="T626" t="s">
        <v>12003</v>
      </c>
      <c r="U626" t="s">
        <v>74</v>
      </c>
      <c r="V626" t="s">
        <v>12004</v>
      </c>
      <c r="W626" t="s">
        <v>12005</v>
      </c>
      <c r="X626" t="s">
        <v>12006</v>
      </c>
      <c r="Y626" t="s">
        <v>12007</v>
      </c>
      <c r="Z626" t="s">
        <v>12008</v>
      </c>
      <c r="AA626" t="s">
        <v>74</v>
      </c>
      <c r="AB626" t="s">
        <v>74</v>
      </c>
      <c r="AC626" t="s">
        <v>74</v>
      </c>
      <c r="AD626" t="s">
        <v>74</v>
      </c>
      <c r="AE626" t="s">
        <v>74</v>
      </c>
      <c r="AF626" t="s">
        <v>74</v>
      </c>
      <c r="AG626">
        <v>67</v>
      </c>
      <c r="AH626">
        <v>0</v>
      </c>
      <c r="AI626">
        <v>0</v>
      </c>
      <c r="AJ626">
        <v>33</v>
      </c>
      <c r="AK626">
        <v>33</v>
      </c>
      <c r="AL626" t="s">
        <v>92</v>
      </c>
      <c r="AM626" t="s">
        <v>93</v>
      </c>
      <c r="AN626" t="s">
        <v>94</v>
      </c>
      <c r="AO626" t="s">
        <v>74</v>
      </c>
      <c r="AP626" t="s">
        <v>74</v>
      </c>
      <c r="AQ626" t="s">
        <v>1278</v>
      </c>
      <c r="AR626" t="s">
        <v>74</v>
      </c>
      <c r="AS626" t="s">
        <v>74</v>
      </c>
      <c r="AT626" t="s">
        <v>74</v>
      </c>
      <c r="AU626">
        <v>2023</v>
      </c>
      <c r="AV626" t="s">
        <v>74</v>
      </c>
      <c r="AW626" t="s">
        <v>74</v>
      </c>
      <c r="AX626" t="s">
        <v>74</v>
      </c>
      <c r="AY626" t="s">
        <v>74</v>
      </c>
      <c r="AZ626" t="s">
        <v>74</v>
      </c>
      <c r="BA626" t="s">
        <v>74</v>
      </c>
      <c r="BB626">
        <v>374</v>
      </c>
      <c r="BC626">
        <v>382</v>
      </c>
      <c r="BD626" t="s">
        <v>74</v>
      </c>
      <c r="BE626" t="s">
        <v>12009</v>
      </c>
      <c r="BF626" t="str">
        <f>HYPERLINK("http://dx.doi.org/10.1145/3604237.3626869","http://dx.doi.org/10.1145/3604237.3626869")</f>
        <v>http://dx.doi.org/10.1145/3604237.3626869</v>
      </c>
      <c r="BG626" t="s">
        <v>74</v>
      </c>
      <c r="BH626" t="s">
        <v>74</v>
      </c>
      <c r="BI626">
        <v>9</v>
      </c>
      <c r="BJ626" t="s">
        <v>1280</v>
      </c>
      <c r="BK626" t="s">
        <v>180</v>
      </c>
      <c r="BL626" t="s">
        <v>1281</v>
      </c>
      <c r="BM626" t="s">
        <v>1282</v>
      </c>
      <c r="BN626" t="s">
        <v>74</v>
      </c>
      <c r="BO626" t="s">
        <v>2310</v>
      </c>
      <c r="BP626" t="s">
        <v>74</v>
      </c>
      <c r="BQ626" t="s">
        <v>74</v>
      </c>
      <c r="BR626" t="s">
        <v>101</v>
      </c>
      <c r="BS626" t="s">
        <v>12010</v>
      </c>
      <c r="BT626" t="str">
        <f>HYPERLINK("https%3A%2F%2Fwww.webofscience.com%2Fwos%2Fwoscc%2Ffull-record%2FWOS:001124982700044","View Full Record in Web of Science")</f>
        <v>View Full Record in Web of Science</v>
      </c>
    </row>
    <row r="627" spans="1:72" x14ac:dyDescent="0.2">
      <c r="A627" t="s">
        <v>103</v>
      </c>
      <c r="B627" t="s">
        <v>12011</v>
      </c>
      <c r="C627" t="s">
        <v>74</v>
      </c>
      <c r="D627" t="s">
        <v>74</v>
      </c>
      <c r="E627" t="s">
        <v>74</v>
      </c>
      <c r="F627" t="s">
        <v>12012</v>
      </c>
      <c r="G627" t="s">
        <v>74</v>
      </c>
      <c r="H627" t="s">
        <v>74</v>
      </c>
      <c r="I627" t="s">
        <v>12013</v>
      </c>
      <c r="J627" t="s">
        <v>12014</v>
      </c>
      <c r="K627" t="s">
        <v>74</v>
      </c>
      <c r="L627" t="s">
        <v>74</v>
      </c>
      <c r="M627" t="s">
        <v>79</v>
      </c>
      <c r="N627" t="s">
        <v>108</v>
      </c>
      <c r="O627" t="s">
        <v>74</v>
      </c>
      <c r="P627" t="s">
        <v>74</v>
      </c>
      <c r="Q627" t="s">
        <v>74</v>
      </c>
      <c r="R627" t="s">
        <v>74</v>
      </c>
      <c r="S627" t="s">
        <v>74</v>
      </c>
      <c r="T627" t="s">
        <v>12015</v>
      </c>
      <c r="U627" t="s">
        <v>12016</v>
      </c>
      <c r="V627" t="s">
        <v>12017</v>
      </c>
      <c r="W627" t="s">
        <v>12018</v>
      </c>
      <c r="X627" t="s">
        <v>12019</v>
      </c>
      <c r="Y627" t="s">
        <v>12020</v>
      </c>
      <c r="Z627" t="s">
        <v>12021</v>
      </c>
      <c r="AA627" t="s">
        <v>74</v>
      </c>
      <c r="AB627" t="s">
        <v>74</v>
      </c>
      <c r="AC627" t="s">
        <v>74</v>
      </c>
      <c r="AD627" t="s">
        <v>74</v>
      </c>
      <c r="AE627" t="s">
        <v>74</v>
      </c>
      <c r="AF627" t="s">
        <v>74</v>
      </c>
      <c r="AG627">
        <v>78</v>
      </c>
      <c r="AH627">
        <v>1</v>
      </c>
      <c r="AI627">
        <v>1</v>
      </c>
      <c r="AJ627">
        <v>2</v>
      </c>
      <c r="AK627">
        <v>2</v>
      </c>
      <c r="AL627" t="s">
        <v>270</v>
      </c>
      <c r="AM627" t="s">
        <v>1424</v>
      </c>
      <c r="AN627" t="s">
        <v>1425</v>
      </c>
      <c r="AO627" t="s">
        <v>12022</v>
      </c>
      <c r="AP627" t="s">
        <v>12023</v>
      </c>
      <c r="AQ627" t="s">
        <v>74</v>
      </c>
      <c r="AR627" t="s">
        <v>12024</v>
      </c>
      <c r="AS627" t="s">
        <v>12025</v>
      </c>
      <c r="AT627" t="s">
        <v>2497</v>
      </c>
      <c r="AU627">
        <v>2023</v>
      </c>
      <c r="AV627">
        <v>296</v>
      </c>
      <c r="AW627" t="s">
        <v>74</v>
      </c>
      <c r="AX627" t="s">
        <v>74</v>
      </c>
      <c r="AY627" t="s">
        <v>74</v>
      </c>
      <c r="AZ627" t="s">
        <v>74</v>
      </c>
      <c r="BA627" t="s">
        <v>74</v>
      </c>
      <c r="BB627" t="s">
        <v>74</v>
      </c>
      <c r="BC627" t="s">
        <v>74</v>
      </c>
      <c r="BD627">
        <v>116891</v>
      </c>
      <c r="BE627" t="s">
        <v>12026</v>
      </c>
      <c r="BF627" t="str">
        <f>HYPERLINK("http://dx.doi.org/10.1016/j.engstruct.2023.116891","http://dx.doi.org/10.1016/j.engstruct.2023.116891")</f>
        <v>http://dx.doi.org/10.1016/j.engstruct.2023.116891</v>
      </c>
      <c r="BG627" t="s">
        <v>74</v>
      </c>
      <c r="BH627" t="s">
        <v>278</v>
      </c>
      <c r="BI627">
        <v>18</v>
      </c>
      <c r="BJ627" t="s">
        <v>12027</v>
      </c>
      <c r="BK627" t="s">
        <v>130</v>
      </c>
      <c r="BL627" t="s">
        <v>2823</v>
      </c>
      <c r="BM627" t="s">
        <v>12028</v>
      </c>
      <c r="BN627" t="s">
        <v>74</v>
      </c>
      <c r="BO627" t="s">
        <v>74</v>
      </c>
      <c r="BP627" t="s">
        <v>74</v>
      </c>
      <c r="BQ627" t="s">
        <v>74</v>
      </c>
      <c r="BR627" t="s">
        <v>101</v>
      </c>
      <c r="BS627" t="s">
        <v>12029</v>
      </c>
      <c r="BT627" t="str">
        <f>HYPERLINK("https%3A%2F%2Fwww.webofscience.com%2Fwos%2Fwoscc%2Ffull-record%2FWOS:001137986400001","View Full Record in Web of Science")</f>
        <v>View Full Record in Web of Science</v>
      </c>
    </row>
    <row r="628" spans="1:72" x14ac:dyDescent="0.2">
      <c r="A628" t="s">
        <v>103</v>
      </c>
      <c r="B628" t="s">
        <v>12030</v>
      </c>
      <c r="C628" t="s">
        <v>74</v>
      </c>
      <c r="D628" t="s">
        <v>74</v>
      </c>
      <c r="E628" t="s">
        <v>74</v>
      </c>
      <c r="F628" t="s">
        <v>12031</v>
      </c>
      <c r="G628" t="s">
        <v>74</v>
      </c>
      <c r="H628" t="s">
        <v>74</v>
      </c>
      <c r="I628" t="s">
        <v>12032</v>
      </c>
      <c r="J628" t="s">
        <v>12033</v>
      </c>
      <c r="K628" t="s">
        <v>74</v>
      </c>
      <c r="L628" t="s">
        <v>74</v>
      </c>
      <c r="M628" t="s">
        <v>79</v>
      </c>
      <c r="N628" t="s">
        <v>108</v>
      </c>
      <c r="O628" t="s">
        <v>74</v>
      </c>
      <c r="P628" t="s">
        <v>74</v>
      </c>
      <c r="Q628" t="s">
        <v>74</v>
      </c>
      <c r="R628" t="s">
        <v>74</v>
      </c>
      <c r="S628" t="s">
        <v>74</v>
      </c>
      <c r="T628" t="s">
        <v>12034</v>
      </c>
      <c r="U628" t="s">
        <v>12035</v>
      </c>
      <c r="V628" t="s">
        <v>12036</v>
      </c>
      <c r="W628" t="s">
        <v>12037</v>
      </c>
      <c r="X628" t="s">
        <v>12038</v>
      </c>
      <c r="Y628" t="s">
        <v>12039</v>
      </c>
      <c r="Z628" t="s">
        <v>12040</v>
      </c>
      <c r="AA628" t="s">
        <v>12041</v>
      </c>
      <c r="AB628" t="s">
        <v>12042</v>
      </c>
      <c r="AC628" t="s">
        <v>12043</v>
      </c>
      <c r="AD628" t="s">
        <v>12044</v>
      </c>
      <c r="AE628" t="s">
        <v>12045</v>
      </c>
      <c r="AF628" t="s">
        <v>74</v>
      </c>
      <c r="AG628">
        <v>159</v>
      </c>
      <c r="AH628">
        <v>5</v>
      </c>
      <c r="AI628">
        <v>5</v>
      </c>
      <c r="AJ628">
        <v>8</v>
      </c>
      <c r="AK628">
        <v>12</v>
      </c>
      <c r="AL628" t="s">
        <v>8663</v>
      </c>
      <c r="AM628" t="s">
        <v>149</v>
      </c>
      <c r="AN628" t="s">
        <v>8664</v>
      </c>
      <c r="AO628" t="s">
        <v>12046</v>
      </c>
      <c r="AP628" t="s">
        <v>12047</v>
      </c>
      <c r="AQ628" t="s">
        <v>74</v>
      </c>
      <c r="AR628" t="s">
        <v>12048</v>
      </c>
      <c r="AS628" t="s">
        <v>12049</v>
      </c>
      <c r="AT628" t="s">
        <v>12050</v>
      </c>
      <c r="AU628">
        <v>2023</v>
      </c>
      <c r="AV628">
        <v>381</v>
      </c>
      <c r="AW628">
        <v>2251</v>
      </c>
      <c r="AX628" t="s">
        <v>74</v>
      </c>
      <c r="AY628" t="s">
        <v>74</v>
      </c>
      <c r="AZ628" t="s">
        <v>74</v>
      </c>
      <c r="BA628" t="s">
        <v>74</v>
      </c>
      <c r="BB628" t="s">
        <v>74</v>
      </c>
      <c r="BC628" t="s">
        <v>74</v>
      </c>
      <c r="BD628">
        <v>20220047</v>
      </c>
      <c r="BE628" t="s">
        <v>12051</v>
      </c>
      <c r="BF628" t="str">
        <f>HYPERLINK("http://dx.doi.org/10.1098/rsta.2022.0047","http://dx.doi.org/10.1098/rsta.2022.0047")</f>
        <v>http://dx.doi.org/10.1098/rsta.2022.0047</v>
      </c>
      <c r="BG628" t="s">
        <v>74</v>
      </c>
      <c r="BH628" t="s">
        <v>74</v>
      </c>
      <c r="BI628">
        <v>31</v>
      </c>
      <c r="BJ628" t="s">
        <v>5686</v>
      </c>
      <c r="BK628" t="s">
        <v>130</v>
      </c>
      <c r="BL628" t="s">
        <v>5687</v>
      </c>
      <c r="BM628" t="s">
        <v>12052</v>
      </c>
      <c r="BN628">
        <v>37271174</v>
      </c>
      <c r="BO628" t="s">
        <v>4863</v>
      </c>
      <c r="BP628" t="s">
        <v>74</v>
      </c>
      <c r="BQ628" t="s">
        <v>74</v>
      </c>
      <c r="BR628" t="s">
        <v>101</v>
      </c>
      <c r="BS628" t="s">
        <v>12053</v>
      </c>
      <c r="BT628" t="str">
        <f>HYPERLINK("https%3A%2F%2Fwww.webofscience.com%2Fwos%2Fwoscc%2Ffull-record%2FWOS:001000603200009","View Full Record in Web of Science")</f>
        <v>View Full Record in Web of Science</v>
      </c>
    </row>
    <row r="629" spans="1:72" x14ac:dyDescent="0.2">
      <c r="A629" t="s">
        <v>103</v>
      </c>
      <c r="B629" t="s">
        <v>12054</v>
      </c>
      <c r="C629" t="s">
        <v>74</v>
      </c>
      <c r="D629" t="s">
        <v>74</v>
      </c>
      <c r="E629" t="s">
        <v>74</v>
      </c>
      <c r="F629" t="s">
        <v>12055</v>
      </c>
      <c r="G629" t="s">
        <v>74</v>
      </c>
      <c r="H629" t="s">
        <v>74</v>
      </c>
      <c r="I629" t="s">
        <v>12056</v>
      </c>
      <c r="J629" t="s">
        <v>12057</v>
      </c>
      <c r="K629" t="s">
        <v>74</v>
      </c>
      <c r="L629" t="s">
        <v>74</v>
      </c>
      <c r="M629" t="s">
        <v>79</v>
      </c>
      <c r="N629" t="s">
        <v>108</v>
      </c>
      <c r="O629" t="s">
        <v>74</v>
      </c>
      <c r="P629" t="s">
        <v>74</v>
      </c>
      <c r="Q629" t="s">
        <v>74</v>
      </c>
      <c r="R629" t="s">
        <v>74</v>
      </c>
      <c r="S629" t="s">
        <v>74</v>
      </c>
      <c r="T629" t="s">
        <v>12058</v>
      </c>
      <c r="U629" t="s">
        <v>74</v>
      </c>
      <c r="V629" t="s">
        <v>12059</v>
      </c>
      <c r="W629" t="s">
        <v>12060</v>
      </c>
      <c r="X629" t="s">
        <v>12061</v>
      </c>
      <c r="Y629" t="s">
        <v>12062</v>
      </c>
      <c r="Z629" t="s">
        <v>12063</v>
      </c>
      <c r="AA629" t="s">
        <v>74</v>
      </c>
      <c r="AB629" t="s">
        <v>74</v>
      </c>
      <c r="AC629" t="s">
        <v>12064</v>
      </c>
      <c r="AD629" t="s">
        <v>12065</v>
      </c>
      <c r="AE629" t="s">
        <v>12066</v>
      </c>
      <c r="AF629" t="s">
        <v>74</v>
      </c>
      <c r="AG629">
        <v>33</v>
      </c>
      <c r="AH629">
        <v>0</v>
      </c>
      <c r="AI629">
        <v>0</v>
      </c>
      <c r="AJ629">
        <v>2</v>
      </c>
      <c r="AK629">
        <v>2</v>
      </c>
      <c r="AL629" t="s">
        <v>12067</v>
      </c>
      <c r="AM629" t="s">
        <v>12068</v>
      </c>
      <c r="AN629" t="s">
        <v>12069</v>
      </c>
      <c r="AO629" t="s">
        <v>12070</v>
      </c>
      <c r="AP629" t="s">
        <v>12071</v>
      </c>
      <c r="AQ629" t="s">
        <v>74</v>
      </c>
      <c r="AR629" t="s">
        <v>12072</v>
      </c>
      <c r="AS629" t="s">
        <v>12073</v>
      </c>
      <c r="AT629" t="s">
        <v>74</v>
      </c>
      <c r="AU629">
        <v>2023</v>
      </c>
      <c r="AV629">
        <v>27</v>
      </c>
      <c r="AW629">
        <v>4</v>
      </c>
      <c r="AX629" t="s">
        <v>74</v>
      </c>
      <c r="AY629" t="s">
        <v>74</v>
      </c>
      <c r="AZ629" t="s">
        <v>74</v>
      </c>
      <c r="BA629" t="s">
        <v>74</v>
      </c>
      <c r="BB629">
        <v>909</v>
      </c>
      <c r="BC629">
        <v>920</v>
      </c>
      <c r="BD629" t="s">
        <v>74</v>
      </c>
      <c r="BE629" t="s">
        <v>12074</v>
      </c>
      <c r="BF629" t="str">
        <f>HYPERLINK("http://dx.doi.org/10.13053/CyS-27-4-4777","http://dx.doi.org/10.13053/CyS-27-4-4777")</f>
        <v>http://dx.doi.org/10.13053/CyS-27-4-4777</v>
      </c>
      <c r="BG629" t="s">
        <v>74</v>
      </c>
      <c r="BH629" t="s">
        <v>74</v>
      </c>
      <c r="BI629">
        <v>12</v>
      </c>
      <c r="BJ629" t="s">
        <v>230</v>
      </c>
      <c r="BK629" t="s">
        <v>352</v>
      </c>
      <c r="BL629" t="s">
        <v>99</v>
      </c>
      <c r="BM629" t="s">
        <v>12075</v>
      </c>
      <c r="BN629" t="s">
        <v>74</v>
      </c>
      <c r="BO629" t="s">
        <v>74</v>
      </c>
      <c r="BP629" t="s">
        <v>74</v>
      </c>
      <c r="BQ629" t="s">
        <v>74</v>
      </c>
      <c r="BR629" t="s">
        <v>101</v>
      </c>
      <c r="BS629" t="s">
        <v>12076</v>
      </c>
      <c r="BT629" t="str">
        <f>HYPERLINK("https%3A%2F%2Fwww.webofscience.com%2Fwos%2Fwoscc%2Ffull-record%2FWOS:001135440800019","View Full Record in Web of Science")</f>
        <v>View Full Record in Web of Science</v>
      </c>
    </row>
    <row r="630" spans="1:72" x14ac:dyDescent="0.2">
      <c r="A630" t="s">
        <v>103</v>
      </c>
      <c r="B630" t="s">
        <v>12077</v>
      </c>
      <c r="C630" t="s">
        <v>74</v>
      </c>
      <c r="D630" t="s">
        <v>74</v>
      </c>
      <c r="E630" t="s">
        <v>74</v>
      </c>
      <c r="F630" t="s">
        <v>12078</v>
      </c>
      <c r="G630" t="s">
        <v>74</v>
      </c>
      <c r="H630" t="s">
        <v>74</v>
      </c>
      <c r="I630" t="s">
        <v>12079</v>
      </c>
      <c r="J630" t="s">
        <v>12080</v>
      </c>
      <c r="K630" t="s">
        <v>74</v>
      </c>
      <c r="L630" t="s">
        <v>74</v>
      </c>
      <c r="M630" t="s">
        <v>79</v>
      </c>
      <c r="N630" t="s">
        <v>108</v>
      </c>
      <c r="O630" t="s">
        <v>74</v>
      </c>
      <c r="P630" t="s">
        <v>74</v>
      </c>
      <c r="Q630" t="s">
        <v>74</v>
      </c>
      <c r="R630" t="s">
        <v>74</v>
      </c>
      <c r="S630" t="s">
        <v>74</v>
      </c>
      <c r="T630" t="s">
        <v>12081</v>
      </c>
      <c r="U630" t="s">
        <v>391</v>
      </c>
      <c r="V630" t="s">
        <v>12082</v>
      </c>
      <c r="W630" t="s">
        <v>12083</v>
      </c>
      <c r="X630" t="s">
        <v>12084</v>
      </c>
      <c r="Y630" t="s">
        <v>12085</v>
      </c>
      <c r="Z630" t="s">
        <v>12086</v>
      </c>
      <c r="AA630" t="s">
        <v>12087</v>
      </c>
      <c r="AB630" t="s">
        <v>12088</v>
      </c>
      <c r="AC630" t="s">
        <v>12089</v>
      </c>
      <c r="AD630" t="s">
        <v>12090</v>
      </c>
      <c r="AE630" t="s">
        <v>12091</v>
      </c>
      <c r="AF630" t="s">
        <v>74</v>
      </c>
      <c r="AG630">
        <v>35</v>
      </c>
      <c r="AH630">
        <v>1</v>
      </c>
      <c r="AI630">
        <v>1</v>
      </c>
      <c r="AJ630">
        <v>7</v>
      </c>
      <c r="AK630">
        <v>7</v>
      </c>
      <c r="AL630" t="s">
        <v>270</v>
      </c>
      <c r="AM630" t="s">
        <v>120</v>
      </c>
      <c r="AN630" t="s">
        <v>271</v>
      </c>
      <c r="AO630" t="s">
        <v>12092</v>
      </c>
      <c r="AP630" t="s">
        <v>12093</v>
      </c>
      <c r="AQ630" t="s">
        <v>74</v>
      </c>
      <c r="AR630" t="s">
        <v>12094</v>
      </c>
      <c r="AS630" t="s">
        <v>12095</v>
      </c>
      <c r="AT630" t="s">
        <v>276</v>
      </c>
      <c r="AU630">
        <v>2023</v>
      </c>
      <c r="AV630">
        <v>138</v>
      </c>
      <c r="AW630" t="s">
        <v>74</v>
      </c>
      <c r="AX630" t="s">
        <v>74</v>
      </c>
      <c r="AY630" t="s">
        <v>74</v>
      </c>
      <c r="AZ630" t="s">
        <v>74</v>
      </c>
      <c r="BA630" t="s">
        <v>74</v>
      </c>
      <c r="BB630" t="s">
        <v>74</v>
      </c>
      <c r="BC630" t="s">
        <v>74</v>
      </c>
      <c r="BD630">
        <v>104739</v>
      </c>
      <c r="BE630" t="s">
        <v>12096</v>
      </c>
      <c r="BF630" t="str">
        <f>HYPERLINK("http://dx.doi.org/10.1016/j.jdent.2023.104739","http://dx.doi.org/10.1016/j.jdent.2023.104739")</f>
        <v>http://dx.doi.org/10.1016/j.jdent.2023.104739</v>
      </c>
      <c r="BG630" t="s">
        <v>74</v>
      </c>
      <c r="BH630" t="s">
        <v>1886</v>
      </c>
      <c r="BI630">
        <v>9</v>
      </c>
      <c r="BJ630" t="s">
        <v>12097</v>
      </c>
      <c r="BK630" t="s">
        <v>130</v>
      </c>
      <c r="BL630" t="s">
        <v>12097</v>
      </c>
      <c r="BM630" t="s">
        <v>12098</v>
      </c>
      <c r="BN630">
        <v>37804938</v>
      </c>
      <c r="BO630" t="s">
        <v>74</v>
      </c>
      <c r="BP630" t="s">
        <v>74</v>
      </c>
      <c r="BQ630" t="s">
        <v>74</v>
      </c>
      <c r="BR630" t="s">
        <v>101</v>
      </c>
      <c r="BS630" t="s">
        <v>12099</v>
      </c>
      <c r="BT630" t="str">
        <f>HYPERLINK("https%3A%2F%2Fwww.webofscience.com%2Fwos%2Fwoscc%2Ffull-record%2FWOS:001101870500001","View Full Record in Web of Science")</f>
        <v>View Full Record in Web of Science</v>
      </c>
    </row>
    <row r="631" spans="1:72" x14ac:dyDescent="0.2">
      <c r="A631" t="s">
        <v>103</v>
      </c>
      <c r="B631" t="s">
        <v>12100</v>
      </c>
      <c r="C631" t="s">
        <v>74</v>
      </c>
      <c r="D631" t="s">
        <v>74</v>
      </c>
      <c r="E631" t="s">
        <v>74</v>
      </c>
      <c r="F631" t="s">
        <v>12101</v>
      </c>
      <c r="G631" t="s">
        <v>74</v>
      </c>
      <c r="H631" t="s">
        <v>74</v>
      </c>
      <c r="I631" t="s">
        <v>12102</v>
      </c>
      <c r="J631" t="s">
        <v>12103</v>
      </c>
      <c r="K631" t="s">
        <v>74</v>
      </c>
      <c r="L631" t="s">
        <v>74</v>
      </c>
      <c r="M631" t="s">
        <v>79</v>
      </c>
      <c r="N631" t="s">
        <v>108</v>
      </c>
      <c r="O631" t="s">
        <v>74</v>
      </c>
      <c r="P631" t="s">
        <v>74</v>
      </c>
      <c r="Q631" t="s">
        <v>74</v>
      </c>
      <c r="R631" t="s">
        <v>74</v>
      </c>
      <c r="S631" t="s">
        <v>74</v>
      </c>
      <c r="T631" t="s">
        <v>12104</v>
      </c>
      <c r="U631" t="s">
        <v>74</v>
      </c>
      <c r="V631" t="s">
        <v>12105</v>
      </c>
      <c r="W631" t="s">
        <v>12106</v>
      </c>
      <c r="X631" t="s">
        <v>12107</v>
      </c>
      <c r="Y631" t="s">
        <v>12108</v>
      </c>
      <c r="Z631" t="s">
        <v>74</v>
      </c>
      <c r="AA631" t="s">
        <v>74</v>
      </c>
      <c r="AB631" t="s">
        <v>74</v>
      </c>
      <c r="AC631" t="s">
        <v>74</v>
      </c>
      <c r="AD631" t="s">
        <v>74</v>
      </c>
      <c r="AE631" t="s">
        <v>74</v>
      </c>
      <c r="AF631" t="s">
        <v>74</v>
      </c>
      <c r="AG631">
        <v>21</v>
      </c>
      <c r="AH631">
        <v>0</v>
      </c>
      <c r="AI631">
        <v>0</v>
      </c>
      <c r="AJ631">
        <v>4</v>
      </c>
      <c r="AK631">
        <v>4</v>
      </c>
      <c r="AL631" t="s">
        <v>12109</v>
      </c>
      <c r="AM631" t="s">
        <v>12110</v>
      </c>
      <c r="AN631" t="s">
        <v>12111</v>
      </c>
      <c r="AO631" t="s">
        <v>12112</v>
      </c>
      <c r="AP631" t="s">
        <v>74</v>
      </c>
      <c r="AQ631" t="s">
        <v>74</v>
      </c>
      <c r="AR631" t="s">
        <v>12113</v>
      </c>
      <c r="AS631" t="s">
        <v>12114</v>
      </c>
      <c r="AT631" t="s">
        <v>12115</v>
      </c>
      <c r="AU631">
        <v>2023</v>
      </c>
      <c r="AV631" t="s">
        <v>74</v>
      </c>
      <c r="AW631">
        <v>118</v>
      </c>
      <c r="AX631" t="s">
        <v>74</v>
      </c>
      <c r="AY631" t="s">
        <v>74</v>
      </c>
      <c r="AZ631" t="s">
        <v>74</v>
      </c>
      <c r="BA631" t="s">
        <v>74</v>
      </c>
      <c r="BB631">
        <v>247</v>
      </c>
      <c r="BC631">
        <v>270</v>
      </c>
      <c r="BD631" t="s">
        <v>74</v>
      </c>
      <c r="BE631" t="s">
        <v>74</v>
      </c>
      <c r="BF631" t="s">
        <v>74</v>
      </c>
      <c r="BG631" t="s">
        <v>74</v>
      </c>
      <c r="BH631" t="s">
        <v>74</v>
      </c>
      <c r="BI631">
        <v>24</v>
      </c>
      <c r="BJ631" t="s">
        <v>6911</v>
      </c>
      <c r="BK631" t="s">
        <v>352</v>
      </c>
      <c r="BL631" t="s">
        <v>6911</v>
      </c>
      <c r="BM631" t="s">
        <v>12116</v>
      </c>
      <c r="BN631" t="s">
        <v>74</v>
      </c>
      <c r="BO631" t="s">
        <v>74</v>
      </c>
      <c r="BP631" t="s">
        <v>74</v>
      </c>
      <c r="BQ631" t="s">
        <v>74</v>
      </c>
      <c r="BR631" t="s">
        <v>101</v>
      </c>
      <c r="BS631" t="s">
        <v>12117</v>
      </c>
      <c r="BT631" t="str">
        <f>HYPERLINK("https%3A%2F%2Fwww.webofscience.com%2Fwos%2Fwoscc%2Ffull-record%2FWOS:001099844600010","View Full Record in Web of Science")</f>
        <v>View Full Record in Web of Science</v>
      </c>
    </row>
    <row r="632" spans="1:72" x14ac:dyDescent="0.2">
      <c r="A632" t="s">
        <v>103</v>
      </c>
      <c r="B632" t="s">
        <v>12118</v>
      </c>
      <c r="C632" t="s">
        <v>74</v>
      </c>
      <c r="D632" t="s">
        <v>74</v>
      </c>
      <c r="E632" t="s">
        <v>74</v>
      </c>
      <c r="F632" t="s">
        <v>12119</v>
      </c>
      <c r="G632" t="s">
        <v>74</v>
      </c>
      <c r="H632" t="s">
        <v>74</v>
      </c>
      <c r="I632" t="s">
        <v>12120</v>
      </c>
      <c r="J632" t="s">
        <v>11207</v>
      </c>
      <c r="K632" t="s">
        <v>74</v>
      </c>
      <c r="L632" t="s">
        <v>74</v>
      </c>
      <c r="M632" t="s">
        <v>79</v>
      </c>
      <c r="N632" t="s">
        <v>138</v>
      </c>
      <c r="O632" t="s">
        <v>74</v>
      </c>
      <c r="P632" t="s">
        <v>74</v>
      </c>
      <c r="Q632" t="s">
        <v>74</v>
      </c>
      <c r="R632" t="s">
        <v>74</v>
      </c>
      <c r="S632" t="s">
        <v>74</v>
      </c>
      <c r="T632" t="s">
        <v>74</v>
      </c>
      <c r="U632" t="s">
        <v>74</v>
      </c>
      <c r="V632" t="s">
        <v>12121</v>
      </c>
      <c r="W632" t="s">
        <v>12122</v>
      </c>
      <c r="X632" t="s">
        <v>74</v>
      </c>
      <c r="Y632" t="s">
        <v>12123</v>
      </c>
      <c r="Z632" t="s">
        <v>12124</v>
      </c>
      <c r="AA632" t="s">
        <v>74</v>
      </c>
      <c r="AB632" t="s">
        <v>12125</v>
      </c>
      <c r="AC632" t="s">
        <v>12126</v>
      </c>
      <c r="AD632" t="s">
        <v>12127</v>
      </c>
      <c r="AE632" t="s">
        <v>12128</v>
      </c>
      <c r="AF632" t="s">
        <v>74</v>
      </c>
      <c r="AG632">
        <v>18</v>
      </c>
      <c r="AH632">
        <v>1</v>
      </c>
      <c r="AI632">
        <v>1</v>
      </c>
      <c r="AJ632">
        <v>2</v>
      </c>
      <c r="AK632">
        <v>9</v>
      </c>
      <c r="AL632" t="s">
        <v>547</v>
      </c>
      <c r="AM632" t="s">
        <v>548</v>
      </c>
      <c r="AN632" t="s">
        <v>549</v>
      </c>
      <c r="AO632" t="s">
        <v>11215</v>
      </c>
      <c r="AP632" t="s">
        <v>11216</v>
      </c>
      <c r="AQ632" t="s">
        <v>74</v>
      </c>
      <c r="AR632" t="s">
        <v>11217</v>
      </c>
      <c r="AS632" t="s">
        <v>11218</v>
      </c>
      <c r="AT632" t="s">
        <v>9911</v>
      </c>
      <c r="AU632">
        <v>2023</v>
      </c>
      <c r="AV632" t="s">
        <v>74</v>
      </c>
      <c r="AW632" t="s">
        <v>74</v>
      </c>
      <c r="AX632" t="s">
        <v>74</v>
      </c>
      <c r="AY632" t="s">
        <v>74</v>
      </c>
      <c r="AZ632" t="s">
        <v>74</v>
      </c>
      <c r="BA632" t="s">
        <v>74</v>
      </c>
      <c r="BB632" t="s">
        <v>74</v>
      </c>
      <c r="BC632" t="s">
        <v>74</v>
      </c>
      <c r="BD632" t="s">
        <v>74</v>
      </c>
      <c r="BE632" t="s">
        <v>12129</v>
      </c>
      <c r="BF632" t="str">
        <f>HYPERLINK("http://dx.doi.org/10.1021/acs.jcim.2c01616","http://dx.doi.org/10.1021/acs.jcim.2c01616")</f>
        <v>http://dx.doi.org/10.1021/acs.jcim.2c01616</v>
      </c>
      <c r="BG632" t="s">
        <v>74</v>
      </c>
      <c r="BH632" t="s">
        <v>7345</v>
      </c>
      <c r="BI632">
        <v>4</v>
      </c>
      <c r="BJ632" t="s">
        <v>11221</v>
      </c>
      <c r="BK632" t="s">
        <v>130</v>
      </c>
      <c r="BL632" t="s">
        <v>11222</v>
      </c>
      <c r="BM632" t="s">
        <v>12130</v>
      </c>
      <c r="BN632">
        <v>36696568</v>
      </c>
      <c r="BO632" t="s">
        <v>208</v>
      </c>
      <c r="BP632" t="s">
        <v>74</v>
      </c>
      <c r="BQ632" t="s">
        <v>74</v>
      </c>
      <c r="BR632" t="s">
        <v>101</v>
      </c>
      <c r="BS632" t="s">
        <v>12131</v>
      </c>
      <c r="BT632" t="str">
        <f>HYPERLINK("https%3A%2F%2Fwww.webofscience.com%2Fwos%2Fwoscc%2Ffull-record%2FWOS:000925351200001","View Full Record in Web of Science")</f>
        <v>View Full Record in Web of Science</v>
      </c>
    </row>
    <row r="633" spans="1:72" x14ac:dyDescent="0.2">
      <c r="A633" t="s">
        <v>103</v>
      </c>
      <c r="B633" t="s">
        <v>12132</v>
      </c>
      <c r="C633" t="s">
        <v>74</v>
      </c>
      <c r="D633" t="s">
        <v>74</v>
      </c>
      <c r="E633" t="s">
        <v>74</v>
      </c>
      <c r="F633" t="s">
        <v>12133</v>
      </c>
      <c r="G633" t="s">
        <v>74</v>
      </c>
      <c r="H633" t="s">
        <v>74</v>
      </c>
      <c r="I633" t="s">
        <v>12134</v>
      </c>
      <c r="J633" t="s">
        <v>12135</v>
      </c>
      <c r="K633" t="s">
        <v>74</v>
      </c>
      <c r="L633" t="s">
        <v>74</v>
      </c>
      <c r="M633" t="s">
        <v>79</v>
      </c>
      <c r="N633" t="s">
        <v>108</v>
      </c>
      <c r="O633" t="s">
        <v>74</v>
      </c>
      <c r="P633" t="s">
        <v>74</v>
      </c>
      <c r="Q633" t="s">
        <v>74</v>
      </c>
      <c r="R633" t="s">
        <v>74</v>
      </c>
      <c r="S633" t="s">
        <v>74</v>
      </c>
      <c r="T633" t="s">
        <v>12136</v>
      </c>
      <c r="U633" t="s">
        <v>74</v>
      </c>
      <c r="V633" t="s">
        <v>12137</v>
      </c>
      <c r="W633" t="s">
        <v>12138</v>
      </c>
      <c r="X633" t="s">
        <v>12139</v>
      </c>
      <c r="Y633" t="s">
        <v>12140</v>
      </c>
      <c r="Z633" t="s">
        <v>74</v>
      </c>
      <c r="AA633" t="s">
        <v>74</v>
      </c>
      <c r="AB633" t="s">
        <v>74</v>
      </c>
      <c r="AC633" t="s">
        <v>74</v>
      </c>
      <c r="AD633" t="s">
        <v>74</v>
      </c>
      <c r="AE633" t="s">
        <v>74</v>
      </c>
      <c r="AF633" t="s">
        <v>74</v>
      </c>
      <c r="AG633">
        <v>29</v>
      </c>
      <c r="AH633">
        <v>0</v>
      </c>
      <c r="AI633">
        <v>0</v>
      </c>
      <c r="AJ633">
        <v>15</v>
      </c>
      <c r="AK633">
        <v>15</v>
      </c>
      <c r="AL633" t="s">
        <v>12141</v>
      </c>
      <c r="AM633" t="s">
        <v>12142</v>
      </c>
      <c r="AN633" t="s">
        <v>12143</v>
      </c>
      <c r="AO633" t="s">
        <v>12144</v>
      </c>
      <c r="AP633" t="s">
        <v>12145</v>
      </c>
      <c r="AQ633" t="s">
        <v>74</v>
      </c>
      <c r="AR633" t="s">
        <v>12146</v>
      </c>
      <c r="AS633" t="s">
        <v>12147</v>
      </c>
      <c r="AT633" t="s">
        <v>74</v>
      </c>
      <c r="AU633">
        <v>2023</v>
      </c>
      <c r="AV633">
        <v>37</v>
      </c>
      <c r="AW633">
        <v>5</v>
      </c>
      <c r="AX633" t="s">
        <v>74</v>
      </c>
      <c r="AY633" t="s">
        <v>74</v>
      </c>
      <c r="AZ633" t="s">
        <v>74</v>
      </c>
      <c r="BA633" t="s">
        <v>74</v>
      </c>
      <c r="BB633">
        <v>203</v>
      </c>
      <c r="BC633">
        <v>220</v>
      </c>
      <c r="BD633" t="s">
        <v>74</v>
      </c>
      <c r="BE633" t="s">
        <v>12148</v>
      </c>
      <c r="BF633" t="str">
        <f>HYPERLINK("http://dx.doi.org/10.20853/37-5-5941","http://dx.doi.org/10.20853/37-5-5941")</f>
        <v>http://dx.doi.org/10.20853/37-5-5941</v>
      </c>
      <c r="BG633" t="s">
        <v>74</v>
      </c>
      <c r="BH633" t="s">
        <v>74</v>
      </c>
      <c r="BI633">
        <v>18</v>
      </c>
      <c r="BJ633" t="s">
        <v>423</v>
      </c>
      <c r="BK633" t="s">
        <v>352</v>
      </c>
      <c r="BL633" t="s">
        <v>423</v>
      </c>
      <c r="BM633" t="s">
        <v>12149</v>
      </c>
      <c r="BN633" t="s">
        <v>74</v>
      </c>
      <c r="BO633" t="s">
        <v>425</v>
      </c>
      <c r="BP633" t="s">
        <v>74</v>
      </c>
      <c r="BQ633" t="s">
        <v>74</v>
      </c>
      <c r="BR633" t="s">
        <v>101</v>
      </c>
      <c r="BS633" t="s">
        <v>12150</v>
      </c>
      <c r="BT633" t="str">
        <f>HYPERLINK("https%3A%2F%2Fwww.webofscience.com%2Fwos%2Fwoscc%2Ffull-record%2FWOS:001123168000011","View Full Record in Web of Science")</f>
        <v>View Full Record in Web of Science</v>
      </c>
    </row>
    <row r="634" spans="1:72" x14ac:dyDescent="0.2">
      <c r="A634" t="s">
        <v>103</v>
      </c>
      <c r="B634" t="s">
        <v>12151</v>
      </c>
      <c r="C634" t="s">
        <v>74</v>
      </c>
      <c r="D634" t="s">
        <v>74</v>
      </c>
      <c r="E634" t="s">
        <v>74</v>
      </c>
      <c r="F634" t="s">
        <v>12152</v>
      </c>
      <c r="G634" t="s">
        <v>74</v>
      </c>
      <c r="H634" t="s">
        <v>74</v>
      </c>
      <c r="I634" t="s">
        <v>12153</v>
      </c>
      <c r="J634" t="s">
        <v>12154</v>
      </c>
      <c r="K634" t="s">
        <v>74</v>
      </c>
      <c r="L634" t="s">
        <v>74</v>
      </c>
      <c r="M634" t="s">
        <v>79</v>
      </c>
      <c r="N634" t="s">
        <v>108</v>
      </c>
      <c r="O634" t="s">
        <v>74</v>
      </c>
      <c r="P634" t="s">
        <v>74</v>
      </c>
      <c r="Q634" t="s">
        <v>74</v>
      </c>
      <c r="R634" t="s">
        <v>74</v>
      </c>
      <c r="S634" t="s">
        <v>74</v>
      </c>
      <c r="T634" t="s">
        <v>12155</v>
      </c>
      <c r="U634" t="s">
        <v>74</v>
      </c>
      <c r="V634" t="s">
        <v>12156</v>
      </c>
      <c r="W634" t="s">
        <v>12157</v>
      </c>
      <c r="X634" t="s">
        <v>12158</v>
      </c>
      <c r="Y634" t="s">
        <v>12159</v>
      </c>
      <c r="Z634" t="s">
        <v>12160</v>
      </c>
      <c r="AA634" t="s">
        <v>74</v>
      </c>
      <c r="AB634" t="s">
        <v>12161</v>
      </c>
      <c r="AC634" t="s">
        <v>12162</v>
      </c>
      <c r="AD634" t="s">
        <v>12163</v>
      </c>
      <c r="AE634" t="s">
        <v>12164</v>
      </c>
      <c r="AF634" t="s">
        <v>74</v>
      </c>
      <c r="AG634">
        <v>38</v>
      </c>
      <c r="AH634">
        <v>0</v>
      </c>
      <c r="AI634">
        <v>0</v>
      </c>
      <c r="AJ634">
        <v>1</v>
      </c>
      <c r="AK634">
        <v>1</v>
      </c>
      <c r="AL634" t="s">
        <v>4176</v>
      </c>
      <c r="AM634" t="s">
        <v>4177</v>
      </c>
      <c r="AN634" t="s">
        <v>4178</v>
      </c>
      <c r="AO634" t="s">
        <v>74</v>
      </c>
      <c r="AP634" t="s">
        <v>12165</v>
      </c>
      <c r="AQ634" t="s">
        <v>74</v>
      </c>
      <c r="AR634" t="s">
        <v>12166</v>
      </c>
      <c r="AS634" t="s">
        <v>12167</v>
      </c>
      <c r="AT634" t="s">
        <v>74</v>
      </c>
      <c r="AU634">
        <v>2023</v>
      </c>
      <c r="AV634">
        <v>11</v>
      </c>
      <c r="AW634" t="s">
        <v>74</v>
      </c>
      <c r="AX634" t="s">
        <v>74</v>
      </c>
      <c r="AY634" t="s">
        <v>74</v>
      </c>
      <c r="AZ634" t="s">
        <v>74</v>
      </c>
      <c r="BA634" t="s">
        <v>74</v>
      </c>
      <c r="BB634" t="s">
        <v>74</v>
      </c>
      <c r="BC634" t="s">
        <v>74</v>
      </c>
      <c r="BD634" t="s">
        <v>12168</v>
      </c>
      <c r="BE634" t="s">
        <v>12169</v>
      </c>
      <c r="BF634" t="str">
        <f>HYPERLINK("http://dx.doi.org/10.2196/47859","http://dx.doi.org/10.2196/47859")</f>
        <v>http://dx.doi.org/10.2196/47859</v>
      </c>
      <c r="BG634" t="s">
        <v>74</v>
      </c>
      <c r="BH634" t="s">
        <v>74</v>
      </c>
      <c r="BI634">
        <v>18</v>
      </c>
      <c r="BJ634" t="s">
        <v>12170</v>
      </c>
      <c r="BK634" t="s">
        <v>130</v>
      </c>
      <c r="BL634" t="s">
        <v>12170</v>
      </c>
      <c r="BM634" t="s">
        <v>12171</v>
      </c>
      <c r="BN634">
        <v>37999942</v>
      </c>
      <c r="BO634" t="s">
        <v>1728</v>
      </c>
      <c r="BP634" t="s">
        <v>74</v>
      </c>
      <c r="BQ634" t="s">
        <v>74</v>
      </c>
      <c r="BR634" t="s">
        <v>101</v>
      </c>
      <c r="BS634" t="s">
        <v>12172</v>
      </c>
      <c r="BT634" t="str">
        <f>HYPERLINK("https%3A%2F%2Fwww.webofscience.com%2Fwos%2Fwoscc%2Ffull-record%2FWOS:001114749800001","View Full Record in Web of Science")</f>
        <v>View Full Record in Web of Science</v>
      </c>
    </row>
    <row r="635" spans="1:72" x14ac:dyDescent="0.2">
      <c r="A635" t="s">
        <v>103</v>
      </c>
      <c r="B635" t="s">
        <v>12173</v>
      </c>
      <c r="C635" t="s">
        <v>74</v>
      </c>
      <c r="D635" t="s">
        <v>74</v>
      </c>
      <c r="E635" t="s">
        <v>74</v>
      </c>
      <c r="F635" t="s">
        <v>12174</v>
      </c>
      <c r="G635" t="s">
        <v>74</v>
      </c>
      <c r="H635" t="s">
        <v>74</v>
      </c>
      <c r="I635" t="s">
        <v>12175</v>
      </c>
      <c r="J635" t="s">
        <v>12176</v>
      </c>
      <c r="K635" t="s">
        <v>74</v>
      </c>
      <c r="L635" t="s">
        <v>74</v>
      </c>
      <c r="M635" t="s">
        <v>79</v>
      </c>
      <c r="N635" t="s">
        <v>108</v>
      </c>
      <c r="O635" t="s">
        <v>74</v>
      </c>
      <c r="P635" t="s">
        <v>74</v>
      </c>
      <c r="Q635" t="s">
        <v>74</v>
      </c>
      <c r="R635" t="s">
        <v>74</v>
      </c>
      <c r="S635" t="s">
        <v>74</v>
      </c>
      <c r="T635" t="s">
        <v>12177</v>
      </c>
      <c r="U635" t="s">
        <v>12178</v>
      </c>
      <c r="V635" t="s">
        <v>12179</v>
      </c>
      <c r="W635" t="s">
        <v>12180</v>
      </c>
      <c r="X635" t="s">
        <v>12181</v>
      </c>
      <c r="Y635" t="s">
        <v>12182</v>
      </c>
      <c r="Z635" t="s">
        <v>12183</v>
      </c>
      <c r="AA635" t="s">
        <v>12184</v>
      </c>
      <c r="AB635" t="s">
        <v>12185</v>
      </c>
      <c r="AC635" t="s">
        <v>12186</v>
      </c>
      <c r="AD635" t="s">
        <v>12187</v>
      </c>
      <c r="AE635" t="s">
        <v>12188</v>
      </c>
      <c r="AF635" t="s">
        <v>74</v>
      </c>
      <c r="AG635">
        <v>29</v>
      </c>
      <c r="AH635">
        <v>0</v>
      </c>
      <c r="AI635">
        <v>0</v>
      </c>
      <c r="AJ635">
        <v>12</v>
      </c>
      <c r="AK635">
        <v>12</v>
      </c>
      <c r="AL635" t="s">
        <v>764</v>
      </c>
      <c r="AM635" t="s">
        <v>765</v>
      </c>
      <c r="AN635" t="s">
        <v>766</v>
      </c>
      <c r="AO635" t="s">
        <v>12189</v>
      </c>
      <c r="AP635" t="s">
        <v>12190</v>
      </c>
      <c r="AQ635" t="s">
        <v>74</v>
      </c>
      <c r="AR635" t="s">
        <v>12176</v>
      </c>
      <c r="AS635" t="s">
        <v>12191</v>
      </c>
      <c r="AT635" t="s">
        <v>7022</v>
      </c>
      <c r="AU635">
        <v>2023</v>
      </c>
      <c r="AV635">
        <v>562</v>
      </c>
      <c r="AW635" t="s">
        <v>74</v>
      </c>
      <c r="AX635" t="s">
        <v>74</v>
      </c>
      <c r="AY635" t="s">
        <v>74</v>
      </c>
      <c r="AZ635" t="s">
        <v>74</v>
      </c>
      <c r="BA635" t="s">
        <v>74</v>
      </c>
      <c r="BB635" t="s">
        <v>74</v>
      </c>
      <c r="BC635" t="s">
        <v>74</v>
      </c>
      <c r="BD635">
        <v>126825</v>
      </c>
      <c r="BE635" t="s">
        <v>12192</v>
      </c>
      <c r="BF635" t="str">
        <f>HYPERLINK("http://dx.doi.org/10.1016/j.neucom.2023.126825","http://dx.doi.org/10.1016/j.neucom.2023.126825")</f>
        <v>http://dx.doi.org/10.1016/j.neucom.2023.126825</v>
      </c>
      <c r="BG635" t="s">
        <v>74</v>
      </c>
      <c r="BH635" t="s">
        <v>1886</v>
      </c>
      <c r="BI635">
        <v>8</v>
      </c>
      <c r="BJ635" t="s">
        <v>304</v>
      </c>
      <c r="BK635" t="s">
        <v>130</v>
      </c>
      <c r="BL635" t="s">
        <v>99</v>
      </c>
      <c r="BM635" t="s">
        <v>12193</v>
      </c>
      <c r="BN635" t="s">
        <v>74</v>
      </c>
      <c r="BO635" t="s">
        <v>161</v>
      </c>
      <c r="BP635" t="s">
        <v>74</v>
      </c>
      <c r="BQ635" t="s">
        <v>74</v>
      </c>
      <c r="BR635" t="s">
        <v>101</v>
      </c>
      <c r="BS635" t="s">
        <v>12194</v>
      </c>
      <c r="BT635" t="str">
        <f>HYPERLINK("https%3A%2F%2Fwww.webofscience.com%2Fwos%2Fwoscc%2Ffull-record%2FWOS:001103924100001","View Full Record in Web of Science")</f>
        <v>View Full Record in Web of Science</v>
      </c>
    </row>
    <row r="636" spans="1:72" x14ac:dyDescent="0.2">
      <c r="A636" t="s">
        <v>103</v>
      </c>
      <c r="B636" t="s">
        <v>12195</v>
      </c>
      <c r="C636" t="s">
        <v>74</v>
      </c>
      <c r="D636" t="s">
        <v>74</v>
      </c>
      <c r="E636" t="s">
        <v>74</v>
      </c>
      <c r="F636" t="s">
        <v>12196</v>
      </c>
      <c r="G636" t="s">
        <v>74</v>
      </c>
      <c r="H636" t="s">
        <v>74</v>
      </c>
      <c r="I636" t="s">
        <v>12197</v>
      </c>
      <c r="J636" t="s">
        <v>12198</v>
      </c>
      <c r="K636" t="s">
        <v>74</v>
      </c>
      <c r="L636" t="s">
        <v>74</v>
      </c>
      <c r="M636" t="s">
        <v>79</v>
      </c>
      <c r="N636" t="s">
        <v>108</v>
      </c>
      <c r="O636" t="s">
        <v>74</v>
      </c>
      <c r="P636" t="s">
        <v>74</v>
      </c>
      <c r="Q636" t="s">
        <v>74</v>
      </c>
      <c r="R636" t="s">
        <v>74</v>
      </c>
      <c r="S636" t="s">
        <v>74</v>
      </c>
      <c r="T636" t="s">
        <v>74</v>
      </c>
      <c r="U636" t="s">
        <v>74</v>
      </c>
      <c r="V636" t="s">
        <v>12199</v>
      </c>
      <c r="W636" t="s">
        <v>74</v>
      </c>
      <c r="X636" t="s">
        <v>74</v>
      </c>
      <c r="Y636" t="s">
        <v>74</v>
      </c>
      <c r="Z636" t="s">
        <v>74</v>
      </c>
      <c r="AA636" t="s">
        <v>74</v>
      </c>
      <c r="AB636" t="s">
        <v>74</v>
      </c>
      <c r="AC636" t="s">
        <v>74</v>
      </c>
      <c r="AD636" t="s">
        <v>74</v>
      </c>
      <c r="AE636" t="s">
        <v>74</v>
      </c>
      <c r="AF636" t="s">
        <v>74</v>
      </c>
      <c r="AG636">
        <v>79</v>
      </c>
      <c r="AH636">
        <v>0</v>
      </c>
      <c r="AI636">
        <v>0</v>
      </c>
      <c r="AJ636">
        <v>0</v>
      </c>
      <c r="AK636">
        <v>0</v>
      </c>
      <c r="AL636" t="s">
        <v>12200</v>
      </c>
      <c r="AM636" t="s">
        <v>12201</v>
      </c>
      <c r="AN636" t="s">
        <v>12202</v>
      </c>
      <c r="AO636" t="s">
        <v>12203</v>
      </c>
      <c r="AP636" t="s">
        <v>74</v>
      </c>
      <c r="AQ636" t="s">
        <v>74</v>
      </c>
      <c r="AR636" t="s">
        <v>12204</v>
      </c>
      <c r="AS636" t="s">
        <v>12205</v>
      </c>
      <c r="AT636" t="s">
        <v>527</v>
      </c>
      <c r="AU636">
        <v>2023</v>
      </c>
      <c r="AV636">
        <v>103</v>
      </c>
      <c r="AW636">
        <v>7</v>
      </c>
      <c r="AX636" t="s">
        <v>74</v>
      </c>
      <c r="AY636" t="s">
        <v>74</v>
      </c>
      <c r="AZ636" t="s">
        <v>74</v>
      </c>
      <c r="BA636" t="s">
        <v>74</v>
      </c>
      <c r="BB636">
        <v>2215</v>
      </c>
      <c r="BC636">
        <v>2249</v>
      </c>
      <c r="BD636" t="s">
        <v>74</v>
      </c>
      <c r="BE636" t="s">
        <v>74</v>
      </c>
      <c r="BF636" t="s">
        <v>74</v>
      </c>
      <c r="BG636" t="s">
        <v>74</v>
      </c>
      <c r="BH636" t="s">
        <v>74</v>
      </c>
      <c r="BI636">
        <v>35</v>
      </c>
      <c r="BJ636" t="s">
        <v>1135</v>
      </c>
      <c r="BK636" t="s">
        <v>159</v>
      </c>
      <c r="BL636" t="s">
        <v>1136</v>
      </c>
      <c r="BM636" t="s">
        <v>12206</v>
      </c>
      <c r="BN636" t="s">
        <v>74</v>
      </c>
      <c r="BO636" t="s">
        <v>74</v>
      </c>
      <c r="BP636" t="s">
        <v>74</v>
      </c>
      <c r="BQ636" t="s">
        <v>74</v>
      </c>
      <c r="BR636" t="s">
        <v>101</v>
      </c>
      <c r="BS636" t="s">
        <v>12207</v>
      </c>
      <c r="BT636" t="str">
        <f>HYPERLINK("https%3A%2F%2Fwww.webofscience.com%2Fwos%2Fwoscc%2Ffull-record%2FWOS:001165525400010","View Full Record in Web of Science")</f>
        <v>View Full Record in Web of Science</v>
      </c>
    </row>
    <row r="637" spans="1:72" x14ac:dyDescent="0.2">
      <c r="A637" t="s">
        <v>103</v>
      </c>
      <c r="B637" t="s">
        <v>12208</v>
      </c>
      <c r="C637" t="s">
        <v>74</v>
      </c>
      <c r="D637" t="s">
        <v>74</v>
      </c>
      <c r="E637" t="s">
        <v>74</v>
      </c>
      <c r="F637" t="s">
        <v>12209</v>
      </c>
      <c r="G637" t="s">
        <v>74</v>
      </c>
      <c r="H637" t="s">
        <v>74</v>
      </c>
      <c r="I637" t="s">
        <v>12210</v>
      </c>
      <c r="J637" t="s">
        <v>4059</v>
      </c>
      <c r="K637" t="s">
        <v>74</v>
      </c>
      <c r="L637" t="s">
        <v>74</v>
      </c>
      <c r="M637" t="s">
        <v>79</v>
      </c>
      <c r="N637" t="s">
        <v>108</v>
      </c>
      <c r="O637" t="s">
        <v>74</v>
      </c>
      <c r="P637" t="s">
        <v>74</v>
      </c>
      <c r="Q637" t="s">
        <v>74</v>
      </c>
      <c r="R637" t="s">
        <v>74</v>
      </c>
      <c r="S637" t="s">
        <v>74</v>
      </c>
      <c r="T637" t="s">
        <v>12211</v>
      </c>
      <c r="U637" t="s">
        <v>74</v>
      </c>
      <c r="V637" t="s">
        <v>12212</v>
      </c>
      <c r="W637" t="s">
        <v>12213</v>
      </c>
      <c r="X637" t="s">
        <v>12214</v>
      </c>
      <c r="Y637" t="s">
        <v>12215</v>
      </c>
      <c r="Z637" t="s">
        <v>12216</v>
      </c>
      <c r="AA637" t="s">
        <v>74</v>
      </c>
      <c r="AB637" t="s">
        <v>12217</v>
      </c>
      <c r="AC637" t="s">
        <v>74</v>
      </c>
      <c r="AD637" t="s">
        <v>74</v>
      </c>
      <c r="AE637" t="s">
        <v>74</v>
      </c>
      <c r="AF637" t="s">
        <v>74</v>
      </c>
      <c r="AG637">
        <v>35</v>
      </c>
      <c r="AH637">
        <v>0</v>
      </c>
      <c r="AI637">
        <v>0</v>
      </c>
      <c r="AJ637">
        <v>4</v>
      </c>
      <c r="AK637">
        <v>5</v>
      </c>
      <c r="AL637" t="s">
        <v>148</v>
      </c>
      <c r="AM637" t="s">
        <v>149</v>
      </c>
      <c r="AN637" t="s">
        <v>150</v>
      </c>
      <c r="AO637" t="s">
        <v>4068</v>
      </c>
      <c r="AP637" t="s">
        <v>4069</v>
      </c>
      <c r="AQ637" t="s">
        <v>74</v>
      </c>
      <c r="AR637" t="s">
        <v>4070</v>
      </c>
      <c r="AS637" t="s">
        <v>4071</v>
      </c>
      <c r="AT637" t="s">
        <v>2582</v>
      </c>
      <c r="AU637">
        <v>2023</v>
      </c>
      <c r="AV637">
        <v>21</v>
      </c>
      <c r="AW637">
        <v>2</v>
      </c>
      <c r="AX637" t="s">
        <v>74</v>
      </c>
      <c r="AY637" t="s">
        <v>74</v>
      </c>
      <c r="AZ637" t="s">
        <v>253</v>
      </c>
      <c r="BA637" t="s">
        <v>74</v>
      </c>
      <c r="BB637">
        <v>280</v>
      </c>
      <c r="BC637">
        <v>296</v>
      </c>
      <c r="BD637" t="s">
        <v>74</v>
      </c>
      <c r="BE637" t="s">
        <v>12218</v>
      </c>
      <c r="BF637" t="str">
        <f>HYPERLINK("http://dx.doi.org/10.1177/14780771231168223","http://dx.doi.org/10.1177/14780771231168223")</f>
        <v>http://dx.doi.org/10.1177/14780771231168223</v>
      </c>
      <c r="BG637" t="s">
        <v>74</v>
      </c>
      <c r="BH637" t="s">
        <v>1431</v>
      </c>
      <c r="BI637">
        <v>17</v>
      </c>
      <c r="BJ637" t="s">
        <v>4073</v>
      </c>
      <c r="BK637" t="s">
        <v>352</v>
      </c>
      <c r="BL637" t="s">
        <v>4073</v>
      </c>
      <c r="BM637" t="s">
        <v>4074</v>
      </c>
      <c r="BN637" t="s">
        <v>74</v>
      </c>
      <c r="BO637" t="s">
        <v>161</v>
      </c>
      <c r="BP637" t="s">
        <v>74</v>
      </c>
      <c r="BQ637" t="s">
        <v>74</v>
      </c>
      <c r="BR637" t="s">
        <v>101</v>
      </c>
      <c r="BS637" t="s">
        <v>12219</v>
      </c>
      <c r="BT637" t="str">
        <f>HYPERLINK("https%3A%2F%2Fwww.webofscience.com%2Fwos%2Fwoscc%2Ffull-record%2FWOS:000960963400001","View Full Record in Web of Science")</f>
        <v>View Full Record in Web of Science</v>
      </c>
    </row>
    <row r="638" spans="1:72" x14ac:dyDescent="0.2">
      <c r="A638" t="s">
        <v>103</v>
      </c>
      <c r="B638" t="s">
        <v>12220</v>
      </c>
      <c r="C638" t="s">
        <v>74</v>
      </c>
      <c r="D638" t="s">
        <v>74</v>
      </c>
      <c r="E638" t="s">
        <v>74</v>
      </c>
      <c r="F638" t="s">
        <v>12221</v>
      </c>
      <c r="G638" t="s">
        <v>74</v>
      </c>
      <c r="H638" t="s">
        <v>74</v>
      </c>
      <c r="I638" t="s">
        <v>12222</v>
      </c>
      <c r="J638" t="s">
        <v>12223</v>
      </c>
      <c r="K638" t="s">
        <v>74</v>
      </c>
      <c r="L638" t="s">
        <v>74</v>
      </c>
      <c r="M638" t="s">
        <v>79</v>
      </c>
      <c r="N638" t="s">
        <v>108</v>
      </c>
      <c r="O638" t="s">
        <v>74</v>
      </c>
      <c r="P638" t="s">
        <v>74</v>
      </c>
      <c r="Q638" t="s">
        <v>74</v>
      </c>
      <c r="R638" t="s">
        <v>74</v>
      </c>
      <c r="S638" t="s">
        <v>74</v>
      </c>
      <c r="T638" t="s">
        <v>12224</v>
      </c>
      <c r="U638" t="s">
        <v>12225</v>
      </c>
      <c r="V638" t="s">
        <v>12226</v>
      </c>
      <c r="W638" t="s">
        <v>12227</v>
      </c>
      <c r="X638" t="s">
        <v>74</v>
      </c>
      <c r="Y638" t="s">
        <v>12228</v>
      </c>
      <c r="Z638" t="s">
        <v>12229</v>
      </c>
      <c r="AA638" t="s">
        <v>74</v>
      </c>
      <c r="AB638" t="s">
        <v>12230</v>
      </c>
      <c r="AC638" t="s">
        <v>12231</v>
      </c>
      <c r="AD638" t="s">
        <v>12232</v>
      </c>
      <c r="AE638" t="s">
        <v>12233</v>
      </c>
      <c r="AF638" t="s">
        <v>74</v>
      </c>
      <c r="AG638">
        <v>65</v>
      </c>
      <c r="AH638">
        <v>0</v>
      </c>
      <c r="AI638">
        <v>0</v>
      </c>
      <c r="AJ638">
        <v>17</v>
      </c>
      <c r="AK638">
        <v>17</v>
      </c>
      <c r="AL638" t="s">
        <v>148</v>
      </c>
      <c r="AM638" t="s">
        <v>149</v>
      </c>
      <c r="AN638" t="s">
        <v>150</v>
      </c>
      <c r="AO638" t="s">
        <v>12234</v>
      </c>
      <c r="AP638" t="s">
        <v>74</v>
      </c>
      <c r="AQ638" t="s">
        <v>74</v>
      </c>
      <c r="AR638" t="s">
        <v>12235</v>
      </c>
      <c r="AS638" t="s">
        <v>12236</v>
      </c>
      <c r="AT638" t="s">
        <v>467</v>
      </c>
      <c r="AU638">
        <v>2023</v>
      </c>
      <c r="AV638">
        <v>9</v>
      </c>
      <c r="AW638">
        <v>4</v>
      </c>
      <c r="AX638" t="s">
        <v>74</v>
      </c>
      <c r="AY638" t="s">
        <v>74</v>
      </c>
      <c r="AZ638" t="s">
        <v>74</v>
      </c>
      <c r="BA638" t="s">
        <v>74</v>
      </c>
      <c r="BB638" t="s">
        <v>74</v>
      </c>
      <c r="BC638" t="s">
        <v>74</v>
      </c>
      <c r="BD638">
        <v>2.0563051231216948E+16</v>
      </c>
      <c r="BE638" t="s">
        <v>12237</v>
      </c>
      <c r="BF638" t="str">
        <f>HYPERLINK("http://dx.doi.org/10.1177/20563051231216947","http://dx.doi.org/10.1177/20563051231216947")</f>
        <v>http://dx.doi.org/10.1177/20563051231216947</v>
      </c>
      <c r="BG638" t="s">
        <v>74</v>
      </c>
      <c r="BH638" t="s">
        <v>74</v>
      </c>
      <c r="BI638">
        <v>12</v>
      </c>
      <c r="BJ638" t="s">
        <v>158</v>
      </c>
      <c r="BK638" t="s">
        <v>159</v>
      </c>
      <c r="BL638" t="s">
        <v>158</v>
      </c>
      <c r="BM638" t="s">
        <v>12238</v>
      </c>
      <c r="BN638">
        <v>38239338</v>
      </c>
      <c r="BO638" t="s">
        <v>425</v>
      </c>
      <c r="BP638" t="s">
        <v>74</v>
      </c>
      <c r="BQ638" t="s">
        <v>74</v>
      </c>
      <c r="BR638" t="s">
        <v>101</v>
      </c>
      <c r="BS638" t="s">
        <v>12239</v>
      </c>
      <c r="BT638" t="str">
        <f>HYPERLINK("https%3A%2F%2Fwww.webofscience.com%2Fwos%2Fwoscc%2Ffull-record%2FWOS:001127040900001","View Full Record in Web of Science")</f>
        <v>View Full Record in Web of Science</v>
      </c>
    </row>
    <row r="639" spans="1:72" x14ac:dyDescent="0.2">
      <c r="A639" t="s">
        <v>103</v>
      </c>
      <c r="B639" t="s">
        <v>12240</v>
      </c>
      <c r="C639" t="s">
        <v>74</v>
      </c>
      <c r="D639" t="s">
        <v>74</v>
      </c>
      <c r="E639" t="s">
        <v>74</v>
      </c>
      <c r="F639" t="s">
        <v>12241</v>
      </c>
      <c r="G639" t="s">
        <v>74</v>
      </c>
      <c r="H639" t="s">
        <v>74</v>
      </c>
      <c r="I639" t="s">
        <v>12242</v>
      </c>
      <c r="J639" t="s">
        <v>12243</v>
      </c>
      <c r="K639" t="s">
        <v>74</v>
      </c>
      <c r="L639" t="s">
        <v>74</v>
      </c>
      <c r="M639" t="s">
        <v>79</v>
      </c>
      <c r="N639" t="s">
        <v>108</v>
      </c>
      <c r="O639" t="s">
        <v>74</v>
      </c>
      <c r="P639" t="s">
        <v>74</v>
      </c>
      <c r="Q639" t="s">
        <v>74</v>
      </c>
      <c r="R639" t="s">
        <v>74</v>
      </c>
      <c r="S639" t="s">
        <v>74</v>
      </c>
      <c r="T639" t="s">
        <v>74</v>
      </c>
      <c r="U639" t="s">
        <v>74</v>
      </c>
      <c r="V639" t="s">
        <v>12244</v>
      </c>
      <c r="W639" t="s">
        <v>12245</v>
      </c>
      <c r="X639" t="s">
        <v>12246</v>
      </c>
      <c r="Y639" t="s">
        <v>12247</v>
      </c>
      <c r="Z639" t="s">
        <v>12248</v>
      </c>
      <c r="AA639" t="s">
        <v>12249</v>
      </c>
      <c r="AB639" t="s">
        <v>12250</v>
      </c>
      <c r="AC639" t="s">
        <v>12251</v>
      </c>
      <c r="AD639" t="s">
        <v>12252</v>
      </c>
      <c r="AE639" t="s">
        <v>12253</v>
      </c>
      <c r="AF639" t="s">
        <v>74</v>
      </c>
      <c r="AG639">
        <v>9</v>
      </c>
      <c r="AH639">
        <v>7</v>
      </c>
      <c r="AI639">
        <v>7</v>
      </c>
      <c r="AJ639">
        <v>23</v>
      </c>
      <c r="AK639">
        <v>56</v>
      </c>
      <c r="AL639" t="s">
        <v>1880</v>
      </c>
      <c r="AM639" t="s">
        <v>369</v>
      </c>
      <c r="AN639" t="s">
        <v>1881</v>
      </c>
      <c r="AO639" t="s">
        <v>12254</v>
      </c>
      <c r="AP639" t="s">
        <v>74</v>
      </c>
      <c r="AQ639" t="s">
        <v>74</v>
      </c>
      <c r="AR639" t="s">
        <v>12255</v>
      </c>
      <c r="AS639" t="s">
        <v>12256</v>
      </c>
      <c r="AT639" t="s">
        <v>615</v>
      </c>
      <c r="AU639">
        <v>2023</v>
      </c>
      <c r="AV639">
        <v>7</v>
      </c>
      <c r="AW639">
        <v>7</v>
      </c>
      <c r="AX639" t="s">
        <v>74</v>
      </c>
      <c r="AY639" t="s">
        <v>74</v>
      </c>
      <c r="AZ639" t="s">
        <v>74</v>
      </c>
      <c r="BA639" t="s">
        <v>74</v>
      </c>
      <c r="BB639">
        <v>960</v>
      </c>
      <c r="BC639">
        <v>962</v>
      </c>
      <c r="BD639" t="s">
        <v>74</v>
      </c>
      <c r="BE639" t="s">
        <v>12257</v>
      </c>
      <c r="BF639" t="str">
        <f>HYPERLINK("http://dx.doi.org/10.1038/s41559-023-02063-3","http://dx.doi.org/10.1038/s41559-023-02063-3")</f>
        <v>http://dx.doi.org/10.1038/s41559-023-02063-3</v>
      </c>
      <c r="BG639" t="s">
        <v>74</v>
      </c>
      <c r="BH639" t="s">
        <v>793</v>
      </c>
      <c r="BI639">
        <v>3</v>
      </c>
      <c r="BJ639" t="s">
        <v>12258</v>
      </c>
      <c r="BK639" t="s">
        <v>130</v>
      </c>
      <c r="BL639" t="s">
        <v>12259</v>
      </c>
      <c r="BM639" t="s">
        <v>12260</v>
      </c>
      <c r="BN639">
        <v>37100951</v>
      </c>
      <c r="BO639" t="s">
        <v>74</v>
      </c>
      <c r="BP639" t="s">
        <v>74</v>
      </c>
      <c r="BQ639" t="s">
        <v>74</v>
      </c>
      <c r="BR639" t="s">
        <v>101</v>
      </c>
      <c r="BS639" t="s">
        <v>12261</v>
      </c>
      <c r="BT639" t="str">
        <f>HYPERLINK("https%3A%2F%2Fwww.webofscience.com%2Fwos%2Fwoscc%2Ffull-record%2FWOS:000976829200001","View Full Record in Web of Science")</f>
        <v>View Full Record in Web of Science</v>
      </c>
    </row>
    <row r="640" spans="1:72" x14ac:dyDescent="0.2">
      <c r="A640" t="s">
        <v>103</v>
      </c>
      <c r="B640" t="s">
        <v>12262</v>
      </c>
      <c r="C640" t="s">
        <v>74</v>
      </c>
      <c r="D640" t="s">
        <v>74</v>
      </c>
      <c r="E640" t="s">
        <v>74</v>
      </c>
      <c r="F640" t="s">
        <v>12263</v>
      </c>
      <c r="G640" t="s">
        <v>74</v>
      </c>
      <c r="H640" t="s">
        <v>74</v>
      </c>
      <c r="I640" t="s">
        <v>12264</v>
      </c>
      <c r="J640" t="s">
        <v>9541</v>
      </c>
      <c r="K640" t="s">
        <v>74</v>
      </c>
      <c r="L640" t="s">
        <v>74</v>
      </c>
      <c r="M640" t="s">
        <v>79</v>
      </c>
      <c r="N640" t="s">
        <v>108</v>
      </c>
      <c r="O640" t="s">
        <v>74</v>
      </c>
      <c r="P640" t="s">
        <v>74</v>
      </c>
      <c r="Q640" t="s">
        <v>74</v>
      </c>
      <c r="R640" t="s">
        <v>74</v>
      </c>
      <c r="S640" t="s">
        <v>74</v>
      </c>
      <c r="T640" t="s">
        <v>12265</v>
      </c>
      <c r="U640" t="s">
        <v>12266</v>
      </c>
      <c r="V640" t="s">
        <v>12267</v>
      </c>
      <c r="W640" t="s">
        <v>12268</v>
      </c>
      <c r="X640" t="s">
        <v>12269</v>
      </c>
      <c r="Y640" t="s">
        <v>12270</v>
      </c>
      <c r="Z640" t="s">
        <v>74</v>
      </c>
      <c r="AA640" t="s">
        <v>12271</v>
      </c>
      <c r="AB640" t="s">
        <v>12272</v>
      </c>
      <c r="AC640" t="s">
        <v>74</v>
      </c>
      <c r="AD640" t="s">
        <v>74</v>
      </c>
      <c r="AE640" t="s">
        <v>74</v>
      </c>
      <c r="AF640" t="s">
        <v>74</v>
      </c>
      <c r="AG640">
        <v>70</v>
      </c>
      <c r="AH640">
        <v>0</v>
      </c>
      <c r="AI640">
        <v>0</v>
      </c>
      <c r="AJ640">
        <v>19</v>
      </c>
      <c r="AK640">
        <v>19</v>
      </c>
      <c r="AL640" t="s">
        <v>764</v>
      </c>
      <c r="AM640" t="s">
        <v>765</v>
      </c>
      <c r="AN640" t="s">
        <v>766</v>
      </c>
      <c r="AO640" t="s">
        <v>9552</v>
      </c>
      <c r="AP640" t="s">
        <v>74</v>
      </c>
      <c r="AQ640" t="s">
        <v>74</v>
      </c>
      <c r="AR640" t="s">
        <v>9553</v>
      </c>
      <c r="AS640" t="s">
        <v>9554</v>
      </c>
      <c r="AT640" t="s">
        <v>527</v>
      </c>
      <c r="AU640">
        <v>2024</v>
      </c>
      <c r="AV640">
        <v>24</v>
      </c>
      <c r="AW640" t="s">
        <v>74</v>
      </c>
      <c r="AX640" t="s">
        <v>74</v>
      </c>
      <c r="AY640" t="s">
        <v>74</v>
      </c>
      <c r="AZ640" t="s">
        <v>74</v>
      </c>
      <c r="BA640" t="s">
        <v>74</v>
      </c>
      <c r="BB640">
        <v>46</v>
      </c>
      <c r="BC640">
        <v>52</v>
      </c>
      <c r="BD640" t="s">
        <v>74</v>
      </c>
      <c r="BE640" t="s">
        <v>12273</v>
      </c>
      <c r="BF640" t="str">
        <f>HYPERLINK("http://dx.doi.org/10.1016/j.csbj.2023.11.058","http://dx.doi.org/10.1016/j.csbj.2023.11.058")</f>
        <v>http://dx.doi.org/10.1016/j.csbj.2023.11.058</v>
      </c>
      <c r="BG640" t="s">
        <v>74</v>
      </c>
      <c r="BH640" t="s">
        <v>128</v>
      </c>
      <c r="BI640">
        <v>7</v>
      </c>
      <c r="BJ640" t="s">
        <v>9556</v>
      </c>
      <c r="BK640" t="s">
        <v>130</v>
      </c>
      <c r="BL640" t="s">
        <v>9556</v>
      </c>
      <c r="BM640" t="s">
        <v>12274</v>
      </c>
      <c r="BN640">
        <v>38162955</v>
      </c>
      <c r="BO640" t="s">
        <v>3333</v>
      </c>
      <c r="BP640" t="s">
        <v>74</v>
      </c>
      <c r="BQ640" t="s">
        <v>74</v>
      </c>
      <c r="BR640" t="s">
        <v>101</v>
      </c>
      <c r="BS640" t="s">
        <v>12275</v>
      </c>
      <c r="BT640" t="str">
        <f>HYPERLINK("https%3A%2F%2Fwww.webofscience.com%2Fwos%2Fwoscc%2Ffull-record%2FWOS:001135385900001","View Full Record in Web of Science")</f>
        <v>View Full Record in Web of Science</v>
      </c>
    </row>
    <row r="641" spans="1:72" x14ac:dyDescent="0.2">
      <c r="A641" t="s">
        <v>103</v>
      </c>
      <c r="B641" t="s">
        <v>12276</v>
      </c>
      <c r="C641" t="s">
        <v>74</v>
      </c>
      <c r="D641" t="s">
        <v>74</v>
      </c>
      <c r="E641" t="s">
        <v>74</v>
      </c>
      <c r="F641" t="s">
        <v>12277</v>
      </c>
      <c r="G641" t="s">
        <v>74</v>
      </c>
      <c r="H641" t="s">
        <v>74</v>
      </c>
      <c r="I641" t="s">
        <v>12278</v>
      </c>
      <c r="J641" t="s">
        <v>12279</v>
      </c>
      <c r="K641" t="s">
        <v>74</v>
      </c>
      <c r="L641" t="s">
        <v>74</v>
      </c>
      <c r="M641" t="s">
        <v>79</v>
      </c>
      <c r="N641" t="s">
        <v>108</v>
      </c>
      <c r="O641" t="s">
        <v>74</v>
      </c>
      <c r="P641" t="s">
        <v>74</v>
      </c>
      <c r="Q641" t="s">
        <v>74</v>
      </c>
      <c r="R641" t="s">
        <v>74</v>
      </c>
      <c r="S641" t="s">
        <v>74</v>
      </c>
      <c r="T641" t="s">
        <v>12280</v>
      </c>
      <c r="U641" t="s">
        <v>74</v>
      </c>
      <c r="V641" t="s">
        <v>12281</v>
      </c>
      <c r="W641" t="s">
        <v>12282</v>
      </c>
      <c r="X641" t="s">
        <v>12283</v>
      </c>
      <c r="Y641" t="s">
        <v>12284</v>
      </c>
      <c r="Z641" t="s">
        <v>12285</v>
      </c>
      <c r="AA641" t="s">
        <v>12286</v>
      </c>
      <c r="AB641" t="s">
        <v>12287</v>
      </c>
      <c r="AC641" t="s">
        <v>74</v>
      </c>
      <c r="AD641" t="s">
        <v>74</v>
      </c>
      <c r="AE641" t="s">
        <v>74</v>
      </c>
      <c r="AF641" t="s">
        <v>74</v>
      </c>
      <c r="AG641">
        <v>30</v>
      </c>
      <c r="AH641">
        <v>0</v>
      </c>
      <c r="AI641">
        <v>0</v>
      </c>
      <c r="AJ641">
        <v>2</v>
      </c>
      <c r="AK641">
        <v>3</v>
      </c>
      <c r="AL641" t="s">
        <v>737</v>
      </c>
      <c r="AM641" t="s">
        <v>738</v>
      </c>
      <c r="AN641" t="s">
        <v>739</v>
      </c>
      <c r="AO641" t="s">
        <v>12288</v>
      </c>
      <c r="AP641" t="s">
        <v>12289</v>
      </c>
      <c r="AQ641" t="s">
        <v>74</v>
      </c>
      <c r="AR641" t="s">
        <v>12290</v>
      </c>
      <c r="AS641" t="s">
        <v>12291</v>
      </c>
      <c r="AT641" t="s">
        <v>12292</v>
      </c>
      <c r="AU641">
        <v>2023</v>
      </c>
      <c r="AV641">
        <v>19</v>
      </c>
      <c r="AW641">
        <v>3</v>
      </c>
      <c r="AX641" t="s">
        <v>74</v>
      </c>
      <c r="AY641" t="s">
        <v>74</v>
      </c>
      <c r="AZ641" t="s">
        <v>253</v>
      </c>
      <c r="BA641" t="s">
        <v>74</v>
      </c>
      <c r="BB641">
        <v>369</v>
      </c>
      <c r="BC641">
        <v>385</v>
      </c>
      <c r="BD641" t="s">
        <v>74</v>
      </c>
      <c r="BE641" t="s">
        <v>12293</v>
      </c>
      <c r="BF641" t="str">
        <f>HYPERLINK("http://dx.doi.org/10.1080/14794713.2023.2215162","http://dx.doi.org/10.1080/14794713.2023.2215162")</f>
        <v>http://dx.doi.org/10.1080/14794713.2023.2215162</v>
      </c>
      <c r="BG641" t="s">
        <v>74</v>
      </c>
      <c r="BH641" t="s">
        <v>2889</v>
      </c>
      <c r="BI641">
        <v>17</v>
      </c>
      <c r="BJ641" t="s">
        <v>12294</v>
      </c>
      <c r="BK641" t="s">
        <v>352</v>
      </c>
      <c r="BL641" t="s">
        <v>12294</v>
      </c>
      <c r="BM641" t="s">
        <v>12295</v>
      </c>
      <c r="BN641" t="s">
        <v>74</v>
      </c>
      <c r="BO641" t="s">
        <v>74</v>
      </c>
      <c r="BP641" t="s">
        <v>74</v>
      </c>
      <c r="BQ641" t="s">
        <v>74</v>
      </c>
      <c r="BR641" t="s">
        <v>101</v>
      </c>
      <c r="BS641" t="s">
        <v>12296</v>
      </c>
      <c r="BT641" t="str">
        <f>HYPERLINK("https%3A%2F%2Fwww.webofscience.com%2Fwos%2Fwoscc%2Ffull-record%2FWOS:000994695800001","View Full Record in Web of Science")</f>
        <v>View Full Record in Web of Science</v>
      </c>
    </row>
    <row r="642" spans="1:72" x14ac:dyDescent="0.2">
      <c r="A642" t="s">
        <v>103</v>
      </c>
      <c r="B642" t="s">
        <v>12297</v>
      </c>
      <c r="C642" t="s">
        <v>74</v>
      </c>
      <c r="D642" t="s">
        <v>74</v>
      </c>
      <c r="E642" t="s">
        <v>74</v>
      </c>
      <c r="F642" t="s">
        <v>12298</v>
      </c>
      <c r="G642" t="s">
        <v>74</v>
      </c>
      <c r="H642" t="s">
        <v>74</v>
      </c>
      <c r="I642" t="s">
        <v>12299</v>
      </c>
      <c r="J642" t="s">
        <v>12300</v>
      </c>
      <c r="K642" t="s">
        <v>74</v>
      </c>
      <c r="L642" t="s">
        <v>74</v>
      </c>
      <c r="M642" t="s">
        <v>79</v>
      </c>
      <c r="N642" t="s">
        <v>108</v>
      </c>
      <c r="O642" t="s">
        <v>74</v>
      </c>
      <c r="P642" t="s">
        <v>74</v>
      </c>
      <c r="Q642" t="s">
        <v>74</v>
      </c>
      <c r="R642" t="s">
        <v>74</v>
      </c>
      <c r="S642" t="s">
        <v>74</v>
      </c>
      <c r="T642" t="s">
        <v>12301</v>
      </c>
      <c r="U642" t="s">
        <v>74</v>
      </c>
      <c r="V642" t="s">
        <v>12302</v>
      </c>
      <c r="W642" t="s">
        <v>12303</v>
      </c>
      <c r="X642" t="s">
        <v>12304</v>
      </c>
      <c r="Y642" t="s">
        <v>12305</v>
      </c>
      <c r="Z642" t="s">
        <v>12306</v>
      </c>
      <c r="AA642" t="s">
        <v>12307</v>
      </c>
      <c r="AB642" t="s">
        <v>74</v>
      </c>
      <c r="AC642" t="s">
        <v>12308</v>
      </c>
      <c r="AD642" t="s">
        <v>12309</v>
      </c>
      <c r="AE642" t="s">
        <v>12310</v>
      </c>
      <c r="AF642" t="s">
        <v>74</v>
      </c>
      <c r="AG642">
        <v>42</v>
      </c>
      <c r="AH642">
        <v>0</v>
      </c>
      <c r="AI642">
        <v>0</v>
      </c>
      <c r="AJ642">
        <v>5</v>
      </c>
      <c r="AK642">
        <v>5</v>
      </c>
      <c r="AL642" t="s">
        <v>343</v>
      </c>
      <c r="AM642" t="s">
        <v>93</v>
      </c>
      <c r="AN642" t="s">
        <v>344</v>
      </c>
      <c r="AO642" t="s">
        <v>12311</v>
      </c>
      <c r="AP642" t="s">
        <v>12312</v>
      </c>
      <c r="AQ642" t="s">
        <v>74</v>
      </c>
      <c r="AR642" t="s">
        <v>12313</v>
      </c>
      <c r="AS642" t="s">
        <v>12314</v>
      </c>
      <c r="AT642" t="s">
        <v>276</v>
      </c>
      <c r="AU642">
        <v>2023</v>
      </c>
      <c r="AV642">
        <v>26</v>
      </c>
      <c r="AW642">
        <v>6</v>
      </c>
      <c r="AX642" t="s">
        <v>74</v>
      </c>
      <c r="AY642" t="s">
        <v>74</v>
      </c>
      <c r="AZ642" t="s">
        <v>74</v>
      </c>
      <c r="BA642" t="s">
        <v>74</v>
      </c>
      <c r="BB642">
        <v>3983</v>
      </c>
      <c r="BC642">
        <v>3999</v>
      </c>
      <c r="BD642" t="s">
        <v>74</v>
      </c>
      <c r="BE642" t="s">
        <v>12315</v>
      </c>
      <c r="BF642" t="str">
        <f>HYPERLINK("http://dx.doi.org/10.1007/s11280-023-01216-5","http://dx.doi.org/10.1007/s11280-023-01216-5")</f>
        <v>http://dx.doi.org/10.1007/s11280-023-01216-5</v>
      </c>
      <c r="BG642" t="s">
        <v>74</v>
      </c>
      <c r="BH642" t="s">
        <v>1886</v>
      </c>
      <c r="BI642">
        <v>17</v>
      </c>
      <c r="BJ642" t="s">
        <v>12316</v>
      </c>
      <c r="BK642" t="s">
        <v>130</v>
      </c>
      <c r="BL642" t="s">
        <v>99</v>
      </c>
      <c r="BM642" t="s">
        <v>12317</v>
      </c>
      <c r="BN642" t="s">
        <v>74</v>
      </c>
      <c r="BO642" t="s">
        <v>74</v>
      </c>
      <c r="BP642" t="s">
        <v>74</v>
      </c>
      <c r="BQ642" t="s">
        <v>74</v>
      </c>
      <c r="BR642" t="s">
        <v>101</v>
      </c>
      <c r="BS642" t="s">
        <v>12318</v>
      </c>
      <c r="BT642" t="str">
        <f>HYPERLINK("https%3A%2F%2Fwww.webofscience.com%2Fwos%2Fwoscc%2Ffull-record%2FWOS:001086848200001","View Full Record in Web of Science")</f>
        <v>View Full Record in Web of Science</v>
      </c>
    </row>
    <row r="643" spans="1:72" x14ac:dyDescent="0.2">
      <c r="A643" t="s">
        <v>103</v>
      </c>
      <c r="B643" t="s">
        <v>12319</v>
      </c>
      <c r="C643" t="s">
        <v>74</v>
      </c>
      <c r="D643" t="s">
        <v>74</v>
      </c>
      <c r="E643" t="s">
        <v>74</v>
      </c>
      <c r="F643" t="s">
        <v>12320</v>
      </c>
      <c r="G643" t="s">
        <v>74</v>
      </c>
      <c r="H643" t="s">
        <v>74</v>
      </c>
      <c r="I643" t="s">
        <v>12321</v>
      </c>
      <c r="J643" t="s">
        <v>12322</v>
      </c>
      <c r="K643" t="s">
        <v>74</v>
      </c>
      <c r="L643" t="s">
        <v>74</v>
      </c>
      <c r="M643" t="s">
        <v>79</v>
      </c>
      <c r="N643" t="s">
        <v>138</v>
      </c>
      <c r="O643" t="s">
        <v>74</v>
      </c>
      <c r="P643" t="s">
        <v>74</v>
      </c>
      <c r="Q643" t="s">
        <v>74</v>
      </c>
      <c r="R643" t="s">
        <v>74</v>
      </c>
      <c r="S643" t="s">
        <v>74</v>
      </c>
      <c r="T643" t="s">
        <v>12323</v>
      </c>
      <c r="U643" t="s">
        <v>12324</v>
      </c>
      <c r="V643" t="s">
        <v>12325</v>
      </c>
      <c r="W643" t="s">
        <v>12326</v>
      </c>
      <c r="X643" t="s">
        <v>12327</v>
      </c>
      <c r="Y643" t="s">
        <v>12328</v>
      </c>
      <c r="Z643" t="s">
        <v>12329</v>
      </c>
      <c r="AA643" t="s">
        <v>74</v>
      </c>
      <c r="AB643" t="s">
        <v>12330</v>
      </c>
      <c r="AC643" t="s">
        <v>74</v>
      </c>
      <c r="AD643" t="s">
        <v>74</v>
      </c>
      <c r="AE643" t="s">
        <v>74</v>
      </c>
      <c r="AF643" t="s">
        <v>74</v>
      </c>
      <c r="AG643">
        <v>38</v>
      </c>
      <c r="AH643">
        <v>9</v>
      </c>
      <c r="AI643">
        <v>9</v>
      </c>
      <c r="AJ643">
        <v>62</v>
      </c>
      <c r="AK643">
        <v>95</v>
      </c>
      <c r="AL643" t="s">
        <v>3165</v>
      </c>
      <c r="AM643" t="s">
        <v>3166</v>
      </c>
      <c r="AN643" t="s">
        <v>3167</v>
      </c>
      <c r="AO643" t="s">
        <v>12331</v>
      </c>
      <c r="AP643" t="s">
        <v>12332</v>
      </c>
      <c r="AQ643" t="s">
        <v>74</v>
      </c>
      <c r="AR643" t="s">
        <v>12333</v>
      </c>
      <c r="AS643" t="s">
        <v>12334</v>
      </c>
      <c r="AT643" t="s">
        <v>12335</v>
      </c>
      <c r="AU643">
        <v>2023</v>
      </c>
      <c r="AV643" t="s">
        <v>74</v>
      </c>
      <c r="AW643" t="s">
        <v>74</v>
      </c>
      <c r="AX643" t="s">
        <v>74</v>
      </c>
      <c r="AY643" t="s">
        <v>74</v>
      </c>
      <c r="AZ643" t="s">
        <v>74</v>
      </c>
      <c r="BA643" t="s">
        <v>74</v>
      </c>
      <c r="BB643" t="s">
        <v>74</v>
      </c>
      <c r="BC643" t="s">
        <v>74</v>
      </c>
      <c r="BD643" t="s">
        <v>74</v>
      </c>
      <c r="BE643" t="s">
        <v>12336</v>
      </c>
      <c r="BF643" t="str">
        <f>HYPERLINK("http://dx.doi.org/10.1111/bjet.13337","http://dx.doi.org/10.1111/bjet.13337")</f>
        <v>http://dx.doi.org/10.1111/bjet.13337</v>
      </c>
      <c r="BG643" t="s">
        <v>74</v>
      </c>
      <c r="BH643" t="s">
        <v>2889</v>
      </c>
      <c r="BI643">
        <v>14</v>
      </c>
      <c r="BJ643" t="s">
        <v>423</v>
      </c>
      <c r="BK643" t="s">
        <v>159</v>
      </c>
      <c r="BL643" t="s">
        <v>423</v>
      </c>
      <c r="BM643" t="s">
        <v>12337</v>
      </c>
      <c r="BN643" t="s">
        <v>74</v>
      </c>
      <c r="BO643" t="s">
        <v>161</v>
      </c>
      <c r="BP643" t="s">
        <v>74</v>
      </c>
      <c r="BQ643" t="s">
        <v>74</v>
      </c>
      <c r="BR643" t="s">
        <v>101</v>
      </c>
      <c r="BS643" t="s">
        <v>12338</v>
      </c>
      <c r="BT643" t="str">
        <f>HYPERLINK("https%3A%2F%2Fwww.webofscience.com%2Fwos%2Fwoscc%2Ffull-record%2FWOS:000993618700001","View Full Record in Web of Science")</f>
        <v>View Full Record in Web of Science</v>
      </c>
    </row>
    <row r="644" spans="1:72" x14ac:dyDescent="0.2">
      <c r="A644" t="s">
        <v>103</v>
      </c>
      <c r="B644" t="s">
        <v>12339</v>
      </c>
      <c r="C644" t="s">
        <v>74</v>
      </c>
      <c r="D644" t="s">
        <v>74</v>
      </c>
      <c r="E644" t="s">
        <v>74</v>
      </c>
      <c r="F644" t="s">
        <v>12340</v>
      </c>
      <c r="G644" t="s">
        <v>74</v>
      </c>
      <c r="H644" t="s">
        <v>74</v>
      </c>
      <c r="I644" t="s">
        <v>12341</v>
      </c>
      <c r="J644" t="s">
        <v>780</v>
      </c>
      <c r="K644" t="s">
        <v>74</v>
      </c>
      <c r="L644" t="s">
        <v>74</v>
      </c>
      <c r="M644" t="s">
        <v>79</v>
      </c>
      <c r="N644" t="s">
        <v>138</v>
      </c>
      <c r="O644" t="s">
        <v>74</v>
      </c>
      <c r="P644" t="s">
        <v>74</v>
      </c>
      <c r="Q644" t="s">
        <v>74</v>
      </c>
      <c r="R644" t="s">
        <v>74</v>
      </c>
      <c r="S644" t="s">
        <v>74</v>
      </c>
      <c r="T644" t="s">
        <v>12342</v>
      </c>
      <c r="U644" t="s">
        <v>74</v>
      </c>
      <c r="V644" t="s">
        <v>12343</v>
      </c>
      <c r="W644" t="s">
        <v>12344</v>
      </c>
      <c r="X644" t="s">
        <v>12345</v>
      </c>
      <c r="Y644" t="s">
        <v>12346</v>
      </c>
      <c r="Z644" t="s">
        <v>12347</v>
      </c>
      <c r="AA644" t="s">
        <v>74</v>
      </c>
      <c r="AB644" t="s">
        <v>74</v>
      </c>
      <c r="AC644" t="s">
        <v>12348</v>
      </c>
      <c r="AD644" t="s">
        <v>12349</v>
      </c>
      <c r="AE644" t="s">
        <v>12350</v>
      </c>
      <c r="AF644" t="s">
        <v>74</v>
      </c>
      <c r="AG644">
        <v>9</v>
      </c>
      <c r="AH644">
        <v>1</v>
      </c>
      <c r="AI644">
        <v>1</v>
      </c>
      <c r="AJ644">
        <v>72</v>
      </c>
      <c r="AK644">
        <v>72</v>
      </c>
      <c r="AL644" t="s">
        <v>438</v>
      </c>
      <c r="AM644" t="s">
        <v>439</v>
      </c>
      <c r="AN644" t="s">
        <v>440</v>
      </c>
      <c r="AO644" t="s">
        <v>787</v>
      </c>
      <c r="AP644" t="s">
        <v>788</v>
      </c>
      <c r="AQ644" t="s">
        <v>74</v>
      </c>
      <c r="AR644" t="s">
        <v>789</v>
      </c>
      <c r="AS644" t="s">
        <v>790</v>
      </c>
      <c r="AT644" t="s">
        <v>12351</v>
      </c>
      <c r="AU644">
        <v>2023</v>
      </c>
      <c r="AV644" t="s">
        <v>74</v>
      </c>
      <c r="AW644" t="s">
        <v>74</v>
      </c>
      <c r="AX644" t="s">
        <v>74</v>
      </c>
      <c r="AY644" t="s">
        <v>74</v>
      </c>
      <c r="AZ644" t="s">
        <v>74</v>
      </c>
      <c r="BA644" t="s">
        <v>74</v>
      </c>
      <c r="BB644" t="s">
        <v>74</v>
      </c>
      <c r="BC644" t="s">
        <v>74</v>
      </c>
      <c r="BD644" t="s">
        <v>74</v>
      </c>
      <c r="BE644" t="s">
        <v>12352</v>
      </c>
      <c r="BF644" t="str">
        <f>HYPERLINK("http://dx.doi.org/10.1177/20965311231210006","http://dx.doi.org/10.1177/20965311231210006")</f>
        <v>http://dx.doi.org/10.1177/20965311231210006</v>
      </c>
      <c r="BG644" t="s">
        <v>74</v>
      </c>
      <c r="BH644" t="s">
        <v>157</v>
      </c>
      <c r="BI644">
        <v>15</v>
      </c>
      <c r="BJ644" t="s">
        <v>423</v>
      </c>
      <c r="BK644" t="s">
        <v>352</v>
      </c>
      <c r="BL644" t="s">
        <v>423</v>
      </c>
      <c r="BM644" t="s">
        <v>12353</v>
      </c>
      <c r="BN644" t="s">
        <v>74</v>
      </c>
      <c r="BO644" t="s">
        <v>425</v>
      </c>
      <c r="BP644" t="s">
        <v>74</v>
      </c>
      <c r="BQ644" t="s">
        <v>74</v>
      </c>
      <c r="BR644" t="s">
        <v>101</v>
      </c>
      <c r="BS644" t="s">
        <v>12354</v>
      </c>
      <c r="BT644" t="str">
        <f>HYPERLINK("https%3A%2F%2Fwww.webofscience.com%2Fwos%2Fwoscc%2Ffull-record%2FWOS:001097866600001","View Full Record in Web of Science")</f>
        <v>View Full Record in Web of Science</v>
      </c>
    </row>
    <row r="645" spans="1:72" x14ac:dyDescent="0.2">
      <c r="A645" t="s">
        <v>72</v>
      </c>
      <c r="B645" t="s">
        <v>12355</v>
      </c>
      <c r="C645" t="s">
        <v>74</v>
      </c>
      <c r="D645" t="s">
        <v>12356</v>
      </c>
      <c r="E645" t="s">
        <v>74</v>
      </c>
      <c r="F645" t="s">
        <v>12357</v>
      </c>
      <c r="G645" t="s">
        <v>74</v>
      </c>
      <c r="H645" t="s">
        <v>74</v>
      </c>
      <c r="I645" t="s">
        <v>12358</v>
      </c>
      <c r="J645" t="s">
        <v>12359</v>
      </c>
      <c r="K645" t="s">
        <v>12360</v>
      </c>
      <c r="L645" t="s">
        <v>74</v>
      </c>
      <c r="M645" t="s">
        <v>79</v>
      </c>
      <c r="N645" t="s">
        <v>80</v>
      </c>
      <c r="O645" t="s">
        <v>12361</v>
      </c>
      <c r="P645" t="s">
        <v>12362</v>
      </c>
      <c r="Q645" t="s">
        <v>12363</v>
      </c>
      <c r="R645" t="s">
        <v>74</v>
      </c>
      <c r="S645" t="s">
        <v>74</v>
      </c>
      <c r="T645" t="s">
        <v>12364</v>
      </c>
      <c r="U645" t="s">
        <v>74</v>
      </c>
      <c r="V645" t="s">
        <v>12365</v>
      </c>
      <c r="W645" t="s">
        <v>12366</v>
      </c>
      <c r="X645" t="s">
        <v>12367</v>
      </c>
      <c r="Y645" t="s">
        <v>12368</v>
      </c>
      <c r="Z645" t="s">
        <v>74</v>
      </c>
      <c r="AA645" t="s">
        <v>74</v>
      </c>
      <c r="AB645" t="s">
        <v>12369</v>
      </c>
      <c r="AC645" t="s">
        <v>12370</v>
      </c>
      <c r="AD645" t="s">
        <v>12370</v>
      </c>
      <c r="AE645" t="s">
        <v>12371</v>
      </c>
      <c r="AF645" t="s">
        <v>74</v>
      </c>
      <c r="AG645">
        <v>14</v>
      </c>
      <c r="AH645">
        <v>0</v>
      </c>
      <c r="AI645">
        <v>0</v>
      </c>
      <c r="AJ645">
        <v>1</v>
      </c>
      <c r="AK645">
        <v>1</v>
      </c>
      <c r="AL645" t="s">
        <v>12372</v>
      </c>
      <c r="AM645" t="s">
        <v>12373</v>
      </c>
      <c r="AN645" t="s">
        <v>12374</v>
      </c>
      <c r="AO645" t="s">
        <v>12375</v>
      </c>
      <c r="AP645" t="s">
        <v>74</v>
      </c>
      <c r="AQ645" t="s">
        <v>12376</v>
      </c>
      <c r="AR645" t="s">
        <v>12360</v>
      </c>
      <c r="AS645" t="s">
        <v>74</v>
      </c>
      <c r="AT645" t="s">
        <v>74</v>
      </c>
      <c r="AU645">
        <v>2023</v>
      </c>
      <c r="AV645" t="s">
        <v>74</v>
      </c>
      <c r="AW645" t="s">
        <v>74</v>
      </c>
      <c r="AX645" t="s">
        <v>74</v>
      </c>
      <c r="AY645" t="s">
        <v>74</v>
      </c>
      <c r="AZ645" t="s">
        <v>74</v>
      </c>
      <c r="BA645" t="s">
        <v>74</v>
      </c>
      <c r="BB645">
        <v>279</v>
      </c>
      <c r="BC645">
        <v>286</v>
      </c>
      <c r="BD645" t="s">
        <v>74</v>
      </c>
      <c r="BE645" t="s">
        <v>12377</v>
      </c>
      <c r="BF645" t="str">
        <f>HYPERLINK("http://dx.doi.org/10.5220/0011956800003555","http://dx.doi.org/10.5220/0011956800003555")</f>
        <v>http://dx.doi.org/10.5220/0011956800003555</v>
      </c>
      <c r="BG645" t="s">
        <v>74</v>
      </c>
      <c r="BH645" t="s">
        <v>74</v>
      </c>
      <c r="BI645">
        <v>8</v>
      </c>
      <c r="BJ645" t="s">
        <v>9511</v>
      </c>
      <c r="BK645" t="s">
        <v>98</v>
      </c>
      <c r="BL645" t="s">
        <v>99</v>
      </c>
      <c r="BM645" t="s">
        <v>12378</v>
      </c>
      <c r="BN645" t="s">
        <v>74</v>
      </c>
      <c r="BO645" t="s">
        <v>161</v>
      </c>
      <c r="BP645" t="s">
        <v>74</v>
      </c>
      <c r="BQ645" t="s">
        <v>74</v>
      </c>
      <c r="BR645" t="s">
        <v>101</v>
      </c>
      <c r="BS645" t="s">
        <v>12379</v>
      </c>
      <c r="BT645" t="str">
        <f>HYPERLINK("https%3A%2F%2Fwww.webofscience.com%2Fwos%2Fwoscc%2Ffull-record%2FWOS:001072829100023","View Full Record in Web of Science")</f>
        <v>View Full Record in Web of Science</v>
      </c>
    </row>
    <row r="646" spans="1:72" x14ac:dyDescent="0.2">
      <c r="A646" t="s">
        <v>103</v>
      </c>
      <c r="B646" t="s">
        <v>12380</v>
      </c>
      <c r="C646" t="s">
        <v>74</v>
      </c>
      <c r="D646" t="s">
        <v>74</v>
      </c>
      <c r="E646" t="s">
        <v>74</v>
      </c>
      <c r="F646" t="s">
        <v>12381</v>
      </c>
      <c r="G646" t="s">
        <v>74</v>
      </c>
      <c r="H646" t="s">
        <v>74</v>
      </c>
      <c r="I646" t="s">
        <v>12382</v>
      </c>
      <c r="J646" t="s">
        <v>11393</v>
      </c>
      <c r="K646" t="s">
        <v>74</v>
      </c>
      <c r="L646" t="s">
        <v>74</v>
      </c>
      <c r="M646" t="s">
        <v>79</v>
      </c>
      <c r="N646" t="s">
        <v>108</v>
      </c>
      <c r="O646" t="s">
        <v>74</v>
      </c>
      <c r="P646" t="s">
        <v>74</v>
      </c>
      <c r="Q646" t="s">
        <v>74</v>
      </c>
      <c r="R646" t="s">
        <v>74</v>
      </c>
      <c r="S646" t="s">
        <v>74</v>
      </c>
      <c r="T646" t="s">
        <v>12383</v>
      </c>
      <c r="U646" t="s">
        <v>12384</v>
      </c>
      <c r="V646" t="s">
        <v>12385</v>
      </c>
      <c r="W646" t="s">
        <v>12386</v>
      </c>
      <c r="X646" t="s">
        <v>12387</v>
      </c>
      <c r="Y646" t="s">
        <v>12388</v>
      </c>
      <c r="Z646" t="s">
        <v>12389</v>
      </c>
      <c r="AA646" t="s">
        <v>12390</v>
      </c>
      <c r="AB646" t="s">
        <v>12391</v>
      </c>
      <c r="AC646" t="s">
        <v>74</v>
      </c>
      <c r="AD646" t="s">
        <v>74</v>
      </c>
      <c r="AE646" t="s">
        <v>74</v>
      </c>
      <c r="AF646" t="s">
        <v>74</v>
      </c>
      <c r="AG646">
        <v>90</v>
      </c>
      <c r="AH646">
        <v>26</v>
      </c>
      <c r="AI646">
        <v>27</v>
      </c>
      <c r="AJ646">
        <v>33</v>
      </c>
      <c r="AK646">
        <v>50</v>
      </c>
      <c r="AL646" t="s">
        <v>638</v>
      </c>
      <c r="AM646" t="s">
        <v>639</v>
      </c>
      <c r="AN646" t="s">
        <v>1557</v>
      </c>
      <c r="AO646" t="s">
        <v>11403</v>
      </c>
      <c r="AP646" t="s">
        <v>11404</v>
      </c>
      <c r="AQ646" t="s">
        <v>74</v>
      </c>
      <c r="AR646" t="s">
        <v>11405</v>
      </c>
      <c r="AS646" t="s">
        <v>11406</v>
      </c>
      <c r="AT646" t="s">
        <v>816</v>
      </c>
      <c r="AU646">
        <v>2023</v>
      </c>
      <c r="AV646">
        <v>35</v>
      </c>
      <c r="AW646">
        <v>4</v>
      </c>
      <c r="AX646" t="s">
        <v>74</v>
      </c>
      <c r="AY646" t="s">
        <v>74</v>
      </c>
      <c r="AZ646" t="s">
        <v>74</v>
      </c>
      <c r="BA646" t="s">
        <v>74</v>
      </c>
      <c r="BB646">
        <v>4216</v>
      </c>
      <c r="BC646">
        <v>4235</v>
      </c>
      <c r="BD646" t="s">
        <v>74</v>
      </c>
      <c r="BE646" t="s">
        <v>12392</v>
      </c>
      <c r="BF646" t="str">
        <f>HYPERLINK("http://dx.doi.org/10.1109/TKDE.2021.3131584","http://dx.doi.org/10.1109/TKDE.2021.3131584")</f>
        <v>http://dx.doi.org/10.1109/TKDE.2021.3131584</v>
      </c>
      <c r="BG646" t="s">
        <v>74</v>
      </c>
      <c r="BH646" t="s">
        <v>74</v>
      </c>
      <c r="BI646">
        <v>20</v>
      </c>
      <c r="BJ646" t="s">
        <v>11408</v>
      </c>
      <c r="BK646" t="s">
        <v>130</v>
      </c>
      <c r="BL646" t="s">
        <v>906</v>
      </c>
      <c r="BM646" t="s">
        <v>12393</v>
      </c>
      <c r="BN646" t="s">
        <v>74</v>
      </c>
      <c r="BO646" t="s">
        <v>646</v>
      </c>
      <c r="BP646" t="s">
        <v>1434</v>
      </c>
      <c r="BQ646" t="s">
        <v>1912</v>
      </c>
      <c r="BR646" t="s">
        <v>101</v>
      </c>
      <c r="BS646" t="s">
        <v>12394</v>
      </c>
      <c r="BT646" t="str">
        <f>HYPERLINK("https%3A%2F%2Fwww.webofscience.com%2Fwos%2Fwoscc%2Ffull-record%2FWOS:000965111500001","View Full Record in Web of Science")</f>
        <v>View Full Record in Web of Science</v>
      </c>
    </row>
    <row r="647" spans="1:72" x14ac:dyDescent="0.2">
      <c r="A647" t="s">
        <v>103</v>
      </c>
      <c r="B647" t="s">
        <v>12395</v>
      </c>
      <c r="C647" t="s">
        <v>74</v>
      </c>
      <c r="D647" t="s">
        <v>74</v>
      </c>
      <c r="E647" t="s">
        <v>74</v>
      </c>
      <c r="F647" t="s">
        <v>12396</v>
      </c>
      <c r="G647" t="s">
        <v>74</v>
      </c>
      <c r="H647" t="s">
        <v>74</v>
      </c>
      <c r="I647" t="s">
        <v>12397</v>
      </c>
      <c r="J647" t="s">
        <v>11207</v>
      </c>
      <c r="K647" t="s">
        <v>74</v>
      </c>
      <c r="L647" t="s">
        <v>74</v>
      </c>
      <c r="M647" t="s">
        <v>79</v>
      </c>
      <c r="N647" t="s">
        <v>138</v>
      </c>
      <c r="O647" t="s">
        <v>74</v>
      </c>
      <c r="P647" t="s">
        <v>74</v>
      </c>
      <c r="Q647" t="s">
        <v>74</v>
      </c>
      <c r="R647" t="s">
        <v>74</v>
      </c>
      <c r="S647" t="s">
        <v>74</v>
      </c>
      <c r="T647" t="s">
        <v>74</v>
      </c>
      <c r="U647" t="s">
        <v>12398</v>
      </c>
      <c r="V647" t="s">
        <v>12399</v>
      </c>
      <c r="W647" t="s">
        <v>12400</v>
      </c>
      <c r="X647" t="s">
        <v>12401</v>
      </c>
      <c r="Y647" t="s">
        <v>12402</v>
      </c>
      <c r="Z647" t="s">
        <v>12403</v>
      </c>
      <c r="AA647" t="s">
        <v>12404</v>
      </c>
      <c r="AB647" t="s">
        <v>12405</v>
      </c>
      <c r="AC647" t="s">
        <v>12406</v>
      </c>
      <c r="AD647" t="s">
        <v>12407</v>
      </c>
      <c r="AE647" t="s">
        <v>12408</v>
      </c>
      <c r="AF647" t="s">
        <v>74</v>
      </c>
      <c r="AG647">
        <v>56</v>
      </c>
      <c r="AH647">
        <v>1</v>
      </c>
      <c r="AI647">
        <v>1</v>
      </c>
      <c r="AJ647">
        <v>16</v>
      </c>
      <c r="AK647">
        <v>25</v>
      </c>
      <c r="AL647" t="s">
        <v>547</v>
      </c>
      <c r="AM647" t="s">
        <v>548</v>
      </c>
      <c r="AN647" t="s">
        <v>549</v>
      </c>
      <c r="AO647" t="s">
        <v>11215</v>
      </c>
      <c r="AP647" t="s">
        <v>11216</v>
      </c>
      <c r="AQ647" t="s">
        <v>74</v>
      </c>
      <c r="AR647" t="s">
        <v>11217</v>
      </c>
      <c r="AS647" t="s">
        <v>11218</v>
      </c>
      <c r="AT647" t="s">
        <v>12409</v>
      </c>
      <c r="AU647">
        <v>2023</v>
      </c>
      <c r="AV647" t="s">
        <v>74</v>
      </c>
      <c r="AW647" t="s">
        <v>74</v>
      </c>
      <c r="AX647" t="s">
        <v>74</v>
      </c>
      <c r="AY647" t="s">
        <v>74</v>
      </c>
      <c r="AZ647" t="s">
        <v>74</v>
      </c>
      <c r="BA647" t="s">
        <v>74</v>
      </c>
      <c r="BB647" t="s">
        <v>74</v>
      </c>
      <c r="BC647" t="s">
        <v>74</v>
      </c>
      <c r="BD647" t="s">
        <v>74</v>
      </c>
      <c r="BE647" t="s">
        <v>12410</v>
      </c>
      <c r="BF647" t="str">
        <f>HYPERLINK("http://dx.doi.org/10.1021/acs.jcim.3c00293","http://dx.doi.org/10.1021/acs.jcim.3c00293")</f>
        <v>http://dx.doi.org/10.1021/acs.jcim.3c00293</v>
      </c>
      <c r="BG647" t="s">
        <v>74</v>
      </c>
      <c r="BH647" t="s">
        <v>1910</v>
      </c>
      <c r="BI647">
        <v>12</v>
      </c>
      <c r="BJ647" t="s">
        <v>11221</v>
      </c>
      <c r="BK647" t="s">
        <v>130</v>
      </c>
      <c r="BL647" t="s">
        <v>11222</v>
      </c>
      <c r="BM647" t="s">
        <v>12411</v>
      </c>
      <c r="BN647">
        <v>37318828</v>
      </c>
      <c r="BO647" t="s">
        <v>646</v>
      </c>
      <c r="BP647" t="s">
        <v>74</v>
      </c>
      <c r="BQ647" t="s">
        <v>74</v>
      </c>
      <c r="BR647" t="s">
        <v>101</v>
      </c>
      <c r="BS647" t="s">
        <v>12412</v>
      </c>
      <c r="BT647" t="str">
        <f>HYPERLINK("https%3A%2F%2Fwww.webofscience.com%2Fwos%2Fwoscc%2Ffull-record%2FWOS:001020984200001","View Full Record in Web of Science")</f>
        <v>View Full Record in Web of Science</v>
      </c>
    </row>
    <row r="648" spans="1:72" x14ac:dyDescent="0.2">
      <c r="A648" t="s">
        <v>72</v>
      </c>
      <c r="B648" t="s">
        <v>12413</v>
      </c>
      <c r="C648" t="s">
        <v>74</v>
      </c>
      <c r="D648" t="s">
        <v>74</v>
      </c>
      <c r="E648" t="s">
        <v>75</v>
      </c>
      <c r="F648" t="s">
        <v>12414</v>
      </c>
      <c r="G648" t="s">
        <v>74</v>
      </c>
      <c r="H648" t="s">
        <v>74</v>
      </c>
      <c r="I648" t="s">
        <v>12415</v>
      </c>
      <c r="J648" t="s">
        <v>12416</v>
      </c>
      <c r="K648" t="s">
        <v>74</v>
      </c>
      <c r="L648" t="s">
        <v>74</v>
      </c>
      <c r="M648" t="s">
        <v>79</v>
      </c>
      <c r="N648" t="s">
        <v>80</v>
      </c>
      <c r="O648" t="s">
        <v>12417</v>
      </c>
      <c r="P648" t="s">
        <v>12418</v>
      </c>
      <c r="Q648" t="s">
        <v>12419</v>
      </c>
      <c r="R648" t="s">
        <v>12420</v>
      </c>
      <c r="S648" t="s">
        <v>74</v>
      </c>
      <c r="T648" t="s">
        <v>12421</v>
      </c>
      <c r="U648" t="s">
        <v>12422</v>
      </c>
      <c r="V648" t="s">
        <v>12423</v>
      </c>
      <c r="W648" t="s">
        <v>12424</v>
      </c>
      <c r="X648" t="s">
        <v>12425</v>
      </c>
      <c r="Y648" t="s">
        <v>12426</v>
      </c>
      <c r="Z648" t="s">
        <v>12427</v>
      </c>
      <c r="AA648" t="s">
        <v>12428</v>
      </c>
      <c r="AB648" t="s">
        <v>12429</v>
      </c>
      <c r="AC648" t="s">
        <v>12430</v>
      </c>
      <c r="AD648" t="s">
        <v>8105</v>
      </c>
      <c r="AE648" t="s">
        <v>12431</v>
      </c>
      <c r="AF648" t="s">
        <v>74</v>
      </c>
      <c r="AG648">
        <v>14</v>
      </c>
      <c r="AH648">
        <v>0</v>
      </c>
      <c r="AI648">
        <v>0</v>
      </c>
      <c r="AJ648">
        <v>0</v>
      </c>
      <c r="AK648">
        <v>0</v>
      </c>
      <c r="AL648" t="s">
        <v>92</v>
      </c>
      <c r="AM648" t="s">
        <v>93</v>
      </c>
      <c r="AN648" t="s">
        <v>94</v>
      </c>
      <c r="AO648" t="s">
        <v>74</v>
      </c>
      <c r="AP648" t="s">
        <v>74</v>
      </c>
      <c r="AQ648" t="s">
        <v>12432</v>
      </c>
      <c r="AR648" t="s">
        <v>74</v>
      </c>
      <c r="AS648" t="s">
        <v>74</v>
      </c>
      <c r="AT648" t="s">
        <v>74</v>
      </c>
      <c r="AU648">
        <v>2023</v>
      </c>
      <c r="AV648" t="s">
        <v>74</v>
      </c>
      <c r="AW648" t="s">
        <v>74</v>
      </c>
      <c r="AX648" t="s">
        <v>74</v>
      </c>
      <c r="AY648" t="s">
        <v>74</v>
      </c>
      <c r="AZ648" t="s">
        <v>74</v>
      </c>
      <c r="BA648" t="s">
        <v>74</v>
      </c>
      <c r="BB648" t="s">
        <v>74</v>
      </c>
      <c r="BC648" t="s">
        <v>74</v>
      </c>
      <c r="BD648">
        <v>52</v>
      </c>
      <c r="BE648" t="s">
        <v>12433</v>
      </c>
      <c r="BF648" t="str">
        <f>HYPERLINK("http://dx.doi.org/10.1145/3600160.3605163","http://dx.doi.org/10.1145/3600160.3605163")</f>
        <v>http://dx.doi.org/10.1145/3600160.3605163</v>
      </c>
      <c r="BG648" t="s">
        <v>74</v>
      </c>
      <c r="BH648" t="s">
        <v>74</v>
      </c>
      <c r="BI648">
        <v>17</v>
      </c>
      <c r="BJ648" t="s">
        <v>9511</v>
      </c>
      <c r="BK648" t="s">
        <v>98</v>
      </c>
      <c r="BL648" t="s">
        <v>99</v>
      </c>
      <c r="BM648" t="s">
        <v>12434</v>
      </c>
      <c r="BN648" t="s">
        <v>74</v>
      </c>
      <c r="BO648" t="s">
        <v>161</v>
      </c>
      <c r="BP648" t="s">
        <v>74</v>
      </c>
      <c r="BQ648" t="s">
        <v>74</v>
      </c>
      <c r="BR648" t="s">
        <v>101</v>
      </c>
      <c r="BS648" t="s">
        <v>12435</v>
      </c>
      <c r="BT648" t="str">
        <f>HYPERLINK("https%3A%2F%2Fwww.webofscience.com%2Fwos%2Fwoscc%2Ffull-record%2FWOS:001122662500051","View Full Record in Web of Science")</f>
        <v>View Full Record in Web of Science</v>
      </c>
    </row>
    <row r="649" spans="1:72" x14ac:dyDescent="0.2">
      <c r="A649" t="s">
        <v>72</v>
      </c>
      <c r="B649" t="s">
        <v>12436</v>
      </c>
      <c r="C649" t="s">
        <v>74</v>
      </c>
      <c r="D649" t="s">
        <v>12437</v>
      </c>
      <c r="E649" t="s">
        <v>74</v>
      </c>
      <c r="F649" t="s">
        <v>12438</v>
      </c>
      <c r="G649" t="s">
        <v>74</v>
      </c>
      <c r="H649" t="s">
        <v>74</v>
      </c>
      <c r="I649" t="s">
        <v>12439</v>
      </c>
      <c r="J649" t="s">
        <v>12440</v>
      </c>
      <c r="K649" t="s">
        <v>74</v>
      </c>
      <c r="L649" t="s">
        <v>74</v>
      </c>
      <c r="M649" t="s">
        <v>79</v>
      </c>
      <c r="N649" t="s">
        <v>80</v>
      </c>
      <c r="O649" t="s">
        <v>12441</v>
      </c>
      <c r="P649" t="s">
        <v>12442</v>
      </c>
      <c r="Q649" t="s">
        <v>1639</v>
      </c>
      <c r="R649" t="s">
        <v>12443</v>
      </c>
      <c r="S649" t="s">
        <v>74</v>
      </c>
      <c r="T649" t="s">
        <v>12444</v>
      </c>
      <c r="U649" t="s">
        <v>74</v>
      </c>
      <c r="V649" t="s">
        <v>12445</v>
      </c>
      <c r="W649" t="s">
        <v>12446</v>
      </c>
      <c r="X649" t="s">
        <v>12447</v>
      </c>
      <c r="Y649" t="s">
        <v>12448</v>
      </c>
      <c r="Z649" t="s">
        <v>12449</v>
      </c>
      <c r="AA649" t="s">
        <v>74</v>
      </c>
      <c r="AB649" t="s">
        <v>74</v>
      </c>
      <c r="AC649" t="s">
        <v>74</v>
      </c>
      <c r="AD649" t="s">
        <v>74</v>
      </c>
      <c r="AE649" t="s">
        <v>74</v>
      </c>
      <c r="AF649" t="s">
        <v>74</v>
      </c>
      <c r="AG649">
        <v>49</v>
      </c>
      <c r="AH649">
        <v>0</v>
      </c>
      <c r="AI649">
        <v>0</v>
      </c>
      <c r="AJ649">
        <v>5</v>
      </c>
      <c r="AK649">
        <v>5</v>
      </c>
      <c r="AL649" t="s">
        <v>92</v>
      </c>
      <c r="AM649" t="s">
        <v>93</v>
      </c>
      <c r="AN649" t="s">
        <v>94</v>
      </c>
      <c r="AO649" t="s">
        <v>74</v>
      </c>
      <c r="AP649" t="s">
        <v>74</v>
      </c>
      <c r="AQ649" t="s">
        <v>12450</v>
      </c>
      <c r="AR649" t="s">
        <v>74</v>
      </c>
      <c r="AS649" t="s">
        <v>74</v>
      </c>
      <c r="AT649" t="s">
        <v>74</v>
      </c>
      <c r="AU649">
        <v>2023</v>
      </c>
      <c r="AV649" t="s">
        <v>74</v>
      </c>
      <c r="AW649" t="s">
        <v>74</v>
      </c>
      <c r="AX649" t="s">
        <v>74</v>
      </c>
      <c r="AY649" t="s">
        <v>74</v>
      </c>
      <c r="AZ649" t="s">
        <v>74</v>
      </c>
      <c r="BA649" t="s">
        <v>74</v>
      </c>
      <c r="BB649">
        <v>85</v>
      </c>
      <c r="BC649">
        <v>94</v>
      </c>
      <c r="BD649" t="s">
        <v>74</v>
      </c>
      <c r="BE649" t="s">
        <v>12451</v>
      </c>
      <c r="BF649" t="str">
        <f>HYPERLINK("http://dx.doi.org/10.1145/3615886.3627745","http://dx.doi.org/10.1145/3615886.3627745")</f>
        <v>http://dx.doi.org/10.1145/3615886.3627745</v>
      </c>
      <c r="BG649" t="s">
        <v>74</v>
      </c>
      <c r="BH649" t="s">
        <v>74</v>
      </c>
      <c r="BI649">
        <v>10</v>
      </c>
      <c r="BJ649" t="s">
        <v>12452</v>
      </c>
      <c r="BK649" t="s">
        <v>98</v>
      </c>
      <c r="BL649" t="s">
        <v>8519</v>
      </c>
      <c r="BM649" t="s">
        <v>12453</v>
      </c>
      <c r="BN649" t="s">
        <v>74</v>
      </c>
      <c r="BO649" t="s">
        <v>4863</v>
      </c>
      <c r="BP649" t="s">
        <v>74</v>
      </c>
      <c r="BQ649" t="s">
        <v>74</v>
      </c>
      <c r="BR649" t="s">
        <v>101</v>
      </c>
      <c r="BS649" t="s">
        <v>12454</v>
      </c>
      <c r="BT649" t="str">
        <f>HYPERLINK("https%3A%2F%2Fwww.webofscience.com%2Fwos%2Fwoscc%2Ffull-record%2FWOS:001152316700015","View Full Record in Web of Science")</f>
        <v>View Full Record in Web of Science</v>
      </c>
    </row>
    <row r="650" spans="1:72" x14ac:dyDescent="0.2">
      <c r="A650" t="s">
        <v>103</v>
      </c>
      <c r="B650" t="s">
        <v>12455</v>
      </c>
      <c r="C650" t="s">
        <v>74</v>
      </c>
      <c r="D650" t="s">
        <v>74</v>
      </c>
      <c r="E650" t="s">
        <v>74</v>
      </c>
      <c r="F650" t="s">
        <v>12456</v>
      </c>
      <c r="G650" t="s">
        <v>74</v>
      </c>
      <c r="H650" t="s">
        <v>74</v>
      </c>
      <c r="I650" t="s">
        <v>12457</v>
      </c>
      <c r="J650" t="s">
        <v>12458</v>
      </c>
      <c r="K650" t="s">
        <v>74</v>
      </c>
      <c r="L650" t="s">
        <v>74</v>
      </c>
      <c r="M650" t="s">
        <v>79</v>
      </c>
      <c r="N650" t="s">
        <v>108</v>
      </c>
      <c r="O650" t="s">
        <v>74</v>
      </c>
      <c r="P650" t="s">
        <v>74</v>
      </c>
      <c r="Q650" t="s">
        <v>74</v>
      </c>
      <c r="R650" t="s">
        <v>74</v>
      </c>
      <c r="S650" t="s">
        <v>74</v>
      </c>
      <c r="T650" t="s">
        <v>74</v>
      </c>
      <c r="U650" t="s">
        <v>12459</v>
      </c>
      <c r="V650" t="s">
        <v>12460</v>
      </c>
      <c r="W650" t="s">
        <v>12461</v>
      </c>
      <c r="X650" t="s">
        <v>12462</v>
      </c>
      <c r="Y650" t="s">
        <v>12463</v>
      </c>
      <c r="Z650" t="s">
        <v>12464</v>
      </c>
      <c r="AA650" t="s">
        <v>74</v>
      </c>
      <c r="AB650" t="s">
        <v>12465</v>
      </c>
      <c r="AC650" t="s">
        <v>12466</v>
      </c>
      <c r="AD650" t="s">
        <v>12467</v>
      </c>
      <c r="AE650" t="s">
        <v>12468</v>
      </c>
      <c r="AF650" t="s">
        <v>74</v>
      </c>
      <c r="AG650">
        <v>64</v>
      </c>
      <c r="AH650">
        <v>0</v>
      </c>
      <c r="AI650">
        <v>0</v>
      </c>
      <c r="AJ650">
        <v>1</v>
      </c>
      <c r="AK650">
        <v>1</v>
      </c>
      <c r="AL650" t="s">
        <v>764</v>
      </c>
      <c r="AM650" t="s">
        <v>765</v>
      </c>
      <c r="AN650" t="s">
        <v>766</v>
      </c>
      <c r="AO650" t="s">
        <v>12469</v>
      </c>
      <c r="AP650" t="s">
        <v>12470</v>
      </c>
      <c r="AQ650" t="s">
        <v>74</v>
      </c>
      <c r="AR650" t="s">
        <v>12471</v>
      </c>
      <c r="AS650" t="s">
        <v>12472</v>
      </c>
      <c r="AT650" t="s">
        <v>527</v>
      </c>
      <c r="AU650">
        <v>2023</v>
      </c>
      <c r="AV650">
        <v>64</v>
      </c>
      <c r="AW650">
        <v>12</v>
      </c>
      <c r="AX650" t="s">
        <v>74</v>
      </c>
      <c r="AY650" t="s">
        <v>74</v>
      </c>
      <c r="AZ650" t="s">
        <v>74</v>
      </c>
      <c r="BA650" t="s">
        <v>74</v>
      </c>
      <c r="BB650" t="s">
        <v>74</v>
      </c>
      <c r="BC650" t="s">
        <v>74</v>
      </c>
      <c r="BD650">
        <v>100455</v>
      </c>
      <c r="BE650" t="s">
        <v>12473</v>
      </c>
      <c r="BF650" t="str">
        <f>HYPERLINK("http://dx.doi.org/10.1016/j.jlr.2023.100455","http://dx.doi.org/10.1016/j.jlr.2023.100455")</f>
        <v>http://dx.doi.org/10.1016/j.jlr.2023.100455</v>
      </c>
      <c r="BG650" t="s">
        <v>74</v>
      </c>
      <c r="BH650" t="s">
        <v>157</v>
      </c>
      <c r="BI650">
        <v>12</v>
      </c>
      <c r="BJ650" t="s">
        <v>12474</v>
      </c>
      <c r="BK650" t="s">
        <v>130</v>
      </c>
      <c r="BL650" t="s">
        <v>12474</v>
      </c>
      <c r="BM650" t="s">
        <v>12475</v>
      </c>
      <c r="BN650">
        <v>37821076</v>
      </c>
      <c r="BO650" t="s">
        <v>425</v>
      </c>
      <c r="BP650" t="s">
        <v>74</v>
      </c>
      <c r="BQ650" t="s">
        <v>74</v>
      </c>
      <c r="BR650" t="s">
        <v>101</v>
      </c>
      <c r="BS650" t="s">
        <v>12476</v>
      </c>
      <c r="BT650" t="str">
        <f>HYPERLINK("https%3A%2F%2Fwww.webofscience.com%2Fwos%2Fwoscc%2Ffull-record%2FWOS:001122300300001","View Full Record in Web of Science")</f>
        <v>View Full Record in Web of Science</v>
      </c>
    </row>
    <row r="651" spans="1:72" x14ac:dyDescent="0.2">
      <c r="A651" t="s">
        <v>103</v>
      </c>
      <c r="B651" t="s">
        <v>12477</v>
      </c>
      <c r="C651" t="s">
        <v>74</v>
      </c>
      <c r="D651" t="s">
        <v>74</v>
      </c>
      <c r="E651" t="s">
        <v>74</v>
      </c>
      <c r="F651" t="s">
        <v>12478</v>
      </c>
      <c r="G651" t="s">
        <v>74</v>
      </c>
      <c r="H651" t="s">
        <v>74</v>
      </c>
      <c r="I651" t="s">
        <v>12479</v>
      </c>
      <c r="J651" t="s">
        <v>12480</v>
      </c>
      <c r="K651" t="s">
        <v>74</v>
      </c>
      <c r="L651" t="s">
        <v>74</v>
      </c>
      <c r="M651" t="s">
        <v>79</v>
      </c>
      <c r="N651" t="s">
        <v>108</v>
      </c>
      <c r="O651" t="s">
        <v>74</v>
      </c>
      <c r="P651" t="s">
        <v>74</v>
      </c>
      <c r="Q651" t="s">
        <v>74</v>
      </c>
      <c r="R651" t="s">
        <v>74</v>
      </c>
      <c r="S651" t="s">
        <v>74</v>
      </c>
      <c r="T651" t="s">
        <v>12481</v>
      </c>
      <c r="U651" t="s">
        <v>12482</v>
      </c>
      <c r="V651" t="s">
        <v>12483</v>
      </c>
      <c r="W651" t="s">
        <v>12484</v>
      </c>
      <c r="X651" t="s">
        <v>12485</v>
      </c>
      <c r="Y651" t="s">
        <v>12486</v>
      </c>
      <c r="Z651" t="s">
        <v>12487</v>
      </c>
      <c r="AA651" t="s">
        <v>74</v>
      </c>
      <c r="AB651" t="s">
        <v>12488</v>
      </c>
      <c r="AC651" t="s">
        <v>12489</v>
      </c>
      <c r="AD651" t="s">
        <v>12490</v>
      </c>
      <c r="AE651" t="s">
        <v>12491</v>
      </c>
      <c r="AF651" t="s">
        <v>74</v>
      </c>
      <c r="AG651">
        <v>33</v>
      </c>
      <c r="AH651">
        <v>0</v>
      </c>
      <c r="AI651">
        <v>0</v>
      </c>
      <c r="AJ651">
        <v>13</v>
      </c>
      <c r="AK651">
        <v>30</v>
      </c>
      <c r="AL651" t="s">
        <v>1379</v>
      </c>
      <c r="AM651" t="s">
        <v>1380</v>
      </c>
      <c r="AN651" t="s">
        <v>1381</v>
      </c>
      <c r="AO651" t="s">
        <v>12492</v>
      </c>
      <c r="AP651" t="s">
        <v>12493</v>
      </c>
      <c r="AQ651" t="s">
        <v>74</v>
      </c>
      <c r="AR651" t="s">
        <v>12494</v>
      </c>
      <c r="AS651" t="s">
        <v>12495</v>
      </c>
      <c r="AT651" t="s">
        <v>74</v>
      </c>
      <c r="AU651">
        <v>2023</v>
      </c>
      <c r="AV651">
        <v>72</v>
      </c>
      <c r="AW651" t="s">
        <v>74</v>
      </c>
      <c r="AX651" t="s">
        <v>74</v>
      </c>
      <c r="AY651" t="s">
        <v>74</v>
      </c>
      <c r="AZ651" t="s">
        <v>74</v>
      </c>
      <c r="BA651" t="s">
        <v>74</v>
      </c>
      <c r="BB651" t="s">
        <v>74</v>
      </c>
      <c r="BC651" t="s">
        <v>74</v>
      </c>
      <c r="BD651">
        <v>3508110</v>
      </c>
      <c r="BE651" t="s">
        <v>12496</v>
      </c>
      <c r="BF651" t="str">
        <f>HYPERLINK("http://dx.doi.org/10.1109/TIM.2023.3246495","http://dx.doi.org/10.1109/TIM.2023.3246495")</f>
        <v>http://dx.doi.org/10.1109/TIM.2023.3246495</v>
      </c>
      <c r="BG651" t="s">
        <v>74</v>
      </c>
      <c r="BH651" t="s">
        <v>74</v>
      </c>
      <c r="BI651">
        <v>10</v>
      </c>
      <c r="BJ651" t="s">
        <v>12497</v>
      </c>
      <c r="BK651" t="s">
        <v>130</v>
      </c>
      <c r="BL651" t="s">
        <v>12498</v>
      </c>
      <c r="BM651" t="s">
        <v>12499</v>
      </c>
      <c r="BN651" t="s">
        <v>74</v>
      </c>
      <c r="BO651" t="s">
        <v>74</v>
      </c>
      <c r="BP651" t="s">
        <v>74</v>
      </c>
      <c r="BQ651" t="s">
        <v>74</v>
      </c>
      <c r="BR651" t="s">
        <v>101</v>
      </c>
      <c r="BS651" t="s">
        <v>12500</v>
      </c>
      <c r="BT651" t="str">
        <f>HYPERLINK("https%3A%2F%2Fwww.webofscience.com%2Fwos%2Fwoscc%2Ffull-record%2FWOS:000955869800011","View Full Record in Web of Science")</f>
        <v>View Full Record in Web of Science</v>
      </c>
    </row>
    <row r="652" spans="1:72" x14ac:dyDescent="0.2">
      <c r="A652" t="s">
        <v>72</v>
      </c>
      <c r="B652" t="s">
        <v>12501</v>
      </c>
      <c r="C652" t="s">
        <v>74</v>
      </c>
      <c r="D652" t="s">
        <v>74</v>
      </c>
      <c r="E652" t="s">
        <v>75</v>
      </c>
      <c r="F652" t="s">
        <v>12502</v>
      </c>
      <c r="G652" t="s">
        <v>74</v>
      </c>
      <c r="H652" t="s">
        <v>74</v>
      </c>
      <c r="I652" t="s">
        <v>12503</v>
      </c>
      <c r="J652" t="s">
        <v>166</v>
      </c>
      <c r="K652" t="s">
        <v>74</v>
      </c>
      <c r="L652" t="s">
        <v>74</v>
      </c>
      <c r="M652" t="s">
        <v>79</v>
      </c>
      <c r="N652" t="s">
        <v>80</v>
      </c>
      <c r="O652" t="s">
        <v>167</v>
      </c>
      <c r="P652" t="s">
        <v>168</v>
      </c>
      <c r="Q652" t="s">
        <v>169</v>
      </c>
      <c r="R652" t="s">
        <v>170</v>
      </c>
      <c r="S652" t="s">
        <v>74</v>
      </c>
      <c r="T652" t="s">
        <v>12504</v>
      </c>
      <c r="U652" t="s">
        <v>74</v>
      </c>
      <c r="V652" t="s">
        <v>12505</v>
      </c>
      <c r="W652" t="s">
        <v>12506</v>
      </c>
      <c r="X652" t="s">
        <v>74</v>
      </c>
      <c r="Y652" t="s">
        <v>12507</v>
      </c>
      <c r="Z652" t="s">
        <v>12508</v>
      </c>
      <c r="AA652" t="s">
        <v>74</v>
      </c>
      <c r="AB652" t="s">
        <v>74</v>
      </c>
      <c r="AC652" t="s">
        <v>12509</v>
      </c>
      <c r="AD652" t="s">
        <v>12509</v>
      </c>
      <c r="AE652" t="s">
        <v>12510</v>
      </c>
      <c r="AF652" t="s">
        <v>74</v>
      </c>
      <c r="AG652">
        <v>57</v>
      </c>
      <c r="AH652">
        <v>0</v>
      </c>
      <c r="AI652">
        <v>0</v>
      </c>
      <c r="AJ652">
        <v>0</v>
      </c>
      <c r="AK652">
        <v>0</v>
      </c>
      <c r="AL652" t="s">
        <v>92</v>
      </c>
      <c r="AM652" t="s">
        <v>93</v>
      </c>
      <c r="AN652" t="s">
        <v>94</v>
      </c>
      <c r="AO652" t="s">
        <v>74</v>
      </c>
      <c r="AP652" t="s">
        <v>74</v>
      </c>
      <c r="AQ652" t="s">
        <v>177</v>
      </c>
      <c r="AR652" t="s">
        <v>74</v>
      </c>
      <c r="AS652" t="s">
        <v>74</v>
      </c>
      <c r="AT652" t="s">
        <v>74</v>
      </c>
      <c r="AU652">
        <v>2023</v>
      </c>
      <c r="AV652" t="s">
        <v>74</v>
      </c>
      <c r="AW652" t="s">
        <v>74</v>
      </c>
      <c r="AX652" t="s">
        <v>74</v>
      </c>
      <c r="AY652" t="s">
        <v>74</v>
      </c>
      <c r="AZ652" t="s">
        <v>74</v>
      </c>
      <c r="BA652" t="s">
        <v>74</v>
      </c>
      <c r="BB652">
        <v>43</v>
      </c>
      <c r="BC652">
        <v>61</v>
      </c>
      <c r="BD652" t="s">
        <v>74</v>
      </c>
      <c r="BE652" t="s">
        <v>12511</v>
      </c>
      <c r="BF652" t="str">
        <f>HYPERLINK("http://dx.doi.org/10.1145/3591196.3593051","http://dx.doi.org/10.1145/3591196.3593051")</f>
        <v>http://dx.doi.org/10.1145/3591196.3593051</v>
      </c>
      <c r="BG652" t="s">
        <v>74</v>
      </c>
      <c r="BH652" t="s">
        <v>74</v>
      </c>
      <c r="BI652">
        <v>19</v>
      </c>
      <c r="BJ652" t="s">
        <v>179</v>
      </c>
      <c r="BK652" t="s">
        <v>180</v>
      </c>
      <c r="BL652" t="s">
        <v>181</v>
      </c>
      <c r="BM652" t="s">
        <v>182</v>
      </c>
      <c r="BN652" t="s">
        <v>74</v>
      </c>
      <c r="BO652" t="s">
        <v>74</v>
      </c>
      <c r="BP652" t="s">
        <v>74</v>
      </c>
      <c r="BQ652" t="s">
        <v>74</v>
      </c>
      <c r="BR652" t="s">
        <v>101</v>
      </c>
      <c r="BS652" t="s">
        <v>12512</v>
      </c>
      <c r="BT652" t="str">
        <f>HYPERLINK("https%3A%2F%2Fwww.webofscience.com%2Fwos%2Fwoscc%2Ffull-record%2FWOS:001119074200009","View Full Record in Web of Science")</f>
        <v>View Full Record in Web of Science</v>
      </c>
    </row>
    <row r="653" spans="1:72" x14ac:dyDescent="0.2">
      <c r="A653" t="s">
        <v>103</v>
      </c>
      <c r="B653" t="s">
        <v>12513</v>
      </c>
      <c r="C653" t="s">
        <v>74</v>
      </c>
      <c r="D653" t="s">
        <v>74</v>
      </c>
      <c r="E653" t="s">
        <v>74</v>
      </c>
      <c r="F653" t="s">
        <v>12514</v>
      </c>
      <c r="G653" t="s">
        <v>74</v>
      </c>
      <c r="H653" t="s">
        <v>74</v>
      </c>
      <c r="I653" t="s">
        <v>12515</v>
      </c>
      <c r="J653" t="s">
        <v>12516</v>
      </c>
      <c r="K653" t="s">
        <v>74</v>
      </c>
      <c r="L653" t="s">
        <v>74</v>
      </c>
      <c r="M653" t="s">
        <v>79</v>
      </c>
      <c r="N653" t="s">
        <v>108</v>
      </c>
      <c r="O653" t="s">
        <v>74</v>
      </c>
      <c r="P653" t="s">
        <v>74</v>
      </c>
      <c r="Q653" t="s">
        <v>74</v>
      </c>
      <c r="R653" t="s">
        <v>74</v>
      </c>
      <c r="S653" t="s">
        <v>74</v>
      </c>
      <c r="T653" t="s">
        <v>12517</v>
      </c>
      <c r="U653" t="s">
        <v>74</v>
      </c>
      <c r="V653" t="s">
        <v>12518</v>
      </c>
      <c r="W653" t="s">
        <v>12519</v>
      </c>
      <c r="X653" t="s">
        <v>12520</v>
      </c>
      <c r="Y653" t="s">
        <v>12521</v>
      </c>
      <c r="Z653" t="s">
        <v>74</v>
      </c>
      <c r="AA653" t="s">
        <v>74</v>
      </c>
      <c r="AB653" t="s">
        <v>74</v>
      </c>
      <c r="AC653" t="s">
        <v>74</v>
      </c>
      <c r="AD653" t="s">
        <v>74</v>
      </c>
      <c r="AE653" t="s">
        <v>74</v>
      </c>
      <c r="AF653" t="s">
        <v>74</v>
      </c>
      <c r="AG653">
        <v>25</v>
      </c>
      <c r="AH653">
        <v>0</v>
      </c>
      <c r="AI653">
        <v>0</v>
      </c>
      <c r="AJ653">
        <v>0</v>
      </c>
      <c r="AK653">
        <v>0</v>
      </c>
      <c r="AL653" t="s">
        <v>12522</v>
      </c>
      <c r="AM653" t="s">
        <v>2757</v>
      </c>
      <c r="AN653" t="s">
        <v>12523</v>
      </c>
      <c r="AO653" t="s">
        <v>12524</v>
      </c>
      <c r="AP653" t="s">
        <v>12525</v>
      </c>
      <c r="AQ653" t="s">
        <v>74</v>
      </c>
      <c r="AR653" t="s">
        <v>12526</v>
      </c>
      <c r="AS653" t="s">
        <v>12527</v>
      </c>
      <c r="AT653" t="s">
        <v>12528</v>
      </c>
      <c r="AU653">
        <v>2023</v>
      </c>
      <c r="AV653">
        <v>67</v>
      </c>
      <c r="AW653">
        <v>3</v>
      </c>
      <c r="AX653" t="s">
        <v>74</v>
      </c>
      <c r="AY653" t="s">
        <v>74</v>
      </c>
      <c r="AZ653" t="s">
        <v>74</v>
      </c>
      <c r="BA653" t="s">
        <v>74</v>
      </c>
      <c r="BB653">
        <v>549</v>
      </c>
      <c r="BC653">
        <v>566</v>
      </c>
      <c r="BD653" t="s">
        <v>74</v>
      </c>
      <c r="BE653" t="s">
        <v>12529</v>
      </c>
      <c r="BF653" t="str">
        <f>HYPERLINK("http://dx.doi.org/10.5840/philtoday2023629491","http://dx.doi.org/10.5840/philtoday2023629491")</f>
        <v>http://dx.doi.org/10.5840/philtoday2023629491</v>
      </c>
      <c r="BG653" t="s">
        <v>74</v>
      </c>
      <c r="BH653" t="s">
        <v>74</v>
      </c>
      <c r="BI653">
        <v>18</v>
      </c>
      <c r="BJ653" t="s">
        <v>6911</v>
      </c>
      <c r="BK653" t="s">
        <v>2649</v>
      </c>
      <c r="BL653" t="s">
        <v>6911</v>
      </c>
      <c r="BM653" t="s">
        <v>12530</v>
      </c>
      <c r="BN653" t="s">
        <v>74</v>
      </c>
      <c r="BO653" t="s">
        <v>74</v>
      </c>
      <c r="BP653" t="s">
        <v>74</v>
      </c>
      <c r="BQ653" t="s">
        <v>74</v>
      </c>
      <c r="BR653" t="s">
        <v>101</v>
      </c>
      <c r="BS653" t="s">
        <v>12531</v>
      </c>
      <c r="BT653" t="str">
        <f>HYPERLINK("https%3A%2F%2Fwww.webofscience.com%2Fwos%2Fwoscc%2Ffull-record%2FWOS:001156030000005","View Full Record in Web of Science")</f>
        <v>View Full Record in Web of Science</v>
      </c>
    </row>
    <row r="654" spans="1:72" x14ac:dyDescent="0.2">
      <c r="A654" t="s">
        <v>103</v>
      </c>
      <c r="B654" t="s">
        <v>12532</v>
      </c>
      <c r="C654" t="s">
        <v>74</v>
      </c>
      <c r="D654" t="s">
        <v>74</v>
      </c>
      <c r="E654" t="s">
        <v>74</v>
      </c>
      <c r="F654" t="s">
        <v>12533</v>
      </c>
      <c r="G654" t="s">
        <v>74</v>
      </c>
      <c r="H654" t="s">
        <v>74</v>
      </c>
      <c r="I654" t="s">
        <v>12534</v>
      </c>
      <c r="J654" t="s">
        <v>10310</v>
      </c>
      <c r="K654" t="s">
        <v>74</v>
      </c>
      <c r="L654" t="s">
        <v>74</v>
      </c>
      <c r="M654" t="s">
        <v>79</v>
      </c>
      <c r="N654" t="s">
        <v>108</v>
      </c>
      <c r="O654" t="s">
        <v>74</v>
      </c>
      <c r="P654" t="s">
        <v>74</v>
      </c>
      <c r="Q654" t="s">
        <v>74</v>
      </c>
      <c r="R654" t="s">
        <v>74</v>
      </c>
      <c r="S654" t="s">
        <v>74</v>
      </c>
      <c r="T654" t="s">
        <v>12535</v>
      </c>
      <c r="U654" t="s">
        <v>12536</v>
      </c>
      <c r="V654" t="s">
        <v>12537</v>
      </c>
      <c r="W654" t="s">
        <v>12538</v>
      </c>
      <c r="X654" t="s">
        <v>12539</v>
      </c>
      <c r="Y654" t="s">
        <v>12540</v>
      </c>
      <c r="Z654" t="s">
        <v>12541</v>
      </c>
      <c r="AA654" t="s">
        <v>12542</v>
      </c>
      <c r="AB654" t="s">
        <v>12543</v>
      </c>
      <c r="AC654" t="s">
        <v>12544</v>
      </c>
      <c r="AD654" t="s">
        <v>12545</v>
      </c>
      <c r="AE654" t="s">
        <v>12546</v>
      </c>
      <c r="AF654" t="s">
        <v>74</v>
      </c>
      <c r="AG654">
        <v>62</v>
      </c>
      <c r="AH654">
        <v>0</v>
      </c>
      <c r="AI654">
        <v>0</v>
      </c>
      <c r="AJ654">
        <v>1</v>
      </c>
      <c r="AK654">
        <v>6</v>
      </c>
      <c r="AL654" t="s">
        <v>2492</v>
      </c>
      <c r="AM654" t="s">
        <v>461</v>
      </c>
      <c r="AN654" t="s">
        <v>2493</v>
      </c>
      <c r="AO654" t="s">
        <v>74</v>
      </c>
      <c r="AP654" t="s">
        <v>10317</v>
      </c>
      <c r="AQ654" t="s">
        <v>74</v>
      </c>
      <c r="AR654" t="s">
        <v>10318</v>
      </c>
      <c r="AS654" t="s">
        <v>10319</v>
      </c>
      <c r="AT654" t="s">
        <v>7976</v>
      </c>
      <c r="AU654">
        <v>2023</v>
      </c>
      <c r="AV654">
        <v>10</v>
      </c>
      <c r="AW654" t="s">
        <v>74</v>
      </c>
      <c r="AX654" t="s">
        <v>74</v>
      </c>
      <c r="AY654" t="s">
        <v>74</v>
      </c>
      <c r="AZ654" t="s">
        <v>74</v>
      </c>
      <c r="BA654" t="s">
        <v>74</v>
      </c>
      <c r="BB654" t="s">
        <v>74</v>
      </c>
      <c r="BC654" t="s">
        <v>74</v>
      </c>
      <c r="BD654">
        <v>1184892</v>
      </c>
      <c r="BE654" t="s">
        <v>12547</v>
      </c>
      <c r="BF654" t="str">
        <f>HYPERLINK("http://dx.doi.org/10.3389/fmed.2023.1184892","http://dx.doi.org/10.3389/fmed.2023.1184892")</f>
        <v>http://dx.doi.org/10.3389/fmed.2023.1184892</v>
      </c>
      <c r="BG654" t="s">
        <v>74</v>
      </c>
      <c r="BH654" t="s">
        <v>74</v>
      </c>
      <c r="BI654">
        <v>13</v>
      </c>
      <c r="BJ654" t="s">
        <v>3440</v>
      </c>
      <c r="BK654" t="s">
        <v>130</v>
      </c>
      <c r="BL654" t="s">
        <v>3441</v>
      </c>
      <c r="BM654" t="s">
        <v>12548</v>
      </c>
      <c r="BN654">
        <v>37425325</v>
      </c>
      <c r="BO654" t="s">
        <v>1728</v>
      </c>
      <c r="BP654" t="s">
        <v>74</v>
      </c>
      <c r="BQ654" t="s">
        <v>74</v>
      </c>
      <c r="BR654" t="s">
        <v>101</v>
      </c>
      <c r="BS654" t="s">
        <v>12549</v>
      </c>
      <c r="BT654" t="str">
        <f>HYPERLINK("https%3A%2F%2Fwww.webofscience.com%2Fwos%2Fwoscc%2Ffull-record%2FWOS:001024009800001","View Full Record in Web of Science")</f>
        <v>View Full Record in Web of Science</v>
      </c>
    </row>
    <row r="655" spans="1:72" x14ac:dyDescent="0.2">
      <c r="A655" t="s">
        <v>103</v>
      </c>
      <c r="B655" t="s">
        <v>12550</v>
      </c>
      <c r="C655" t="s">
        <v>74</v>
      </c>
      <c r="D655" t="s">
        <v>74</v>
      </c>
      <c r="E655" t="s">
        <v>74</v>
      </c>
      <c r="F655" t="s">
        <v>12551</v>
      </c>
      <c r="G655" t="s">
        <v>74</v>
      </c>
      <c r="H655" t="s">
        <v>74</v>
      </c>
      <c r="I655" t="s">
        <v>12552</v>
      </c>
      <c r="J655" t="s">
        <v>12553</v>
      </c>
      <c r="K655" t="s">
        <v>74</v>
      </c>
      <c r="L655" t="s">
        <v>74</v>
      </c>
      <c r="M655" t="s">
        <v>79</v>
      </c>
      <c r="N655" t="s">
        <v>108</v>
      </c>
      <c r="O655" t="s">
        <v>74</v>
      </c>
      <c r="P655" t="s">
        <v>74</v>
      </c>
      <c r="Q655" t="s">
        <v>74</v>
      </c>
      <c r="R655" t="s">
        <v>74</v>
      </c>
      <c r="S655" t="s">
        <v>74</v>
      </c>
      <c r="T655" t="s">
        <v>74</v>
      </c>
      <c r="U655" t="s">
        <v>12554</v>
      </c>
      <c r="V655" t="s">
        <v>12555</v>
      </c>
      <c r="W655" t="s">
        <v>12556</v>
      </c>
      <c r="X655" t="s">
        <v>12557</v>
      </c>
      <c r="Y655" t="s">
        <v>12558</v>
      </c>
      <c r="Z655" t="s">
        <v>12559</v>
      </c>
      <c r="AA655" t="s">
        <v>74</v>
      </c>
      <c r="AB655" t="s">
        <v>12560</v>
      </c>
      <c r="AC655" t="s">
        <v>12561</v>
      </c>
      <c r="AD655" t="s">
        <v>12562</v>
      </c>
      <c r="AE655" t="s">
        <v>12563</v>
      </c>
      <c r="AF655" t="s">
        <v>74</v>
      </c>
      <c r="AG655">
        <v>92</v>
      </c>
      <c r="AH655">
        <v>0</v>
      </c>
      <c r="AI655">
        <v>0</v>
      </c>
      <c r="AJ655">
        <v>3</v>
      </c>
      <c r="AK655">
        <v>3</v>
      </c>
      <c r="AL655" t="s">
        <v>11754</v>
      </c>
      <c r="AM655" t="s">
        <v>11755</v>
      </c>
      <c r="AN655" t="s">
        <v>11756</v>
      </c>
      <c r="AO655" t="s">
        <v>12564</v>
      </c>
      <c r="AP655" t="s">
        <v>12565</v>
      </c>
      <c r="AQ655" t="s">
        <v>74</v>
      </c>
      <c r="AR655" t="s">
        <v>12566</v>
      </c>
      <c r="AS655" t="s">
        <v>12567</v>
      </c>
      <c r="AT655" t="s">
        <v>771</v>
      </c>
      <c r="AU655">
        <v>2023</v>
      </c>
      <c r="AV655">
        <v>19</v>
      </c>
      <c r="AW655">
        <v>9</v>
      </c>
      <c r="AX655" t="s">
        <v>74</v>
      </c>
      <c r="AY655" t="s">
        <v>74</v>
      </c>
      <c r="AZ655" t="s">
        <v>74</v>
      </c>
      <c r="BA655" t="s">
        <v>74</v>
      </c>
      <c r="BB655" t="s">
        <v>74</v>
      </c>
      <c r="BC655" t="s">
        <v>74</v>
      </c>
      <c r="BD655" t="s">
        <v>12568</v>
      </c>
      <c r="BE655" t="s">
        <v>12569</v>
      </c>
      <c r="BF655" t="str">
        <f>HYPERLINK("http://dx.doi.org/10.1371/journal.pcbi.1011406","http://dx.doi.org/10.1371/journal.pcbi.1011406")</f>
        <v>http://dx.doi.org/10.1371/journal.pcbi.1011406</v>
      </c>
      <c r="BG655" t="s">
        <v>74</v>
      </c>
      <c r="BH655" t="s">
        <v>74</v>
      </c>
      <c r="BI655">
        <v>28</v>
      </c>
      <c r="BJ655" t="s">
        <v>12570</v>
      </c>
      <c r="BK655" t="s">
        <v>130</v>
      </c>
      <c r="BL655" t="s">
        <v>12571</v>
      </c>
      <c r="BM655" t="s">
        <v>12572</v>
      </c>
      <c r="BN655">
        <v>37738260</v>
      </c>
      <c r="BO655" t="s">
        <v>12573</v>
      </c>
      <c r="BP655" t="s">
        <v>74</v>
      </c>
      <c r="BQ655" t="s">
        <v>74</v>
      </c>
      <c r="BR655" t="s">
        <v>101</v>
      </c>
      <c r="BS655" t="s">
        <v>12574</v>
      </c>
      <c r="BT655" t="str">
        <f>HYPERLINK("https%3A%2F%2Fwww.webofscience.com%2Fwos%2Fwoscc%2Ffull-record%2FWOS:001119298000002","View Full Record in Web of Science")</f>
        <v>View Full Record in Web of Science</v>
      </c>
    </row>
    <row r="656" spans="1:72" x14ac:dyDescent="0.2">
      <c r="A656" t="s">
        <v>103</v>
      </c>
      <c r="B656" t="s">
        <v>12575</v>
      </c>
      <c r="C656" t="s">
        <v>74</v>
      </c>
      <c r="D656" t="s">
        <v>74</v>
      </c>
      <c r="E656" t="s">
        <v>74</v>
      </c>
      <c r="F656" t="s">
        <v>12576</v>
      </c>
      <c r="G656" t="s">
        <v>74</v>
      </c>
      <c r="H656" t="s">
        <v>74</v>
      </c>
      <c r="I656" t="s">
        <v>12577</v>
      </c>
      <c r="J656" t="s">
        <v>12578</v>
      </c>
      <c r="K656" t="s">
        <v>74</v>
      </c>
      <c r="L656" t="s">
        <v>74</v>
      </c>
      <c r="M656" t="s">
        <v>79</v>
      </c>
      <c r="N656" t="s">
        <v>108</v>
      </c>
      <c r="O656" t="s">
        <v>74</v>
      </c>
      <c r="P656" t="s">
        <v>74</v>
      </c>
      <c r="Q656" t="s">
        <v>74</v>
      </c>
      <c r="R656" t="s">
        <v>74</v>
      </c>
      <c r="S656" t="s">
        <v>74</v>
      </c>
      <c r="T656" t="s">
        <v>12579</v>
      </c>
      <c r="U656" t="s">
        <v>12580</v>
      </c>
      <c r="V656" t="s">
        <v>12581</v>
      </c>
      <c r="W656" t="s">
        <v>12582</v>
      </c>
      <c r="X656" t="s">
        <v>12583</v>
      </c>
      <c r="Y656" t="s">
        <v>12584</v>
      </c>
      <c r="Z656" t="s">
        <v>12585</v>
      </c>
      <c r="AA656" t="s">
        <v>74</v>
      </c>
      <c r="AB656" t="s">
        <v>12586</v>
      </c>
      <c r="AC656" t="s">
        <v>12587</v>
      </c>
      <c r="AD656" t="s">
        <v>12588</v>
      </c>
      <c r="AE656" t="s">
        <v>12589</v>
      </c>
      <c r="AF656" t="s">
        <v>74</v>
      </c>
      <c r="AG656">
        <v>43</v>
      </c>
      <c r="AH656">
        <v>0</v>
      </c>
      <c r="AI656">
        <v>0</v>
      </c>
      <c r="AJ656">
        <v>13</v>
      </c>
      <c r="AK656">
        <v>17</v>
      </c>
      <c r="AL656" t="s">
        <v>3202</v>
      </c>
      <c r="AM656" t="s">
        <v>120</v>
      </c>
      <c r="AN656" t="s">
        <v>3203</v>
      </c>
      <c r="AO656" t="s">
        <v>12590</v>
      </c>
      <c r="AP656" t="s">
        <v>12591</v>
      </c>
      <c r="AQ656" t="s">
        <v>74</v>
      </c>
      <c r="AR656" t="s">
        <v>12592</v>
      </c>
      <c r="AS656" t="s">
        <v>12593</v>
      </c>
      <c r="AT656" t="s">
        <v>10726</v>
      </c>
      <c r="AU656">
        <v>2023</v>
      </c>
      <c r="AV656">
        <v>24</v>
      </c>
      <c r="AW656">
        <v>5</v>
      </c>
      <c r="AX656" t="s">
        <v>74</v>
      </c>
      <c r="AY656" t="s">
        <v>74</v>
      </c>
      <c r="AZ656" t="s">
        <v>74</v>
      </c>
      <c r="BA656" t="s">
        <v>74</v>
      </c>
      <c r="BB656" t="s">
        <v>74</v>
      </c>
      <c r="BC656" t="s">
        <v>74</v>
      </c>
      <c r="BD656" t="s">
        <v>74</v>
      </c>
      <c r="BE656" t="s">
        <v>12594</v>
      </c>
      <c r="BF656" t="str">
        <f>HYPERLINK("http://dx.doi.org/10.1093/bib/bbad265","http://dx.doi.org/10.1093/bib/bbad265")</f>
        <v>http://dx.doi.org/10.1093/bib/bbad265</v>
      </c>
      <c r="BG656" t="s">
        <v>74</v>
      </c>
      <c r="BH656" t="s">
        <v>229</v>
      </c>
      <c r="BI656">
        <v>13</v>
      </c>
      <c r="BJ656" t="s">
        <v>12570</v>
      </c>
      <c r="BK656" t="s">
        <v>130</v>
      </c>
      <c r="BL656" t="s">
        <v>12571</v>
      </c>
      <c r="BM656" t="s">
        <v>12595</v>
      </c>
      <c r="BN656">
        <v>37507114</v>
      </c>
      <c r="BO656" t="s">
        <v>74</v>
      </c>
      <c r="BP656" t="s">
        <v>74</v>
      </c>
      <c r="BQ656" t="s">
        <v>74</v>
      </c>
      <c r="BR656" t="s">
        <v>101</v>
      </c>
      <c r="BS656" t="s">
        <v>12596</v>
      </c>
      <c r="BT656" t="str">
        <f>HYPERLINK("https%3A%2F%2Fwww.webofscience.com%2Fwos%2Fwoscc%2Ffull-record%2FWOS:001038722300001","View Full Record in Web of Science")</f>
        <v>View Full Record in Web of Science</v>
      </c>
    </row>
    <row r="657" spans="1:72" x14ac:dyDescent="0.2">
      <c r="A657" t="s">
        <v>103</v>
      </c>
      <c r="B657" t="s">
        <v>12597</v>
      </c>
      <c r="C657" t="s">
        <v>74</v>
      </c>
      <c r="D657" t="s">
        <v>74</v>
      </c>
      <c r="E657" t="s">
        <v>74</v>
      </c>
      <c r="F657" t="s">
        <v>12598</v>
      </c>
      <c r="G657" t="s">
        <v>74</v>
      </c>
      <c r="H657" t="s">
        <v>74</v>
      </c>
      <c r="I657" t="s">
        <v>12599</v>
      </c>
      <c r="J657" t="s">
        <v>11207</v>
      </c>
      <c r="K657" t="s">
        <v>74</v>
      </c>
      <c r="L657" t="s">
        <v>74</v>
      </c>
      <c r="M657" t="s">
        <v>79</v>
      </c>
      <c r="N657" t="s">
        <v>108</v>
      </c>
      <c r="O657" t="s">
        <v>74</v>
      </c>
      <c r="P657" t="s">
        <v>74</v>
      </c>
      <c r="Q657" t="s">
        <v>74</v>
      </c>
      <c r="R657" t="s">
        <v>74</v>
      </c>
      <c r="S657" t="s">
        <v>74</v>
      </c>
      <c r="T657" t="s">
        <v>74</v>
      </c>
      <c r="U657" t="s">
        <v>12600</v>
      </c>
      <c r="V657" t="s">
        <v>12601</v>
      </c>
      <c r="W657" t="s">
        <v>12602</v>
      </c>
      <c r="X657" t="s">
        <v>12603</v>
      </c>
      <c r="Y657" t="s">
        <v>12604</v>
      </c>
      <c r="Z657" t="s">
        <v>12605</v>
      </c>
      <c r="AA657" t="s">
        <v>12606</v>
      </c>
      <c r="AB657" t="s">
        <v>12607</v>
      </c>
      <c r="AC657" t="s">
        <v>12608</v>
      </c>
      <c r="AD657" t="s">
        <v>12609</v>
      </c>
      <c r="AE657" t="s">
        <v>12610</v>
      </c>
      <c r="AF657" t="s">
        <v>74</v>
      </c>
      <c r="AG657">
        <v>59</v>
      </c>
      <c r="AH657">
        <v>0</v>
      </c>
      <c r="AI657">
        <v>0</v>
      </c>
      <c r="AJ657">
        <v>9</v>
      </c>
      <c r="AK657">
        <v>9</v>
      </c>
      <c r="AL657" t="s">
        <v>547</v>
      </c>
      <c r="AM657" t="s">
        <v>548</v>
      </c>
      <c r="AN657" t="s">
        <v>549</v>
      </c>
      <c r="AO657" t="s">
        <v>11215</v>
      </c>
      <c r="AP657" t="s">
        <v>11216</v>
      </c>
      <c r="AQ657" t="s">
        <v>74</v>
      </c>
      <c r="AR657" t="s">
        <v>11217</v>
      </c>
      <c r="AS657" t="s">
        <v>11218</v>
      </c>
      <c r="AT657" t="s">
        <v>2909</v>
      </c>
      <c r="AU657">
        <v>2023</v>
      </c>
      <c r="AV657">
        <v>63</v>
      </c>
      <c r="AW657">
        <v>23</v>
      </c>
      <c r="AX657" t="s">
        <v>74</v>
      </c>
      <c r="AY657" t="s">
        <v>74</v>
      </c>
      <c r="AZ657" t="s">
        <v>74</v>
      </c>
      <c r="BA657" t="s">
        <v>74</v>
      </c>
      <c r="BB657">
        <v>7392</v>
      </c>
      <c r="BC657">
        <v>7400</v>
      </c>
      <c r="BD657" t="s">
        <v>74</v>
      </c>
      <c r="BE657" t="s">
        <v>12611</v>
      </c>
      <c r="BF657" t="str">
        <f>HYPERLINK("http://dx.doi.org/10.1021/acs.jcim.3c01220","http://dx.doi.org/10.1021/acs.jcim.3c01220")</f>
        <v>http://dx.doi.org/10.1021/acs.jcim.3c01220</v>
      </c>
      <c r="BG657" t="s">
        <v>74</v>
      </c>
      <c r="BH657" t="s">
        <v>74</v>
      </c>
      <c r="BI657">
        <v>9</v>
      </c>
      <c r="BJ657" t="s">
        <v>11221</v>
      </c>
      <c r="BK657" t="s">
        <v>130</v>
      </c>
      <c r="BL657" t="s">
        <v>11222</v>
      </c>
      <c r="BM657" t="s">
        <v>12612</v>
      </c>
      <c r="BN657">
        <v>37993764</v>
      </c>
      <c r="BO657" t="s">
        <v>5266</v>
      </c>
      <c r="BP657" t="s">
        <v>74</v>
      </c>
      <c r="BQ657" t="s">
        <v>74</v>
      </c>
      <c r="BR657" t="s">
        <v>101</v>
      </c>
      <c r="BS657" t="s">
        <v>12613</v>
      </c>
      <c r="BT657" t="str">
        <f>HYPERLINK("https%3A%2F%2Fwww.webofscience.com%2Fwos%2Fwoscc%2Ffull-record%2FWOS:001123809900001","View Full Record in Web of Science")</f>
        <v>View Full Record in Web of Science</v>
      </c>
    </row>
    <row r="658" spans="1:72" x14ac:dyDescent="0.2">
      <c r="A658" t="s">
        <v>103</v>
      </c>
      <c r="B658" t="s">
        <v>12614</v>
      </c>
      <c r="C658" t="s">
        <v>74</v>
      </c>
      <c r="D658" t="s">
        <v>74</v>
      </c>
      <c r="E658" t="s">
        <v>74</v>
      </c>
      <c r="F658" t="s">
        <v>12615</v>
      </c>
      <c r="G658" t="s">
        <v>74</v>
      </c>
      <c r="H658" t="s">
        <v>74</v>
      </c>
      <c r="I658" t="s">
        <v>12616</v>
      </c>
      <c r="J658" t="s">
        <v>12617</v>
      </c>
      <c r="K658" t="s">
        <v>74</v>
      </c>
      <c r="L658" t="s">
        <v>74</v>
      </c>
      <c r="M658" t="s">
        <v>79</v>
      </c>
      <c r="N658" t="s">
        <v>108</v>
      </c>
      <c r="O658" t="s">
        <v>74</v>
      </c>
      <c r="P658" t="s">
        <v>74</v>
      </c>
      <c r="Q658" t="s">
        <v>74</v>
      </c>
      <c r="R658" t="s">
        <v>74</v>
      </c>
      <c r="S658" t="s">
        <v>74</v>
      </c>
      <c r="T658" t="s">
        <v>12618</v>
      </c>
      <c r="U658" t="s">
        <v>12619</v>
      </c>
      <c r="V658" t="s">
        <v>12620</v>
      </c>
      <c r="W658" t="s">
        <v>12621</v>
      </c>
      <c r="X658" t="s">
        <v>12622</v>
      </c>
      <c r="Y658" t="s">
        <v>12623</v>
      </c>
      <c r="Z658" t="s">
        <v>12624</v>
      </c>
      <c r="AA658" t="s">
        <v>74</v>
      </c>
      <c r="AB658" t="s">
        <v>74</v>
      </c>
      <c r="AC658" t="s">
        <v>74</v>
      </c>
      <c r="AD658" t="s">
        <v>74</v>
      </c>
      <c r="AE658" t="s">
        <v>74</v>
      </c>
      <c r="AF658" t="s">
        <v>74</v>
      </c>
      <c r="AG658">
        <v>55</v>
      </c>
      <c r="AH658">
        <v>0</v>
      </c>
      <c r="AI658">
        <v>0</v>
      </c>
      <c r="AJ658">
        <v>57</v>
      </c>
      <c r="AK658">
        <v>57</v>
      </c>
      <c r="AL658" t="s">
        <v>12625</v>
      </c>
      <c r="AM658" t="s">
        <v>11755</v>
      </c>
      <c r="AN658" t="s">
        <v>12626</v>
      </c>
      <c r="AO658" t="s">
        <v>12627</v>
      </c>
      <c r="AP658" t="s">
        <v>12628</v>
      </c>
      <c r="AQ658" t="s">
        <v>74</v>
      </c>
      <c r="AR658" t="s">
        <v>12629</v>
      </c>
      <c r="AS658" t="s">
        <v>12630</v>
      </c>
      <c r="AT658" t="s">
        <v>2016</v>
      </c>
      <c r="AU658">
        <v>2024</v>
      </c>
      <c r="AV658">
        <v>35</v>
      </c>
      <c r="AW658">
        <v>1</v>
      </c>
      <c r="AX658" t="s">
        <v>74</v>
      </c>
      <c r="AY658" t="s">
        <v>74</v>
      </c>
      <c r="AZ658" t="s">
        <v>74</v>
      </c>
      <c r="BA658" t="s">
        <v>74</v>
      </c>
      <c r="BB658">
        <v>269</v>
      </c>
      <c r="BC658">
        <v>276</v>
      </c>
      <c r="BD658" t="s">
        <v>74</v>
      </c>
      <c r="BE658" t="s">
        <v>12631</v>
      </c>
      <c r="BF658" t="str">
        <f>HYPERLINK("http://dx.doi.org/10.1002/jcaf.22663","http://dx.doi.org/10.1002/jcaf.22663")</f>
        <v>http://dx.doi.org/10.1002/jcaf.22663</v>
      </c>
      <c r="BG658" t="s">
        <v>74</v>
      </c>
      <c r="BH658" t="s">
        <v>278</v>
      </c>
      <c r="BI658">
        <v>8</v>
      </c>
      <c r="BJ658" t="s">
        <v>12632</v>
      </c>
      <c r="BK658" t="s">
        <v>352</v>
      </c>
      <c r="BL658" t="s">
        <v>470</v>
      </c>
      <c r="BM658" t="s">
        <v>12633</v>
      </c>
      <c r="BN658" t="s">
        <v>74</v>
      </c>
      <c r="BO658" t="s">
        <v>74</v>
      </c>
      <c r="BP658" t="s">
        <v>74</v>
      </c>
      <c r="BQ658" t="s">
        <v>74</v>
      </c>
      <c r="BR658" t="s">
        <v>101</v>
      </c>
      <c r="BS658" t="s">
        <v>12634</v>
      </c>
      <c r="BT658" t="str">
        <f>HYPERLINK("https%3A%2F%2Fwww.webofscience.com%2Fwos%2Fwoscc%2Ffull-record%2FWOS:001075288200001","View Full Record in Web of Science")</f>
        <v>View Full Record in Web of Science</v>
      </c>
    </row>
    <row r="659" spans="1:72" x14ac:dyDescent="0.2">
      <c r="A659" t="s">
        <v>103</v>
      </c>
      <c r="B659" t="s">
        <v>12635</v>
      </c>
      <c r="C659" t="s">
        <v>74</v>
      </c>
      <c r="D659" t="s">
        <v>74</v>
      </c>
      <c r="E659" t="s">
        <v>74</v>
      </c>
      <c r="F659" t="s">
        <v>12636</v>
      </c>
      <c r="G659" t="s">
        <v>74</v>
      </c>
      <c r="H659" t="s">
        <v>74</v>
      </c>
      <c r="I659" t="s">
        <v>12637</v>
      </c>
      <c r="J659" t="s">
        <v>10374</v>
      </c>
      <c r="K659" t="s">
        <v>74</v>
      </c>
      <c r="L659" t="s">
        <v>74</v>
      </c>
      <c r="M659" t="s">
        <v>79</v>
      </c>
      <c r="N659" t="s">
        <v>108</v>
      </c>
      <c r="O659" t="s">
        <v>74</v>
      </c>
      <c r="P659" t="s">
        <v>74</v>
      </c>
      <c r="Q659" t="s">
        <v>74</v>
      </c>
      <c r="R659" t="s">
        <v>74</v>
      </c>
      <c r="S659" t="s">
        <v>74</v>
      </c>
      <c r="T659" t="s">
        <v>12638</v>
      </c>
      <c r="U659" t="s">
        <v>74</v>
      </c>
      <c r="V659" t="s">
        <v>12639</v>
      </c>
      <c r="W659" t="s">
        <v>12640</v>
      </c>
      <c r="X659" t="s">
        <v>12641</v>
      </c>
      <c r="Y659" t="s">
        <v>12642</v>
      </c>
      <c r="Z659" t="s">
        <v>12643</v>
      </c>
      <c r="AA659" t="s">
        <v>12644</v>
      </c>
      <c r="AB659" t="s">
        <v>12645</v>
      </c>
      <c r="AC659" t="s">
        <v>12646</v>
      </c>
      <c r="AD659" t="s">
        <v>12647</v>
      </c>
      <c r="AE659" t="s">
        <v>12648</v>
      </c>
      <c r="AF659" t="s">
        <v>74</v>
      </c>
      <c r="AG659">
        <v>13</v>
      </c>
      <c r="AH659">
        <v>0</v>
      </c>
      <c r="AI659">
        <v>0</v>
      </c>
      <c r="AJ659">
        <v>29</v>
      </c>
      <c r="AK659">
        <v>29</v>
      </c>
      <c r="AL659" t="s">
        <v>1379</v>
      </c>
      <c r="AM659" t="s">
        <v>1380</v>
      </c>
      <c r="AN659" t="s">
        <v>1381</v>
      </c>
      <c r="AO659" t="s">
        <v>10387</v>
      </c>
      <c r="AP659" t="s">
        <v>10388</v>
      </c>
      <c r="AQ659" t="s">
        <v>74</v>
      </c>
      <c r="AR659" t="s">
        <v>10389</v>
      </c>
      <c r="AS659" t="s">
        <v>10390</v>
      </c>
      <c r="AT659" t="s">
        <v>527</v>
      </c>
      <c r="AU659">
        <v>2023</v>
      </c>
      <c r="AV659">
        <v>18</v>
      </c>
      <c r="AW659">
        <v>4</v>
      </c>
      <c r="AX659" t="s">
        <v>74</v>
      </c>
      <c r="AY659" t="s">
        <v>74</v>
      </c>
      <c r="AZ659" t="s">
        <v>74</v>
      </c>
      <c r="BA659" t="s">
        <v>74</v>
      </c>
      <c r="BB659">
        <v>35</v>
      </c>
      <c r="BC659">
        <v>44</v>
      </c>
      <c r="BD659" t="s">
        <v>74</v>
      </c>
      <c r="BE659" t="s">
        <v>12649</v>
      </c>
      <c r="BF659" t="str">
        <f>HYPERLINK("http://dx.doi.org/10.1109/MVT.2023.3323757","http://dx.doi.org/10.1109/MVT.2023.3323757")</f>
        <v>http://dx.doi.org/10.1109/MVT.2023.3323757</v>
      </c>
      <c r="BG659" t="s">
        <v>74</v>
      </c>
      <c r="BH659" t="s">
        <v>157</v>
      </c>
      <c r="BI659">
        <v>10</v>
      </c>
      <c r="BJ659" t="s">
        <v>10392</v>
      </c>
      <c r="BK659" t="s">
        <v>130</v>
      </c>
      <c r="BL659" t="s">
        <v>10393</v>
      </c>
      <c r="BM659" t="s">
        <v>12650</v>
      </c>
      <c r="BN659" t="s">
        <v>74</v>
      </c>
      <c r="BO659" t="s">
        <v>74</v>
      </c>
      <c r="BP659" t="s">
        <v>74</v>
      </c>
      <c r="BQ659" t="s">
        <v>74</v>
      </c>
      <c r="BR659" t="s">
        <v>101</v>
      </c>
      <c r="BS659" t="s">
        <v>12651</v>
      </c>
      <c r="BT659" t="str">
        <f>HYPERLINK("https%3A%2F%2Fwww.webofscience.com%2Fwos%2Fwoscc%2Ffull-record%2FWOS:001107528200001","View Full Record in Web of Science")</f>
        <v>View Full Record in Web of Science</v>
      </c>
    </row>
    <row r="660" spans="1:72" x14ac:dyDescent="0.2">
      <c r="A660" t="s">
        <v>103</v>
      </c>
      <c r="B660" t="s">
        <v>12652</v>
      </c>
      <c r="C660" t="s">
        <v>74</v>
      </c>
      <c r="D660" t="s">
        <v>74</v>
      </c>
      <c r="E660" t="s">
        <v>74</v>
      </c>
      <c r="F660" t="s">
        <v>12653</v>
      </c>
      <c r="G660" t="s">
        <v>74</v>
      </c>
      <c r="H660" t="s">
        <v>74</v>
      </c>
      <c r="I660" t="s">
        <v>12654</v>
      </c>
      <c r="J660" t="s">
        <v>824</v>
      </c>
      <c r="K660" t="s">
        <v>74</v>
      </c>
      <c r="L660" t="s">
        <v>74</v>
      </c>
      <c r="M660" t="s">
        <v>79</v>
      </c>
      <c r="N660" t="s">
        <v>108</v>
      </c>
      <c r="O660" t="s">
        <v>74</v>
      </c>
      <c r="P660" t="s">
        <v>74</v>
      </c>
      <c r="Q660" t="s">
        <v>74</v>
      </c>
      <c r="R660" t="s">
        <v>74</v>
      </c>
      <c r="S660" t="s">
        <v>74</v>
      </c>
      <c r="T660" t="s">
        <v>12655</v>
      </c>
      <c r="U660" t="s">
        <v>12656</v>
      </c>
      <c r="V660" t="s">
        <v>12657</v>
      </c>
      <c r="W660" t="s">
        <v>12658</v>
      </c>
      <c r="X660" t="s">
        <v>12659</v>
      </c>
      <c r="Y660" t="s">
        <v>12660</v>
      </c>
      <c r="Z660" t="s">
        <v>12661</v>
      </c>
      <c r="AA660" t="s">
        <v>12662</v>
      </c>
      <c r="AB660" t="s">
        <v>12663</v>
      </c>
      <c r="AC660" t="s">
        <v>74</v>
      </c>
      <c r="AD660" t="s">
        <v>74</v>
      </c>
      <c r="AE660" t="s">
        <v>74</v>
      </c>
      <c r="AF660" t="s">
        <v>74</v>
      </c>
      <c r="AG660">
        <v>41</v>
      </c>
      <c r="AH660">
        <v>0</v>
      </c>
      <c r="AI660">
        <v>0</v>
      </c>
      <c r="AJ660">
        <v>49</v>
      </c>
      <c r="AK660">
        <v>49</v>
      </c>
      <c r="AL660" t="s">
        <v>833</v>
      </c>
      <c r="AM660" t="s">
        <v>834</v>
      </c>
      <c r="AN660" t="s">
        <v>835</v>
      </c>
      <c r="AO660" t="s">
        <v>836</v>
      </c>
      <c r="AP660" t="s">
        <v>837</v>
      </c>
      <c r="AQ660" t="s">
        <v>74</v>
      </c>
      <c r="AR660" t="s">
        <v>838</v>
      </c>
      <c r="AS660" t="s">
        <v>839</v>
      </c>
      <c r="AT660" t="s">
        <v>74</v>
      </c>
      <c r="AU660">
        <v>2023</v>
      </c>
      <c r="AV660">
        <v>39</v>
      </c>
      <c r="AW660">
        <v>4</v>
      </c>
      <c r="AX660" t="s">
        <v>74</v>
      </c>
      <c r="AY660" t="s">
        <v>74</v>
      </c>
      <c r="AZ660" t="s">
        <v>253</v>
      </c>
      <c r="BA660" t="s">
        <v>74</v>
      </c>
      <c r="BB660">
        <v>74</v>
      </c>
      <c r="BC660">
        <v>88</v>
      </c>
      <c r="BD660" t="s">
        <v>74</v>
      </c>
      <c r="BE660" t="s">
        <v>12664</v>
      </c>
      <c r="BF660" t="str">
        <f>HYPERLINK("http://dx.doi.org/10.14742/ajet.8843","http://dx.doi.org/10.14742/ajet.8843")</f>
        <v>http://dx.doi.org/10.14742/ajet.8843</v>
      </c>
      <c r="BG660" t="s">
        <v>74</v>
      </c>
      <c r="BH660" t="s">
        <v>74</v>
      </c>
      <c r="BI660">
        <v>15</v>
      </c>
      <c r="BJ660" t="s">
        <v>423</v>
      </c>
      <c r="BK660" t="s">
        <v>159</v>
      </c>
      <c r="BL660" t="s">
        <v>423</v>
      </c>
      <c r="BM660" t="s">
        <v>12665</v>
      </c>
      <c r="BN660" t="s">
        <v>74</v>
      </c>
      <c r="BO660" t="s">
        <v>425</v>
      </c>
      <c r="BP660" t="s">
        <v>74</v>
      </c>
      <c r="BQ660" t="s">
        <v>74</v>
      </c>
      <c r="BR660" t="s">
        <v>101</v>
      </c>
      <c r="BS660" t="s">
        <v>12666</v>
      </c>
      <c r="BT660" t="str">
        <f>HYPERLINK("https%3A%2F%2Fwww.webofscience.com%2Fwos%2Fwoscc%2Ffull-record%2FWOS:001115427000008","View Full Record in Web of Science")</f>
        <v>View Full Record in Web of Science</v>
      </c>
    </row>
    <row r="661" spans="1:72" x14ac:dyDescent="0.2">
      <c r="A661" t="s">
        <v>103</v>
      </c>
      <c r="B661" t="s">
        <v>12667</v>
      </c>
      <c r="C661" t="s">
        <v>74</v>
      </c>
      <c r="D661" t="s">
        <v>74</v>
      </c>
      <c r="E661" t="s">
        <v>74</v>
      </c>
      <c r="F661" t="s">
        <v>12668</v>
      </c>
      <c r="G661" t="s">
        <v>74</v>
      </c>
      <c r="H661" t="s">
        <v>74</v>
      </c>
      <c r="I661" t="s">
        <v>12669</v>
      </c>
      <c r="J661" t="s">
        <v>12670</v>
      </c>
      <c r="K661" t="s">
        <v>74</v>
      </c>
      <c r="L661" t="s">
        <v>74</v>
      </c>
      <c r="M661" t="s">
        <v>79</v>
      </c>
      <c r="N661" t="s">
        <v>108</v>
      </c>
      <c r="O661" t="s">
        <v>74</v>
      </c>
      <c r="P661" t="s">
        <v>74</v>
      </c>
      <c r="Q661" t="s">
        <v>74</v>
      </c>
      <c r="R661" t="s">
        <v>74</v>
      </c>
      <c r="S661" t="s">
        <v>74</v>
      </c>
      <c r="T661" t="s">
        <v>12671</v>
      </c>
      <c r="U661" t="s">
        <v>74</v>
      </c>
      <c r="V661" t="s">
        <v>12672</v>
      </c>
      <c r="W661" t="s">
        <v>12673</v>
      </c>
      <c r="X661" t="s">
        <v>12674</v>
      </c>
      <c r="Y661" t="s">
        <v>12675</v>
      </c>
      <c r="Z661" t="s">
        <v>12676</v>
      </c>
      <c r="AA661" t="s">
        <v>74</v>
      </c>
      <c r="AB661" t="s">
        <v>12677</v>
      </c>
      <c r="AC661" t="s">
        <v>74</v>
      </c>
      <c r="AD661" t="s">
        <v>74</v>
      </c>
      <c r="AE661" t="s">
        <v>74</v>
      </c>
      <c r="AF661" t="s">
        <v>74</v>
      </c>
      <c r="AG661">
        <v>45</v>
      </c>
      <c r="AH661">
        <v>1</v>
      </c>
      <c r="AI661">
        <v>1</v>
      </c>
      <c r="AJ661">
        <v>1</v>
      </c>
      <c r="AK661">
        <v>1</v>
      </c>
      <c r="AL661" t="s">
        <v>939</v>
      </c>
      <c r="AM661" t="s">
        <v>940</v>
      </c>
      <c r="AN661" t="s">
        <v>941</v>
      </c>
      <c r="AO661" t="s">
        <v>74</v>
      </c>
      <c r="AP661" t="s">
        <v>12678</v>
      </c>
      <c r="AQ661" t="s">
        <v>74</v>
      </c>
      <c r="AR661" t="s">
        <v>12679</v>
      </c>
      <c r="AS661" t="s">
        <v>12680</v>
      </c>
      <c r="AT661" t="s">
        <v>771</v>
      </c>
      <c r="AU661">
        <v>2023</v>
      </c>
      <c r="AV661">
        <v>10</v>
      </c>
      <c r="AW661">
        <v>9</v>
      </c>
      <c r="AX661" t="s">
        <v>74</v>
      </c>
      <c r="AY661" t="s">
        <v>74</v>
      </c>
      <c r="AZ661" t="s">
        <v>74</v>
      </c>
      <c r="BA661" t="s">
        <v>74</v>
      </c>
      <c r="BB661" t="s">
        <v>74</v>
      </c>
      <c r="BC661" t="s">
        <v>74</v>
      </c>
      <c r="BD661">
        <v>770</v>
      </c>
      <c r="BE661" t="s">
        <v>12681</v>
      </c>
      <c r="BF661" t="str">
        <f>HYPERLINK("http://dx.doi.org/10.3390/aerospace10090770","http://dx.doi.org/10.3390/aerospace10090770")</f>
        <v>http://dx.doi.org/10.3390/aerospace10090770</v>
      </c>
      <c r="BG661" t="s">
        <v>74</v>
      </c>
      <c r="BH661" t="s">
        <v>74</v>
      </c>
      <c r="BI661">
        <v>26</v>
      </c>
      <c r="BJ661" t="s">
        <v>12682</v>
      </c>
      <c r="BK661" t="s">
        <v>130</v>
      </c>
      <c r="BL661" t="s">
        <v>2823</v>
      </c>
      <c r="BM661" t="s">
        <v>12683</v>
      </c>
      <c r="BN661" t="s">
        <v>74</v>
      </c>
      <c r="BO661" t="s">
        <v>1711</v>
      </c>
      <c r="BP661" t="s">
        <v>74</v>
      </c>
      <c r="BQ661" t="s">
        <v>74</v>
      </c>
      <c r="BR661" t="s">
        <v>101</v>
      </c>
      <c r="BS661" t="s">
        <v>12684</v>
      </c>
      <c r="BT661" t="str">
        <f>HYPERLINK("https%3A%2F%2Fwww.webofscience.com%2Fwos%2Fwoscc%2Ffull-record%2FWOS:001159270500001","View Full Record in Web of Science")</f>
        <v>View Full Record in Web of Science</v>
      </c>
    </row>
    <row r="662" spans="1:72" x14ac:dyDescent="0.2">
      <c r="A662" t="s">
        <v>103</v>
      </c>
      <c r="B662" t="s">
        <v>12685</v>
      </c>
      <c r="C662" t="s">
        <v>74</v>
      </c>
      <c r="D662" t="s">
        <v>74</v>
      </c>
      <c r="E662" t="s">
        <v>74</v>
      </c>
      <c r="F662" t="s">
        <v>12686</v>
      </c>
      <c r="G662" t="s">
        <v>74</v>
      </c>
      <c r="H662" t="s">
        <v>74</v>
      </c>
      <c r="I662" t="s">
        <v>12687</v>
      </c>
      <c r="J662" t="s">
        <v>12688</v>
      </c>
      <c r="K662" t="s">
        <v>74</v>
      </c>
      <c r="L662" t="s">
        <v>74</v>
      </c>
      <c r="M662" t="s">
        <v>79</v>
      </c>
      <c r="N662" t="s">
        <v>108</v>
      </c>
      <c r="O662" t="s">
        <v>74</v>
      </c>
      <c r="P662" t="s">
        <v>74</v>
      </c>
      <c r="Q662" t="s">
        <v>74</v>
      </c>
      <c r="R662" t="s">
        <v>74</v>
      </c>
      <c r="S662" t="s">
        <v>74</v>
      </c>
      <c r="T662" t="s">
        <v>74</v>
      </c>
      <c r="U662" t="s">
        <v>74</v>
      </c>
      <c r="V662" t="s">
        <v>12689</v>
      </c>
      <c r="W662" t="s">
        <v>12690</v>
      </c>
      <c r="X662" t="s">
        <v>12691</v>
      </c>
      <c r="Y662" t="s">
        <v>12692</v>
      </c>
      <c r="Z662" t="s">
        <v>12693</v>
      </c>
      <c r="AA662" t="s">
        <v>12694</v>
      </c>
      <c r="AB662" t="s">
        <v>12695</v>
      </c>
      <c r="AC662" t="s">
        <v>12696</v>
      </c>
      <c r="AD662" t="s">
        <v>12697</v>
      </c>
      <c r="AE662" t="s">
        <v>12698</v>
      </c>
      <c r="AF662" t="s">
        <v>74</v>
      </c>
      <c r="AG662">
        <v>85</v>
      </c>
      <c r="AH662">
        <v>5</v>
      </c>
      <c r="AI662">
        <v>5</v>
      </c>
      <c r="AJ662">
        <v>31</v>
      </c>
      <c r="AK662">
        <v>31</v>
      </c>
      <c r="AL662" t="s">
        <v>764</v>
      </c>
      <c r="AM662" t="s">
        <v>765</v>
      </c>
      <c r="AN662" t="s">
        <v>766</v>
      </c>
      <c r="AO662" t="s">
        <v>12699</v>
      </c>
      <c r="AP662" t="s">
        <v>74</v>
      </c>
      <c r="AQ662" t="s">
        <v>74</v>
      </c>
      <c r="AR662" t="s">
        <v>12700</v>
      </c>
      <c r="AS662" t="s">
        <v>12701</v>
      </c>
      <c r="AT662" t="s">
        <v>527</v>
      </c>
      <c r="AU662">
        <v>2023</v>
      </c>
      <c r="AV662">
        <v>3</v>
      </c>
      <c r="AW662">
        <v>4</v>
      </c>
      <c r="AX662" t="s">
        <v>74</v>
      </c>
      <c r="AY662" t="s">
        <v>74</v>
      </c>
      <c r="AZ662" t="s">
        <v>74</v>
      </c>
      <c r="BA662" t="s">
        <v>74</v>
      </c>
      <c r="BB662" t="s">
        <v>74</v>
      </c>
      <c r="BC662" t="s">
        <v>74</v>
      </c>
      <c r="BD662">
        <v>100394</v>
      </c>
      <c r="BE662" t="s">
        <v>12702</v>
      </c>
      <c r="BF662" t="str">
        <f>HYPERLINK("http://dx.doi.org/10.1016/j.xops.2023.100394","http://dx.doi.org/10.1016/j.xops.2023.100394")</f>
        <v>http://dx.doi.org/10.1016/j.xops.2023.100394</v>
      </c>
      <c r="BG662" t="s">
        <v>74</v>
      </c>
      <c r="BH662" t="s">
        <v>1886</v>
      </c>
      <c r="BI662">
        <v>9</v>
      </c>
      <c r="BJ662" t="s">
        <v>9843</v>
      </c>
      <c r="BK662" t="s">
        <v>352</v>
      </c>
      <c r="BL662" t="s">
        <v>9843</v>
      </c>
      <c r="BM662" t="s">
        <v>12703</v>
      </c>
      <c r="BN662">
        <v>37885755</v>
      </c>
      <c r="BO662" t="s">
        <v>1728</v>
      </c>
      <c r="BP662" t="s">
        <v>74</v>
      </c>
      <c r="BQ662" t="s">
        <v>74</v>
      </c>
      <c r="BR662" t="s">
        <v>101</v>
      </c>
      <c r="BS662" t="s">
        <v>12704</v>
      </c>
      <c r="BT662" t="str">
        <f>HYPERLINK("https%3A%2F%2Fwww.webofscience.com%2Fwos%2Fwoscc%2Ffull-record%2FWOS:001101673900001","View Full Record in Web of Science")</f>
        <v>View Full Record in Web of Science</v>
      </c>
    </row>
    <row r="663" spans="1:72" x14ac:dyDescent="0.2">
      <c r="A663" t="s">
        <v>103</v>
      </c>
      <c r="B663" t="s">
        <v>12705</v>
      </c>
      <c r="C663" t="s">
        <v>74</v>
      </c>
      <c r="D663" t="s">
        <v>74</v>
      </c>
      <c r="E663" t="s">
        <v>74</v>
      </c>
      <c r="F663" t="s">
        <v>12706</v>
      </c>
      <c r="G663" t="s">
        <v>74</v>
      </c>
      <c r="H663" t="s">
        <v>74</v>
      </c>
      <c r="I663" t="s">
        <v>12707</v>
      </c>
      <c r="J663" t="s">
        <v>12708</v>
      </c>
      <c r="K663" t="s">
        <v>74</v>
      </c>
      <c r="L663" t="s">
        <v>74</v>
      </c>
      <c r="M663" t="s">
        <v>79</v>
      </c>
      <c r="N663" t="s">
        <v>108</v>
      </c>
      <c r="O663" t="s">
        <v>74</v>
      </c>
      <c r="P663" t="s">
        <v>74</v>
      </c>
      <c r="Q663" t="s">
        <v>74</v>
      </c>
      <c r="R663" t="s">
        <v>74</v>
      </c>
      <c r="S663" t="s">
        <v>74</v>
      </c>
      <c r="T663" t="s">
        <v>12709</v>
      </c>
      <c r="U663" t="s">
        <v>12710</v>
      </c>
      <c r="V663" t="s">
        <v>12711</v>
      </c>
      <c r="W663" t="s">
        <v>12712</v>
      </c>
      <c r="X663" t="s">
        <v>12713</v>
      </c>
      <c r="Y663" t="s">
        <v>12714</v>
      </c>
      <c r="Z663" t="s">
        <v>12715</v>
      </c>
      <c r="AA663" t="s">
        <v>12716</v>
      </c>
      <c r="AB663" t="s">
        <v>12717</v>
      </c>
      <c r="AC663" t="s">
        <v>12718</v>
      </c>
      <c r="AD663" t="s">
        <v>12719</v>
      </c>
      <c r="AE663" t="s">
        <v>12720</v>
      </c>
      <c r="AF663" t="s">
        <v>74</v>
      </c>
      <c r="AG663">
        <v>76</v>
      </c>
      <c r="AH663">
        <v>5</v>
      </c>
      <c r="AI663">
        <v>5</v>
      </c>
      <c r="AJ663">
        <v>31</v>
      </c>
      <c r="AK663">
        <v>46</v>
      </c>
      <c r="AL663" t="s">
        <v>6089</v>
      </c>
      <c r="AM663" t="s">
        <v>149</v>
      </c>
      <c r="AN663" t="s">
        <v>6090</v>
      </c>
      <c r="AO663" t="s">
        <v>12721</v>
      </c>
      <c r="AP663" t="s">
        <v>12722</v>
      </c>
      <c r="AQ663" t="s">
        <v>74</v>
      </c>
      <c r="AR663" t="s">
        <v>12723</v>
      </c>
      <c r="AS663" t="s">
        <v>12724</v>
      </c>
      <c r="AT663" t="s">
        <v>5486</v>
      </c>
      <c r="AU663">
        <v>2023</v>
      </c>
      <c r="AV663">
        <v>197</v>
      </c>
      <c r="AW663" t="s">
        <v>74</v>
      </c>
      <c r="AX663" t="s">
        <v>74</v>
      </c>
      <c r="AY663" t="s">
        <v>74</v>
      </c>
      <c r="AZ663" t="s">
        <v>74</v>
      </c>
      <c r="BA663" t="s">
        <v>74</v>
      </c>
      <c r="BB663" t="s">
        <v>74</v>
      </c>
      <c r="BC663" t="s">
        <v>74</v>
      </c>
      <c r="BD663">
        <v>110370</v>
      </c>
      <c r="BE663" t="s">
        <v>12725</v>
      </c>
      <c r="BF663" t="str">
        <f>HYPERLINK("http://dx.doi.org/10.1016/j.ymssp.2023.110370","http://dx.doi.org/10.1016/j.ymssp.2023.110370")</f>
        <v>http://dx.doi.org/10.1016/j.ymssp.2023.110370</v>
      </c>
      <c r="BG663" t="s">
        <v>74</v>
      </c>
      <c r="BH663" t="s">
        <v>793</v>
      </c>
      <c r="BI663">
        <v>20</v>
      </c>
      <c r="BJ663" t="s">
        <v>6281</v>
      </c>
      <c r="BK663" t="s">
        <v>130</v>
      </c>
      <c r="BL663" t="s">
        <v>2823</v>
      </c>
      <c r="BM663" t="s">
        <v>12726</v>
      </c>
      <c r="BN663" t="s">
        <v>74</v>
      </c>
      <c r="BO663" t="s">
        <v>646</v>
      </c>
      <c r="BP663" t="s">
        <v>74</v>
      </c>
      <c r="BQ663" t="s">
        <v>74</v>
      </c>
      <c r="BR663" t="s">
        <v>101</v>
      </c>
      <c r="BS663" t="s">
        <v>12727</v>
      </c>
      <c r="BT663" t="str">
        <f>HYPERLINK("https%3A%2F%2Fwww.webofscience.com%2Fwos%2Fwoscc%2Ffull-record%2FWOS:000988640000001","View Full Record in Web of Science")</f>
        <v>View Full Record in Web of Science</v>
      </c>
    </row>
    <row r="664" spans="1:72" x14ac:dyDescent="0.2">
      <c r="A664" t="s">
        <v>103</v>
      </c>
      <c r="B664" t="s">
        <v>12728</v>
      </c>
      <c r="C664" t="s">
        <v>74</v>
      </c>
      <c r="D664" t="s">
        <v>74</v>
      </c>
      <c r="E664" t="s">
        <v>74</v>
      </c>
      <c r="F664" t="s">
        <v>12729</v>
      </c>
      <c r="G664" t="s">
        <v>74</v>
      </c>
      <c r="H664" t="s">
        <v>74</v>
      </c>
      <c r="I664" t="s">
        <v>12730</v>
      </c>
      <c r="J664" t="s">
        <v>12731</v>
      </c>
      <c r="K664" t="s">
        <v>74</v>
      </c>
      <c r="L664" t="s">
        <v>74</v>
      </c>
      <c r="M664" t="s">
        <v>79</v>
      </c>
      <c r="N664" t="s">
        <v>108</v>
      </c>
      <c r="O664" t="s">
        <v>74</v>
      </c>
      <c r="P664" t="s">
        <v>74</v>
      </c>
      <c r="Q664" t="s">
        <v>74</v>
      </c>
      <c r="R664" t="s">
        <v>74</v>
      </c>
      <c r="S664" t="s">
        <v>74</v>
      </c>
      <c r="T664" t="s">
        <v>12732</v>
      </c>
      <c r="U664" t="s">
        <v>74</v>
      </c>
      <c r="V664" t="s">
        <v>12733</v>
      </c>
      <c r="W664" t="s">
        <v>12734</v>
      </c>
      <c r="X664" t="s">
        <v>12735</v>
      </c>
      <c r="Y664" t="s">
        <v>12736</v>
      </c>
      <c r="Z664" t="s">
        <v>12737</v>
      </c>
      <c r="AA664" t="s">
        <v>74</v>
      </c>
      <c r="AB664" t="s">
        <v>74</v>
      </c>
      <c r="AC664" t="s">
        <v>12738</v>
      </c>
      <c r="AD664" t="s">
        <v>12739</v>
      </c>
      <c r="AE664" t="s">
        <v>12740</v>
      </c>
      <c r="AF664" t="s">
        <v>74</v>
      </c>
      <c r="AG664">
        <v>20</v>
      </c>
      <c r="AH664">
        <v>0</v>
      </c>
      <c r="AI664">
        <v>0</v>
      </c>
      <c r="AJ664">
        <v>2</v>
      </c>
      <c r="AK664">
        <v>2</v>
      </c>
      <c r="AL664" t="s">
        <v>809</v>
      </c>
      <c r="AM664" t="s">
        <v>810</v>
      </c>
      <c r="AN664" t="s">
        <v>811</v>
      </c>
      <c r="AO664" t="s">
        <v>12741</v>
      </c>
      <c r="AP664" t="s">
        <v>12742</v>
      </c>
      <c r="AQ664" t="s">
        <v>74</v>
      </c>
      <c r="AR664" t="s">
        <v>12743</v>
      </c>
      <c r="AS664" t="s">
        <v>12744</v>
      </c>
      <c r="AT664" t="s">
        <v>2407</v>
      </c>
      <c r="AU664">
        <v>2023</v>
      </c>
      <c r="AV664">
        <v>24</v>
      </c>
      <c r="AW664">
        <v>1</v>
      </c>
      <c r="AX664" t="s">
        <v>74</v>
      </c>
      <c r="AY664" t="s">
        <v>74</v>
      </c>
      <c r="AZ664" t="s">
        <v>74</v>
      </c>
      <c r="BA664" t="s">
        <v>74</v>
      </c>
      <c r="BB664">
        <v>55</v>
      </c>
      <c r="BC664">
        <v>64</v>
      </c>
      <c r="BD664" t="s">
        <v>74</v>
      </c>
      <c r="BE664" t="s">
        <v>12745</v>
      </c>
      <c r="BF664" t="str">
        <f>HYPERLINK("http://dx.doi.org/10.2478/ttj-2023-0006","http://dx.doi.org/10.2478/ttj-2023-0006")</f>
        <v>http://dx.doi.org/10.2478/ttj-2023-0006</v>
      </c>
      <c r="BG664" t="s">
        <v>74</v>
      </c>
      <c r="BH664" t="s">
        <v>74</v>
      </c>
      <c r="BI664">
        <v>10</v>
      </c>
      <c r="BJ664" t="s">
        <v>12746</v>
      </c>
      <c r="BK664" t="s">
        <v>352</v>
      </c>
      <c r="BL664" t="s">
        <v>12747</v>
      </c>
      <c r="BM664" t="s">
        <v>12748</v>
      </c>
      <c r="BN664" t="s">
        <v>74</v>
      </c>
      <c r="BO664" t="s">
        <v>425</v>
      </c>
      <c r="BP664" t="s">
        <v>74</v>
      </c>
      <c r="BQ664" t="s">
        <v>74</v>
      </c>
      <c r="BR664" t="s">
        <v>101</v>
      </c>
      <c r="BS664" t="s">
        <v>12749</v>
      </c>
      <c r="BT664" t="str">
        <f>HYPERLINK("https%3A%2F%2Fwww.webofscience.com%2Fwos%2Fwoscc%2Ffull-record%2FWOS:000942983100006","View Full Record in Web of Science")</f>
        <v>View Full Record in Web of Science</v>
      </c>
    </row>
    <row r="665" spans="1:72" x14ac:dyDescent="0.2">
      <c r="A665" t="s">
        <v>103</v>
      </c>
      <c r="B665" t="s">
        <v>12750</v>
      </c>
      <c r="C665" t="s">
        <v>74</v>
      </c>
      <c r="D665" t="s">
        <v>74</v>
      </c>
      <c r="E665" t="s">
        <v>74</v>
      </c>
      <c r="F665" t="s">
        <v>12751</v>
      </c>
      <c r="G665" t="s">
        <v>74</v>
      </c>
      <c r="H665" t="s">
        <v>74</v>
      </c>
      <c r="I665" t="s">
        <v>12752</v>
      </c>
      <c r="J665" t="s">
        <v>12753</v>
      </c>
      <c r="K665" t="s">
        <v>74</v>
      </c>
      <c r="L665" t="s">
        <v>74</v>
      </c>
      <c r="M665" t="s">
        <v>79</v>
      </c>
      <c r="N665" t="s">
        <v>108</v>
      </c>
      <c r="O665" t="s">
        <v>74</v>
      </c>
      <c r="P665" t="s">
        <v>74</v>
      </c>
      <c r="Q665" t="s">
        <v>74</v>
      </c>
      <c r="R665" t="s">
        <v>74</v>
      </c>
      <c r="S665" t="s">
        <v>74</v>
      </c>
      <c r="T665" t="s">
        <v>12754</v>
      </c>
      <c r="U665" t="s">
        <v>12755</v>
      </c>
      <c r="V665" t="s">
        <v>12756</v>
      </c>
      <c r="W665" t="s">
        <v>12757</v>
      </c>
      <c r="X665" t="s">
        <v>12758</v>
      </c>
      <c r="Y665" t="s">
        <v>12759</v>
      </c>
      <c r="Z665" t="s">
        <v>12760</v>
      </c>
      <c r="AA665" t="s">
        <v>12761</v>
      </c>
      <c r="AB665" t="s">
        <v>12762</v>
      </c>
      <c r="AC665" t="s">
        <v>12763</v>
      </c>
      <c r="AD665" t="s">
        <v>12764</v>
      </c>
      <c r="AE665" t="s">
        <v>12765</v>
      </c>
      <c r="AF665" t="s">
        <v>74</v>
      </c>
      <c r="AG665">
        <v>66</v>
      </c>
      <c r="AH665">
        <v>3</v>
      </c>
      <c r="AI665">
        <v>3</v>
      </c>
      <c r="AJ665">
        <v>0</v>
      </c>
      <c r="AK665">
        <v>3</v>
      </c>
      <c r="AL665" t="s">
        <v>270</v>
      </c>
      <c r="AM665" t="s">
        <v>120</v>
      </c>
      <c r="AN665" t="s">
        <v>271</v>
      </c>
      <c r="AO665" t="s">
        <v>12766</v>
      </c>
      <c r="AP665" t="s">
        <v>12767</v>
      </c>
      <c r="AQ665" t="s">
        <v>74</v>
      </c>
      <c r="AR665" t="s">
        <v>12768</v>
      </c>
      <c r="AS665" t="s">
        <v>12769</v>
      </c>
      <c r="AT665" t="s">
        <v>615</v>
      </c>
      <c r="AU665">
        <v>2023</v>
      </c>
      <c r="AV665">
        <v>139</v>
      </c>
      <c r="AW665" t="s">
        <v>74</v>
      </c>
      <c r="AX665" t="s">
        <v>74</v>
      </c>
      <c r="AY665" t="s">
        <v>74</v>
      </c>
      <c r="AZ665" t="s">
        <v>74</v>
      </c>
      <c r="BA665" t="s">
        <v>74</v>
      </c>
      <c r="BB665" t="s">
        <v>74</v>
      </c>
      <c r="BC665" t="s">
        <v>74</v>
      </c>
      <c r="BD665">
        <v>109477</v>
      </c>
      <c r="BE665" t="s">
        <v>12770</v>
      </c>
      <c r="BF665" t="str">
        <f>HYPERLINK("http://dx.doi.org/10.1016/j.patcog.2023.109477","http://dx.doi.org/10.1016/j.patcog.2023.109477")</f>
        <v>http://dx.doi.org/10.1016/j.patcog.2023.109477</v>
      </c>
      <c r="BG665" t="s">
        <v>74</v>
      </c>
      <c r="BH665" t="s">
        <v>1431</v>
      </c>
      <c r="BI665">
        <v>13</v>
      </c>
      <c r="BJ665" t="s">
        <v>6627</v>
      </c>
      <c r="BK665" t="s">
        <v>130</v>
      </c>
      <c r="BL665" t="s">
        <v>906</v>
      </c>
      <c r="BM665" t="s">
        <v>12771</v>
      </c>
      <c r="BN665" t="s">
        <v>74</v>
      </c>
      <c r="BO665" t="s">
        <v>74</v>
      </c>
      <c r="BP665" t="s">
        <v>74</v>
      </c>
      <c r="BQ665" t="s">
        <v>74</v>
      </c>
      <c r="BR665" t="s">
        <v>101</v>
      </c>
      <c r="BS665" t="s">
        <v>12772</v>
      </c>
      <c r="BT665" t="str">
        <f>HYPERLINK("https%3A%2F%2Fwww.webofscience.com%2Fwos%2Fwoscc%2Ffull-record%2FWOS:000954796400001","View Full Record in Web of Science")</f>
        <v>View Full Record in Web of Science</v>
      </c>
    </row>
    <row r="666" spans="1:72" x14ac:dyDescent="0.2">
      <c r="A666" t="s">
        <v>103</v>
      </c>
      <c r="B666" t="s">
        <v>12773</v>
      </c>
      <c r="C666" t="s">
        <v>74</v>
      </c>
      <c r="D666" t="s">
        <v>74</v>
      </c>
      <c r="E666" t="s">
        <v>74</v>
      </c>
      <c r="F666" t="s">
        <v>12774</v>
      </c>
      <c r="G666" t="s">
        <v>74</v>
      </c>
      <c r="H666" t="s">
        <v>74</v>
      </c>
      <c r="I666" t="s">
        <v>12775</v>
      </c>
      <c r="J666" t="s">
        <v>12776</v>
      </c>
      <c r="K666" t="s">
        <v>74</v>
      </c>
      <c r="L666" t="s">
        <v>74</v>
      </c>
      <c r="M666" t="s">
        <v>79</v>
      </c>
      <c r="N666" t="s">
        <v>108</v>
      </c>
      <c r="O666" t="s">
        <v>74</v>
      </c>
      <c r="P666" t="s">
        <v>74</v>
      </c>
      <c r="Q666" t="s">
        <v>74</v>
      </c>
      <c r="R666" t="s">
        <v>74</v>
      </c>
      <c r="S666" t="s">
        <v>74</v>
      </c>
      <c r="T666" t="s">
        <v>74</v>
      </c>
      <c r="U666" t="s">
        <v>12777</v>
      </c>
      <c r="V666" t="s">
        <v>12778</v>
      </c>
      <c r="W666" t="s">
        <v>12779</v>
      </c>
      <c r="X666" t="s">
        <v>12780</v>
      </c>
      <c r="Y666" t="s">
        <v>12781</v>
      </c>
      <c r="Z666" t="s">
        <v>4372</v>
      </c>
      <c r="AA666" t="s">
        <v>4373</v>
      </c>
      <c r="AB666" t="s">
        <v>12782</v>
      </c>
      <c r="AC666" t="s">
        <v>12783</v>
      </c>
      <c r="AD666" t="s">
        <v>12784</v>
      </c>
      <c r="AE666" t="s">
        <v>12785</v>
      </c>
      <c r="AF666" t="s">
        <v>74</v>
      </c>
      <c r="AG666">
        <v>86</v>
      </c>
      <c r="AH666">
        <v>17</v>
      </c>
      <c r="AI666">
        <v>17</v>
      </c>
      <c r="AJ666">
        <v>24</v>
      </c>
      <c r="AK666">
        <v>25</v>
      </c>
      <c r="AL666" t="s">
        <v>8486</v>
      </c>
      <c r="AM666" t="s">
        <v>1153</v>
      </c>
      <c r="AN666" t="s">
        <v>8487</v>
      </c>
      <c r="AO666" t="s">
        <v>12786</v>
      </c>
      <c r="AP666" t="s">
        <v>74</v>
      </c>
      <c r="AQ666" t="s">
        <v>74</v>
      </c>
      <c r="AR666" t="s">
        <v>12787</v>
      </c>
      <c r="AS666" t="s">
        <v>12788</v>
      </c>
      <c r="AT666" t="s">
        <v>12789</v>
      </c>
      <c r="AU666">
        <v>2023</v>
      </c>
      <c r="AV666">
        <v>9</v>
      </c>
      <c r="AW666">
        <v>7</v>
      </c>
      <c r="AX666" t="s">
        <v>74</v>
      </c>
      <c r="AY666" t="s">
        <v>74</v>
      </c>
      <c r="AZ666" t="s">
        <v>74</v>
      </c>
      <c r="BA666" t="s">
        <v>74</v>
      </c>
      <c r="BB666">
        <v>1828</v>
      </c>
      <c r="BC666">
        <v>1849</v>
      </c>
      <c r="BD666" t="s">
        <v>74</v>
      </c>
      <c r="BE666" t="s">
        <v>12790</v>
      </c>
      <c r="BF666" t="str">
        <f>HYPERLINK("http://dx.doi.org/10.1016/j.chempr.2023.03.020","http://dx.doi.org/10.1016/j.chempr.2023.03.020")</f>
        <v>http://dx.doi.org/10.1016/j.chempr.2023.03.020</v>
      </c>
      <c r="BG666" t="s">
        <v>74</v>
      </c>
      <c r="BH666" t="s">
        <v>229</v>
      </c>
      <c r="BI666">
        <v>23</v>
      </c>
      <c r="BJ666" t="s">
        <v>11005</v>
      </c>
      <c r="BK666" t="s">
        <v>130</v>
      </c>
      <c r="BL666" t="s">
        <v>11006</v>
      </c>
      <c r="BM666" t="s">
        <v>12791</v>
      </c>
      <c r="BN666">
        <v>37614363</v>
      </c>
      <c r="BO666" t="s">
        <v>1237</v>
      </c>
      <c r="BP666" t="s">
        <v>1434</v>
      </c>
      <c r="BQ666" t="s">
        <v>1912</v>
      </c>
      <c r="BR666" t="s">
        <v>101</v>
      </c>
      <c r="BS666" t="s">
        <v>12792</v>
      </c>
      <c r="BT666" t="str">
        <f>HYPERLINK("https%3A%2F%2Fwww.webofscience.com%2Fwos%2Fwoscc%2Ffull-record%2FWOS:001044211600001","View Full Record in Web of Science")</f>
        <v>View Full Record in Web of Science</v>
      </c>
    </row>
    <row r="667" spans="1:72" x14ac:dyDescent="0.2">
      <c r="A667" t="s">
        <v>103</v>
      </c>
      <c r="B667" t="s">
        <v>12793</v>
      </c>
      <c r="C667" t="s">
        <v>74</v>
      </c>
      <c r="D667" t="s">
        <v>74</v>
      </c>
      <c r="E667" t="s">
        <v>74</v>
      </c>
      <c r="F667" t="s">
        <v>12794</v>
      </c>
      <c r="G667" t="s">
        <v>74</v>
      </c>
      <c r="H667" t="s">
        <v>74</v>
      </c>
      <c r="I667" t="s">
        <v>12795</v>
      </c>
      <c r="J667" t="s">
        <v>10711</v>
      </c>
      <c r="K667" t="s">
        <v>74</v>
      </c>
      <c r="L667" t="s">
        <v>74</v>
      </c>
      <c r="M667" t="s">
        <v>79</v>
      </c>
      <c r="N667" t="s">
        <v>108</v>
      </c>
      <c r="O667" t="s">
        <v>74</v>
      </c>
      <c r="P667" t="s">
        <v>74</v>
      </c>
      <c r="Q667" t="s">
        <v>74</v>
      </c>
      <c r="R667" t="s">
        <v>74</v>
      </c>
      <c r="S667" t="s">
        <v>74</v>
      </c>
      <c r="T667" t="s">
        <v>74</v>
      </c>
      <c r="U667" t="s">
        <v>12796</v>
      </c>
      <c r="V667" t="s">
        <v>12797</v>
      </c>
      <c r="W667" t="s">
        <v>12798</v>
      </c>
      <c r="X667" t="s">
        <v>12799</v>
      </c>
      <c r="Y667" t="s">
        <v>12800</v>
      </c>
      <c r="Z667" t="s">
        <v>12801</v>
      </c>
      <c r="AA667" t="s">
        <v>74</v>
      </c>
      <c r="AB667" t="s">
        <v>74</v>
      </c>
      <c r="AC667" t="s">
        <v>3569</v>
      </c>
      <c r="AD667" t="s">
        <v>3569</v>
      </c>
      <c r="AE667" t="s">
        <v>3570</v>
      </c>
      <c r="AF667" t="s">
        <v>74</v>
      </c>
      <c r="AG667">
        <v>98</v>
      </c>
      <c r="AH667">
        <v>0</v>
      </c>
      <c r="AI667">
        <v>0</v>
      </c>
      <c r="AJ667">
        <v>1</v>
      </c>
      <c r="AK667">
        <v>1</v>
      </c>
      <c r="AL667" t="s">
        <v>1880</v>
      </c>
      <c r="AM667" t="s">
        <v>369</v>
      </c>
      <c r="AN667" t="s">
        <v>1881</v>
      </c>
      <c r="AO667" t="s">
        <v>10723</v>
      </c>
      <c r="AP667" t="s">
        <v>74</v>
      </c>
      <c r="AQ667" t="s">
        <v>74</v>
      </c>
      <c r="AR667" t="s">
        <v>10724</v>
      </c>
      <c r="AS667" t="s">
        <v>10725</v>
      </c>
      <c r="AT667" t="s">
        <v>9410</v>
      </c>
      <c r="AU667">
        <v>2023</v>
      </c>
      <c r="AV667">
        <v>13</v>
      </c>
      <c r="AW667">
        <v>1</v>
      </c>
      <c r="AX667" t="s">
        <v>74</v>
      </c>
      <c r="AY667" t="s">
        <v>74</v>
      </c>
      <c r="AZ667" t="s">
        <v>74</v>
      </c>
      <c r="BA667" t="s">
        <v>74</v>
      </c>
      <c r="BB667" t="s">
        <v>74</v>
      </c>
      <c r="BC667" t="s">
        <v>74</v>
      </c>
      <c r="BD667">
        <v>19591</v>
      </c>
      <c r="BE667" t="s">
        <v>12802</v>
      </c>
      <c r="BF667" t="str">
        <f>HYPERLINK("http://dx.doi.org/10.1038/s41598-023-46523-z","http://dx.doi.org/10.1038/s41598-023-46523-z")</f>
        <v>http://dx.doi.org/10.1038/s41598-023-46523-z</v>
      </c>
      <c r="BG667" t="s">
        <v>74</v>
      </c>
      <c r="BH667" t="s">
        <v>74</v>
      </c>
      <c r="BI667">
        <v>21</v>
      </c>
      <c r="BJ667" t="s">
        <v>5686</v>
      </c>
      <c r="BK667" t="s">
        <v>130</v>
      </c>
      <c r="BL667" t="s">
        <v>5687</v>
      </c>
      <c r="BM667" t="s">
        <v>12803</v>
      </c>
      <c r="BN667" t="s">
        <v>74</v>
      </c>
      <c r="BO667" t="s">
        <v>1728</v>
      </c>
      <c r="BP667" t="s">
        <v>74</v>
      </c>
      <c r="BQ667" t="s">
        <v>74</v>
      </c>
      <c r="BR667" t="s">
        <v>101</v>
      </c>
      <c r="BS667" t="s">
        <v>12804</v>
      </c>
      <c r="BT667" t="str">
        <f>HYPERLINK("https%3A%2F%2Fwww.webofscience.com%2Fwos%2Fwoscc%2Ffull-record%2FWOS:001136497000045","View Full Record in Web of Science")</f>
        <v>View Full Record in Web of Science</v>
      </c>
    </row>
    <row r="668" spans="1:72" x14ac:dyDescent="0.2">
      <c r="A668" t="s">
        <v>103</v>
      </c>
      <c r="B668" t="s">
        <v>12805</v>
      </c>
      <c r="C668" t="s">
        <v>74</v>
      </c>
      <c r="D668" t="s">
        <v>74</v>
      </c>
      <c r="E668" t="s">
        <v>74</v>
      </c>
      <c r="F668" t="s">
        <v>12806</v>
      </c>
      <c r="G668" t="s">
        <v>74</v>
      </c>
      <c r="H668" t="s">
        <v>74</v>
      </c>
      <c r="I668" t="s">
        <v>12807</v>
      </c>
      <c r="J668" t="s">
        <v>1370</v>
      </c>
      <c r="K668" t="s">
        <v>74</v>
      </c>
      <c r="L668" t="s">
        <v>74</v>
      </c>
      <c r="M668" t="s">
        <v>79</v>
      </c>
      <c r="N668" t="s">
        <v>108</v>
      </c>
      <c r="O668" t="s">
        <v>74</v>
      </c>
      <c r="P668" t="s">
        <v>74</v>
      </c>
      <c r="Q668" t="s">
        <v>74</v>
      </c>
      <c r="R668" t="s">
        <v>74</v>
      </c>
      <c r="S668" t="s">
        <v>74</v>
      </c>
      <c r="T668" t="s">
        <v>12808</v>
      </c>
      <c r="U668" t="s">
        <v>74</v>
      </c>
      <c r="V668" t="s">
        <v>12809</v>
      </c>
      <c r="W668" t="s">
        <v>12810</v>
      </c>
      <c r="X668" t="s">
        <v>12811</v>
      </c>
      <c r="Y668" t="s">
        <v>12812</v>
      </c>
      <c r="Z668" t="s">
        <v>12813</v>
      </c>
      <c r="AA668" t="s">
        <v>74</v>
      </c>
      <c r="AB668" t="s">
        <v>12814</v>
      </c>
      <c r="AC668" t="s">
        <v>12815</v>
      </c>
      <c r="AD668" t="s">
        <v>12816</v>
      </c>
      <c r="AE668" t="s">
        <v>12817</v>
      </c>
      <c r="AF668" t="s">
        <v>74</v>
      </c>
      <c r="AG668">
        <v>19</v>
      </c>
      <c r="AH668">
        <v>0</v>
      </c>
      <c r="AI668">
        <v>0</v>
      </c>
      <c r="AJ668">
        <v>0</v>
      </c>
      <c r="AK668">
        <v>6</v>
      </c>
      <c r="AL668" t="s">
        <v>1379</v>
      </c>
      <c r="AM668" t="s">
        <v>1380</v>
      </c>
      <c r="AN668" t="s">
        <v>1381</v>
      </c>
      <c r="AO668" t="s">
        <v>1382</v>
      </c>
      <c r="AP668" t="s">
        <v>74</v>
      </c>
      <c r="AQ668" t="s">
        <v>74</v>
      </c>
      <c r="AR668" t="s">
        <v>1370</v>
      </c>
      <c r="AS668" t="s">
        <v>1383</v>
      </c>
      <c r="AT668" t="s">
        <v>74</v>
      </c>
      <c r="AU668">
        <v>2023</v>
      </c>
      <c r="AV668">
        <v>11</v>
      </c>
      <c r="AW668" t="s">
        <v>74</v>
      </c>
      <c r="AX668" t="s">
        <v>74</v>
      </c>
      <c r="AY668" t="s">
        <v>74</v>
      </c>
      <c r="AZ668" t="s">
        <v>74</v>
      </c>
      <c r="BA668" t="s">
        <v>74</v>
      </c>
      <c r="BB668">
        <v>15496</v>
      </c>
      <c r="BC668">
        <v>15504</v>
      </c>
      <c r="BD668" t="s">
        <v>74</v>
      </c>
      <c r="BE668" t="s">
        <v>12818</v>
      </c>
      <c r="BF668" t="str">
        <f>HYPERLINK("http://dx.doi.org/10.1109/ACCESS.2023.3244890","http://dx.doi.org/10.1109/ACCESS.2023.3244890")</f>
        <v>http://dx.doi.org/10.1109/ACCESS.2023.3244890</v>
      </c>
      <c r="BG668" t="s">
        <v>74</v>
      </c>
      <c r="BH668" t="s">
        <v>74</v>
      </c>
      <c r="BI668">
        <v>9</v>
      </c>
      <c r="BJ668" t="s">
        <v>1385</v>
      </c>
      <c r="BK668" t="s">
        <v>130</v>
      </c>
      <c r="BL668" t="s">
        <v>1386</v>
      </c>
      <c r="BM668" t="s">
        <v>12819</v>
      </c>
      <c r="BN668" t="s">
        <v>74</v>
      </c>
      <c r="BO668" t="s">
        <v>425</v>
      </c>
      <c r="BP668" t="s">
        <v>74</v>
      </c>
      <c r="BQ668" t="s">
        <v>74</v>
      </c>
      <c r="BR668" t="s">
        <v>101</v>
      </c>
      <c r="BS668" t="s">
        <v>12820</v>
      </c>
      <c r="BT668" t="str">
        <f>HYPERLINK("https%3A%2F%2Fwww.webofscience.com%2Fwos%2Fwoscc%2Ffull-record%2FWOS:000937142900001","View Full Record in Web of Science")</f>
        <v>View Full Record in Web of Science</v>
      </c>
    </row>
    <row r="669" spans="1:72" x14ac:dyDescent="0.2">
      <c r="A669" t="s">
        <v>72</v>
      </c>
      <c r="B669" t="s">
        <v>12821</v>
      </c>
      <c r="C669" t="s">
        <v>74</v>
      </c>
      <c r="D669" t="s">
        <v>74</v>
      </c>
      <c r="E669" t="s">
        <v>75</v>
      </c>
      <c r="F669" t="s">
        <v>12822</v>
      </c>
      <c r="G669" t="s">
        <v>74</v>
      </c>
      <c r="H669" t="s">
        <v>74</v>
      </c>
      <c r="I669" t="s">
        <v>12823</v>
      </c>
      <c r="J669" t="s">
        <v>166</v>
      </c>
      <c r="K669" t="s">
        <v>74</v>
      </c>
      <c r="L669" t="s">
        <v>74</v>
      </c>
      <c r="M669" t="s">
        <v>79</v>
      </c>
      <c r="N669" t="s">
        <v>80</v>
      </c>
      <c r="O669" t="s">
        <v>167</v>
      </c>
      <c r="P669" t="s">
        <v>168</v>
      </c>
      <c r="Q669" t="s">
        <v>169</v>
      </c>
      <c r="R669" t="s">
        <v>170</v>
      </c>
      <c r="S669" t="s">
        <v>74</v>
      </c>
      <c r="T669" t="s">
        <v>12824</v>
      </c>
      <c r="U669" t="s">
        <v>74</v>
      </c>
      <c r="V669" t="s">
        <v>12825</v>
      </c>
      <c r="W669" t="s">
        <v>12826</v>
      </c>
      <c r="X669" t="s">
        <v>12827</v>
      </c>
      <c r="Y669" t="s">
        <v>12828</v>
      </c>
      <c r="Z669" t="s">
        <v>12829</v>
      </c>
      <c r="AA669" t="s">
        <v>74</v>
      </c>
      <c r="AB669" t="s">
        <v>74</v>
      </c>
      <c r="AC669" t="s">
        <v>74</v>
      </c>
      <c r="AD669" t="s">
        <v>74</v>
      </c>
      <c r="AE669" t="s">
        <v>74</v>
      </c>
      <c r="AF669" t="s">
        <v>74</v>
      </c>
      <c r="AG669">
        <v>64</v>
      </c>
      <c r="AH669">
        <v>1</v>
      </c>
      <c r="AI669">
        <v>2</v>
      </c>
      <c r="AJ669">
        <v>1</v>
      </c>
      <c r="AK669">
        <v>1</v>
      </c>
      <c r="AL669" t="s">
        <v>92</v>
      </c>
      <c r="AM669" t="s">
        <v>93</v>
      </c>
      <c r="AN669" t="s">
        <v>94</v>
      </c>
      <c r="AO669" t="s">
        <v>74</v>
      </c>
      <c r="AP669" t="s">
        <v>74</v>
      </c>
      <c r="AQ669" t="s">
        <v>177</v>
      </c>
      <c r="AR669" t="s">
        <v>74</v>
      </c>
      <c r="AS669" t="s">
        <v>74</v>
      </c>
      <c r="AT669" t="s">
        <v>74</v>
      </c>
      <c r="AU669">
        <v>2023</v>
      </c>
      <c r="AV669" t="s">
        <v>74</v>
      </c>
      <c r="AW669" t="s">
        <v>74</v>
      </c>
      <c r="AX669" t="s">
        <v>74</v>
      </c>
      <c r="AY669" t="s">
        <v>74</v>
      </c>
      <c r="AZ669" t="s">
        <v>74</v>
      </c>
      <c r="BA669" t="s">
        <v>74</v>
      </c>
      <c r="BB669">
        <v>75</v>
      </c>
      <c r="BC669">
        <v>87</v>
      </c>
      <c r="BD669" t="s">
        <v>74</v>
      </c>
      <c r="BE669" t="s">
        <v>12830</v>
      </c>
      <c r="BF669" t="str">
        <f>HYPERLINK("http://dx.doi.org/10.1145/3591196.3593515","http://dx.doi.org/10.1145/3591196.3593515")</f>
        <v>http://dx.doi.org/10.1145/3591196.3593515</v>
      </c>
      <c r="BG669" t="s">
        <v>74</v>
      </c>
      <c r="BH669" t="s">
        <v>74</v>
      </c>
      <c r="BI669">
        <v>13</v>
      </c>
      <c r="BJ669" t="s">
        <v>179</v>
      </c>
      <c r="BK669" t="s">
        <v>180</v>
      </c>
      <c r="BL669" t="s">
        <v>181</v>
      </c>
      <c r="BM669" t="s">
        <v>182</v>
      </c>
      <c r="BN669" t="s">
        <v>74</v>
      </c>
      <c r="BO669" t="s">
        <v>74</v>
      </c>
      <c r="BP669" t="s">
        <v>74</v>
      </c>
      <c r="BQ669" t="s">
        <v>74</v>
      </c>
      <c r="BR669" t="s">
        <v>101</v>
      </c>
      <c r="BS669" t="s">
        <v>12831</v>
      </c>
      <c r="BT669" t="str">
        <f>HYPERLINK("https%3A%2F%2Fwww.webofscience.com%2Fwos%2Fwoscc%2Ffull-record%2FWOS:001119074200011","View Full Record in Web of Science")</f>
        <v>View Full Record in Web of Science</v>
      </c>
    </row>
    <row r="670" spans="1:72" x14ac:dyDescent="0.2">
      <c r="A670" t="s">
        <v>103</v>
      </c>
      <c r="B670" t="s">
        <v>12832</v>
      </c>
      <c r="C670" t="s">
        <v>74</v>
      </c>
      <c r="D670" t="s">
        <v>74</v>
      </c>
      <c r="E670" t="s">
        <v>74</v>
      </c>
      <c r="F670" t="s">
        <v>12833</v>
      </c>
      <c r="G670" t="s">
        <v>74</v>
      </c>
      <c r="H670" t="s">
        <v>74</v>
      </c>
      <c r="I670" t="s">
        <v>12834</v>
      </c>
      <c r="J670" t="s">
        <v>12835</v>
      </c>
      <c r="K670" t="s">
        <v>74</v>
      </c>
      <c r="L670" t="s">
        <v>74</v>
      </c>
      <c r="M670" t="s">
        <v>79</v>
      </c>
      <c r="N670" t="s">
        <v>108</v>
      </c>
      <c r="O670" t="s">
        <v>74</v>
      </c>
      <c r="P670" t="s">
        <v>74</v>
      </c>
      <c r="Q670" t="s">
        <v>74</v>
      </c>
      <c r="R670" t="s">
        <v>74</v>
      </c>
      <c r="S670" t="s">
        <v>74</v>
      </c>
      <c r="T670" t="s">
        <v>12836</v>
      </c>
      <c r="U670" t="s">
        <v>74</v>
      </c>
      <c r="V670" t="s">
        <v>12837</v>
      </c>
      <c r="W670" t="s">
        <v>12838</v>
      </c>
      <c r="X670" t="s">
        <v>12839</v>
      </c>
      <c r="Y670" t="s">
        <v>12840</v>
      </c>
      <c r="Z670" t="s">
        <v>12841</v>
      </c>
      <c r="AA670" t="s">
        <v>74</v>
      </c>
      <c r="AB670" t="s">
        <v>12842</v>
      </c>
      <c r="AC670" t="s">
        <v>74</v>
      </c>
      <c r="AD670" t="s">
        <v>74</v>
      </c>
      <c r="AE670" t="s">
        <v>74</v>
      </c>
      <c r="AF670" t="s">
        <v>74</v>
      </c>
      <c r="AG670">
        <v>60</v>
      </c>
      <c r="AH670">
        <v>7</v>
      </c>
      <c r="AI670">
        <v>7</v>
      </c>
      <c r="AJ670">
        <v>41</v>
      </c>
      <c r="AK670">
        <v>94</v>
      </c>
      <c r="AL670" t="s">
        <v>737</v>
      </c>
      <c r="AM670" t="s">
        <v>738</v>
      </c>
      <c r="AN670" t="s">
        <v>739</v>
      </c>
      <c r="AO670" t="s">
        <v>12843</v>
      </c>
      <c r="AP670" t="s">
        <v>12844</v>
      </c>
      <c r="AQ670" t="s">
        <v>74</v>
      </c>
      <c r="AR670" t="s">
        <v>12845</v>
      </c>
      <c r="AS670" t="s">
        <v>12846</v>
      </c>
      <c r="AT670" t="s">
        <v>2383</v>
      </c>
      <c r="AU670">
        <v>2023</v>
      </c>
      <c r="AV670">
        <v>57</v>
      </c>
      <c r="AW670">
        <v>3</v>
      </c>
      <c r="AX670" t="s">
        <v>74</v>
      </c>
      <c r="AY670" t="s">
        <v>74</v>
      </c>
      <c r="AZ670" t="s">
        <v>74</v>
      </c>
      <c r="BA670" t="s">
        <v>74</v>
      </c>
      <c r="BB670">
        <v>352</v>
      </c>
      <c r="BC670">
        <v>364</v>
      </c>
      <c r="BD670" t="s">
        <v>74</v>
      </c>
      <c r="BE670" t="s">
        <v>12847</v>
      </c>
      <c r="BF670" t="str">
        <f>HYPERLINK("http://dx.doi.org/10.1080/03069400.2023.2207426","http://dx.doi.org/10.1080/03069400.2023.2207426")</f>
        <v>http://dx.doi.org/10.1080/03069400.2023.2207426</v>
      </c>
      <c r="BG670" t="s">
        <v>74</v>
      </c>
      <c r="BH670" t="s">
        <v>2889</v>
      </c>
      <c r="BI670">
        <v>13</v>
      </c>
      <c r="BJ670" t="s">
        <v>423</v>
      </c>
      <c r="BK670" t="s">
        <v>352</v>
      </c>
      <c r="BL670" t="s">
        <v>423</v>
      </c>
      <c r="BM670" t="s">
        <v>12848</v>
      </c>
      <c r="BN670" t="s">
        <v>74</v>
      </c>
      <c r="BO670" t="s">
        <v>7425</v>
      </c>
      <c r="BP670" t="s">
        <v>74</v>
      </c>
      <c r="BQ670" t="s">
        <v>74</v>
      </c>
      <c r="BR670" t="s">
        <v>101</v>
      </c>
      <c r="BS670" t="s">
        <v>12849</v>
      </c>
      <c r="BT670" t="str">
        <f>HYPERLINK("https%3A%2F%2Fwww.webofscience.com%2Fwos%2Fwoscc%2Ffull-record%2FWOS:000994135100001","View Full Record in Web of Science")</f>
        <v>View Full Record in Web of Science</v>
      </c>
    </row>
    <row r="671" spans="1:72" x14ac:dyDescent="0.2">
      <c r="A671" t="s">
        <v>103</v>
      </c>
      <c r="B671" t="s">
        <v>12850</v>
      </c>
      <c r="C671" t="s">
        <v>74</v>
      </c>
      <c r="D671" t="s">
        <v>74</v>
      </c>
      <c r="E671" t="s">
        <v>74</v>
      </c>
      <c r="F671" t="s">
        <v>12851</v>
      </c>
      <c r="G671" t="s">
        <v>74</v>
      </c>
      <c r="H671" t="s">
        <v>74</v>
      </c>
      <c r="I671" t="s">
        <v>12852</v>
      </c>
      <c r="J671" t="s">
        <v>12853</v>
      </c>
      <c r="K671" t="s">
        <v>74</v>
      </c>
      <c r="L671" t="s">
        <v>74</v>
      </c>
      <c r="M671" t="s">
        <v>79</v>
      </c>
      <c r="N671" t="s">
        <v>138</v>
      </c>
      <c r="O671" t="s">
        <v>74</v>
      </c>
      <c r="P671" t="s">
        <v>74</v>
      </c>
      <c r="Q671" t="s">
        <v>74</v>
      </c>
      <c r="R671" t="s">
        <v>74</v>
      </c>
      <c r="S671" t="s">
        <v>74</v>
      </c>
      <c r="T671" t="s">
        <v>74</v>
      </c>
      <c r="U671" t="s">
        <v>74</v>
      </c>
      <c r="V671" t="s">
        <v>12854</v>
      </c>
      <c r="W671" t="s">
        <v>12855</v>
      </c>
      <c r="X671" t="s">
        <v>12856</v>
      </c>
      <c r="Y671" t="s">
        <v>12857</v>
      </c>
      <c r="Z671" t="s">
        <v>12858</v>
      </c>
      <c r="AA671" t="s">
        <v>12859</v>
      </c>
      <c r="AB671" t="s">
        <v>12860</v>
      </c>
      <c r="AC671" t="s">
        <v>12861</v>
      </c>
      <c r="AD671" t="s">
        <v>12862</v>
      </c>
      <c r="AE671" t="s">
        <v>12863</v>
      </c>
      <c r="AF671" t="s">
        <v>74</v>
      </c>
      <c r="AG671">
        <v>54</v>
      </c>
      <c r="AH671">
        <v>0</v>
      </c>
      <c r="AI671">
        <v>0</v>
      </c>
      <c r="AJ671">
        <v>12</v>
      </c>
      <c r="AK671">
        <v>12</v>
      </c>
      <c r="AL671" t="s">
        <v>1880</v>
      </c>
      <c r="AM671" t="s">
        <v>369</v>
      </c>
      <c r="AN671" t="s">
        <v>1881</v>
      </c>
      <c r="AO671" t="s">
        <v>12864</v>
      </c>
      <c r="AP671" t="s">
        <v>12865</v>
      </c>
      <c r="AQ671" t="s">
        <v>74</v>
      </c>
      <c r="AR671" t="s">
        <v>12866</v>
      </c>
      <c r="AS671" t="s">
        <v>12867</v>
      </c>
      <c r="AT671" t="s">
        <v>12868</v>
      </c>
      <c r="AU671">
        <v>2023</v>
      </c>
      <c r="AV671" t="s">
        <v>74</v>
      </c>
      <c r="AW671" t="s">
        <v>74</v>
      </c>
      <c r="AX671" t="s">
        <v>74</v>
      </c>
      <c r="AY671" t="s">
        <v>74</v>
      </c>
      <c r="AZ671" t="s">
        <v>74</v>
      </c>
      <c r="BA671" t="s">
        <v>74</v>
      </c>
      <c r="BB671" t="s">
        <v>74</v>
      </c>
      <c r="BC671" t="s">
        <v>74</v>
      </c>
      <c r="BD671" t="s">
        <v>74</v>
      </c>
      <c r="BE671" t="s">
        <v>12869</v>
      </c>
      <c r="BF671" t="str">
        <f>HYPERLINK("http://dx.doi.org/10.1038/s41592-023-01994","http://dx.doi.org/10.1038/s41592-023-01994")</f>
        <v>http://dx.doi.org/10.1038/s41592-023-01994</v>
      </c>
      <c r="BG671" t="s">
        <v>74</v>
      </c>
      <c r="BH671" t="s">
        <v>278</v>
      </c>
      <c r="BI671">
        <v>26</v>
      </c>
      <c r="BJ671" t="s">
        <v>12870</v>
      </c>
      <c r="BK671" t="s">
        <v>130</v>
      </c>
      <c r="BL671" t="s">
        <v>12474</v>
      </c>
      <c r="BM671" t="s">
        <v>12871</v>
      </c>
      <c r="BN671" t="s">
        <v>74</v>
      </c>
      <c r="BO671" t="s">
        <v>74</v>
      </c>
      <c r="BP671" t="s">
        <v>74</v>
      </c>
      <c r="BQ671" t="s">
        <v>74</v>
      </c>
      <c r="BR671" t="s">
        <v>101</v>
      </c>
      <c r="BS671" t="s">
        <v>12872</v>
      </c>
      <c r="BT671" t="str">
        <f>HYPERLINK("https%3A%2F%2Fwww.webofscience.com%2Fwos%2Fwoscc%2Ffull-record%2FWOS:001073433300001","View Full Record in Web of Science")</f>
        <v>View Full Record in Web of Science</v>
      </c>
    </row>
    <row r="672" spans="1:72" x14ac:dyDescent="0.2">
      <c r="A672" t="s">
        <v>103</v>
      </c>
      <c r="B672" t="s">
        <v>12873</v>
      </c>
      <c r="C672" t="s">
        <v>74</v>
      </c>
      <c r="D672" t="s">
        <v>74</v>
      </c>
      <c r="E672" t="s">
        <v>74</v>
      </c>
      <c r="F672" t="s">
        <v>12874</v>
      </c>
      <c r="G672" t="s">
        <v>74</v>
      </c>
      <c r="H672" t="s">
        <v>74</v>
      </c>
      <c r="I672" t="s">
        <v>12875</v>
      </c>
      <c r="J672" t="s">
        <v>12876</v>
      </c>
      <c r="K672" t="s">
        <v>74</v>
      </c>
      <c r="L672" t="s">
        <v>74</v>
      </c>
      <c r="M672" t="s">
        <v>79</v>
      </c>
      <c r="N672" t="s">
        <v>108</v>
      </c>
      <c r="O672" t="s">
        <v>74</v>
      </c>
      <c r="P672" t="s">
        <v>74</v>
      </c>
      <c r="Q672" t="s">
        <v>74</v>
      </c>
      <c r="R672" t="s">
        <v>74</v>
      </c>
      <c r="S672" t="s">
        <v>74</v>
      </c>
      <c r="T672" t="s">
        <v>12877</v>
      </c>
      <c r="U672" t="s">
        <v>12878</v>
      </c>
      <c r="V672" t="s">
        <v>12879</v>
      </c>
      <c r="W672" t="s">
        <v>12880</v>
      </c>
      <c r="X672" t="s">
        <v>12881</v>
      </c>
      <c r="Y672" t="s">
        <v>12882</v>
      </c>
      <c r="Z672" t="s">
        <v>12883</v>
      </c>
      <c r="AA672" t="s">
        <v>74</v>
      </c>
      <c r="AB672" t="s">
        <v>74</v>
      </c>
      <c r="AC672" t="s">
        <v>12884</v>
      </c>
      <c r="AD672" t="s">
        <v>12885</v>
      </c>
      <c r="AE672" t="s">
        <v>12886</v>
      </c>
      <c r="AF672" t="s">
        <v>74</v>
      </c>
      <c r="AG672">
        <v>134</v>
      </c>
      <c r="AH672">
        <v>0</v>
      </c>
      <c r="AI672">
        <v>0</v>
      </c>
      <c r="AJ672">
        <v>0</v>
      </c>
      <c r="AK672">
        <v>0</v>
      </c>
      <c r="AL672" t="s">
        <v>3202</v>
      </c>
      <c r="AM672" t="s">
        <v>120</v>
      </c>
      <c r="AN672" t="s">
        <v>3203</v>
      </c>
      <c r="AO672" t="s">
        <v>12887</v>
      </c>
      <c r="AP672" t="s">
        <v>12888</v>
      </c>
      <c r="AQ672" t="s">
        <v>74</v>
      </c>
      <c r="AR672" t="s">
        <v>12889</v>
      </c>
      <c r="AS672" t="s">
        <v>12890</v>
      </c>
      <c r="AT672" t="s">
        <v>12891</v>
      </c>
      <c r="AU672">
        <v>2023</v>
      </c>
      <c r="AV672">
        <v>11</v>
      </c>
      <c r="AW672">
        <v>3</v>
      </c>
      <c r="AX672" t="s">
        <v>74</v>
      </c>
      <c r="AY672" t="s">
        <v>74</v>
      </c>
      <c r="AZ672" t="s">
        <v>74</v>
      </c>
      <c r="BA672" t="s">
        <v>74</v>
      </c>
      <c r="BB672" t="s">
        <v>74</v>
      </c>
      <c r="BC672" t="s">
        <v>74</v>
      </c>
      <c r="BD672" t="s">
        <v>12892</v>
      </c>
      <c r="BE672" t="s">
        <v>12893</v>
      </c>
      <c r="BF672" t="str">
        <f>HYPERLINK("http://dx.doi.org/10.1093/cjcl/cxae001","http://dx.doi.org/10.1093/cjcl/cxae001")</f>
        <v>http://dx.doi.org/10.1093/cjcl/cxae001</v>
      </c>
      <c r="BG672" t="s">
        <v>74</v>
      </c>
      <c r="BH672" t="s">
        <v>74</v>
      </c>
      <c r="BI672">
        <v>31</v>
      </c>
      <c r="BJ672" t="s">
        <v>1135</v>
      </c>
      <c r="BK672" t="s">
        <v>352</v>
      </c>
      <c r="BL672" t="s">
        <v>1136</v>
      </c>
      <c r="BM672" t="s">
        <v>12894</v>
      </c>
      <c r="BN672" t="s">
        <v>74</v>
      </c>
      <c r="BO672" t="s">
        <v>74</v>
      </c>
      <c r="BP672" t="s">
        <v>74</v>
      </c>
      <c r="BQ672" t="s">
        <v>74</v>
      </c>
      <c r="BR672" t="s">
        <v>101</v>
      </c>
      <c r="BS672" t="s">
        <v>12895</v>
      </c>
      <c r="BT672" t="str">
        <f>HYPERLINK("https%3A%2F%2Fwww.webofscience.com%2Fwos%2Fwoscc%2Ffull-record%2FWOS:001178220400001","View Full Record in Web of Science")</f>
        <v>View Full Record in Web of Science</v>
      </c>
    </row>
    <row r="673" spans="1:72" x14ac:dyDescent="0.2">
      <c r="A673" t="s">
        <v>103</v>
      </c>
      <c r="B673" t="s">
        <v>12896</v>
      </c>
      <c r="C673" t="s">
        <v>74</v>
      </c>
      <c r="D673" t="s">
        <v>74</v>
      </c>
      <c r="E673" t="s">
        <v>74</v>
      </c>
      <c r="F673" t="s">
        <v>12897</v>
      </c>
      <c r="G673" t="s">
        <v>74</v>
      </c>
      <c r="H673" t="s">
        <v>74</v>
      </c>
      <c r="I673" t="s">
        <v>12898</v>
      </c>
      <c r="J673" t="s">
        <v>12899</v>
      </c>
      <c r="K673" t="s">
        <v>74</v>
      </c>
      <c r="L673" t="s">
        <v>74</v>
      </c>
      <c r="M673" t="s">
        <v>79</v>
      </c>
      <c r="N673" t="s">
        <v>108</v>
      </c>
      <c r="O673" t="s">
        <v>74</v>
      </c>
      <c r="P673" t="s">
        <v>74</v>
      </c>
      <c r="Q673" t="s">
        <v>74</v>
      </c>
      <c r="R673" t="s">
        <v>74</v>
      </c>
      <c r="S673" t="s">
        <v>74</v>
      </c>
      <c r="T673" t="s">
        <v>12900</v>
      </c>
      <c r="U673" t="s">
        <v>391</v>
      </c>
      <c r="V673" t="s">
        <v>12901</v>
      </c>
      <c r="W673" t="s">
        <v>12902</v>
      </c>
      <c r="X673" t="s">
        <v>12903</v>
      </c>
      <c r="Y673" t="s">
        <v>12904</v>
      </c>
      <c r="Z673" t="s">
        <v>12905</v>
      </c>
      <c r="AA673" t="s">
        <v>12906</v>
      </c>
      <c r="AB673" t="s">
        <v>12907</v>
      </c>
      <c r="AC673" t="s">
        <v>74</v>
      </c>
      <c r="AD673" t="s">
        <v>74</v>
      </c>
      <c r="AE673" t="s">
        <v>74</v>
      </c>
      <c r="AF673" t="s">
        <v>74</v>
      </c>
      <c r="AG673">
        <v>227</v>
      </c>
      <c r="AH673">
        <v>9</v>
      </c>
      <c r="AI673">
        <v>9</v>
      </c>
      <c r="AJ673">
        <v>58</v>
      </c>
      <c r="AK673">
        <v>58</v>
      </c>
      <c r="AL673" t="s">
        <v>764</v>
      </c>
      <c r="AM673" t="s">
        <v>765</v>
      </c>
      <c r="AN673" t="s">
        <v>766</v>
      </c>
      <c r="AO673" t="s">
        <v>12908</v>
      </c>
      <c r="AP673" t="s">
        <v>12909</v>
      </c>
      <c r="AQ673" t="s">
        <v>74</v>
      </c>
      <c r="AR673" t="s">
        <v>12910</v>
      </c>
      <c r="AS673" t="s">
        <v>12911</v>
      </c>
      <c r="AT673" t="s">
        <v>771</v>
      </c>
      <c r="AU673">
        <v>2023</v>
      </c>
      <c r="AV673">
        <v>35</v>
      </c>
      <c r="AW673">
        <v>8</v>
      </c>
      <c r="AX673" t="s">
        <v>74</v>
      </c>
      <c r="AY673" t="s">
        <v>74</v>
      </c>
      <c r="AZ673" t="s">
        <v>74</v>
      </c>
      <c r="BA673" t="s">
        <v>74</v>
      </c>
      <c r="BB673" t="s">
        <v>74</v>
      </c>
      <c r="BC673" t="s">
        <v>74</v>
      </c>
      <c r="BD673">
        <v>101675</v>
      </c>
      <c r="BE673" t="s">
        <v>12912</v>
      </c>
      <c r="BF673" t="str">
        <f>HYPERLINK("http://dx.doi.org/10.1016/j.jksuci.2023.101675","http://dx.doi.org/10.1016/j.jksuci.2023.101675")</f>
        <v>http://dx.doi.org/10.1016/j.jksuci.2023.101675</v>
      </c>
      <c r="BG673" t="s">
        <v>74</v>
      </c>
      <c r="BH673" t="s">
        <v>255</v>
      </c>
      <c r="BI673">
        <v>23</v>
      </c>
      <c r="BJ673" t="s">
        <v>230</v>
      </c>
      <c r="BK673" t="s">
        <v>130</v>
      </c>
      <c r="BL673" t="s">
        <v>99</v>
      </c>
      <c r="BM673" t="s">
        <v>12913</v>
      </c>
      <c r="BN673" t="s">
        <v>74</v>
      </c>
      <c r="BO673" t="s">
        <v>1711</v>
      </c>
      <c r="BP673" t="s">
        <v>74</v>
      </c>
      <c r="BQ673" t="s">
        <v>74</v>
      </c>
      <c r="BR673" t="s">
        <v>101</v>
      </c>
      <c r="BS673" t="s">
        <v>12914</v>
      </c>
      <c r="BT673" t="str">
        <f>HYPERLINK("https%3A%2F%2Fwww.webofscience.com%2Fwos%2Fwoscc%2Ffull-record%2FWOS:001150035400001","View Full Record in Web of Science")</f>
        <v>View Full Record in Web of Science</v>
      </c>
    </row>
    <row r="674" spans="1:72" x14ac:dyDescent="0.2">
      <c r="A674" t="s">
        <v>103</v>
      </c>
      <c r="B674" t="s">
        <v>12915</v>
      </c>
      <c r="C674" t="s">
        <v>74</v>
      </c>
      <c r="D674" t="s">
        <v>74</v>
      </c>
      <c r="E674" t="s">
        <v>74</v>
      </c>
      <c r="F674" t="s">
        <v>12916</v>
      </c>
      <c r="G674" t="s">
        <v>74</v>
      </c>
      <c r="H674" t="s">
        <v>74</v>
      </c>
      <c r="I674" t="s">
        <v>12917</v>
      </c>
      <c r="J674" t="s">
        <v>12918</v>
      </c>
      <c r="K674" t="s">
        <v>74</v>
      </c>
      <c r="L674" t="s">
        <v>74</v>
      </c>
      <c r="M674" t="s">
        <v>79</v>
      </c>
      <c r="N674" t="s">
        <v>138</v>
      </c>
      <c r="O674" t="s">
        <v>74</v>
      </c>
      <c r="P674" t="s">
        <v>74</v>
      </c>
      <c r="Q674" t="s">
        <v>74</v>
      </c>
      <c r="R674" t="s">
        <v>74</v>
      </c>
      <c r="S674" t="s">
        <v>74</v>
      </c>
      <c r="T674" t="s">
        <v>12919</v>
      </c>
      <c r="U674" t="s">
        <v>6343</v>
      </c>
      <c r="V674" t="s">
        <v>12920</v>
      </c>
      <c r="W674" t="s">
        <v>12921</v>
      </c>
      <c r="X674" t="s">
        <v>12922</v>
      </c>
      <c r="Y674" t="s">
        <v>12923</v>
      </c>
      <c r="Z674" t="s">
        <v>12924</v>
      </c>
      <c r="AA674" t="s">
        <v>74</v>
      </c>
      <c r="AB674" t="s">
        <v>74</v>
      </c>
      <c r="AC674" t="s">
        <v>74</v>
      </c>
      <c r="AD674" t="s">
        <v>74</v>
      </c>
      <c r="AE674" t="s">
        <v>74</v>
      </c>
      <c r="AF674" t="s">
        <v>74</v>
      </c>
      <c r="AG674">
        <v>47</v>
      </c>
      <c r="AH674">
        <v>0</v>
      </c>
      <c r="AI674">
        <v>0</v>
      </c>
      <c r="AJ674">
        <v>18</v>
      </c>
      <c r="AK674">
        <v>18</v>
      </c>
      <c r="AL674" t="s">
        <v>737</v>
      </c>
      <c r="AM674" t="s">
        <v>738</v>
      </c>
      <c r="AN674" t="s">
        <v>739</v>
      </c>
      <c r="AO674" t="s">
        <v>12925</v>
      </c>
      <c r="AP674" t="s">
        <v>12926</v>
      </c>
      <c r="AQ674" t="s">
        <v>74</v>
      </c>
      <c r="AR674" t="s">
        <v>12927</v>
      </c>
      <c r="AS674" t="s">
        <v>12928</v>
      </c>
      <c r="AT674" t="s">
        <v>4101</v>
      </c>
      <c r="AU674">
        <v>2023</v>
      </c>
      <c r="AV674" t="s">
        <v>74</v>
      </c>
      <c r="AW674" t="s">
        <v>74</v>
      </c>
      <c r="AX674" t="s">
        <v>74</v>
      </c>
      <c r="AY674" t="s">
        <v>74</v>
      </c>
      <c r="AZ674" t="s">
        <v>74</v>
      </c>
      <c r="BA674" t="s">
        <v>74</v>
      </c>
      <c r="BB674" t="s">
        <v>74</v>
      </c>
      <c r="BC674" t="s">
        <v>74</v>
      </c>
      <c r="BD674" t="s">
        <v>74</v>
      </c>
      <c r="BE674" t="s">
        <v>12929</v>
      </c>
      <c r="BF674" t="str">
        <f>HYPERLINK("http://dx.doi.org/10.1080/08961530.2023.2266897","http://dx.doi.org/10.1080/08961530.2023.2266897")</f>
        <v>http://dx.doi.org/10.1080/08961530.2023.2266897</v>
      </c>
      <c r="BG674" t="s">
        <v>74</v>
      </c>
      <c r="BH674" t="s">
        <v>1886</v>
      </c>
      <c r="BI674">
        <v>12</v>
      </c>
      <c r="BJ674" t="s">
        <v>492</v>
      </c>
      <c r="BK674" t="s">
        <v>352</v>
      </c>
      <c r="BL674" t="s">
        <v>470</v>
      </c>
      <c r="BM674" t="s">
        <v>12930</v>
      </c>
      <c r="BN674" t="s">
        <v>74</v>
      </c>
      <c r="BO674" t="s">
        <v>74</v>
      </c>
      <c r="BP674" t="s">
        <v>74</v>
      </c>
      <c r="BQ674" t="s">
        <v>74</v>
      </c>
      <c r="BR674" t="s">
        <v>101</v>
      </c>
      <c r="BS674" t="s">
        <v>12931</v>
      </c>
      <c r="BT674" t="str">
        <f>HYPERLINK("https%3A%2F%2Fwww.webofscience.com%2Fwos%2Fwoscc%2Ffull-record%2FWOS:001089195100001","View Full Record in Web of Science")</f>
        <v>View Full Record in Web of Science</v>
      </c>
    </row>
    <row r="675" spans="1:72" x14ac:dyDescent="0.2">
      <c r="A675" t="s">
        <v>103</v>
      </c>
      <c r="B675" t="s">
        <v>5268</v>
      </c>
      <c r="C675" t="s">
        <v>74</v>
      </c>
      <c r="D675" t="s">
        <v>74</v>
      </c>
      <c r="E675" t="s">
        <v>74</v>
      </c>
      <c r="F675" t="s">
        <v>5269</v>
      </c>
      <c r="G675" t="s">
        <v>74</v>
      </c>
      <c r="H675" t="s">
        <v>74</v>
      </c>
      <c r="I675" t="s">
        <v>12932</v>
      </c>
      <c r="J675" t="s">
        <v>3196</v>
      </c>
      <c r="K675" t="s">
        <v>74</v>
      </c>
      <c r="L675" t="s">
        <v>74</v>
      </c>
      <c r="M675" t="s">
        <v>79</v>
      </c>
      <c r="N675" t="s">
        <v>108</v>
      </c>
      <c r="O675" t="s">
        <v>74</v>
      </c>
      <c r="P675" t="s">
        <v>74</v>
      </c>
      <c r="Q675" t="s">
        <v>74</v>
      </c>
      <c r="R675" t="s">
        <v>74</v>
      </c>
      <c r="S675" t="s">
        <v>74</v>
      </c>
      <c r="T675" t="s">
        <v>74</v>
      </c>
      <c r="U675" t="s">
        <v>12933</v>
      </c>
      <c r="V675" t="s">
        <v>12934</v>
      </c>
      <c r="W675" t="s">
        <v>12935</v>
      </c>
      <c r="X675" t="s">
        <v>5275</v>
      </c>
      <c r="Y675" t="s">
        <v>12936</v>
      </c>
      <c r="Z675" t="s">
        <v>12937</v>
      </c>
      <c r="AA675" t="s">
        <v>5278</v>
      </c>
      <c r="AB675" t="s">
        <v>5279</v>
      </c>
      <c r="AC675" t="s">
        <v>74</v>
      </c>
      <c r="AD675" t="s">
        <v>74</v>
      </c>
      <c r="AE675" t="s">
        <v>74</v>
      </c>
      <c r="AF675" t="s">
        <v>74</v>
      </c>
      <c r="AG675">
        <v>83</v>
      </c>
      <c r="AH675">
        <v>0</v>
      </c>
      <c r="AI675">
        <v>0</v>
      </c>
      <c r="AJ675">
        <v>5</v>
      </c>
      <c r="AK675">
        <v>5</v>
      </c>
      <c r="AL675" t="s">
        <v>3202</v>
      </c>
      <c r="AM675" t="s">
        <v>120</v>
      </c>
      <c r="AN675" t="s">
        <v>3203</v>
      </c>
      <c r="AO675" t="s">
        <v>3204</v>
      </c>
      <c r="AP675" t="s">
        <v>3205</v>
      </c>
      <c r="AQ675" t="s">
        <v>74</v>
      </c>
      <c r="AR675" t="s">
        <v>3206</v>
      </c>
      <c r="AS675" t="s">
        <v>3207</v>
      </c>
      <c r="AT675" t="s">
        <v>10257</v>
      </c>
      <c r="AU675">
        <v>2024</v>
      </c>
      <c r="AV675">
        <v>19</v>
      </c>
      <c r="AW675">
        <v>1</v>
      </c>
      <c r="AX675" t="s">
        <v>74</v>
      </c>
      <c r="AY675" t="s">
        <v>74</v>
      </c>
      <c r="AZ675" t="s">
        <v>74</v>
      </c>
      <c r="BA675" t="s">
        <v>74</v>
      </c>
      <c r="BB675">
        <v>55</v>
      </c>
      <c r="BC675">
        <v>63</v>
      </c>
      <c r="BD675" t="s">
        <v>74</v>
      </c>
      <c r="BE675" t="s">
        <v>12938</v>
      </c>
      <c r="BF675" t="str">
        <f>HYPERLINK("http://dx.doi.org/10.1093/jiplp/jpad111","http://dx.doi.org/10.1093/jiplp/jpad111")</f>
        <v>http://dx.doi.org/10.1093/jiplp/jpad111</v>
      </c>
      <c r="BG675" t="s">
        <v>74</v>
      </c>
      <c r="BH675" t="s">
        <v>128</v>
      </c>
      <c r="BI675">
        <v>9</v>
      </c>
      <c r="BJ675" t="s">
        <v>1135</v>
      </c>
      <c r="BK675" t="s">
        <v>352</v>
      </c>
      <c r="BL675" t="s">
        <v>1136</v>
      </c>
      <c r="BM675" t="s">
        <v>10259</v>
      </c>
      <c r="BN675" t="s">
        <v>74</v>
      </c>
      <c r="BO675" t="s">
        <v>161</v>
      </c>
      <c r="BP675" t="s">
        <v>74</v>
      </c>
      <c r="BQ675" t="s">
        <v>74</v>
      </c>
      <c r="BR675" t="s">
        <v>101</v>
      </c>
      <c r="BS675" t="s">
        <v>12939</v>
      </c>
      <c r="BT675" t="str">
        <f>HYPERLINK("https%3A%2F%2Fwww.webofscience.com%2Fwos%2Fwoscc%2Ffull-record%2FWOS:001134211900001","View Full Record in Web of Science")</f>
        <v>View Full Record in Web of Science</v>
      </c>
    </row>
    <row r="676" spans="1:72" x14ac:dyDescent="0.2">
      <c r="A676" t="s">
        <v>72</v>
      </c>
      <c r="B676" t="s">
        <v>12940</v>
      </c>
      <c r="C676" t="s">
        <v>74</v>
      </c>
      <c r="D676" t="s">
        <v>74</v>
      </c>
      <c r="E676" t="s">
        <v>284</v>
      </c>
      <c r="F676" t="s">
        <v>12941</v>
      </c>
      <c r="G676" t="s">
        <v>74</v>
      </c>
      <c r="H676" t="s">
        <v>74</v>
      </c>
      <c r="I676" t="s">
        <v>12942</v>
      </c>
      <c r="J676" t="s">
        <v>10100</v>
      </c>
      <c r="K676" t="s">
        <v>8246</v>
      </c>
      <c r="L676" t="s">
        <v>74</v>
      </c>
      <c r="M676" t="s">
        <v>79</v>
      </c>
      <c r="N676" t="s">
        <v>80</v>
      </c>
      <c r="O676" t="s">
        <v>8247</v>
      </c>
      <c r="P676" t="s">
        <v>8248</v>
      </c>
      <c r="Q676" t="s">
        <v>6017</v>
      </c>
      <c r="R676" t="s">
        <v>8249</v>
      </c>
      <c r="S676" t="s">
        <v>74</v>
      </c>
      <c r="T676" t="s">
        <v>74</v>
      </c>
      <c r="U676" t="s">
        <v>74</v>
      </c>
      <c r="V676" t="s">
        <v>12943</v>
      </c>
      <c r="W676" t="s">
        <v>12944</v>
      </c>
      <c r="X676" t="s">
        <v>12945</v>
      </c>
      <c r="Y676" t="s">
        <v>12946</v>
      </c>
      <c r="Z676" t="s">
        <v>12947</v>
      </c>
      <c r="AA676" t="s">
        <v>74</v>
      </c>
      <c r="AB676" t="s">
        <v>74</v>
      </c>
      <c r="AC676" t="s">
        <v>12948</v>
      </c>
      <c r="AD676" t="s">
        <v>12949</v>
      </c>
      <c r="AE676" t="s">
        <v>12950</v>
      </c>
      <c r="AF676" t="s">
        <v>74</v>
      </c>
      <c r="AG676">
        <v>86</v>
      </c>
      <c r="AH676">
        <v>1</v>
      </c>
      <c r="AI676">
        <v>1</v>
      </c>
      <c r="AJ676">
        <v>2</v>
      </c>
      <c r="AK676">
        <v>2</v>
      </c>
      <c r="AL676" t="s">
        <v>638</v>
      </c>
      <c r="AM676" t="s">
        <v>639</v>
      </c>
      <c r="AN676" t="s">
        <v>640</v>
      </c>
      <c r="AO676" t="s">
        <v>8260</v>
      </c>
      <c r="AP676" t="s">
        <v>74</v>
      </c>
      <c r="AQ676" t="s">
        <v>8261</v>
      </c>
      <c r="AR676" t="s">
        <v>8262</v>
      </c>
      <c r="AS676" t="s">
        <v>74</v>
      </c>
      <c r="AT676" t="s">
        <v>74</v>
      </c>
      <c r="AU676">
        <v>2023</v>
      </c>
      <c r="AV676" t="s">
        <v>74</v>
      </c>
      <c r="AW676" t="s">
        <v>74</v>
      </c>
      <c r="AX676" t="s">
        <v>74</v>
      </c>
      <c r="AY676" t="s">
        <v>74</v>
      </c>
      <c r="AZ676" t="s">
        <v>74</v>
      </c>
      <c r="BA676" t="s">
        <v>74</v>
      </c>
      <c r="BB676">
        <v>6746</v>
      </c>
      <c r="BC676">
        <v>6756</v>
      </c>
      <c r="BD676" t="s">
        <v>74</v>
      </c>
      <c r="BE676" t="s">
        <v>12951</v>
      </c>
      <c r="BF676" t="str">
        <f>HYPERLINK("http://dx.doi.org/10.1109/CVPR52729.2023.00652","http://dx.doi.org/10.1109/CVPR52729.2023.00652")</f>
        <v>http://dx.doi.org/10.1109/CVPR52729.2023.00652</v>
      </c>
      <c r="BG676" t="s">
        <v>74</v>
      </c>
      <c r="BH676" t="s">
        <v>74</v>
      </c>
      <c r="BI676">
        <v>11</v>
      </c>
      <c r="BJ676" t="s">
        <v>10109</v>
      </c>
      <c r="BK676" t="s">
        <v>98</v>
      </c>
      <c r="BL676" t="s">
        <v>99</v>
      </c>
      <c r="BM676" t="s">
        <v>10110</v>
      </c>
      <c r="BN676" t="s">
        <v>74</v>
      </c>
      <c r="BO676" t="s">
        <v>646</v>
      </c>
      <c r="BP676" t="s">
        <v>74</v>
      </c>
      <c r="BQ676" t="s">
        <v>74</v>
      </c>
      <c r="BR676" t="s">
        <v>101</v>
      </c>
      <c r="BS676" t="s">
        <v>12952</v>
      </c>
      <c r="BT676" t="str">
        <f>HYPERLINK("https%3A%2F%2Fwww.webofscience.com%2Fwos%2Fwoscc%2Ffull-record%2FWOS:001058542607010","View Full Record in Web of Science")</f>
        <v>View Full Record in Web of Science</v>
      </c>
    </row>
    <row r="677" spans="1:72" x14ac:dyDescent="0.2">
      <c r="A677" t="s">
        <v>103</v>
      </c>
      <c r="B677" t="s">
        <v>12953</v>
      </c>
      <c r="C677" t="s">
        <v>74</v>
      </c>
      <c r="D677" t="s">
        <v>74</v>
      </c>
      <c r="E677" t="s">
        <v>74</v>
      </c>
      <c r="F677" t="s">
        <v>12954</v>
      </c>
      <c r="G677" t="s">
        <v>74</v>
      </c>
      <c r="H677" t="s">
        <v>74</v>
      </c>
      <c r="I677" t="s">
        <v>12955</v>
      </c>
      <c r="J677" t="s">
        <v>12956</v>
      </c>
      <c r="K677" t="s">
        <v>74</v>
      </c>
      <c r="L677" t="s">
        <v>74</v>
      </c>
      <c r="M677" t="s">
        <v>79</v>
      </c>
      <c r="N677" t="s">
        <v>108</v>
      </c>
      <c r="O677" t="s">
        <v>74</v>
      </c>
      <c r="P677" t="s">
        <v>74</v>
      </c>
      <c r="Q677" t="s">
        <v>74</v>
      </c>
      <c r="R677" t="s">
        <v>74</v>
      </c>
      <c r="S677" t="s">
        <v>74</v>
      </c>
      <c r="T677" t="s">
        <v>12957</v>
      </c>
      <c r="U677" t="s">
        <v>74</v>
      </c>
      <c r="V677" t="s">
        <v>12958</v>
      </c>
      <c r="W677" t="s">
        <v>12959</v>
      </c>
      <c r="X677" t="s">
        <v>74</v>
      </c>
      <c r="Y677" t="s">
        <v>12960</v>
      </c>
      <c r="Z677" t="s">
        <v>12961</v>
      </c>
      <c r="AA677" t="s">
        <v>74</v>
      </c>
      <c r="AB677" t="s">
        <v>12962</v>
      </c>
      <c r="AC677" t="s">
        <v>74</v>
      </c>
      <c r="AD677" t="s">
        <v>74</v>
      </c>
      <c r="AE677" t="s">
        <v>74</v>
      </c>
      <c r="AF677" t="s">
        <v>74</v>
      </c>
      <c r="AG677">
        <v>27</v>
      </c>
      <c r="AH677">
        <v>0</v>
      </c>
      <c r="AI677">
        <v>0</v>
      </c>
      <c r="AJ677">
        <v>29</v>
      </c>
      <c r="AK677">
        <v>29</v>
      </c>
      <c r="AL677" t="s">
        <v>638</v>
      </c>
      <c r="AM677" t="s">
        <v>639</v>
      </c>
      <c r="AN677" t="s">
        <v>1557</v>
      </c>
      <c r="AO677" t="s">
        <v>12963</v>
      </c>
      <c r="AP677" t="s">
        <v>12964</v>
      </c>
      <c r="AQ677" t="s">
        <v>74</v>
      </c>
      <c r="AR677" t="s">
        <v>12956</v>
      </c>
      <c r="AS677" t="s">
        <v>12965</v>
      </c>
      <c r="AT677" t="s">
        <v>276</v>
      </c>
      <c r="AU677">
        <v>2023</v>
      </c>
      <c r="AV677">
        <v>56</v>
      </c>
      <c r="AW677">
        <v>11</v>
      </c>
      <c r="AX677" t="s">
        <v>74</v>
      </c>
      <c r="AY677" t="s">
        <v>74</v>
      </c>
      <c r="AZ677" t="s">
        <v>74</v>
      </c>
      <c r="BA677" t="s">
        <v>74</v>
      </c>
      <c r="BB677">
        <v>103</v>
      </c>
      <c r="BC677">
        <v>108</v>
      </c>
      <c r="BD677" t="s">
        <v>74</v>
      </c>
      <c r="BE677" t="s">
        <v>12966</v>
      </c>
      <c r="BF677" t="str">
        <f>HYPERLINK("http://dx.doi.org/10.1109/MC.2023.3305206","http://dx.doi.org/10.1109/MC.2023.3305206")</f>
        <v>http://dx.doi.org/10.1109/MC.2023.3305206</v>
      </c>
      <c r="BG677" t="s">
        <v>74</v>
      </c>
      <c r="BH677" t="s">
        <v>74</v>
      </c>
      <c r="BI677">
        <v>6</v>
      </c>
      <c r="BJ677" t="s">
        <v>12967</v>
      </c>
      <c r="BK677" t="s">
        <v>130</v>
      </c>
      <c r="BL677" t="s">
        <v>99</v>
      </c>
      <c r="BM677" t="s">
        <v>12968</v>
      </c>
      <c r="BN677" t="s">
        <v>74</v>
      </c>
      <c r="BO677" t="s">
        <v>1237</v>
      </c>
      <c r="BP677" t="s">
        <v>74</v>
      </c>
      <c r="BQ677" t="s">
        <v>74</v>
      </c>
      <c r="BR677" t="s">
        <v>101</v>
      </c>
      <c r="BS677" t="s">
        <v>12969</v>
      </c>
      <c r="BT677" t="str">
        <f>HYPERLINK("https%3A%2F%2Fwww.webofscience.com%2Fwos%2Fwoscc%2Ffull-record%2FWOS:001123723300013","View Full Record in Web of Science")</f>
        <v>View Full Record in Web of Science</v>
      </c>
    </row>
    <row r="678" spans="1:72" x14ac:dyDescent="0.2">
      <c r="A678" t="s">
        <v>103</v>
      </c>
      <c r="B678" t="s">
        <v>12970</v>
      </c>
      <c r="C678" t="s">
        <v>74</v>
      </c>
      <c r="D678" t="s">
        <v>74</v>
      </c>
      <c r="E678" t="s">
        <v>74</v>
      </c>
      <c r="F678" t="s">
        <v>12971</v>
      </c>
      <c r="G678" t="s">
        <v>74</v>
      </c>
      <c r="H678" t="s">
        <v>74</v>
      </c>
      <c r="I678" t="s">
        <v>12972</v>
      </c>
      <c r="J678" t="s">
        <v>7520</v>
      </c>
      <c r="K678" t="s">
        <v>74</v>
      </c>
      <c r="L678" t="s">
        <v>74</v>
      </c>
      <c r="M678" t="s">
        <v>79</v>
      </c>
      <c r="N678" t="s">
        <v>138</v>
      </c>
      <c r="O678" t="s">
        <v>74</v>
      </c>
      <c r="P678" t="s">
        <v>74</v>
      </c>
      <c r="Q678" t="s">
        <v>74</v>
      </c>
      <c r="R678" t="s">
        <v>74</v>
      </c>
      <c r="S678" t="s">
        <v>74</v>
      </c>
      <c r="T678" t="s">
        <v>12973</v>
      </c>
      <c r="U678" t="s">
        <v>12974</v>
      </c>
      <c r="V678" t="s">
        <v>12975</v>
      </c>
      <c r="W678" t="s">
        <v>12976</v>
      </c>
      <c r="X678" t="s">
        <v>11684</v>
      </c>
      <c r="Y678" t="s">
        <v>12977</v>
      </c>
      <c r="Z678" t="s">
        <v>12978</v>
      </c>
      <c r="AA678" t="s">
        <v>12979</v>
      </c>
      <c r="AB678" t="s">
        <v>12980</v>
      </c>
      <c r="AC678" t="s">
        <v>74</v>
      </c>
      <c r="AD678" t="s">
        <v>74</v>
      </c>
      <c r="AE678" t="s">
        <v>74</v>
      </c>
      <c r="AF678" t="s">
        <v>74</v>
      </c>
      <c r="AG678">
        <v>86</v>
      </c>
      <c r="AH678">
        <v>0</v>
      </c>
      <c r="AI678">
        <v>0</v>
      </c>
      <c r="AJ678">
        <v>8</v>
      </c>
      <c r="AK678">
        <v>12</v>
      </c>
      <c r="AL678" t="s">
        <v>1379</v>
      </c>
      <c r="AM678" t="s">
        <v>1380</v>
      </c>
      <c r="AN678" t="s">
        <v>1381</v>
      </c>
      <c r="AO678" t="s">
        <v>7532</v>
      </c>
      <c r="AP678" t="s">
        <v>7533</v>
      </c>
      <c r="AQ678" t="s">
        <v>74</v>
      </c>
      <c r="AR678" t="s">
        <v>7534</v>
      </c>
      <c r="AS678" t="s">
        <v>7535</v>
      </c>
      <c r="AT678" t="s">
        <v>12981</v>
      </c>
      <c r="AU678">
        <v>2023</v>
      </c>
      <c r="AV678" t="s">
        <v>74</v>
      </c>
      <c r="AW678" t="s">
        <v>74</v>
      </c>
      <c r="AX678" t="s">
        <v>74</v>
      </c>
      <c r="AY678" t="s">
        <v>74</v>
      </c>
      <c r="AZ678" t="s">
        <v>74</v>
      </c>
      <c r="BA678" t="s">
        <v>74</v>
      </c>
      <c r="BB678" t="s">
        <v>74</v>
      </c>
      <c r="BC678" t="s">
        <v>74</v>
      </c>
      <c r="BD678" t="s">
        <v>74</v>
      </c>
      <c r="BE678" t="s">
        <v>12982</v>
      </c>
      <c r="BF678" t="str">
        <f>HYPERLINK("http://dx.doi.org/10.1109/TNNLS.2023.3300099","http://dx.doi.org/10.1109/TNNLS.2023.3300099")</f>
        <v>http://dx.doi.org/10.1109/TNNLS.2023.3300099</v>
      </c>
      <c r="BG678" t="s">
        <v>74</v>
      </c>
      <c r="BH678" t="s">
        <v>255</v>
      </c>
      <c r="BI678">
        <v>14</v>
      </c>
      <c r="BJ678" t="s">
        <v>7537</v>
      </c>
      <c r="BK678" t="s">
        <v>130</v>
      </c>
      <c r="BL678" t="s">
        <v>906</v>
      </c>
      <c r="BM678" t="s">
        <v>12983</v>
      </c>
      <c r="BN678">
        <v>37561623</v>
      </c>
      <c r="BO678" t="s">
        <v>74</v>
      </c>
      <c r="BP678" t="s">
        <v>74</v>
      </c>
      <c r="BQ678" t="s">
        <v>74</v>
      </c>
      <c r="BR678" t="s">
        <v>101</v>
      </c>
      <c r="BS678" t="s">
        <v>12984</v>
      </c>
      <c r="BT678" t="str">
        <f>HYPERLINK("https%3A%2F%2Fwww.webofscience.com%2Fwos%2Fwoscc%2Ffull-record%2FWOS:001047582200001","View Full Record in Web of Science")</f>
        <v>View Full Record in Web of Science</v>
      </c>
    </row>
    <row r="679" spans="1:72" x14ac:dyDescent="0.2">
      <c r="A679" t="s">
        <v>103</v>
      </c>
      <c r="B679" t="s">
        <v>12985</v>
      </c>
      <c r="C679" t="s">
        <v>74</v>
      </c>
      <c r="D679" t="s">
        <v>74</v>
      </c>
      <c r="E679" t="s">
        <v>74</v>
      </c>
      <c r="F679" t="s">
        <v>12986</v>
      </c>
      <c r="G679" t="s">
        <v>74</v>
      </c>
      <c r="H679" t="s">
        <v>74</v>
      </c>
      <c r="I679" t="s">
        <v>12987</v>
      </c>
      <c r="J679" t="s">
        <v>9562</v>
      </c>
      <c r="K679" t="s">
        <v>74</v>
      </c>
      <c r="L679" t="s">
        <v>74</v>
      </c>
      <c r="M679" t="s">
        <v>79</v>
      </c>
      <c r="N679" t="s">
        <v>108</v>
      </c>
      <c r="O679" t="s">
        <v>74</v>
      </c>
      <c r="P679" t="s">
        <v>74</v>
      </c>
      <c r="Q679" t="s">
        <v>74</v>
      </c>
      <c r="R679" t="s">
        <v>74</v>
      </c>
      <c r="S679" t="s">
        <v>74</v>
      </c>
      <c r="T679" t="s">
        <v>12988</v>
      </c>
      <c r="U679" t="s">
        <v>74</v>
      </c>
      <c r="V679" t="s">
        <v>12989</v>
      </c>
      <c r="W679" t="s">
        <v>12990</v>
      </c>
      <c r="X679" t="s">
        <v>74</v>
      </c>
      <c r="Y679" t="s">
        <v>12991</v>
      </c>
      <c r="Z679" t="s">
        <v>74</v>
      </c>
      <c r="AA679" t="s">
        <v>12992</v>
      </c>
      <c r="AB679" t="s">
        <v>12993</v>
      </c>
      <c r="AC679" t="s">
        <v>74</v>
      </c>
      <c r="AD679" t="s">
        <v>74</v>
      </c>
      <c r="AE679" t="s">
        <v>74</v>
      </c>
      <c r="AF679" t="s">
        <v>74</v>
      </c>
      <c r="AG679">
        <v>25</v>
      </c>
      <c r="AH679">
        <v>0</v>
      </c>
      <c r="AI679">
        <v>0</v>
      </c>
      <c r="AJ679">
        <v>1</v>
      </c>
      <c r="AK679">
        <v>1</v>
      </c>
      <c r="AL679" t="s">
        <v>9568</v>
      </c>
      <c r="AM679" t="s">
        <v>9569</v>
      </c>
      <c r="AN679" t="s">
        <v>9570</v>
      </c>
      <c r="AO679" t="s">
        <v>9571</v>
      </c>
      <c r="AP679" t="s">
        <v>9572</v>
      </c>
      <c r="AQ679" t="s">
        <v>74</v>
      </c>
      <c r="AR679" t="s">
        <v>9573</v>
      </c>
      <c r="AS679" t="s">
        <v>9574</v>
      </c>
      <c r="AT679" t="s">
        <v>615</v>
      </c>
      <c r="AU679">
        <v>2023</v>
      </c>
      <c r="AV679">
        <v>14</v>
      </c>
      <c r="AW679">
        <v>7</v>
      </c>
      <c r="AX679" t="s">
        <v>74</v>
      </c>
      <c r="AY679" t="s">
        <v>74</v>
      </c>
      <c r="AZ679" t="s">
        <v>74</v>
      </c>
      <c r="BA679" t="s">
        <v>74</v>
      </c>
      <c r="BB679">
        <v>651</v>
      </c>
      <c r="BC679">
        <v>662</v>
      </c>
      <c r="BD679" t="s">
        <v>74</v>
      </c>
      <c r="BE679" t="s">
        <v>74</v>
      </c>
      <c r="BF679" t="s">
        <v>74</v>
      </c>
      <c r="BG679" t="s">
        <v>74</v>
      </c>
      <c r="BH679" t="s">
        <v>74</v>
      </c>
      <c r="BI679">
        <v>12</v>
      </c>
      <c r="BJ679" t="s">
        <v>9575</v>
      </c>
      <c r="BK679" t="s">
        <v>352</v>
      </c>
      <c r="BL679" t="s">
        <v>99</v>
      </c>
      <c r="BM679" t="s">
        <v>12994</v>
      </c>
      <c r="BN679" t="s">
        <v>74</v>
      </c>
      <c r="BO679" t="s">
        <v>74</v>
      </c>
      <c r="BP679" t="s">
        <v>74</v>
      </c>
      <c r="BQ679" t="s">
        <v>74</v>
      </c>
      <c r="BR679" t="s">
        <v>101</v>
      </c>
      <c r="BS679" t="s">
        <v>12995</v>
      </c>
      <c r="BT679" t="str">
        <f>HYPERLINK("https%3A%2F%2Fwww.webofscience.com%2Fwos%2Fwoscc%2Ffull-record%2FWOS:001047202300001","View Full Record in Web of Science")</f>
        <v>View Full Record in Web of Science</v>
      </c>
    </row>
    <row r="680" spans="1:72" x14ac:dyDescent="0.2">
      <c r="A680" t="s">
        <v>103</v>
      </c>
      <c r="B680" t="s">
        <v>12996</v>
      </c>
      <c r="C680" t="s">
        <v>74</v>
      </c>
      <c r="D680" t="s">
        <v>74</v>
      </c>
      <c r="E680" t="s">
        <v>74</v>
      </c>
      <c r="F680" t="s">
        <v>12997</v>
      </c>
      <c r="G680" t="s">
        <v>74</v>
      </c>
      <c r="H680" t="s">
        <v>74</v>
      </c>
      <c r="I680" t="s">
        <v>12998</v>
      </c>
      <c r="J680" t="s">
        <v>12999</v>
      </c>
      <c r="K680" t="s">
        <v>74</v>
      </c>
      <c r="L680" t="s">
        <v>74</v>
      </c>
      <c r="M680" t="s">
        <v>79</v>
      </c>
      <c r="N680" t="s">
        <v>108</v>
      </c>
      <c r="O680" t="s">
        <v>74</v>
      </c>
      <c r="P680" t="s">
        <v>74</v>
      </c>
      <c r="Q680" t="s">
        <v>74</v>
      </c>
      <c r="R680" t="s">
        <v>74</v>
      </c>
      <c r="S680" t="s">
        <v>74</v>
      </c>
      <c r="T680" t="s">
        <v>13000</v>
      </c>
      <c r="U680" t="s">
        <v>74</v>
      </c>
      <c r="V680" t="s">
        <v>13001</v>
      </c>
      <c r="W680" t="s">
        <v>13002</v>
      </c>
      <c r="X680" t="s">
        <v>13003</v>
      </c>
      <c r="Y680" t="s">
        <v>13004</v>
      </c>
      <c r="Z680" t="s">
        <v>13005</v>
      </c>
      <c r="AA680" t="s">
        <v>13006</v>
      </c>
      <c r="AB680" t="s">
        <v>13007</v>
      </c>
      <c r="AC680" t="s">
        <v>13008</v>
      </c>
      <c r="AD680" t="s">
        <v>13009</v>
      </c>
      <c r="AE680" t="s">
        <v>13010</v>
      </c>
      <c r="AF680" t="s">
        <v>74</v>
      </c>
      <c r="AG680">
        <v>25</v>
      </c>
      <c r="AH680">
        <v>7</v>
      </c>
      <c r="AI680">
        <v>7</v>
      </c>
      <c r="AJ680">
        <v>6</v>
      </c>
      <c r="AK680">
        <v>10</v>
      </c>
      <c r="AL680" t="s">
        <v>939</v>
      </c>
      <c r="AM680" t="s">
        <v>940</v>
      </c>
      <c r="AN680" t="s">
        <v>941</v>
      </c>
      <c r="AO680" t="s">
        <v>13011</v>
      </c>
      <c r="AP680" t="s">
        <v>74</v>
      </c>
      <c r="AQ680" t="s">
        <v>74</v>
      </c>
      <c r="AR680" t="s">
        <v>13012</v>
      </c>
      <c r="AS680" t="s">
        <v>13013</v>
      </c>
      <c r="AT680" t="s">
        <v>13014</v>
      </c>
      <c r="AU680">
        <v>2023</v>
      </c>
      <c r="AV680">
        <v>6</v>
      </c>
      <c r="AW680">
        <v>5</v>
      </c>
      <c r="AX680" t="s">
        <v>74</v>
      </c>
      <c r="AY680" t="s">
        <v>74</v>
      </c>
      <c r="AZ680" t="s">
        <v>74</v>
      </c>
      <c r="BA680" t="s">
        <v>74</v>
      </c>
      <c r="BB680">
        <v>4072</v>
      </c>
      <c r="BC680">
        <v>4085</v>
      </c>
      <c r="BD680" t="s">
        <v>74</v>
      </c>
      <c r="BE680" t="s">
        <v>13015</v>
      </c>
      <c r="BF680" t="str">
        <f>HYPERLINK("http://dx.doi.org/10.3390/heritage6050214","http://dx.doi.org/10.3390/heritage6050214")</f>
        <v>http://dx.doi.org/10.3390/heritage6050214</v>
      </c>
      <c r="BG680" t="s">
        <v>74</v>
      </c>
      <c r="BH680" t="s">
        <v>74</v>
      </c>
      <c r="BI680">
        <v>14</v>
      </c>
      <c r="BJ680" t="s">
        <v>13016</v>
      </c>
      <c r="BK680" t="s">
        <v>352</v>
      </c>
      <c r="BL680" t="s">
        <v>13017</v>
      </c>
      <c r="BM680" t="s">
        <v>13018</v>
      </c>
      <c r="BN680" t="s">
        <v>74</v>
      </c>
      <c r="BO680" t="s">
        <v>1728</v>
      </c>
      <c r="BP680" t="s">
        <v>74</v>
      </c>
      <c r="BQ680" t="s">
        <v>74</v>
      </c>
      <c r="BR680" t="s">
        <v>101</v>
      </c>
      <c r="BS680" t="s">
        <v>13019</v>
      </c>
      <c r="BT680" t="str">
        <f>HYPERLINK("https%3A%2F%2Fwww.webofscience.com%2Fwos%2Fwoscc%2Ffull-record%2FWOS:001020367900001","View Full Record in Web of Science")</f>
        <v>View Full Record in Web of Science</v>
      </c>
    </row>
    <row r="681" spans="1:72" x14ac:dyDescent="0.2">
      <c r="A681" t="s">
        <v>72</v>
      </c>
      <c r="B681" t="s">
        <v>13020</v>
      </c>
      <c r="C681" t="s">
        <v>74</v>
      </c>
      <c r="D681" t="s">
        <v>74</v>
      </c>
      <c r="E681" t="s">
        <v>75</v>
      </c>
      <c r="F681" t="s">
        <v>13021</v>
      </c>
      <c r="G681" t="s">
        <v>74</v>
      </c>
      <c r="H681" t="s">
        <v>74</v>
      </c>
      <c r="I681" t="s">
        <v>13022</v>
      </c>
      <c r="J681" t="s">
        <v>869</v>
      </c>
      <c r="K681" t="s">
        <v>74</v>
      </c>
      <c r="L681" t="s">
        <v>74</v>
      </c>
      <c r="M681" t="s">
        <v>79</v>
      </c>
      <c r="N681" t="s">
        <v>80</v>
      </c>
      <c r="O681" t="s">
        <v>870</v>
      </c>
      <c r="P681" t="s">
        <v>871</v>
      </c>
      <c r="Q681" t="s">
        <v>872</v>
      </c>
      <c r="R681" t="s">
        <v>873</v>
      </c>
      <c r="S681" t="s">
        <v>74</v>
      </c>
      <c r="T681" t="s">
        <v>13023</v>
      </c>
      <c r="U681" t="s">
        <v>74</v>
      </c>
      <c r="V681" t="s">
        <v>13024</v>
      </c>
      <c r="W681" t="s">
        <v>13025</v>
      </c>
      <c r="X681" t="s">
        <v>13026</v>
      </c>
      <c r="Y681" t="s">
        <v>13027</v>
      </c>
      <c r="Z681" t="s">
        <v>13028</v>
      </c>
      <c r="AA681" t="s">
        <v>74</v>
      </c>
      <c r="AB681" t="s">
        <v>74</v>
      </c>
      <c r="AC681" t="s">
        <v>13029</v>
      </c>
      <c r="AD681" t="s">
        <v>13030</v>
      </c>
      <c r="AE681" t="s">
        <v>13031</v>
      </c>
      <c r="AF681" t="s">
        <v>74</v>
      </c>
      <c r="AG681">
        <v>58</v>
      </c>
      <c r="AH681">
        <v>0</v>
      </c>
      <c r="AI681">
        <v>0</v>
      </c>
      <c r="AJ681">
        <v>0</v>
      </c>
      <c r="AK681">
        <v>0</v>
      </c>
      <c r="AL681" t="s">
        <v>92</v>
      </c>
      <c r="AM681" t="s">
        <v>93</v>
      </c>
      <c r="AN681" t="s">
        <v>94</v>
      </c>
      <c r="AO681" t="s">
        <v>74</v>
      </c>
      <c r="AP681" t="s">
        <v>74</v>
      </c>
      <c r="AQ681" t="s">
        <v>881</v>
      </c>
      <c r="AR681" t="s">
        <v>74</v>
      </c>
      <c r="AS681" t="s">
        <v>74</v>
      </c>
      <c r="AT681" t="s">
        <v>74</v>
      </c>
      <c r="AU681">
        <v>2023</v>
      </c>
      <c r="AV681" t="s">
        <v>74</v>
      </c>
      <c r="AW681" t="s">
        <v>74</v>
      </c>
      <c r="AX681" t="s">
        <v>74</v>
      </c>
      <c r="AY681" t="s">
        <v>74</v>
      </c>
      <c r="AZ681" t="s">
        <v>74</v>
      </c>
      <c r="BA681" t="s">
        <v>74</v>
      </c>
      <c r="BB681">
        <v>36</v>
      </c>
      <c r="BC681">
        <v>46</v>
      </c>
      <c r="BD681" t="s">
        <v>74</v>
      </c>
      <c r="BE681" t="s">
        <v>13032</v>
      </c>
      <c r="BF681" t="str">
        <f>HYPERLINK("http://dx.doi.org/10.1145/3583780.3614901","http://dx.doi.org/10.1145/3583780.3614901")</f>
        <v>http://dx.doi.org/10.1145/3583780.3614901</v>
      </c>
      <c r="BG681" t="s">
        <v>74</v>
      </c>
      <c r="BH681" t="s">
        <v>74</v>
      </c>
      <c r="BI681">
        <v>11</v>
      </c>
      <c r="BJ681" t="s">
        <v>883</v>
      </c>
      <c r="BK681" t="s">
        <v>98</v>
      </c>
      <c r="BL681" t="s">
        <v>99</v>
      </c>
      <c r="BM681" t="s">
        <v>884</v>
      </c>
      <c r="BN681" t="s">
        <v>74</v>
      </c>
      <c r="BO681" t="s">
        <v>646</v>
      </c>
      <c r="BP681" t="s">
        <v>74</v>
      </c>
      <c r="BQ681" t="s">
        <v>74</v>
      </c>
      <c r="BR681" t="s">
        <v>101</v>
      </c>
      <c r="BS681" t="s">
        <v>13033</v>
      </c>
      <c r="BT681" t="str">
        <f>HYPERLINK("https%3A%2F%2Fwww.webofscience.com%2Fwos%2Fwoscc%2Ffull-record%2FWOS:001161549500007","View Full Record in Web of Science")</f>
        <v>View Full Record in Web of Science</v>
      </c>
    </row>
    <row r="682" spans="1:72" x14ac:dyDescent="0.2">
      <c r="A682" t="s">
        <v>103</v>
      </c>
      <c r="B682" t="s">
        <v>13034</v>
      </c>
      <c r="C682" t="s">
        <v>74</v>
      </c>
      <c r="D682" t="s">
        <v>74</v>
      </c>
      <c r="E682" t="s">
        <v>74</v>
      </c>
      <c r="F682" t="s">
        <v>13035</v>
      </c>
      <c r="G682" t="s">
        <v>74</v>
      </c>
      <c r="H682" t="s">
        <v>74</v>
      </c>
      <c r="I682" t="s">
        <v>13036</v>
      </c>
      <c r="J682" t="s">
        <v>13037</v>
      </c>
      <c r="K682" t="s">
        <v>74</v>
      </c>
      <c r="L682" t="s">
        <v>74</v>
      </c>
      <c r="M682" t="s">
        <v>79</v>
      </c>
      <c r="N682" t="s">
        <v>108</v>
      </c>
      <c r="O682" t="s">
        <v>74</v>
      </c>
      <c r="P682" t="s">
        <v>74</v>
      </c>
      <c r="Q682" t="s">
        <v>74</v>
      </c>
      <c r="R682" t="s">
        <v>74</v>
      </c>
      <c r="S682" t="s">
        <v>74</v>
      </c>
      <c r="T682" t="s">
        <v>13038</v>
      </c>
      <c r="U682" t="s">
        <v>13039</v>
      </c>
      <c r="V682" t="s">
        <v>13040</v>
      </c>
      <c r="W682" t="s">
        <v>13041</v>
      </c>
      <c r="X682" t="s">
        <v>13042</v>
      </c>
      <c r="Y682" t="s">
        <v>13043</v>
      </c>
      <c r="Z682" t="s">
        <v>13044</v>
      </c>
      <c r="AA682" t="s">
        <v>74</v>
      </c>
      <c r="AB682" t="s">
        <v>13045</v>
      </c>
      <c r="AC682" t="s">
        <v>13046</v>
      </c>
      <c r="AD682" t="s">
        <v>13047</v>
      </c>
      <c r="AE682" t="s">
        <v>3401</v>
      </c>
      <c r="AF682" t="s">
        <v>74</v>
      </c>
      <c r="AG682">
        <v>52</v>
      </c>
      <c r="AH682">
        <v>1</v>
      </c>
      <c r="AI682">
        <v>1</v>
      </c>
      <c r="AJ682">
        <v>14</v>
      </c>
      <c r="AK682">
        <v>14</v>
      </c>
      <c r="AL682" t="s">
        <v>939</v>
      </c>
      <c r="AM682" t="s">
        <v>940</v>
      </c>
      <c r="AN682" t="s">
        <v>941</v>
      </c>
      <c r="AO682" t="s">
        <v>74</v>
      </c>
      <c r="AP682" t="s">
        <v>13048</v>
      </c>
      <c r="AQ682" t="s">
        <v>74</v>
      </c>
      <c r="AR682" t="s">
        <v>13049</v>
      </c>
      <c r="AS682" t="s">
        <v>13049</v>
      </c>
      <c r="AT682" t="s">
        <v>276</v>
      </c>
      <c r="AU682">
        <v>2023</v>
      </c>
      <c r="AV682">
        <v>13</v>
      </c>
      <c r="AW682">
        <v>11</v>
      </c>
      <c r="AX682" t="s">
        <v>74</v>
      </c>
      <c r="AY682" t="s">
        <v>74</v>
      </c>
      <c r="AZ682" t="s">
        <v>74</v>
      </c>
      <c r="BA682" t="s">
        <v>74</v>
      </c>
      <c r="BB682" t="s">
        <v>74</v>
      </c>
      <c r="BC682" t="s">
        <v>74</v>
      </c>
      <c r="BD682">
        <v>2680</v>
      </c>
      <c r="BE682" t="s">
        <v>13050</v>
      </c>
      <c r="BF682" t="str">
        <f>HYPERLINK("http://dx.doi.org/10.3390/buildings13112680","http://dx.doi.org/10.3390/buildings13112680")</f>
        <v>http://dx.doi.org/10.3390/buildings13112680</v>
      </c>
      <c r="BG682" t="s">
        <v>74</v>
      </c>
      <c r="BH682" t="s">
        <v>74</v>
      </c>
      <c r="BI682">
        <v>19</v>
      </c>
      <c r="BJ682" t="s">
        <v>13051</v>
      </c>
      <c r="BK682" t="s">
        <v>130</v>
      </c>
      <c r="BL682" t="s">
        <v>13052</v>
      </c>
      <c r="BM682" t="s">
        <v>13053</v>
      </c>
      <c r="BN682" t="s">
        <v>74</v>
      </c>
      <c r="BO682" t="s">
        <v>425</v>
      </c>
      <c r="BP682" t="s">
        <v>74</v>
      </c>
      <c r="BQ682" t="s">
        <v>74</v>
      </c>
      <c r="BR682" t="s">
        <v>101</v>
      </c>
      <c r="BS682" t="s">
        <v>13054</v>
      </c>
      <c r="BT682" t="str">
        <f>HYPERLINK("https%3A%2F%2Fwww.webofscience.com%2Fwos%2Fwoscc%2Ffull-record%2FWOS:001118406000001","View Full Record in Web of Science")</f>
        <v>View Full Record in Web of Science</v>
      </c>
    </row>
    <row r="683" spans="1:72" x14ac:dyDescent="0.2">
      <c r="A683" t="s">
        <v>103</v>
      </c>
      <c r="B683" t="s">
        <v>13055</v>
      </c>
      <c r="C683" t="s">
        <v>74</v>
      </c>
      <c r="D683" t="s">
        <v>74</v>
      </c>
      <c r="E683" t="s">
        <v>74</v>
      </c>
      <c r="F683" t="s">
        <v>13056</v>
      </c>
      <c r="G683" t="s">
        <v>74</v>
      </c>
      <c r="H683" t="s">
        <v>74</v>
      </c>
      <c r="I683" t="s">
        <v>13057</v>
      </c>
      <c r="J683" t="s">
        <v>4805</v>
      </c>
      <c r="K683" t="s">
        <v>74</v>
      </c>
      <c r="L683" t="s">
        <v>74</v>
      </c>
      <c r="M683" t="s">
        <v>79</v>
      </c>
      <c r="N683" t="s">
        <v>138</v>
      </c>
      <c r="O683" t="s">
        <v>74</v>
      </c>
      <c r="P683" t="s">
        <v>74</v>
      </c>
      <c r="Q683" t="s">
        <v>74</v>
      </c>
      <c r="R683" t="s">
        <v>74</v>
      </c>
      <c r="S683" t="s">
        <v>74</v>
      </c>
      <c r="T683" t="s">
        <v>13058</v>
      </c>
      <c r="U683" t="s">
        <v>74</v>
      </c>
      <c r="V683" t="s">
        <v>13059</v>
      </c>
      <c r="W683" t="s">
        <v>13060</v>
      </c>
      <c r="X683" t="s">
        <v>13061</v>
      </c>
      <c r="Y683" t="s">
        <v>13062</v>
      </c>
      <c r="Z683" t="s">
        <v>13063</v>
      </c>
      <c r="AA683" t="s">
        <v>74</v>
      </c>
      <c r="AB683" t="s">
        <v>74</v>
      </c>
      <c r="AC683" t="s">
        <v>13064</v>
      </c>
      <c r="AD683" t="s">
        <v>13064</v>
      </c>
      <c r="AE683" t="s">
        <v>13065</v>
      </c>
      <c r="AF683" t="s">
        <v>74</v>
      </c>
      <c r="AG683">
        <v>47</v>
      </c>
      <c r="AH683">
        <v>0</v>
      </c>
      <c r="AI683">
        <v>0</v>
      </c>
      <c r="AJ683">
        <v>26</v>
      </c>
      <c r="AK683">
        <v>26</v>
      </c>
      <c r="AL683" t="s">
        <v>343</v>
      </c>
      <c r="AM683" t="s">
        <v>93</v>
      </c>
      <c r="AN683" t="s">
        <v>344</v>
      </c>
      <c r="AO683" t="s">
        <v>4811</v>
      </c>
      <c r="AP683" t="s">
        <v>4812</v>
      </c>
      <c r="AQ683" t="s">
        <v>74</v>
      </c>
      <c r="AR683" t="s">
        <v>4813</v>
      </c>
      <c r="AS683" t="s">
        <v>4814</v>
      </c>
      <c r="AT683" t="s">
        <v>13066</v>
      </c>
      <c r="AU683">
        <v>2023</v>
      </c>
      <c r="AV683" t="s">
        <v>74</v>
      </c>
      <c r="AW683" t="s">
        <v>74</v>
      </c>
      <c r="AX683" t="s">
        <v>74</v>
      </c>
      <c r="AY683" t="s">
        <v>74</v>
      </c>
      <c r="AZ683" t="s">
        <v>74</v>
      </c>
      <c r="BA683" t="s">
        <v>74</v>
      </c>
      <c r="BB683" t="s">
        <v>74</v>
      </c>
      <c r="BC683" t="s">
        <v>74</v>
      </c>
      <c r="BD683" t="s">
        <v>74</v>
      </c>
      <c r="BE683" t="s">
        <v>13067</v>
      </c>
      <c r="BF683" t="str">
        <f>HYPERLINK("http://dx.doi.org/10.1007/s00146-023-01780-4","http://dx.doi.org/10.1007/s00146-023-01780-4")</f>
        <v>http://dx.doi.org/10.1007/s00146-023-01780-4</v>
      </c>
      <c r="BG683" t="s">
        <v>74</v>
      </c>
      <c r="BH683" t="s">
        <v>278</v>
      </c>
      <c r="BI683">
        <v>10</v>
      </c>
      <c r="BJ683" t="s">
        <v>304</v>
      </c>
      <c r="BK683" t="s">
        <v>352</v>
      </c>
      <c r="BL683" t="s">
        <v>99</v>
      </c>
      <c r="BM683" t="s">
        <v>13068</v>
      </c>
      <c r="BN683" t="s">
        <v>74</v>
      </c>
      <c r="BO683" t="s">
        <v>161</v>
      </c>
      <c r="BP683" t="s">
        <v>74</v>
      </c>
      <c r="BQ683" t="s">
        <v>74</v>
      </c>
      <c r="BR683" t="s">
        <v>101</v>
      </c>
      <c r="BS683" t="s">
        <v>13069</v>
      </c>
      <c r="BT683" t="str">
        <f>HYPERLINK("https%3A%2F%2Fwww.webofscience.com%2Fwos%2Fwoscc%2Ffull-record%2FWOS:001074720000001","View Full Record in Web of Science")</f>
        <v>View Full Record in Web of Science</v>
      </c>
    </row>
    <row r="684" spans="1:72" x14ac:dyDescent="0.2">
      <c r="A684" t="s">
        <v>72</v>
      </c>
      <c r="B684" t="s">
        <v>13070</v>
      </c>
      <c r="C684" t="s">
        <v>74</v>
      </c>
      <c r="D684" t="s">
        <v>74</v>
      </c>
      <c r="E684" t="s">
        <v>75</v>
      </c>
      <c r="F684" t="s">
        <v>13071</v>
      </c>
      <c r="G684" t="s">
        <v>74</v>
      </c>
      <c r="H684" t="s">
        <v>74</v>
      </c>
      <c r="I684" t="s">
        <v>13072</v>
      </c>
      <c r="J684" t="s">
        <v>1264</v>
      </c>
      <c r="K684" t="s">
        <v>74</v>
      </c>
      <c r="L684" t="s">
        <v>74</v>
      </c>
      <c r="M684" t="s">
        <v>79</v>
      </c>
      <c r="N684" t="s">
        <v>80</v>
      </c>
      <c r="O684" t="s">
        <v>1265</v>
      </c>
      <c r="P684" t="s">
        <v>290</v>
      </c>
      <c r="Q684" t="s">
        <v>1266</v>
      </c>
      <c r="R684" t="s">
        <v>1267</v>
      </c>
      <c r="S684" t="s">
        <v>74</v>
      </c>
      <c r="T684" t="s">
        <v>13073</v>
      </c>
      <c r="U684" t="s">
        <v>74</v>
      </c>
      <c r="V684" t="s">
        <v>13074</v>
      </c>
      <c r="W684" t="s">
        <v>13075</v>
      </c>
      <c r="X684" t="s">
        <v>13076</v>
      </c>
      <c r="Y684" t="s">
        <v>13077</v>
      </c>
      <c r="Z684" t="s">
        <v>13078</v>
      </c>
      <c r="AA684" t="s">
        <v>13079</v>
      </c>
      <c r="AB684" t="s">
        <v>13080</v>
      </c>
      <c r="AC684" t="s">
        <v>74</v>
      </c>
      <c r="AD684" t="s">
        <v>74</v>
      </c>
      <c r="AE684" t="s">
        <v>74</v>
      </c>
      <c r="AF684" t="s">
        <v>74</v>
      </c>
      <c r="AG684">
        <v>26</v>
      </c>
      <c r="AH684">
        <v>1</v>
      </c>
      <c r="AI684">
        <v>1</v>
      </c>
      <c r="AJ684">
        <v>0</v>
      </c>
      <c r="AK684">
        <v>0</v>
      </c>
      <c r="AL684" t="s">
        <v>92</v>
      </c>
      <c r="AM684" t="s">
        <v>93</v>
      </c>
      <c r="AN684" t="s">
        <v>94</v>
      </c>
      <c r="AO684" t="s">
        <v>74</v>
      </c>
      <c r="AP684" t="s">
        <v>74</v>
      </c>
      <c r="AQ684" t="s">
        <v>1278</v>
      </c>
      <c r="AR684" t="s">
        <v>74</v>
      </c>
      <c r="AS684" t="s">
        <v>74</v>
      </c>
      <c r="AT684" t="s">
        <v>74</v>
      </c>
      <c r="AU684">
        <v>2023</v>
      </c>
      <c r="AV684" t="s">
        <v>74</v>
      </c>
      <c r="AW684" t="s">
        <v>74</v>
      </c>
      <c r="AX684" t="s">
        <v>74</v>
      </c>
      <c r="AY684" t="s">
        <v>74</v>
      </c>
      <c r="AZ684" t="s">
        <v>74</v>
      </c>
      <c r="BA684" t="s">
        <v>74</v>
      </c>
      <c r="BB684">
        <v>10</v>
      </c>
      <c r="BC684">
        <v>18</v>
      </c>
      <c r="BD684" t="s">
        <v>74</v>
      </c>
      <c r="BE684" t="s">
        <v>13081</v>
      </c>
      <c r="BF684" t="str">
        <f>HYPERLINK("http://dx.doi.org/10.1145/3604237.3626907","http://dx.doi.org/10.1145/3604237.3626907")</f>
        <v>http://dx.doi.org/10.1145/3604237.3626907</v>
      </c>
      <c r="BG684" t="s">
        <v>74</v>
      </c>
      <c r="BH684" t="s">
        <v>74</v>
      </c>
      <c r="BI684">
        <v>9</v>
      </c>
      <c r="BJ684" t="s">
        <v>1280</v>
      </c>
      <c r="BK684" t="s">
        <v>180</v>
      </c>
      <c r="BL684" t="s">
        <v>1281</v>
      </c>
      <c r="BM684" t="s">
        <v>1282</v>
      </c>
      <c r="BN684" t="s">
        <v>74</v>
      </c>
      <c r="BO684" t="s">
        <v>2310</v>
      </c>
      <c r="BP684" t="s">
        <v>74</v>
      </c>
      <c r="BQ684" t="s">
        <v>74</v>
      </c>
      <c r="BR684" t="s">
        <v>101</v>
      </c>
      <c r="BS684" t="s">
        <v>13082</v>
      </c>
      <c r="BT684" t="str">
        <f>HYPERLINK("https%3A%2F%2Fwww.webofscience.com%2Fwos%2Fwoscc%2Ffull-record%2FWOS:001124982700002","View Full Record in Web of Science")</f>
        <v>View Full Record in Web of Science</v>
      </c>
    </row>
    <row r="685" spans="1:72" x14ac:dyDescent="0.2">
      <c r="A685" t="s">
        <v>72</v>
      </c>
      <c r="B685" t="s">
        <v>13083</v>
      </c>
      <c r="C685" t="s">
        <v>74</v>
      </c>
      <c r="D685" t="s">
        <v>74</v>
      </c>
      <c r="E685" t="s">
        <v>75</v>
      </c>
      <c r="F685" t="s">
        <v>13084</v>
      </c>
      <c r="G685" t="s">
        <v>74</v>
      </c>
      <c r="H685" t="s">
        <v>74</v>
      </c>
      <c r="I685" t="s">
        <v>13085</v>
      </c>
      <c r="J685" t="s">
        <v>78</v>
      </c>
      <c r="K685" t="s">
        <v>74</v>
      </c>
      <c r="L685" t="s">
        <v>74</v>
      </c>
      <c r="M685" t="s">
        <v>79</v>
      </c>
      <c r="N685" t="s">
        <v>80</v>
      </c>
      <c r="O685" t="s">
        <v>81</v>
      </c>
      <c r="P685" t="s">
        <v>82</v>
      </c>
      <c r="Q685" t="s">
        <v>83</v>
      </c>
      <c r="R685" t="s">
        <v>84</v>
      </c>
      <c r="S685" t="s">
        <v>74</v>
      </c>
      <c r="T685" t="s">
        <v>13086</v>
      </c>
      <c r="U685" t="s">
        <v>74</v>
      </c>
      <c r="V685" t="s">
        <v>13087</v>
      </c>
      <c r="W685" t="s">
        <v>13088</v>
      </c>
      <c r="X685" t="s">
        <v>7489</v>
      </c>
      <c r="Y685" t="s">
        <v>13089</v>
      </c>
      <c r="Z685" t="s">
        <v>13090</v>
      </c>
      <c r="AA685" t="s">
        <v>74</v>
      </c>
      <c r="AB685" t="s">
        <v>13091</v>
      </c>
      <c r="AC685" t="s">
        <v>13092</v>
      </c>
      <c r="AD685" t="s">
        <v>13092</v>
      </c>
      <c r="AE685" t="s">
        <v>13093</v>
      </c>
      <c r="AF685" t="s">
        <v>74</v>
      </c>
      <c r="AG685">
        <v>17</v>
      </c>
      <c r="AH685">
        <v>0</v>
      </c>
      <c r="AI685">
        <v>0</v>
      </c>
      <c r="AJ685">
        <v>1</v>
      </c>
      <c r="AK685">
        <v>1</v>
      </c>
      <c r="AL685" t="s">
        <v>92</v>
      </c>
      <c r="AM685" t="s">
        <v>93</v>
      </c>
      <c r="AN685" t="s">
        <v>94</v>
      </c>
      <c r="AO685" t="s">
        <v>74</v>
      </c>
      <c r="AP685" t="s">
        <v>74</v>
      </c>
      <c r="AQ685" t="s">
        <v>95</v>
      </c>
      <c r="AR685" t="s">
        <v>74</v>
      </c>
      <c r="AS685" t="s">
        <v>74</v>
      </c>
      <c r="AT685" t="s">
        <v>74</v>
      </c>
      <c r="AU685">
        <v>2023</v>
      </c>
      <c r="AV685" t="s">
        <v>74</v>
      </c>
      <c r="AW685" t="s">
        <v>74</v>
      </c>
      <c r="AX685" t="s">
        <v>74</v>
      </c>
      <c r="AY685" t="s">
        <v>74</v>
      </c>
      <c r="AZ685" t="s">
        <v>74</v>
      </c>
      <c r="BA685" t="s">
        <v>74</v>
      </c>
      <c r="BB685" t="s">
        <v>74</v>
      </c>
      <c r="BC685" t="s">
        <v>74</v>
      </c>
      <c r="BD685">
        <v>69</v>
      </c>
      <c r="BE685" t="s">
        <v>13094</v>
      </c>
      <c r="BF685" t="str">
        <f>HYPERLINK("http://dx.doi.org/10.1145/3586182.3615780","http://dx.doi.org/10.1145/3586182.3615780")</f>
        <v>http://dx.doi.org/10.1145/3586182.3615780</v>
      </c>
      <c r="BG685" t="s">
        <v>74</v>
      </c>
      <c r="BH685" t="s">
        <v>74</v>
      </c>
      <c r="BI685">
        <v>3</v>
      </c>
      <c r="BJ685" t="s">
        <v>97</v>
      </c>
      <c r="BK685" t="s">
        <v>98</v>
      </c>
      <c r="BL685" t="s">
        <v>99</v>
      </c>
      <c r="BM685" t="s">
        <v>100</v>
      </c>
      <c r="BN685" t="s">
        <v>74</v>
      </c>
      <c r="BO685" t="s">
        <v>74</v>
      </c>
      <c r="BP685" t="s">
        <v>74</v>
      </c>
      <c r="BQ685" t="s">
        <v>74</v>
      </c>
      <c r="BR685" t="s">
        <v>101</v>
      </c>
      <c r="BS685" t="s">
        <v>13095</v>
      </c>
      <c r="BT685" t="str">
        <f>HYPERLINK("https%3A%2F%2Fwww.webofscience.com%2Fwos%2Fwoscc%2Ffull-record%2FWOS:001125107000068","View Full Record in Web of Science")</f>
        <v>View Full Record in Web of Science</v>
      </c>
    </row>
    <row r="686" spans="1:72" x14ac:dyDescent="0.2">
      <c r="A686" t="s">
        <v>103</v>
      </c>
      <c r="B686" t="s">
        <v>13096</v>
      </c>
      <c r="C686" t="s">
        <v>74</v>
      </c>
      <c r="D686" t="s">
        <v>74</v>
      </c>
      <c r="E686" t="s">
        <v>74</v>
      </c>
      <c r="F686" t="s">
        <v>13097</v>
      </c>
      <c r="G686" t="s">
        <v>74</v>
      </c>
      <c r="H686" t="s">
        <v>74</v>
      </c>
      <c r="I686" t="s">
        <v>13098</v>
      </c>
      <c r="J686" t="s">
        <v>13099</v>
      </c>
      <c r="K686" t="s">
        <v>74</v>
      </c>
      <c r="L686" t="s">
        <v>74</v>
      </c>
      <c r="M686" t="s">
        <v>13100</v>
      </c>
      <c r="N686" t="s">
        <v>108</v>
      </c>
      <c r="O686" t="s">
        <v>74</v>
      </c>
      <c r="P686" t="s">
        <v>74</v>
      </c>
      <c r="Q686" t="s">
        <v>74</v>
      </c>
      <c r="R686" t="s">
        <v>74</v>
      </c>
      <c r="S686" t="s">
        <v>74</v>
      </c>
      <c r="T686" t="s">
        <v>13101</v>
      </c>
      <c r="U686" t="s">
        <v>13102</v>
      </c>
      <c r="V686" t="s">
        <v>13103</v>
      </c>
      <c r="W686" t="s">
        <v>13104</v>
      </c>
      <c r="X686" t="s">
        <v>13105</v>
      </c>
      <c r="Y686" t="s">
        <v>13106</v>
      </c>
      <c r="Z686" t="s">
        <v>13107</v>
      </c>
      <c r="AA686" t="s">
        <v>74</v>
      </c>
      <c r="AB686" t="s">
        <v>74</v>
      </c>
      <c r="AC686" t="s">
        <v>74</v>
      </c>
      <c r="AD686" t="s">
        <v>74</v>
      </c>
      <c r="AE686" t="s">
        <v>74</v>
      </c>
      <c r="AF686" t="s">
        <v>74</v>
      </c>
      <c r="AG686">
        <v>128</v>
      </c>
      <c r="AH686">
        <v>0</v>
      </c>
      <c r="AI686">
        <v>0</v>
      </c>
      <c r="AJ686">
        <v>9</v>
      </c>
      <c r="AK686">
        <v>9</v>
      </c>
      <c r="AL686" t="s">
        <v>13108</v>
      </c>
      <c r="AM686" t="s">
        <v>13109</v>
      </c>
      <c r="AN686" t="s">
        <v>13110</v>
      </c>
      <c r="AO686" t="s">
        <v>13111</v>
      </c>
      <c r="AP686" t="s">
        <v>74</v>
      </c>
      <c r="AQ686" t="s">
        <v>74</v>
      </c>
      <c r="AR686" t="s">
        <v>13112</v>
      </c>
      <c r="AS686" t="s">
        <v>13113</v>
      </c>
      <c r="AT686" t="s">
        <v>791</v>
      </c>
      <c r="AU686">
        <v>2023</v>
      </c>
      <c r="AV686">
        <v>43</v>
      </c>
      <c r="AW686">
        <v>15</v>
      </c>
      <c r="AX686" t="s">
        <v>74</v>
      </c>
      <c r="AY686" t="s">
        <v>74</v>
      </c>
      <c r="AZ686" t="s">
        <v>74</v>
      </c>
      <c r="BA686" t="s">
        <v>74</v>
      </c>
      <c r="BB686" t="s">
        <v>74</v>
      </c>
      <c r="BC686" t="s">
        <v>74</v>
      </c>
      <c r="BD686">
        <v>1510002</v>
      </c>
      <c r="BE686" t="s">
        <v>13114</v>
      </c>
      <c r="BF686" t="str">
        <f>HYPERLINK("http://dx.doi.org/10.3788/AOS230758","http://dx.doi.org/10.3788/AOS230758")</f>
        <v>http://dx.doi.org/10.3788/AOS230758</v>
      </c>
      <c r="BG686" t="s">
        <v>74</v>
      </c>
      <c r="BH686" t="s">
        <v>74</v>
      </c>
      <c r="BI686">
        <v>21</v>
      </c>
      <c r="BJ686" t="s">
        <v>3823</v>
      </c>
      <c r="BK686" t="s">
        <v>352</v>
      </c>
      <c r="BL686" t="s">
        <v>3823</v>
      </c>
      <c r="BM686" t="s">
        <v>13115</v>
      </c>
      <c r="BN686" t="s">
        <v>74</v>
      </c>
      <c r="BO686" t="s">
        <v>1237</v>
      </c>
      <c r="BP686" t="s">
        <v>74</v>
      </c>
      <c r="BQ686" t="s">
        <v>74</v>
      </c>
      <c r="BR686" t="s">
        <v>101</v>
      </c>
      <c r="BS686" t="s">
        <v>13116</v>
      </c>
      <c r="BT686" t="str">
        <f>HYPERLINK("https%3A%2F%2Fwww.webofscience.com%2Fwos%2Fwoscc%2Ffull-record%2FWOS:001153722700005","View Full Record in Web of Science")</f>
        <v>View Full Record in Web of Science</v>
      </c>
    </row>
    <row r="687" spans="1:72" x14ac:dyDescent="0.2">
      <c r="A687" t="s">
        <v>103</v>
      </c>
      <c r="B687" t="s">
        <v>13117</v>
      </c>
      <c r="C687" t="s">
        <v>74</v>
      </c>
      <c r="D687" t="s">
        <v>74</v>
      </c>
      <c r="E687" t="s">
        <v>74</v>
      </c>
      <c r="F687" t="s">
        <v>13118</v>
      </c>
      <c r="G687" t="s">
        <v>74</v>
      </c>
      <c r="H687" t="s">
        <v>74</v>
      </c>
      <c r="I687" t="s">
        <v>13119</v>
      </c>
      <c r="J687" t="s">
        <v>13120</v>
      </c>
      <c r="K687" t="s">
        <v>74</v>
      </c>
      <c r="L687" t="s">
        <v>74</v>
      </c>
      <c r="M687" t="s">
        <v>79</v>
      </c>
      <c r="N687" t="s">
        <v>108</v>
      </c>
      <c r="O687" t="s">
        <v>74</v>
      </c>
      <c r="P687" t="s">
        <v>74</v>
      </c>
      <c r="Q687" t="s">
        <v>74</v>
      </c>
      <c r="R687" t="s">
        <v>74</v>
      </c>
      <c r="S687" t="s">
        <v>74</v>
      </c>
      <c r="T687" t="s">
        <v>13121</v>
      </c>
      <c r="U687" t="s">
        <v>13122</v>
      </c>
      <c r="V687" t="s">
        <v>13123</v>
      </c>
      <c r="W687" t="s">
        <v>13124</v>
      </c>
      <c r="X687" t="s">
        <v>13125</v>
      </c>
      <c r="Y687" t="s">
        <v>13126</v>
      </c>
      <c r="Z687" t="s">
        <v>13127</v>
      </c>
      <c r="AA687" t="s">
        <v>13128</v>
      </c>
      <c r="AB687" t="s">
        <v>13129</v>
      </c>
      <c r="AC687" t="s">
        <v>13130</v>
      </c>
      <c r="AD687" t="s">
        <v>13131</v>
      </c>
      <c r="AE687" t="s">
        <v>13132</v>
      </c>
      <c r="AF687" t="s">
        <v>74</v>
      </c>
      <c r="AG687">
        <v>48</v>
      </c>
      <c r="AH687">
        <v>0</v>
      </c>
      <c r="AI687">
        <v>0</v>
      </c>
      <c r="AJ687">
        <v>31</v>
      </c>
      <c r="AK687">
        <v>31</v>
      </c>
      <c r="AL687" t="s">
        <v>13133</v>
      </c>
      <c r="AM687" t="s">
        <v>7144</v>
      </c>
      <c r="AN687" t="s">
        <v>13134</v>
      </c>
      <c r="AO687" t="s">
        <v>13135</v>
      </c>
      <c r="AP687" t="s">
        <v>13136</v>
      </c>
      <c r="AQ687" t="s">
        <v>74</v>
      </c>
      <c r="AR687" t="s">
        <v>13137</v>
      </c>
      <c r="AS687" t="s">
        <v>13138</v>
      </c>
      <c r="AT687" t="s">
        <v>2016</v>
      </c>
      <c r="AU687">
        <v>2024</v>
      </c>
      <c r="AV687">
        <v>67</v>
      </c>
      <c r="AW687">
        <v>1</v>
      </c>
      <c r="AX687" t="s">
        <v>74</v>
      </c>
      <c r="AY687" t="s">
        <v>74</v>
      </c>
      <c r="AZ687" t="s">
        <v>253</v>
      </c>
      <c r="BA687" t="s">
        <v>74</v>
      </c>
      <c r="BB687">
        <v>183</v>
      </c>
      <c r="BC687">
        <v>196</v>
      </c>
      <c r="BD687" t="s">
        <v>74</v>
      </c>
      <c r="BE687" t="s">
        <v>13139</v>
      </c>
      <c r="BF687" t="str">
        <f>HYPERLINK("http://dx.doi.org/10.1007/s11431-023-2496-6","http://dx.doi.org/10.1007/s11431-023-2496-6")</f>
        <v>http://dx.doi.org/10.1007/s11431-023-2496-6</v>
      </c>
      <c r="BG687" t="s">
        <v>74</v>
      </c>
      <c r="BH687" t="s">
        <v>157</v>
      </c>
      <c r="BI687">
        <v>14</v>
      </c>
      <c r="BJ687" t="s">
        <v>13140</v>
      </c>
      <c r="BK687" t="s">
        <v>130</v>
      </c>
      <c r="BL687" t="s">
        <v>1797</v>
      </c>
      <c r="BM687" t="s">
        <v>13141</v>
      </c>
      <c r="BN687" t="s">
        <v>74</v>
      </c>
      <c r="BO687" t="s">
        <v>74</v>
      </c>
      <c r="BP687" t="s">
        <v>74</v>
      </c>
      <c r="BQ687" t="s">
        <v>74</v>
      </c>
      <c r="BR687" t="s">
        <v>101</v>
      </c>
      <c r="BS687" t="s">
        <v>13142</v>
      </c>
      <c r="BT687" t="str">
        <f>HYPERLINK("https%3A%2F%2Fwww.webofscience.com%2Fwos%2Fwoscc%2Ffull-record%2FWOS:001104880600001","View Full Record in Web of Science")</f>
        <v>View Full Record in Web of Science</v>
      </c>
    </row>
    <row r="688" spans="1:72" x14ac:dyDescent="0.2">
      <c r="A688" t="s">
        <v>72</v>
      </c>
      <c r="B688" t="s">
        <v>13143</v>
      </c>
      <c r="C688" t="s">
        <v>74</v>
      </c>
      <c r="D688" t="s">
        <v>13144</v>
      </c>
      <c r="E688" t="s">
        <v>74</v>
      </c>
      <c r="F688" t="s">
        <v>13145</v>
      </c>
      <c r="G688" t="s">
        <v>74</v>
      </c>
      <c r="H688" t="s">
        <v>74</v>
      </c>
      <c r="I688" t="s">
        <v>13146</v>
      </c>
      <c r="J688" t="s">
        <v>13147</v>
      </c>
      <c r="K688" t="s">
        <v>13148</v>
      </c>
      <c r="L688" t="s">
        <v>74</v>
      </c>
      <c r="M688" t="s">
        <v>79</v>
      </c>
      <c r="N688" t="s">
        <v>80</v>
      </c>
      <c r="O688" t="s">
        <v>13149</v>
      </c>
      <c r="P688" t="s">
        <v>13150</v>
      </c>
      <c r="Q688" t="s">
        <v>13151</v>
      </c>
      <c r="R688" t="s">
        <v>13152</v>
      </c>
      <c r="S688" t="s">
        <v>74</v>
      </c>
      <c r="T688" t="s">
        <v>13153</v>
      </c>
      <c r="U688" t="s">
        <v>74</v>
      </c>
      <c r="V688" t="s">
        <v>13154</v>
      </c>
      <c r="W688" t="s">
        <v>13155</v>
      </c>
      <c r="X688" t="s">
        <v>13156</v>
      </c>
      <c r="Y688" t="s">
        <v>13157</v>
      </c>
      <c r="Z688" t="s">
        <v>13158</v>
      </c>
      <c r="AA688" t="s">
        <v>74</v>
      </c>
      <c r="AB688" t="s">
        <v>74</v>
      </c>
      <c r="AC688" t="s">
        <v>74</v>
      </c>
      <c r="AD688" t="s">
        <v>74</v>
      </c>
      <c r="AE688" t="s">
        <v>74</v>
      </c>
      <c r="AF688" t="s">
        <v>74</v>
      </c>
      <c r="AG688">
        <v>25</v>
      </c>
      <c r="AH688">
        <v>0</v>
      </c>
      <c r="AI688">
        <v>0</v>
      </c>
      <c r="AJ688">
        <v>2</v>
      </c>
      <c r="AK688">
        <v>2</v>
      </c>
      <c r="AL688" t="s">
        <v>638</v>
      </c>
      <c r="AM688" t="s">
        <v>639</v>
      </c>
      <c r="AN688" t="s">
        <v>640</v>
      </c>
      <c r="AO688" t="s">
        <v>13159</v>
      </c>
      <c r="AP688" t="s">
        <v>74</v>
      </c>
      <c r="AQ688" t="s">
        <v>13160</v>
      </c>
      <c r="AR688" t="s">
        <v>13161</v>
      </c>
      <c r="AS688" t="s">
        <v>74</v>
      </c>
      <c r="AT688" t="s">
        <v>74</v>
      </c>
      <c r="AU688">
        <v>2023</v>
      </c>
      <c r="AV688" t="s">
        <v>74</v>
      </c>
      <c r="AW688" t="s">
        <v>74</v>
      </c>
      <c r="AX688" t="s">
        <v>74</v>
      </c>
      <c r="AY688" t="s">
        <v>74</v>
      </c>
      <c r="AZ688" t="s">
        <v>74</v>
      </c>
      <c r="BA688" t="s">
        <v>74</v>
      </c>
      <c r="BB688">
        <v>868</v>
      </c>
      <c r="BC688">
        <v>874</v>
      </c>
      <c r="BD688" t="s">
        <v>74</v>
      </c>
      <c r="BE688" t="s">
        <v>13162</v>
      </c>
      <c r="BF688" t="str">
        <f>HYPERLINK("http://dx.doi.org/10.1109/ICDMW60847.2023.00117","http://dx.doi.org/10.1109/ICDMW60847.2023.00117")</f>
        <v>http://dx.doi.org/10.1109/ICDMW60847.2023.00117</v>
      </c>
      <c r="BG688" t="s">
        <v>74</v>
      </c>
      <c r="BH688" t="s">
        <v>74</v>
      </c>
      <c r="BI688">
        <v>7</v>
      </c>
      <c r="BJ688" t="s">
        <v>6374</v>
      </c>
      <c r="BK688" t="s">
        <v>98</v>
      </c>
      <c r="BL688" t="s">
        <v>99</v>
      </c>
      <c r="BM688" t="s">
        <v>13163</v>
      </c>
      <c r="BN688" t="s">
        <v>74</v>
      </c>
      <c r="BO688" t="s">
        <v>74</v>
      </c>
      <c r="BP688" t="s">
        <v>74</v>
      </c>
      <c r="BQ688" t="s">
        <v>74</v>
      </c>
      <c r="BR688" t="s">
        <v>101</v>
      </c>
      <c r="BS688" t="s">
        <v>13164</v>
      </c>
      <c r="BT688" t="str">
        <f>HYPERLINK("https%3A%2F%2Fwww.webofscience.com%2Fwos%2Fwoscc%2Ffull-record%2FWOS:001164077500109","View Full Record in Web of Science")</f>
        <v>View Full Record in Web of Science</v>
      </c>
    </row>
    <row r="689" spans="1:72" x14ac:dyDescent="0.2">
      <c r="A689" t="s">
        <v>103</v>
      </c>
      <c r="B689" t="s">
        <v>13165</v>
      </c>
      <c r="C689" t="s">
        <v>74</v>
      </c>
      <c r="D689" t="s">
        <v>74</v>
      </c>
      <c r="E689" t="s">
        <v>74</v>
      </c>
      <c r="F689" t="s">
        <v>13166</v>
      </c>
      <c r="G689" t="s">
        <v>74</v>
      </c>
      <c r="H689" t="s">
        <v>74</v>
      </c>
      <c r="I689" t="s">
        <v>13167</v>
      </c>
      <c r="J689" t="s">
        <v>7329</v>
      </c>
      <c r="K689" t="s">
        <v>74</v>
      </c>
      <c r="L689" t="s">
        <v>74</v>
      </c>
      <c r="M689" t="s">
        <v>79</v>
      </c>
      <c r="N689" t="s">
        <v>108</v>
      </c>
      <c r="O689" t="s">
        <v>74</v>
      </c>
      <c r="P689" t="s">
        <v>74</v>
      </c>
      <c r="Q689" t="s">
        <v>74</v>
      </c>
      <c r="R689" t="s">
        <v>74</v>
      </c>
      <c r="S689" t="s">
        <v>74</v>
      </c>
      <c r="T689" t="s">
        <v>13168</v>
      </c>
      <c r="U689" t="s">
        <v>13169</v>
      </c>
      <c r="V689" t="s">
        <v>13170</v>
      </c>
      <c r="W689" t="s">
        <v>13171</v>
      </c>
      <c r="X689" t="s">
        <v>13172</v>
      </c>
      <c r="Y689" t="s">
        <v>12781</v>
      </c>
      <c r="Z689" t="s">
        <v>4372</v>
      </c>
      <c r="AA689" t="s">
        <v>13173</v>
      </c>
      <c r="AB689" t="s">
        <v>13174</v>
      </c>
      <c r="AC689" t="s">
        <v>13175</v>
      </c>
      <c r="AD689" t="s">
        <v>13176</v>
      </c>
      <c r="AE689" t="s">
        <v>13177</v>
      </c>
      <c r="AF689" t="s">
        <v>74</v>
      </c>
      <c r="AG689">
        <v>83</v>
      </c>
      <c r="AH689">
        <v>1</v>
      </c>
      <c r="AI689">
        <v>1</v>
      </c>
      <c r="AJ689">
        <v>24</v>
      </c>
      <c r="AK689">
        <v>24</v>
      </c>
      <c r="AL689" t="s">
        <v>3165</v>
      </c>
      <c r="AM689" t="s">
        <v>3166</v>
      </c>
      <c r="AN689" t="s">
        <v>3167</v>
      </c>
      <c r="AO689" t="s">
        <v>74</v>
      </c>
      <c r="AP689" t="s">
        <v>7341</v>
      </c>
      <c r="AQ689" t="s">
        <v>74</v>
      </c>
      <c r="AR689" t="s">
        <v>7342</v>
      </c>
      <c r="AS689" t="s">
        <v>7343</v>
      </c>
      <c r="AT689" t="s">
        <v>126</v>
      </c>
      <c r="AU689">
        <v>2024</v>
      </c>
      <c r="AV689">
        <v>11</v>
      </c>
      <c r="AW689">
        <v>10</v>
      </c>
      <c r="AX689" t="s">
        <v>74</v>
      </c>
      <c r="AY689" t="s">
        <v>74</v>
      </c>
      <c r="AZ689" t="s">
        <v>74</v>
      </c>
      <c r="BA689" t="s">
        <v>74</v>
      </c>
      <c r="BB689" t="s">
        <v>74</v>
      </c>
      <c r="BC689" t="s">
        <v>74</v>
      </c>
      <c r="BD689">
        <v>2306724</v>
      </c>
      <c r="BE689" t="s">
        <v>13178</v>
      </c>
      <c r="BF689" t="str">
        <f>HYPERLINK("http://dx.doi.org/10.1002/advs.202306724","http://dx.doi.org/10.1002/advs.202306724")</f>
        <v>http://dx.doi.org/10.1002/advs.202306724</v>
      </c>
      <c r="BG689" t="s">
        <v>74</v>
      </c>
      <c r="BH689" t="s">
        <v>128</v>
      </c>
      <c r="BI689">
        <v>16</v>
      </c>
      <c r="BJ689" t="s">
        <v>7346</v>
      </c>
      <c r="BK689" t="s">
        <v>130</v>
      </c>
      <c r="BL689" t="s">
        <v>7347</v>
      </c>
      <c r="BM689" t="s">
        <v>13179</v>
      </c>
      <c r="BN689">
        <v>38145334</v>
      </c>
      <c r="BO689" t="s">
        <v>1711</v>
      </c>
      <c r="BP689" t="s">
        <v>74</v>
      </c>
      <c r="BQ689" t="s">
        <v>74</v>
      </c>
      <c r="BR689" t="s">
        <v>101</v>
      </c>
      <c r="BS689" t="s">
        <v>13180</v>
      </c>
      <c r="BT689" t="str">
        <f>HYPERLINK("https%3A%2F%2Fwww.webofscience.com%2Fwos%2Fwoscc%2Ffull-record%2FWOS:001129453100001","View Full Record in Web of Science")</f>
        <v>View Full Record in Web of Science</v>
      </c>
    </row>
    <row r="690" spans="1:72" x14ac:dyDescent="0.2">
      <c r="A690" t="s">
        <v>103</v>
      </c>
      <c r="B690" t="s">
        <v>13181</v>
      </c>
      <c r="C690" t="s">
        <v>74</v>
      </c>
      <c r="D690" t="s">
        <v>74</v>
      </c>
      <c r="E690" t="s">
        <v>74</v>
      </c>
      <c r="F690" t="s">
        <v>13182</v>
      </c>
      <c r="G690" t="s">
        <v>74</v>
      </c>
      <c r="H690" t="s">
        <v>74</v>
      </c>
      <c r="I690" t="s">
        <v>13183</v>
      </c>
      <c r="J690" t="s">
        <v>824</v>
      </c>
      <c r="K690" t="s">
        <v>74</v>
      </c>
      <c r="L690" t="s">
        <v>74</v>
      </c>
      <c r="M690" t="s">
        <v>79</v>
      </c>
      <c r="N690" t="s">
        <v>108</v>
      </c>
      <c r="O690" t="s">
        <v>74</v>
      </c>
      <c r="P690" t="s">
        <v>74</v>
      </c>
      <c r="Q690" t="s">
        <v>74</v>
      </c>
      <c r="R690" t="s">
        <v>74</v>
      </c>
      <c r="S690" t="s">
        <v>74</v>
      </c>
      <c r="T690" t="s">
        <v>13184</v>
      </c>
      <c r="U690" t="s">
        <v>74</v>
      </c>
      <c r="V690" t="s">
        <v>13185</v>
      </c>
      <c r="W690" t="s">
        <v>13186</v>
      </c>
      <c r="X690" t="s">
        <v>13187</v>
      </c>
      <c r="Y690" t="s">
        <v>13188</v>
      </c>
      <c r="Z690" t="s">
        <v>13189</v>
      </c>
      <c r="AA690" t="s">
        <v>2343</v>
      </c>
      <c r="AB690" t="s">
        <v>2344</v>
      </c>
      <c r="AC690" t="s">
        <v>74</v>
      </c>
      <c r="AD690" t="s">
        <v>74</v>
      </c>
      <c r="AE690" t="s">
        <v>74</v>
      </c>
      <c r="AF690" t="s">
        <v>74</v>
      </c>
      <c r="AG690">
        <v>9</v>
      </c>
      <c r="AH690">
        <v>0</v>
      </c>
      <c r="AI690">
        <v>0</v>
      </c>
      <c r="AJ690">
        <v>7</v>
      </c>
      <c r="AK690">
        <v>7</v>
      </c>
      <c r="AL690" t="s">
        <v>833</v>
      </c>
      <c r="AM690" t="s">
        <v>834</v>
      </c>
      <c r="AN690" t="s">
        <v>835</v>
      </c>
      <c r="AO690" t="s">
        <v>836</v>
      </c>
      <c r="AP690" t="s">
        <v>837</v>
      </c>
      <c r="AQ690" t="s">
        <v>74</v>
      </c>
      <c r="AR690" t="s">
        <v>838</v>
      </c>
      <c r="AS690" t="s">
        <v>839</v>
      </c>
      <c r="AT690" t="s">
        <v>74</v>
      </c>
      <c r="AU690">
        <v>2023</v>
      </c>
      <c r="AV690">
        <v>39</v>
      </c>
      <c r="AW690">
        <v>6</v>
      </c>
      <c r="AX690" t="s">
        <v>74</v>
      </c>
      <c r="AY690" t="s">
        <v>74</v>
      </c>
      <c r="AZ690" t="s">
        <v>74</v>
      </c>
      <c r="BA690" t="s">
        <v>74</v>
      </c>
      <c r="BB690" t="s">
        <v>74</v>
      </c>
      <c r="BC690" t="s">
        <v>74</v>
      </c>
      <c r="BD690">
        <v>9277</v>
      </c>
      <c r="BE690" t="s">
        <v>13190</v>
      </c>
      <c r="BF690" t="str">
        <f>HYPERLINK("http://dx.doi.org/10.14742/ajet.9277","http://dx.doi.org/10.14742/ajet.9277")</f>
        <v>http://dx.doi.org/10.14742/ajet.9277</v>
      </c>
      <c r="BG690" t="s">
        <v>74</v>
      </c>
      <c r="BH690" t="s">
        <v>74</v>
      </c>
      <c r="BI690">
        <v>8</v>
      </c>
      <c r="BJ690" t="s">
        <v>423</v>
      </c>
      <c r="BK690" t="s">
        <v>159</v>
      </c>
      <c r="BL690" t="s">
        <v>423</v>
      </c>
      <c r="BM690" t="s">
        <v>13191</v>
      </c>
      <c r="BN690" t="s">
        <v>74</v>
      </c>
      <c r="BO690" t="s">
        <v>425</v>
      </c>
      <c r="BP690" t="s">
        <v>74</v>
      </c>
      <c r="BQ690" t="s">
        <v>74</v>
      </c>
      <c r="BR690" t="s">
        <v>101</v>
      </c>
      <c r="BS690" t="s">
        <v>13192</v>
      </c>
      <c r="BT690" t="str">
        <f>HYPERLINK("https%3A%2F%2Fwww.webofscience.com%2Fwos%2Fwoscc%2Ffull-record%2FWOS:001137353900005","View Full Record in Web of Science")</f>
        <v>View Full Record in Web of Science</v>
      </c>
    </row>
    <row r="691" spans="1:72" x14ac:dyDescent="0.2">
      <c r="A691" t="s">
        <v>103</v>
      </c>
      <c r="B691" t="s">
        <v>13193</v>
      </c>
      <c r="C691" t="s">
        <v>74</v>
      </c>
      <c r="D691" t="s">
        <v>74</v>
      </c>
      <c r="E691" t="s">
        <v>74</v>
      </c>
      <c r="F691" t="s">
        <v>13194</v>
      </c>
      <c r="G691" t="s">
        <v>74</v>
      </c>
      <c r="H691" t="s">
        <v>74</v>
      </c>
      <c r="I691" t="s">
        <v>13195</v>
      </c>
      <c r="J691" t="s">
        <v>13196</v>
      </c>
      <c r="K691" t="s">
        <v>74</v>
      </c>
      <c r="L691" t="s">
        <v>74</v>
      </c>
      <c r="M691" t="s">
        <v>79</v>
      </c>
      <c r="N691" t="s">
        <v>108</v>
      </c>
      <c r="O691" t="s">
        <v>74</v>
      </c>
      <c r="P691" t="s">
        <v>74</v>
      </c>
      <c r="Q691" t="s">
        <v>74</v>
      </c>
      <c r="R691" t="s">
        <v>74</v>
      </c>
      <c r="S691" t="s">
        <v>74</v>
      </c>
      <c r="T691" t="s">
        <v>74</v>
      </c>
      <c r="U691" t="s">
        <v>74</v>
      </c>
      <c r="V691" t="s">
        <v>13197</v>
      </c>
      <c r="W691" t="s">
        <v>13198</v>
      </c>
      <c r="X691" t="s">
        <v>13199</v>
      </c>
      <c r="Y691" t="s">
        <v>13200</v>
      </c>
      <c r="Z691" t="s">
        <v>74</v>
      </c>
      <c r="AA691" t="s">
        <v>74</v>
      </c>
      <c r="AB691" t="s">
        <v>74</v>
      </c>
      <c r="AC691" t="s">
        <v>74</v>
      </c>
      <c r="AD691" t="s">
        <v>74</v>
      </c>
      <c r="AE691" t="s">
        <v>74</v>
      </c>
      <c r="AF691" t="s">
        <v>74</v>
      </c>
      <c r="AG691">
        <v>10</v>
      </c>
      <c r="AH691">
        <v>0</v>
      </c>
      <c r="AI691">
        <v>0</v>
      </c>
      <c r="AJ691">
        <v>1</v>
      </c>
      <c r="AK691">
        <v>1</v>
      </c>
      <c r="AL691" t="s">
        <v>13201</v>
      </c>
      <c r="AM691" t="s">
        <v>221</v>
      </c>
      <c r="AN691" t="s">
        <v>13202</v>
      </c>
      <c r="AO691" t="s">
        <v>13203</v>
      </c>
      <c r="AP691" t="s">
        <v>74</v>
      </c>
      <c r="AQ691" t="s">
        <v>74</v>
      </c>
      <c r="AR691" t="s">
        <v>13204</v>
      </c>
      <c r="AS691" t="s">
        <v>13205</v>
      </c>
      <c r="AT691" t="s">
        <v>527</v>
      </c>
      <c r="AU691">
        <v>2023</v>
      </c>
      <c r="AV691">
        <v>11</v>
      </c>
      <c r="AW691">
        <v>12</v>
      </c>
      <c r="AX691" t="s">
        <v>74</v>
      </c>
      <c r="AY691" t="s">
        <v>74</v>
      </c>
      <c r="AZ691" t="s">
        <v>74</v>
      </c>
      <c r="BA691" t="s">
        <v>74</v>
      </c>
      <c r="BB691" t="s">
        <v>74</v>
      </c>
      <c r="BC691" t="s">
        <v>74</v>
      </c>
      <c r="BD691" t="s">
        <v>13206</v>
      </c>
      <c r="BE691" t="s">
        <v>13207</v>
      </c>
      <c r="BF691" t="str">
        <f>HYPERLINK("http://dx.doi.org/10.1097/GOX.0000000000005471","http://dx.doi.org/10.1097/GOX.0000000000005471")</f>
        <v>http://dx.doi.org/10.1097/GOX.0000000000005471</v>
      </c>
      <c r="BG691" t="s">
        <v>74</v>
      </c>
      <c r="BH691" t="s">
        <v>74</v>
      </c>
      <c r="BI691">
        <v>3</v>
      </c>
      <c r="BJ691" t="s">
        <v>13208</v>
      </c>
      <c r="BK691" t="s">
        <v>352</v>
      </c>
      <c r="BL691" t="s">
        <v>13208</v>
      </c>
      <c r="BM691" t="s">
        <v>13209</v>
      </c>
      <c r="BN691">
        <v>38093728</v>
      </c>
      <c r="BO691" t="s">
        <v>425</v>
      </c>
      <c r="BP691" t="s">
        <v>74</v>
      </c>
      <c r="BQ691" t="s">
        <v>74</v>
      </c>
      <c r="BR691" t="s">
        <v>101</v>
      </c>
      <c r="BS691" t="s">
        <v>13210</v>
      </c>
      <c r="BT691" t="str">
        <f>HYPERLINK("https%3A%2F%2Fwww.webofscience.com%2Fwos%2Fwoscc%2Ffull-record%2FWOS:001123756300001","View Full Record in Web of Science")</f>
        <v>View Full Record in Web of Science</v>
      </c>
    </row>
    <row r="692" spans="1:72" x14ac:dyDescent="0.2">
      <c r="A692" t="s">
        <v>72</v>
      </c>
      <c r="B692" t="s">
        <v>13211</v>
      </c>
      <c r="C692" t="s">
        <v>74</v>
      </c>
      <c r="D692" t="s">
        <v>13212</v>
      </c>
      <c r="E692" t="s">
        <v>74</v>
      </c>
      <c r="F692" t="s">
        <v>13213</v>
      </c>
      <c r="G692" t="s">
        <v>74</v>
      </c>
      <c r="H692" t="s">
        <v>74</v>
      </c>
      <c r="I692" t="s">
        <v>13214</v>
      </c>
      <c r="J692" t="s">
        <v>13215</v>
      </c>
      <c r="K692" t="s">
        <v>1034</v>
      </c>
      <c r="L692" t="s">
        <v>74</v>
      </c>
      <c r="M692" t="s">
        <v>79</v>
      </c>
      <c r="N692" t="s">
        <v>80</v>
      </c>
      <c r="O692" t="s">
        <v>13216</v>
      </c>
      <c r="P692" t="s">
        <v>13217</v>
      </c>
      <c r="Q692" t="s">
        <v>13218</v>
      </c>
      <c r="R692" t="s">
        <v>13219</v>
      </c>
      <c r="S692" t="s">
        <v>74</v>
      </c>
      <c r="T692" t="s">
        <v>13220</v>
      </c>
      <c r="U692" t="s">
        <v>13221</v>
      </c>
      <c r="V692" t="s">
        <v>13222</v>
      </c>
      <c r="W692" t="s">
        <v>13223</v>
      </c>
      <c r="X692" t="s">
        <v>13224</v>
      </c>
      <c r="Y692" t="s">
        <v>13225</v>
      </c>
      <c r="Z692" t="s">
        <v>13226</v>
      </c>
      <c r="AA692" t="s">
        <v>74</v>
      </c>
      <c r="AB692" t="s">
        <v>74</v>
      </c>
      <c r="AC692" t="s">
        <v>13227</v>
      </c>
      <c r="AD692" t="s">
        <v>13228</v>
      </c>
      <c r="AE692" t="s">
        <v>13229</v>
      </c>
      <c r="AF692" t="s">
        <v>74</v>
      </c>
      <c r="AG692">
        <v>53</v>
      </c>
      <c r="AH692">
        <v>0</v>
      </c>
      <c r="AI692">
        <v>0</v>
      </c>
      <c r="AJ692">
        <v>0</v>
      </c>
      <c r="AK692">
        <v>0</v>
      </c>
      <c r="AL692" t="s">
        <v>325</v>
      </c>
      <c r="AM692" t="s">
        <v>245</v>
      </c>
      <c r="AN692" t="s">
        <v>246</v>
      </c>
      <c r="AO692" t="s">
        <v>1042</v>
      </c>
      <c r="AP692" t="s">
        <v>327</v>
      </c>
      <c r="AQ692" t="s">
        <v>13230</v>
      </c>
      <c r="AR692" t="s">
        <v>1044</v>
      </c>
      <c r="AS692" t="s">
        <v>74</v>
      </c>
      <c r="AT692" t="s">
        <v>74</v>
      </c>
      <c r="AU692">
        <v>2023</v>
      </c>
      <c r="AV692">
        <v>14116</v>
      </c>
      <c r="AW692" t="s">
        <v>74</v>
      </c>
      <c r="AX692" t="s">
        <v>74</v>
      </c>
      <c r="AY692" t="s">
        <v>74</v>
      </c>
      <c r="AZ692" t="s">
        <v>74</v>
      </c>
      <c r="BA692" t="s">
        <v>74</v>
      </c>
      <c r="BB692">
        <v>15</v>
      </c>
      <c r="BC692">
        <v>29</v>
      </c>
      <c r="BD692" t="s">
        <v>74</v>
      </c>
      <c r="BE692" t="s">
        <v>13231</v>
      </c>
      <c r="BF692" t="str">
        <f>HYPERLINK("http://dx.doi.org/10.1007/978-3-031-49011-8_2","http://dx.doi.org/10.1007/978-3-031-49011-8_2")</f>
        <v>http://dx.doi.org/10.1007/978-3-031-49011-8_2</v>
      </c>
      <c r="BG692" t="s">
        <v>74</v>
      </c>
      <c r="BH692" t="s">
        <v>74</v>
      </c>
      <c r="BI692">
        <v>15</v>
      </c>
      <c r="BJ692" t="s">
        <v>331</v>
      </c>
      <c r="BK692" t="s">
        <v>98</v>
      </c>
      <c r="BL692" t="s">
        <v>99</v>
      </c>
      <c r="BM692" t="s">
        <v>13232</v>
      </c>
      <c r="BN692" t="s">
        <v>74</v>
      </c>
      <c r="BO692" t="s">
        <v>646</v>
      </c>
      <c r="BP692" t="s">
        <v>74</v>
      </c>
      <c r="BQ692" t="s">
        <v>74</v>
      </c>
      <c r="BR692" t="s">
        <v>101</v>
      </c>
      <c r="BS692" t="s">
        <v>13233</v>
      </c>
      <c r="BT692" t="str">
        <f>HYPERLINK("https%3A%2F%2Fwww.webofscience.com%2Fwos%2Fwoscc%2Ffull-record%2FWOS:001160568000002","View Full Record in Web of Science")</f>
        <v>View Full Record in Web of Science</v>
      </c>
    </row>
    <row r="693" spans="1:72" x14ac:dyDescent="0.2">
      <c r="A693" t="s">
        <v>72</v>
      </c>
      <c r="B693" t="s">
        <v>13234</v>
      </c>
      <c r="C693" t="s">
        <v>74</v>
      </c>
      <c r="D693" t="s">
        <v>74</v>
      </c>
      <c r="E693" t="s">
        <v>75</v>
      </c>
      <c r="F693" t="s">
        <v>13235</v>
      </c>
      <c r="G693" t="s">
        <v>74</v>
      </c>
      <c r="H693" t="s">
        <v>74</v>
      </c>
      <c r="I693" t="s">
        <v>13236</v>
      </c>
      <c r="J693" t="s">
        <v>1636</v>
      </c>
      <c r="K693" t="s">
        <v>74</v>
      </c>
      <c r="L693" t="s">
        <v>74</v>
      </c>
      <c r="M693" t="s">
        <v>79</v>
      </c>
      <c r="N693" t="s">
        <v>80</v>
      </c>
      <c r="O693" t="s">
        <v>1637</v>
      </c>
      <c r="P693" t="s">
        <v>1638</v>
      </c>
      <c r="Q693" t="s">
        <v>1639</v>
      </c>
      <c r="R693" t="s">
        <v>1640</v>
      </c>
      <c r="S693" t="s">
        <v>74</v>
      </c>
      <c r="T693" t="s">
        <v>13237</v>
      </c>
      <c r="U693" t="s">
        <v>13238</v>
      </c>
      <c r="V693" t="s">
        <v>13239</v>
      </c>
      <c r="W693" t="s">
        <v>13240</v>
      </c>
      <c r="X693" t="s">
        <v>13241</v>
      </c>
      <c r="Y693" t="s">
        <v>13242</v>
      </c>
      <c r="Z693" t="s">
        <v>13243</v>
      </c>
      <c r="AA693" t="s">
        <v>74</v>
      </c>
      <c r="AB693" t="s">
        <v>13244</v>
      </c>
      <c r="AC693" t="s">
        <v>13245</v>
      </c>
      <c r="AD693" t="s">
        <v>13246</v>
      </c>
      <c r="AE693" t="s">
        <v>13247</v>
      </c>
      <c r="AF693" t="s">
        <v>74</v>
      </c>
      <c r="AG693">
        <v>50</v>
      </c>
      <c r="AH693">
        <v>0</v>
      </c>
      <c r="AI693">
        <v>0</v>
      </c>
      <c r="AJ693">
        <v>11</v>
      </c>
      <c r="AK693">
        <v>11</v>
      </c>
      <c r="AL693" t="s">
        <v>92</v>
      </c>
      <c r="AM693" t="s">
        <v>93</v>
      </c>
      <c r="AN693" t="s">
        <v>94</v>
      </c>
      <c r="AO693" t="s">
        <v>74</v>
      </c>
      <c r="AP693" t="s">
        <v>74</v>
      </c>
      <c r="AQ693" t="s">
        <v>1651</v>
      </c>
      <c r="AR693" t="s">
        <v>74</v>
      </c>
      <c r="AS693" t="s">
        <v>74</v>
      </c>
      <c r="AT693" t="s">
        <v>74</v>
      </c>
      <c r="AU693">
        <v>2023</v>
      </c>
      <c r="AV693" t="s">
        <v>74</v>
      </c>
      <c r="AW693" t="s">
        <v>74</v>
      </c>
      <c r="AX693" t="s">
        <v>74</v>
      </c>
      <c r="AY693" t="s">
        <v>74</v>
      </c>
      <c r="AZ693" t="s">
        <v>74</v>
      </c>
      <c r="BA693" t="s">
        <v>74</v>
      </c>
      <c r="BB693" t="s">
        <v>74</v>
      </c>
      <c r="BC693" t="s">
        <v>74</v>
      </c>
      <c r="BD693" t="s">
        <v>74</v>
      </c>
      <c r="BE693" t="s">
        <v>13248</v>
      </c>
      <c r="BF693" t="str">
        <f>HYPERLINK("http://dx.doi.org/10.1145/3544548.3581377","http://dx.doi.org/10.1145/3544548.3581377")</f>
        <v>http://dx.doi.org/10.1145/3544548.3581377</v>
      </c>
      <c r="BG693" t="s">
        <v>74</v>
      </c>
      <c r="BH693" t="s">
        <v>74</v>
      </c>
      <c r="BI693">
        <v>16</v>
      </c>
      <c r="BJ693" t="s">
        <v>1653</v>
      </c>
      <c r="BK693" t="s">
        <v>98</v>
      </c>
      <c r="BL693" t="s">
        <v>1654</v>
      </c>
      <c r="BM693" t="s">
        <v>1655</v>
      </c>
      <c r="BN693" t="s">
        <v>74</v>
      </c>
      <c r="BO693" t="s">
        <v>74</v>
      </c>
      <c r="BP693" t="s">
        <v>74</v>
      </c>
      <c r="BQ693" t="s">
        <v>74</v>
      </c>
      <c r="BR693" t="s">
        <v>101</v>
      </c>
      <c r="BS693" t="s">
        <v>13249</v>
      </c>
      <c r="BT693" t="str">
        <f>HYPERLINK("https%3A%2F%2Fwww.webofscience.com%2Fwos%2Fwoscc%2Ffull-record%2FWOS:001048393804025","View Full Record in Web of Science")</f>
        <v>View Full Record in Web of Science</v>
      </c>
    </row>
    <row r="694" spans="1:72" x14ac:dyDescent="0.2">
      <c r="A694" t="s">
        <v>103</v>
      </c>
      <c r="B694" t="s">
        <v>13250</v>
      </c>
      <c r="C694" t="s">
        <v>74</v>
      </c>
      <c r="D694" t="s">
        <v>74</v>
      </c>
      <c r="E694" t="s">
        <v>74</v>
      </c>
      <c r="F694" t="s">
        <v>13251</v>
      </c>
      <c r="G694" t="s">
        <v>74</v>
      </c>
      <c r="H694" t="s">
        <v>74</v>
      </c>
      <c r="I694" t="s">
        <v>13252</v>
      </c>
      <c r="J694" t="s">
        <v>13253</v>
      </c>
      <c r="K694" t="s">
        <v>74</v>
      </c>
      <c r="L694" t="s">
        <v>74</v>
      </c>
      <c r="M694" t="s">
        <v>79</v>
      </c>
      <c r="N694" t="s">
        <v>138</v>
      </c>
      <c r="O694" t="s">
        <v>74</v>
      </c>
      <c r="P694" t="s">
        <v>74</v>
      </c>
      <c r="Q694" t="s">
        <v>74</v>
      </c>
      <c r="R694" t="s">
        <v>74</v>
      </c>
      <c r="S694" t="s">
        <v>74</v>
      </c>
      <c r="T694" t="s">
        <v>13254</v>
      </c>
      <c r="U694" t="s">
        <v>13255</v>
      </c>
      <c r="V694" t="s">
        <v>13256</v>
      </c>
      <c r="W694" t="s">
        <v>13257</v>
      </c>
      <c r="X694" t="s">
        <v>13258</v>
      </c>
      <c r="Y694" t="s">
        <v>13259</v>
      </c>
      <c r="Z694" t="s">
        <v>13260</v>
      </c>
      <c r="AA694" t="s">
        <v>13261</v>
      </c>
      <c r="AB694" t="s">
        <v>13262</v>
      </c>
      <c r="AC694" t="s">
        <v>74</v>
      </c>
      <c r="AD694" t="s">
        <v>74</v>
      </c>
      <c r="AE694" t="s">
        <v>74</v>
      </c>
      <c r="AF694" t="s">
        <v>74</v>
      </c>
      <c r="AG694">
        <v>118</v>
      </c>
      <c r="AH694">
        <v>0</v>
      </c>
      <c r="AI694">
        <v>0</v>
      </c>
      <c r="AJ694">
        <v>33</v>
      </c>
      <c r="AK694">
        <v>33</v>
      </c>
      <c r="AL694" t="s">
        <v>483</v>
      </c>
      <c r="AM694" t="s">
        <v>484</v>
      </c>
      <c r="AN694" t="s">
        <v>485</v>
      </c>
      <c r="AO694" t="s">
        <v>13263</v>
      </c>
      <c r="AP694" t="s">
        <v>13264</v>
      </c>
      <c r="AQ694" t="s">
        <v>74</v>
      </c>
      <c r="AR694" t="s">
        <v>13265</v>
      </c>
      <c r="AS694" t="s">
        <v>13266</v>
      </c>
      <c r="AT694" t="s">
        <v>13267</v>
      </c>
      <c r="AU694">
        <v>2023</v>
      </c>
      <c r="AV694" t="s">
        <v>74</v>
      </c>
      <c r="AW694" t="s">
        <v>74</v>
      </c>
      <c r="AX694" t="s">
        <v>74</v>
      </c>
      <c r="AY694" t="s">
        <v>74</v>
      </c>
      <c r="AZ694" t="s">
        <v>74</v>
      </c>
      <c r="BA694" t="s">
        <v>74</v>
      </c>
      <c r="BB694" t="s">
        <v>74</v>
      </c>
      <c r="BC694" t="s">
        <v>74</v>
      </c>
      <c r="BD694" t="s">
        <v>74</v>
      </c>
      <c r="BE694" t="s">
        <v>13268</v>
      </c>
      <c r="BF694" t="str">
        <f>HYPERLINK("http://dx.doi.org/10.1108/ITSE-07-2023-0127","http://dx.doi.org/10.1108/ITSE-07-2023-0127")</f>
        <v>http://dx.doi.org/10.1108/ITSE-07-2023-0127</v>
      </c>
      <c r="BG694" t="s">
        <v>74</v>
      </c>
      <c r="BH694" t="s">
        <v>128</v>
      </c>
      <c r="BI694">
        <v>36</v>
      </c>
      <c r="BJ694" t="s">
        <v>423</v>
      </c>
      <c r="BK694" t="s">
        <v>352</v>
      </c>
      <c r="BL694" t="s">
        <v>423</v>
      </c>
      <c r="BM694" t="s">
        <v>13269</v>
      </c>
      <c r="BN694" t="s">
        <v>74</v>
      </c>
      <c r="BO694" t="s">
        <v>74</v>
      </c>
      <c r="BP694" t="s">
        <v>74</v>
      </c>
      <c r="BQ694" t="s">
        <v>74</v>
      </c>
      <c r="BR694" t="s">
        <v>101</v>
      </c>
      <c r="BS694" t="s">
        <v>13270</v>
      </c>
      <c r="BT694" t="str">
        <f>HYPERLINK("https%3A%2F%2Fwww.webofscience.com%2Fwos%2Fwoscc%2Ffull-record%2FWOS:001127501200001","View Full Record in Web of Science")</f>
        <v>View Full Record in Web of Science</v>
      </c>
    </row>
    <row r="695" spans="1:72" x14ac:dyDescent="0.2">
      <c r="A695" t="s">
        <v>72</v>
      </c>
      <c r="B695" t="s">
        <v>13271</v>
      </c>
      <c r="C695" t="s">
        <v>74</v>
      </c>
      <c r="D695" t="s">
        <v>13272</v>
      </c>
      <c r="E695" t="s">
        <v>74</v>
      </c>
      <c r="F695" t="s">
        <v>13273</v>
      </c>
      <c r="G695" t="s">
        <v>74</v>
      </c>
      <c r="H695" t="s">
        <v>74</v>
      </c>
      <c r="I695" t="s">
        <v>13274</v>
      </c>
      <c r="J695" t="s">
        <v>13275</v>
      </c>
      <c r="K695" t="s">
        <v>13276</v>
      </c>
      <c r="L695" t="s">
        <v>74</v>
      </c>
      <c r="M695" t="s">
        <v>79</v>
      </c>
      <c r="N695" t="s">
        <v>80</v>
      </c>
      <c r="O695" t="s">
        <v>13277</v>
      </c>
      <c r="P695" t="s">
        <v>13278</v>
      </c>
      <c r="Q695" t="s">
        <v>13279</v>
      </c>
      <c r="R695" t="s">
        <v>959</v>
      </c>
      <c r="S695" t="s">
        <v>13280</v>
      </c>
      <c r="T695" t="s">
        <v>13281</v>
      </c>
      <c r="U695" t="s">
        <v>74</v>
      </c>
      <c r="V695" t="s">
        <v>13282</v>
      </c>
      <c r="W695" t="s">
        <v>13283</v>
      </c>
      <c r="X695" t="s">
        <v>13284</v>
      </c>
      <c r="Y695" t="s">
        <v>13285</v>
      </c>
      <c r="Z695" t="s">
        <v>13286</v>
      </c>
      <c r="AA695" t="s">
        <v>13287</v>
      </c>
      <c r="AB695" t="s">
        <v>13288</v>
      </c>
      <c r="AC695" t="s">
        <v>74</v>
      </c>
      <c r="AD695" t="s">
        <v>74</v>
      </c>
      <c r="AE695" t="s">
        <v>74</v>
      </c>
      <c r="AF695" t="s">
        <v>74</v>
      </c>
      <c r="AG695">
        <v>31</v>
      </c>
      <c r="AH695">
        <v>2</v>
      </c>
      <c r="AI695">
        <v>2</v>
      </c>
      <c r="AJ695">
        <v>20</v>
      </c>
      <c r="AK695">
        <v>20</v>
      </c>
      <c r="AL695" t="s">
        <v>638</v>
      </c>
      <c r="AM695" t="s">
        <v>639</v>
      </c>
      <c r="AN695" t="s">
        <v>640</v>
      </c>
      <c r="AO695" t="s">
        <v>13289</v>
      </c>
      <c r="AP695" t="s">
        <v>74</v>
      </c>
      <c r="AQ695" t="s">
        <v>13290</v>
      </c>
      <c r="AR695" t="s">
        <v>13291</v>
      </c>
      <c r="AS695" t="s">
        <v>74</v>
      </c>
      <c r="AT695" t="s">
        <v>74</v>
      </c>
      <c r="AU695">
        <v>2023</v>
      </c>
      <c r="AV695" t="s">
        <v>74</v>
      </c>
      <c r="AW695" t="s">
        <v>74</v>
      </c>
      <c r="AX695" t="s">
        <v>74</v>
      </c>
      <c r="AY695" t="s">
        <v>74</v>
      </c>
      <c r="AZ695" t="s">
        <v>74</v>
      </c>
      <c r="BA695" t="s">
        <v>74</v>
      </c>
      <c r="BB695">
        <v>876</v>
      </c>
      <c r="BC695">
        <v>885</v>
      </c>
      <c r="BD695" t="s">
        <v>74</v>
      </c>
      <c r="BE695" t="s">
        <v>13292</v>
      </c>
      <c r="BF695" t="str">
        <f>HYPERLINK("http://dx.doi.org/10.1109/COMPSAC57700.2023.00117","http://dx.doi.org/10.1109/COMPSAC57700.2023.00117")</f>
        <v>http://dx.doi.org/10.1109/COMPSAC57700.2023.00117</v>
      </c>
      <c r="BG695" t="s">
        <v>74</v>
      </c>
      <c r="BH695" t="s">
        <v>74</v>
      </c>
      <c r="BI695">
        <v>10</v>
      </c>
      <c r="BJ695" t="s">
        <v>994</v>
      </c>
      <c r="BK695" t="s">
        <v>98</v>
      </c>
      <c r="BL695" t="s">
        <v>99</v>
      </c>
      <c r="BM695" t="s">
        <v>13293</v>
      </c>
      <c r="BN695" t="s">
        <v>74</v>
      </c>
      <c r="BO695" t="s">
        <v>74</v>
      </c>
      <c r="BP695" t="s">
        <v>74</v>
      </c>
      <c r="BQ695" t="s">
        <v>74</v>
      </c>
      <c r="BR695" t="s">
        <v>101</v>
      </c>
      <c r="BS695" t="s">
        <v>13294</v>
      </c>
      <c r="BT695" t="str">
        <f>HYPERLINK("https%3A%2F%2Fwww.webofscience.com%2Fwos%2Fwoscc%2Ffull-record%2FWOS:001046484100107","View Full Record in Web of Science")</f>
        <v>View Full Record in Web of Science</v>
      </c>
    </row>
    <row r="696" spans="1:72" x14ac:dyDescent="0.2">
      <c r="A696" t="s">
        <v>72</v>
      </c>
      <c r="B696" t="s">
        <v>13295</v>
      </c>
      <c r="C696" t="s">
        <v>74</v>
      </c>
      <c r="D696" t="s">
        <v>74</v>
      </c>
      <c r="E696" t="s">
        <v>13296</v>
      </c>
      <c r="F696" t="s">
        <v>13297</v>
      </c>
      <c r="G696" t="s">
        <v>74</v>
      </c>
      <c r="H696" t="s">
        <v>74</v>
      </c>
      <c r="I696" t="s">
        <v>13298</v>
      </c>
      <c r="J696" t="s">
        <v>13299</v>
      </c>
      <c r="K696" t="s">
        <v>13300</v>
      </c>
      <c r="L696" t="s">
        <v>74</v>
      </c>
      <c r="M696" t="s">
        <v>79</v>
      </c>
      <c r="N696" t="s">
        <v>80</v>
      </c>
      <c r="O696" t="s">
        <v>13301</v>
      </c>
      <c r="P696" t="s">
        <v>13302</v>
      </c>
      <c r="Q696" t="s">
        <v>169</v>
      </c>
      <c r="R696" t="s">
        <v>13303</v>
      </c>
      <c r="S696" t="s">
        <v>74</v>
      </c>
      <c r="T696" t="s">
        <v>74</v>
      </c>
      <c r="U696" t="s">
        <v>74</v>
      </c>
      <c r="V696" t="s">
        <v>13304</v>
      </c>
      <c r="W696" t="s">
        <v>13305</v>
      </c>
      <c r="X696" t="s">
        <v>13306</v>
      </c>
      <c r="Y696" t="s">
        <v>13307</v>
      </c>
      <c r="Z696" t="s">
        <v>13308</v>
      </c>
      <c r="AA696" t="s">
        <v>74</v>
      </c>
      <c r="AB696" t="s">
        <v>13309</v>
      </c>
      <c r="AC696" t="s">
        <v>13310</v>
      </c>
      <c r="AD696" t="s">
        <v>13311</v>
      </c>
      <c r="AE696" t="s">
        <v>13312</v>
      </c>
      <c r="AF696" t="s">
        <v>74</v>
      </c>
      <c r="AG696">
        <v>9</v>
      </c>
      <c r="AH696">
        <v>4</v>
      </c>
      <c r="AI696">
        <v>4</v>
      </c>
      <c r="AJ696">
        <v>2</v>
      </c>
      <c r="AK696">
        <v>3</v>
      </c>
      <c r="AL696" t="s">
        <v>13313</v>
      </c>
      <c r="AM696" t="s">
        <v>1451</v>
      </c>
      <c r="AN696" t="s">
        <v>13314</v>
      </c>
      <c r="AO696" t="s">
        <v>13315</v>
      </c>
      <c r="AP696" t="s">
        <v>13316</v>
      </c>
      <c r="AQ696" t="s">
        <v>74</v>
      </c>
      <c r="AR696" t="s">
        <v>13317</v>
      </c>
      <c r="AS696" t="s">
        <v>74</v>
      </c>
      <c r="AT696" t="s">
        <v>74</v>
      </c>
      <c r="AU696">
        <v>2023</v>
      </c>
      <c r="AV696">
        <v>2438</v>
      </c>
      <c r="AW696" t="s">
        <v>74</v>
      </c>
      <c r="AX696" t="s">
        <v>74</v>
      </c>
      <c r="AY696" t="s">
        <v>74</v>
      </c>
      <c r="AZ696" t="s">
        <v>74</v>
      </c>
      <c r="BA696" t="s">
        <v>74</v>
      </c>
      <c r="BB696" t="s">
        <v>74</v>
      </c>
      <c r="BC696" t="s">
        <v>74</v>
      </c>
      <c r="BD696">
        <v>12093</v>
      </c>
      <c r="BE696" t="s">
        <v>13318</v>
      </c>
      <c r="BF696" t="str">
        <f>HYPERLINK("http://dx.doi.org/10.1088/1742-6596/2438/1/012093","http://dx.doi.org/10.1088/1742-6596/2438/1/012093")</f>
        <v>http://dx.doi.org/10.1088/1742-6596/2438/1/012093</v>
      </c>
      <c r="BG696" t="s">
        <v>74</v>
      </c>
      <c r="BH696" t="s">
        <v>74</v>
      </c>
      <c r="BI696">
        <v>6</v>
      </c>
      <c r="BJ696" t="s">
        <v>13319</v>
      </c>
      <c r="BK696" t="s">
        <v>98</v>
      </c>
      <c r="BL696" t="s">
        <v>13320</v>
      </c>
      <c r="BM696" t="s">
        <v>13321</v>
      </c>
      <c r="BN696" t="s">
        <v>74</v>
      </c>
      <c r="BO696" t="s">
        <v>3503</v>
      </c>
      <c r="BP696" t="s">
        <v>74</v>
      </c>
      <c r="BQ696" t="s">
        <v>74</v>
      </c>
      <c r="BR696" t="s">
        <v>101</v>
      </c>
      <c r="BS696" t="s">
        <v>13322</v>
      </c>
      <c r="BT696" t="str">
        <f>HYPERLINK("https%3A%2F%2Fwww.webofscience.com%2Fwos%2Fwoscc%2Ffull-record%2FWOS:001026601300093","View Full Record in Web of Science")</f>
        <v>View Full Record in Web of Science</v>
      </c>
    </row>
    <row r="697" spans="1:72" x14ac:dyDescent="0.2">
      <c r="A697" t="s">
        <v>103</v>
      </c>
      <c r="B697" t="s">
        <v>13323</v>
      </c>
      <c r="C697" t="s">
        <v>74</v>
      </c>
      <c r="D697" t="s">
        <v>74</v>
      </c>
      <c r="E697" t="s">
        <v>74</v>
      </c>
      <c r="F697" t="s">
        <v>13324</v>
      </c>
      <c r="G697" t="s">
        <v>74</v>
      </c>
      <c r="H697" t="s">
        <v>74</v>
      </c>
      <c r="I697" t="s">
        <v>13325</v>
      </c>
      <c r="J697" t="s">
        <v>13326</v>
      </c>
      <c r="K697" t="s">
        <v>74</v>
      </c>
      <c r="L697" t="s">
        <v>74</v>
      </c>
      <c r="M697" t="s">
        <v>79</v>
      </c>
      <c r="N697" t="s">
        <v>138</v>
      </c>
      <c r="O697" t="s">
        <v>74</v>
      </c>
      <c r="P697" t="s">
        <v>74</v>
      </c>
      <c r="Q697" t="s">
        <v>74</v>
      </c>
      <c r="R697" t="s">
        <v>74</v>
      </c>
      <c r="S697" t="s">
        <v>74</v>
      </c>
      <c r="T697" t="s">
        <v>13327</v>
      </c>
      <c r="U697" t="s">
        <v>74</v>
      </c>
      <c r="V697" t="s">
        <v>13328</v>
      </c>
      <c r="W697" t="s">
        <v>13329</v>
      </c>
      <c r="X697" t="s">
        <v>13330</v>
      </c>
      <c r="Y697" t="s">
        <v>13331</v>
      </c>
      <c r="Z697" t="s">
        <v>13332</v>
      </c>
      <c r="AA697" t="s">
        <v>13333</v>
      </c>
      <c r="AB697" t="s">
        <v>13334</v>
      </c>
      <c r="AC697" t="s">
        <v>74</v>
      </c>
      <c r="AD697" t="s">
        <v>74</v>
      </c>
      <c r="AE697" t="s">
        <v>74</v>
      </c>
      <c r="AF697" t="s">
        <v>74</v>
      </c>
      <c r="AG697">
        <v>2</v>
      </c>
      <c r="AH697">
        <v>2</v>
      </c>
      <c r="AI697">
        <v>2</v>
      </c>
      <c r="AJ697">
        <v>27</v>
      </c>
      <c r="AK697">
        <v>38</v>
      </c>
      <c r="AL697" t="s">
        <v>483</v>
      </c>
      <c r="AM697" t="s">
        <v>5519</v>
      </c>
      <c r="AN697" t="s">
        <v>5520</v>
      </c>
      <c r="AO697" t="s">
        <v>13335</v>
      </c>
      <c r="AP697" t="s">
        <v>13336</v>
      </c>
      <c r="AQ697" t="s">
        <v>74</v>
      </c>
      <c r="AR697" t="s">
        <v>13337</v>
      </c>
      <c r="AS697" t="s">
        <v>13338</v>
      </c>
      <c r="AT697" t="s">
        <v>13339</v>
      </c>
      <c r="AU697">
        <v>2023</v>
      </c>
      <c r="AV697" t="s">
        <v>74</v>
      </c>
      <c r="AW697" t="s">
        <v>74</v>
      </c>
      <c r="AX697" t="s">
        <v>74</v>
      </c>
      <c r="AY697" t="s">
        <v>74</v>
      </c>
      <c r="AZ697" t="s">
        <v>74</v>
      </c>
      <c r="BA697" t="s">
        <v>74</v>
      </c>
      <c r="BB697" t="s">
        <v>74</v>
      </c>
      <c r="BC697" t="s">
        <v>74</v>
      </c>
      <c r="BD697" t="s">
        <v>74</v>
      </c>
      <c r="BE697" t="s">
        <v>13340</v>
      </c>
      <c r="BF697" t="str">
        <f>HYPERLINK("http://dx.doi.org/10.1108/JPIF-06-2023-0053","http://dx.doi.org/10.1108/JPIF-06-2023-0053")</f>
        <v>http://dx.doi.org/10.1108/JPIF-06-2023-0053</v>
      </c>
      <c r="BG697" t="s">
        <v>74</v>
      </c>
      <c r="BH697" t="s">
        <v>229</v>
      </c>
      <c r="BI697">
        <v>7</v>
      </c>
      <c r="BJ697" t="s">
        <v>12632</v>
      </c>
      <c r="BK697" t="s">
        <v>352</v>
      </c>
      <c r="BL697" t="s">
        <v>470</v>
      </c>
      <c r="BM697" t="s">
        <v>13341</v>
      </c>
      <c r="BN697" t="s">
        <v>74</v>
      </c>
      <c r="BO697" t="s">
        <v>74</v>
      </c>
      <c r="BP697" t="s">
        <v>74</v>
      </c>
      <c r="BQ697" t="s">
        <v>74</v>
      </c>
      <c r="BR697" t="s">
        <v>101</v>
      </c>
      <c r="BS697" t="s">
        <v>13342</v>
      </c>
      <c r="BT697" t="str">
        <f>HYPERLINK("https%3A%2F%2Fwww.webofscience.com%2Fwos%2Fwoscc%2Ffull-record%2FWOS:001026968200001","View Full Record in Web of Science")</f>
        <v>View Full Record in Web of Science</v>
      </c>
    </row>
    <row r="698" spans="1:72" x14ac:dyDescent="0.2">
      <c r="A698" t="s">
        <v>72</v>
      </c>
      <c r="B698" t="s">
        <v>13343</v>
      </c>
      <c r="C698" t="s">
        <v>74</v>
      </c>
      <c r="D698" t="s">
        <v>74</v>
      </c>
      <c r="E698" t="s">
        <v>75</v>
      </c>
      <c r="F698" t="s">
        <v>13344</v>
      </c>
      <c r="G698" t="s">
        <v>74</v>
      </c>
      <c r="H698" t="s">
        <v>74</v>
      </c>
      <c r="I698" t="s">
        <v>13345</v>
      </c>
      <c r="J698" t="s">
        <v>869</v>
      </c>
      <c r="K698" t="s">
        <v>74</v>
      </c>
      <c r="L698" t="s">
        <v>74</v>
      </c>
      <c r="M698" t="s">
        <v>79</v>
      </c>
      <c r="N698" t="s">
        <v>80</v>
      </c>
      <c r="O698" t="s">
        <v>870</v>
      </c>
      <c r="P698" t="s">
        <v>871</v>
      </c>
      <c r="Q698" t="s">
        <v>872</v>
      </c>
      <c r="R698" t="s">
        <v>873</v>
      </c>
      <c r="S698" t="s">
        <v>74</v>
      </c>
      <c r="T698" t="s">
        <v>13346</v>
      </c>
      <c r="U698" t="s">
        <v>74</v>
      </c>
      <c r="V698" t="s">
        <v>13347</v>
      </c>
      <c r="W698" t="s">
        <v>13348</v>
      </c>
      <c r="X698" t="s">
        <v>74</v>
      </c>
      <c r="Y698" t="s">
        <v>13349</v>
      </c>
      <c r="Z698" t="s">
        <v>13350</v>
      </c>
      <c r="AA698" t="s">
        <v>74</v>
      </c>
      <c r="AB698" t="s">
        <v>74</v>
      </c>
      <c r="AC698" t="s">
        <v>74</v>
      </c>
      <c r="AD698" t="s">
        <v>74</v>
      </c>
      <c r="AE698" t="s">
        <v>74</v>
      </c>
      <c r="AF698" t="s">
        <v>74</v>
      </c>
      <c r="AG698">
        <v>7</v>
      </c>
      <c r="AH698">
        <v>0</v>
      </c>
      <c r="AI698">
        <v>0</v>
      </c>
      <c r="AJ698">
        <v>0</v>
      </c>
      <c r="AK698">
        <v>0</v>
      </c>
      <c r="AL698" t="s">
        <v>92</v>
      </c>
      <c r="AM698" t="s">
        <v>93</v>
      </c>
      <c r="AN698" t="s">
        <v>94</v>
      </c>
      <c r="AO698" t="s">
        <v>74</v>
      </c>
      <c r="AP698" t="s">
        <v>74</v>
      </c>
      <c r="AQ698" t="s">
        <v>881</v>
      </c>
      <c r="AR698" t="s">
        <v>74</v>
      </c>
      <c r="AS698" t="s">
        <v>74</v>
      </c>
      <c r="AT698" t="s">
        <v>74</v>
      </c>
      <c r="AU698">
        <v>2023</v>
      </c>
      <c r="AV698" t="s">
        <v>74</v>
      </c>
      <c r="AW698" t="s">
        <v>74</v>
      </c>
      <c r="AX698" t="s">
        <v>74</v>
      </c>
      <c r="AY698" t="s">
        <v>74</v>
      </c>
      <c r="AZ698" t="s">
        <v>74</v>
      </c>
      <c r="BA698" t="s">
        <v>74</v>
      </c>
      <c r="BB698">
        <v>5251</v>
      </c>
      <c r="BC698">
        <v>5252</v>
      </c>
      <c r="BD698" t="s">
        <v>74</v>
      </c>
      <c r="BE698" t="s">
        <v>13351</v>
      </c>
      <c r="BF698" t="str">
        <f>HYPERLINK("http://dx.doi.org/10.1145/3583780.3615511","http://dx.doi.org/10.1145/3583780.3615511")</f>
        <v>http://dx.doi.org/10.1145/3583780.3615511</v>
      </c>
      <c r="BG698" t="s">
        <v>74</v>
      </c>
      <c r="BH698" t="s">
        <v>74</v>
      </c>
      <c r="BI698">
        <v>2</v>
      </c>
      <c r="BJ698" t="s">
        <v>883</v>
      </c>
      <c r="BK698" t="s">
        <v>98</v>
      </c>
      <c r="BL698" t="s">
        <v>99</v>
      </c>
      <c r="BM698" t="s">
        <v>884</v>
      </c>
      <c r="BN698" t="s">
        <v>74</v>
      </c>
      <c r="BO698" t="s">
        <v>74</v>
      </c>
      <c r="BP698" t="s">
        <v>74</v>
      </c>
      <c r="BQ698" t="s">
        <v>74</v>
      </c>
      <c r="BR698" t="s">
        <v>101</v>
      </c>
      <c r="BS698" t="s">
        <v>13352</v>
      </c>
      <c r="BT698" t="str">
        <f>HYPERLINK("https%3A%2F%2Fwww.webofscience.com%2Fwos%2Fwoscc%2Ffull-record%2FWOS:001161549505060","View Full Record in Web of Science")</f>
        <v>View Full Record in Web of Science</v>
      </c>
    </row>
    <row r="699" spans="1:72" x14ac:dyDescent="0.2">
      <c r="A699" t="s">
        <v>72</v>
      </c>
      <c r="B699" t="s">
        <v>13353</v>
      </c>
      <c r="C699" t="s">
        <v>74</v>
      </c>
      <c r="D699" t="s">
        <v>8562</v>
      </c>
      <c r="E699" t="s">
        <v>74</v>
      </c>
      <c r="F699" t="s">
        <v>13354</v>
      </c>
      <c r="G699" t="s">
        <v>74</v>
      </c>
      <c r="H699" t="s">
        <v>74</v>
      </c>
      <c r="I699" t="s">
        <v>13355</v>
      </c>
      <c r="J699" t="s">
        <v>10597</v>
      </c>
      <c r="K699" t="s">
        <v>1034</v>
      </c>
      <c r="L699" t="s">
        <v>74</v>
      </c>
      <c r="M699" t="s">
        <v>79</v>
      </c>
      <c r="N699" t="s">
        <v>80</v>
      </c>
      <c r="O699" t="s">
        <v>8566</v>
      </c>
      <c r="P699" t="s">
        <v>8567</v>
      </c>
      <c r="Q699" t="s">
        <v>8568</v>
      </c>
      <c r="R699" t="s">
        <v>8569</v>
      </c>
      <c r="S699" t="s">
        <v>74</v>
      </c>
      <c r="T699" t="s">
        <v>13356</v>
      </c>
      <c r="U699" t="s">
        <v>74</v>
      </c>
      <c r="V699" t="s">
        <v>13357</v>
      </c>
      <c r="W699" t="s">
        <v>13358</v>
      </c>
      <c r="X699" t="s">
        <v>13359</v>
      </c>
      <c r="Y699" t="s">
        <v>13360</v>
      </c>
      <c r="Z699" t="s">
        <v>13361</v>
      </c>
      <c r="AA699" t="s">
        <v>74</v>
      </c>
      <c r="AB699" t="s">
        <v>74</v>
      </c>
      <c r="AC699" t="s">
        <v>13362</v>
      </c>
      <c r="AD699" t="s">
        <v>13363</v>
      </c>
      <c r="AE699" t="s">
        <v>13364</v>
      </c>
      <c r="AF699" t="s">
        <v>74</v>
      </c>
      <c r="AG699">
        <v>27</v>
      </c>
      <c r="AH699">
        <v>0</v>
      </c>
      <c r="AI699">
        <v>0</v>
      </c>
      <c r="AJ699">
        <v>2</v>
      </c>
      <c r="AK699">
        <v>6</v>
      </c>
      <c r="AL699" t="s">
        <v>325</v>
      </c>
      <c r="AM699" t="s">
        <v>245</v>
      </c>
      <c r="AN699" t="s">
        <v>246</v>
      </c>
      <c r="AO699" t="s">
        <v>1042</v>
      </c>
      <c r="AP699" t="s">
        <v>327</v>
      </c>
      <c r="AQ699" t="s">
        <v>10606</v>
      </c>
      <c r="AR699" t="s">
        <v>1044</v>
      </c>
      <c r="AS699" t="s">
        <v>74</v>
      </c>
      <c r="AT699" t="s">
        <v>74</v>
      </c>
      <c r="AU699">
        <v>2023</v>
      </c>
      <c r="AV699">
        <v>13715</v>
      </c>
      <c r="AW699" t="s">
        <v>74</v>
      </c>
      <c r="AX699" t="s">
        <v>74</v>
      </c>
      <c r="AY699" t="s">
        <v>74</v>
      </c>
      <c r="AZ699" t="s">
        <v>74</v>
      </c>
      <c r="BA699" t="s">
        <v>74</v>
      </c>
      <c r="BB699">
        <v>390</v>
      </c>
      <c r="BC699">
        <v>406</v>
      </c>
      <c r="BD699" t="s">
        <v>74</v>
      </c>
      <c r="BE699" t="s">
        <v>13365</v>
      </c>
      <c r="BF699" t="str">
        <f>HYPERLINK("http://dx.doi.org/10.1007/978-3-031-26409-2_24","http://dx.doi.org/10.1007/978-3-031-26409-2_24")</f>
        <v>http://dx.doi.org/10.1007/978-3-031-26409-2_24</v>
      </c>
      <c r="BG699" t="s">
        <v>74</v>
      </c>
      <c r="BH699" t="s">
        <v>74</v>
      </c>
      <c r="BI699">
        <v>17</v>
      </c>
      <c r="BJ699" t="s">
        <v>331</v>
      </c>
      <c r="BK699" t="s">
        <v>98</v>
      </c>
      <c r="BL699" t="s">
        <v>99</v>
      </c>
      <c r="BM699" t="s">
        <v>10608</v>
      </c>
      <c r="BN699" t="s">
        <v>74</v>
      </c>
      <c r="BO699" t="s">
        <v>74</v>
      </c>
      <c r="BP699" t="s">
        <v>74</v>
      </c>
      <c r="BQ699" t="s">
        <v>74</v>
      </c>
      <c r="BR699" t="s">
        <v>101</v>
      </c>
      <c r="BS699" t="s">
        <v>13366</v>
      </c>
      <c r="BT699" t="str">
        <f>HYPERLINK("https%3A%2F%2Fwww.webofscience.com%2Fwos%2Fwoscc%2Ffull-record%2FWOS:000999043300024","View Full Record in Web of Science")</f>
        <v>View Full Record in Web of Science</v>
      </c>
    </row>
    <row r="700" spans="1:72" x14ac:dyDescent="0.2">
      <c r="A700" t="s">
        <v>103</v>
      </c>
      <c r="B700" t="s">
        <v>13367</v>
      </c>
      <c r="C700" t="s">
        <v>74</v>
      </c>
      <c r="D700" t="s">
        <v>74</v>
      </c>
      <c r="E700" t="s">
        <v>74</v>
      </c>
      <c r="F700" t="s">
        <v>13368</v>
      </c>
      <c r="G700" t="s">
        <v>74</v>
      </c>
      <c r="H700" t="s">
        <v>74</v>
      </c>
      <c r="I700" t="s">
        <v>13369</v>
      </c>
      <c r="J700" t="s">
        <v>13370</v>
      </c>
      <c r="K700" t="s">
        <v>74</v>
      </c>
      <c r="L700" t="s">
        <v>74</v>
      </c>
      <c r="M700" t="s">
        <v>79</v>
      </c>
      <c r="N700" t="s">
        <v>138</v>
      </c>
      <c r="O700" t="s">
        <v>74</v>
      </c>
      <c r="P700" t="s">
        <v>74</v>
      </c>
      <c r="Q700" t="s">
        <v>74</v>
      </c>
      <c r="R700" t="s">
        <v>74</v>
      </c>
      <c r="S700" t="s">
        <v>74</v>
      </c>
      <c r="T700" t="s">
        <v>13371</v>
      </c>
      <c r="U700" t="s">
        <v>74</v>
      </c>
      <c r="V700" t="s">
        <v>13372</v>
      </c>
      <c r="W700" t="s">
        <v>13373</v>
      </c>
      <c r="X700" t="s">
        <v>13374</v>
      </c>
      <c r="Y700" t="s">
        <v>13375</v>
      </c>
      <c r="Z700" t="s">
        <v>13376</v>
      </c>
      <c r="AA700" t="s">
        <v>74</v>
      </c>
      <c r="AB700" t="s">
        <v>13377</v>
      </c>
      <c r="AC700" t="s">
        <v>74</v>
      </c>
      <c r="AD700" t="s">
        <v>74</v>
      </c>
      <c r="AE700" t="s">
        <v>74</v>
      </c>
      <c r="AF700" t="s">
        <v>74</v>
      </c>
      <c r="AG700">
        <v>43</v>
      </c>
      <c r="AH700">
        <v>0</v>
      </c>
      <c r="AI700">
        <v>0</v>
      </c>
      <c r="AJ700">
        <v>16</v>
      </c>
      <c r="AK700">
        <v>16</v>
      </c>
      <c r="AL700" t="s">
        <v>148</v>
      </c>
      <c r="AM700" t="s">
        <v>149</v>
      </c>
      <c r="AN700" t="s">
        <v>150</v>
      </c>
      <c r="AO700" t="s">
        <v>13378</v>
      </c>
      <c r="AP700" t="s">
        <v>13379</v>
      </c>
      <c r="AQ700" t="s">
        <v>74</v>
      </c>
      <c r="AR700" t="s">
        <v>13380</v>
      </c>
      <c r="AS700" t="s">
        <v>13381</v>
      </c>
      <c r="AT700" t="s">
        <v>13382</v>
      </c>
      <c r="AU700">
        <v>2023</v>
      </c>
      <c r="AV700" t="s">
        <v>74</v>
      </c>
      <c r="AW700" t="s">
        <v>74</v>
      </c>
      <c r="AX700" t="s">
        <v>74</v>
      </c>
      <c r="AY700" t="s">
        <v>74</v>
      </c>
      <c r="AZ700" t="s">
        <v>74</v>
      </c>
      <c r="BA700" t="s">
        <v>74</v>
      </c>
      <c r="BB700" t="s">
        <v>74</v>
      </c>
      <c r="BC700" t="s">
        <v>74</v>
      </c>
      <c r="BD700" t="s">
        <v>74</v>
      </c>
      <c r="BE700" t="s">
        <v>13383</v>
      </c>
      <c r="BF700" t="str">
        <f>HYPERLINK("http://dx.doi.org/10.1177/09697330231201901","http://dx.doi.org/10.1177/09697330231201901")</f>
        <v>http://dx.doi.org/10.1177/09697330231201901</v>
      </c>
      <c r="BG700" t="s">
        <v>74</v>
      </c>
      <c r="BH700" t="s">
        <v>1886</v>
      </c>
      <c r="BI700">
        <v>10</v>
      </c>
      <c r="BJ700" t="s">
        <v>13384</v>
      </c>
      <c r="BK700" t="s">
        <v>947</v>
      </c>
      <c r="BL700" t="s">
        <v>13385</v>
      </c>
      <c r="BM700" t="s">
        <v>13386</v>
      </c>
      <c r="BN700">
        <v>37803810</v>
      </c>
      <c r="BO700" t="s">
        <v>74</v>
      </c>
      <c r="BP700" t="s">
        <v>74</v>
      </c>
      <c r="BQ700" t="s">
        <v>74</v>
      </c>
      <c r="BR700" t="s">
        <v>101</v>
      </c>
      <c r="BS700" t="s">
        <v>13387</v>
      </c>
      <c r="BT700" t="str">
        <f>HYPERLINK("https%3A%2F%2Fwww.webofscience.com%2Fwos%2Fwoscc%2Ffull-record%2FWOS:001092122400001","View Full Record in Web of Science")</f>
        <v>View Full Record in Web of Science</v>
      </c>
    </row>
    <row r="701" spans="1:72" x14ac:dyDescent="0.2">
      <c r="A701" t="s">
        <v>103</v>
      </c>
      <c r="B701" t="s">
        <v>13388</v>
      </c>
      <c r="C701" t="s">
        <v>74</v>
      </c>
      <c r="D701" t="s">
        <v>74</v>
      </c>
      <c r="E701" t="s">
        <v>74</v>
      </c>
      <c r="F701" t="s">
        <v>13389</v>
      </c>
      <c r="G701" t="s">
        <v>74</v>
      </c>
      <c r="H701" t="s">
        <v>74</v>
      </c>
      <c r="I701" t="s">
        <v>13390</v>
      </c>
      <c r="J701" t="s">
        <v>13391</v>
      </c>
      <c r="K701" t="s">
        <v>74</v>
      </c>
      <c r="L701" t="s">
        <v>74</v>
      </c>
      <c r="M701" t="s">
        <v>79</v>
      </c>
      <c r="N701" t="s">
        <v>108</v>
      </c>
      <c r="O701" t="s">
        <v>74</v>
      </c>
      <c r="P701" t="s">
        <v>74</v>
      </c>
      <c r="Q701" t="s">
        <v>74</v>
      </c>
      <c r="R701" t="s">
        <v>74</v>
      </c>
      <c r="S701" t="s">
        <v>74</v>
      </c>
      <c r="T701" t="s">
        <v>13392</v>
      </c>
      <c r="U701" t="s">
        <v>13393</v>
      </c>
      <c r="V701" t="s">
        <v>13394</v>
      </c>
      <c r="W701" t="s">
        <v>13395</v>
      </c>
      <c r="X701" t="s">
        <v>13396</v>
      </c>
      <c r="Y701" t="s">
        <v>13397</v>
      </c>
      <c r="Z701" t="s">
        <v>13398</v>
      </c>
      <c r="AA701" t="s">
        <v>74</v>
      </c>
      <c r="AB701" t="s">
        <v>13399</v>
      </c>
      <c r="AC701" t="s">
        <v>74</v>
      </c>
      <c r="AD701" t="s">
        <v>74</v>
      </c>
      <c r="AE701" t="s">
        <v>74</v>
      </c>
      <c r="AF701" t="s">
        <v>74</v>
      </c>
      <c r="AG701">
        <v>40</v>
      </c>
      <c r="AH701">
        <v>17</v>
      </c>
      <c r="AI701">
        <v>17</v>
      </c>
      <c r="AJ701">
        <v>74</v>
      </c>
      <c r="AK701">
        <v>139</v>
      </c>
      <c r="AL701" t="s">
        <v>2377</v>
      </c>
      <c r="AM701" t="s">
        <v>738</v>
      </c>
      <c r="AN701" t="s">
        <v>2378</v>
      </c>
      <c r="AO701" t="s">
        <v>13400</v>
      </c>
      <c r="AP701" t="s">
        <v>74</v>
      </c>
      <c r="AQ701" t="s">
        <v>74</v>
      </c>
      <c r="AR701" t="s">
        <v>13401</v>
      </c>
      <c r="AS701" t="s">
        <v>13402</v>
      </c>
      <c r="AT701" t="s">
        <v>7553</v>
      </c>
      <c r="AU701">
        <v>2023</v>
      </c>
      <c r="AV701">
        <v>28</v>
      </c>
      <c r="AW701">
        <v>1</v>
      </c>
      <c r="AX701" t="s">
        <v>74</v>
      </c>
      <c r="AY701" t="s">
        <v>74</v>
      </c>
      <c r="AZ701" t="s">
        <v>74</v>
      </c>
      <c r="BA701" t="s">
        <v>74</v>
      </c>
      <c r="BB701" t="s">
        <v>74</v>
      </c>
      <c r="BC701" t="s">
        <v>74</v>
      </c>
      <c r="BD701">
        <v>2220920</v>
      </c>
      <c r="BE701" t="s">
        <v>13403</v>
      </c>
      <c r="BF701" t="str">
        <f>HYPERLINK("http://dx.doi.org/10.1080/10872981.2023.2220920","http://dx.doi.org/10.1080/10872981.2023.2220920")</f>
        <v>http://dx.doi.org/10.1080/10872981.2023.2220920</v>
      </c>
      <c r="BG701" t="s">
        <v>74</v>
      </c>
      <c r="BH701" t="s">
        <v>74</v>
      </c>
      <c r="BI701">
        <v>9</v>
      </c>
      <c r="BJ701" t="s">
        <v>423</v>
      </c>
      <c r="BK701" t="s">
        <v>159</v>
      </c>
      <c r="BL701" t="s">
        <v>423</v>
      </c>
      <c r="BM701" t="s">
        <v>13404</v>
      </c>
      <c r="BN701">
        <v>37307503</v>
      </c>
      <c r="BO701" t="s">
        <v>1728</v>
      </c>
      <c r="BP701" t="s">
        <v>74</v>
      </c>
      <c r="BQ701" t="s">
        <v>74</v>
      </c>
      <c r="BR701" t="s">
        <v>101</v>
      </c>
      <c r="BS701" t="s">
        <v>13405</v>
      </c>
      <c r="BT701" t="str">
        <f>HYPERLINK("https%3A%2F%2Fwww.webofscience.com%2Fwos%2Fwoscc%2Ffull-record%2FWOS:001003614100001","View Full Record in Web of Science")</f>
        <v>View Full Record in Web of Science</v>
      </c>
    </row>
    <row r="702" spans="1:72" x14ac:dyDescent="0.2">
      <c r="A702" t="s">
        <v>103</v>
      </c>
      <c r="B702" t="s">
        <v>13406</v>
      </c>
      <c r="C702" t="s">
        <v>74</v>
      </c>
      <c r="D702" t="s">
        <v>74</v>
      </c>
      <c r="E702" t="s">
        <v>74</v>
      </c>
      <c r="F702" t="s">
        <v>13407</v>
      </c>
      <c r="G702" t="s">
        <v>74</v>
      </c>
      <c r="H702" t="s">
        <v>74</v>
      </c>
      <c r="I702" t="s">
        <v>13408</v>
      </c>
      <c r="J702" t="s">
        <v>11742</v>
      </c>
      <c r="K702" t="s">
        <v>74</v>
      </c>
      <c r="L702" t="s">
        <v>74</v>
      </c>
      <c r="M702" t="s">
        <v>79</v>
      </c>
      <c r="N702" t="s">
        <v>108</v>
      </c>
      <c r="O702" t="s">
        <v>74</v>
      </c>
      <c r="P702" t="s">
        <v>74</v>
      </c>
      <c r="Q702" t="s">
        <v>74</v>
      </c>
      <c r="R702" t="s">
        <v>74</v>
      </c>
      <c r="S702" t="s">
        <v>74</v>
      </c>
      <c r="T702" t="s">
        <v>74</v>
      </c>
      <c r="U702" t="s">
        <v>74</v>
      </c>
      <c r="V702" t="s">
        <v>13409</v>
      </c>
      <c r="W702" t="s">
        <v>13410</v>
      </c>
      <c r="X702" t="s">
        <v>13411</v>
      </c>
      <c r="Y702" t="s">
        <v>13412</v>
      </c>
      <c r="Z702" t="s">
        <v>13413</v>
      </c>
      <c r="AA702" t="s">
        <v>74</v>
      </c>
      <c r="AB702" t="s">
        <v>74</v>
      </c>
      <c r="AC702" t="s">
        <v>13414</v>
      </c>
      <c r="AD702" t="s">
        <v>6006</v>
      </c>
      <c r="AE702" t="s">
        <v>13415</v>
      </c>
      <c r="AF702" t="s">
        <v>74</v>
      </c>
      <c r="AG702">
        <v>54</v>
      </c>
      <c r="AH702">
        <v>0</v>
      </c>
      <c r="AI702">
        <v>0</v>
      </c>
      <c r="AJ702">
        <v>1</v>
      </c>
      <c r="AK702">
        <v>1</v>
      </c>
      <c r="AL702" t="s">
        <v>11754</v>
      </c>
      <c r="AM702" t="s">
        <v>11755</v>
      </c>
      <c r="AN702" t="s">
        <v>11756</v>
      </c>
      <c r="AO702" t="s">
        <v>11757</v>
      </c>
      <c r="AP702" t="s">
        <v>74</v>
      </c>
      <c r="AQ702" t="s">
        <v>74</v>
      </c>
      <c r="AR702" t="s">
        <v>11742</v>
      </c>
      <c r="AS702" t="s">
        <v>11758</v>
      </c>
      <c r="AT702" t="s">
        <v>13416</v>
      </c>
      <c r="AU702">
        <v>2023</v>
      </c>
      <c r="AV702">
        <v>18</v>
      </c>
      <c r="AW702">
        <v>11</v>
      </c>
      <c r="AX702" t="s">
        <v>74</v>
      </c>
      <c r="AY702" t="s">
        <v>74</v>
      </c>
      <c r="AZ702" t="s">
        <v>74</v>
      </c>
      <c r="BA702" t="s">
        <v>74</v>
      </c>
      <c r="BB702" t="s">
        <v>74</v>
      </c>
      <c r="BC702" t="s">
        <v>74</v>
      </c>
      <c r="BD702" t="s">
        <v>13417</v>
      </c>
      <c r="BE702" t="s">
        <v>13418</v>
      </c>
      <c r="BF702" t="str">
        <f>HYPERLINK("http://dx.doi.org/10.1371/journal.pone.0293034","http://dx.doi.org/10.1371/journal.pone.0293034")</f>
        <v>http://dx.doi.org/10.1371/journal.pone.0293034</v>
      </c>
      <c r="BG702" t="s">
        <v>74</v>
      </c>
      <c r="BH702" t="s">
        <v>74</v>
      </c>
      <c r="BI702">
        <v>20</v>
      </c>
      <c r="BJ702" t="s">
        <v>5686</v>
      </c>
      <c r="BK702" t="s">
        <v>130</v>
      </c>
      <c r="BL702" t="s">
        <v>5687</v>
      </c>
      <c r="BM702" t="s">
        <v>13419</v>
      </c>
      <c r="BN702">
        <v>37956160</v>
      </c>
      <c r="BO702" t="s">
        <v>4185</v>
      </c>
      <c r="BP702" t="s">
        <v>74</v>
      </c>
      <c r="BQ702" t="s">
        <v>74</v>
      </c>
      <c r="BR702" t="s">
        <v>101</v>
      </c>
      <c r="BS702" t="s">
        <v>13420</v>
      </c>
      <c r="BT702" t="str">
        <f>HYPERLINK("https%3A%2F%2Fwww.webofscience.com%2Fwos%2Fwoscc%2Ffull-record%2FWOS:001125277400027","View Full Record in Web of Science")</f>
        <v>View Full Record in Web of Science</v>
      </c>
    </row>
    <row r="703" spans="1:72" x14ac:dyDescent="0.2">
      <c r="A703" t="s">
        <v>72</v>
      </c>
      <c r="B703" t="s">
        <v>13421</v>
      </c>
      <c r="C703" t="s">
        <v>74</v>
      </c>
      <c r="D703" t="s">
        <v>13422</v>
      </c>
      <c r="E703" t="s">
        <v>74</v>
      </c>
      <c r="F703" t="s">
        <v>13423</v>
      </c>
      <c r="G703" t="s">
        <v>74</v>
      </c>
      <c r="H703" t="s">
        <v>74</v>
      </c>
      <c r="I703" t="s">
        <v>13424</v>
      </c>
      <c r="J703" t="s">
        <v>13425</v>
      </c>
      <c r="K703" t="s">
        <v>13426</v>
      </c>
      <c r="L703" t="s">
        <v>74</v>
      </c>
      <c r="M703" t="s">
        <v>79</v>
      </c>
      <c r="N703" t="s">
        <v>80</v>
      </c>
      <c r="O703" t="s">
        <v>13427</v>
      </c>
      <c r="P703" t="s">
        <v>13428</v>
      </c>
      <c r="Q703" t="s">
        <v>13429</v>
      </c>
      <c r="R703" t="s">
        <v>959</v>
      </c>
      <c r="S703" t="s">
        <v>74</v>
      </c>
      <c r="T703" t="s">
        <v>13430</v>
      </c>
      <c r="U703" t="s">
        <v>74</v>
      </c>
      <c r="V703" t="s">
        <v>13431</v>
      </c>
      <c r="W703" t="s">
        <v>13432</v>
      </c>
      <c r="X703" t="s">
        <v>13433</v>
      </c>
      <c r="Y703" t="s">
        <v>13434</v>
      </c>
      <c r="Z703" t="s">
        <v>13435</v>
      </c>
      <c r="AA703" t="s">
        <v>13436</v>
      </c>
      <c r="AB703" t="s">
        <v>13437</v>
      </c>
      <c r="AC703" t="s">
        <v>13438</v>
      </c>
      <c r="AD703" t="s">
        <v>13439</v>
      </c>
      <c r="AE703" t="s">
        <v>13440</v>
      </c>
      <c r="AF703" t="s">
        <v>74</v>
      </c>
      <c r="AG703">
        <v>17</v>
      </c>
      <c r="AH703">
        <v>0</v>
      </c>
      <c r="AI703">
        <v>0</v>
      </c>
      <c r="AJ703">
        <v>0</v>
      </c>
      <c r="AK703">
        <v>0</v>
      </c>
      <c r="AL703" t="s">
        <v>638</v>
      </c>
      <c r="AM703" t="s">
        <v>639</v>
      </c>
      <c r="AN703" t="s">
        <v>640</v>
      </c>
      <c r="AO703" t="s">
        <v>13441</v>
      </c>
      <c r="AP703" t="s">
        <v>74</v>
      </c>
      <c r="AQ703" t="s">
        <v>13442</v>
      </c>
      <c r="AR703" t="s">
        <v>13443</v>
      </c>
      <c r="AS703" t="s">
        <v>74</v>
      </c>
      <c r="AT703" t="s">
        <v>74</v>
      </c>
      <c r="AU703">
        <v>2023</v>
      </c>
      <c r="AV703" t="s">
        <v>74</v>
      </c>
      <c r="AW703" t="s">
        <v>74</v>
      </c>
      <c r="AX703" t="s">
        <v>74</v>
      </c>
      <c r="AY703" t="s">
        <v>74</v>
      </c>
      <c r="AZ703" t="s">
        <v>74</v>
      </c>
      <c r="BA703" t="s">
        <v>74</v>
      </c>
      <c r="BB703">
        <v>523</v>
      </c>
      <c r="BC703">
        <v>528</v>
      </c>
      <c r="BD703" t="s">
        <v>74</v>
      </c>
      <c r="BE703" t="s">
        <v>13444</v>
      </c>
      <c r="BF703" t="str">
        <f>HYPERLINK("http://dx.doi.org/10.1109/CBMS58004.2023.00273","http://dx.doi.org/10.1109/CBMS58004.2023.00273")</f>
        <v>http://dx.doi.org/10.1109/CBMS58004.2023.00273</v>
      </c>
      <c r="BG703" t="s">
        <v>74</v>
      </c>
      <c r="BH703" t="s">
        <v>74</v>
      </c>
      <c r="BI703">
        <v>6</v>
      </c>
      <c r="BJ703" t="s">
        <v>13445</v>
      </c>
      <c r="BK703" t="s">
        <v>98</v>
      </c>
      <c r="BL703" t="s">
        <v>906</v>
      </c>
      <c r="BM703" t="s">
        <v>13446</v>
      </c>
      <c r="BN703" t="s">
        <v>74</v>
      </c>
      <c r="BO703" t="s">
        <v>646</v>
      </c>
      <c r="BP703" t="s">
        <v>74</v>
      </c>
      <c r="BQ703" t="s">
        <v>74</v>
      </c>
      <c r="BR703" t="s">
        <v>101</v>
      </c>
      <c r="BS703" t="s">
        <v>13447</v>
      </c>
      <c r="BT703" t="str">
        <f>HYPERLINK("https%3A%2F%2Fwww.webofscience.com%2Fwos%2Fwoscc%2Ffull-record%2FWOS:001037777900092","View Full Record in Web of Science")</f>
        <v>View Full Record in Web of Science</v>
      </c>
    </row>
    <row r="704" spans="1:72" x14ac:dyDescent="0.2">
      <c r="A704" t="s">
        <v>103</v>
      </c>
      <c r="B704" t="s">
        <v>13448</v>
      </c>
      <c r="C704" t="s">
        <v>74</v>
      </c>
      <c r="D704" t="s">
        <v>74</v>
      </c>
      <c r="E704" t="s">
        <v>74</v>
      </c>
      <c r="F704" t="s">
        <v>13449</v>
      </c>
      <c r="G704" t="s">
        <v>74</v>
      </c>
      <c r="H704" t="s">
        <v>74</v>
      </c>
      <c r="I704" t="s">
        <v>13450</v>
      </c>
      <c r="J704" t="s">
        <v>10989</v>
      </c>
      <c r="K704" t="s">
        <v>74</v>
      </c>
      <c r="L704" t="s">
        <v>74</v>
      </c>
      <c r="M704" t="s">
        <v>79</v>
      </c>
      <c r="N704" t="s">
        <v>108</v>
      </c>
      <c r="O704" t="s">
        <v>74</v>
      </c>
      <c r="P704" t="s">
        <v>74</v>
      </c>
      <c r="Q704" t="s">
        <v>74</v>
      </c>
      <c r="R704" t="s">
        <v>74</v>
      </c>
      <c r="S704" t="s">
        <v>74</v>
      </c>
      <c r="T704" t="s">
        <v>74</v>
      </c>
      <c r="U704" t="s">
        <v>13451</v>
      </c>
      <c r="V704" t="s">
        <v>13452</v>
      </c>
      <c r="W704" t="s">
        <v>13453</v>
      </c>
      <c r="X704" t="s">
        <v>13454</v>
      </c>
      <c r="Y704" t="s">
        <v>13455</v>
      </c>
      <c r="Z704" t="s">
        <v>13456</v>
      </c>
      <c r="AA704" t="s">
        <v>74</v>
      </c>
      <c r="AB704" t="s">
        <v>74</v>
      </c>
      <c r="AC704" t="s">
        <v>13457</v>
      </c>
      <c r="AD704" t="s">
        <v>13458</v>
      </c>
      <c r="AE704" t="s">
        <v>13459</v>
      </c>
      <c r="AF704" t="s">
        <v>74</v>
      </c>
      <c r="AG704">
        <v>43</v>
      </c>
      <c r="AH704">
        <v>0</v>
      </c>
      <c r="AI704">
        <v>0</v>
      </c>
      <c r="AJ704">
        <v>7</v>
      </c>
      <c r="AK704">
        <v>7</v>
      </c>
      <c r="AL704" t="s">
        <v>3980</v>
      </c>
      <c r="AM704" t="s">
        <v>1153</v>
      </c>
      <c r="AN704" t="s">
        <v>3981</v>
      </c>
      <c r="AO704" t="s">
        <v>74</v>
      </c>
      <c r="AP704" t="s">
        <v>11000</v>
      </c>
      <c r="AQ704" t="s">
        <v>74</v>
      </c>
      <c r="AR704" t="s">
        <v>11001</v>
      </c>
      <c r="AS704" t="s">
        <v>11002</v>
      </c>
      <c r="AT704" t="s">
        <v>13460</v>
      </c>
      <c r="AU704">
        <v>2023</v>
      </c>
      <c r="AV704">
        <v>13</v>
      </c>
      <c r="AW704">
        <v>51</v>
      </c>
      <c r="AX704" t="s">
        <v>74</v>
      </c>
      <c r="AY704" t="s">
        <v>74</v>
      </c>
      <c r="AZ704" t="s">
        <v>74</v>
      </c>
      <c r="BA704" t="s">
        <v>74</v>
      </c>
      <c r="BB704">
        <v>36048</v>
      </c>
      <c r="BC704">
        <v>36059</v>
      </c>
      <c r="BD704" t="s">
        <v>74</v>
      </c>
      <c r="BE704" t="s">
        <v>13461</v>
      </c>
      <c r="BF704" t="str">
        <f>HYPERLINK("http://dx.doi.org/10.1039/d3ra03954d","http://dx.doi.org/10.1039/d3ra03954d")</f>
        <v>http://dx.doi.org/10.1039/d3ra03954d</v>
      </c>
      <c r="BG704" t="s">
        <v>74</v>
      </c>
      <c r="BH704" t="s">
        <v>74</v>
      </c>
      <c r="BI704">
        <v>12</v>
      </c>
      <c r="BJ704" t="s">
        <v>11005</v>
      </c>
      <c r="BK704" t="s">
        <v>130</v>
      </c>
      <c r="BL704" t="s">
        <v>11006</v>
      </c>
      <c r="BM704" t="s">
        <v>13462</v>
      </c>
      <c r="BN704">
        <v>38090100</v>
      </c>
      <c r="BO704" t="s">
        <v>425</v>
      </c>
      <c r="BP704" t="s">
        <v>74</v>
      </c>
      <c r="BQ704" t="s">
        <v>74</v>
      </c>
      <c r="BR704" t="s">
        <v>101</v>
      </c>
      <c r="BS704" t="s">
        <v>13463</v>
      </c>
      <c r="BT704" t="str">
        <f>HYPERLINK("https%3A%2F%2Fwww.webofscience.com%2Fwos%2Fwoscc%2Ffull-record%2FWOS:001122591100001","View Full Record in Web of Science")</f>
        <v>View Full Record in Web of Science</v>
      </c>
    </row>
    <row r="705" spans="1:72" x14ac:dyDescent="0.2">
      <c r="A705" t="s">
        <v>103</v>
      </c>
      <c r="B705" t="s">
        <v>13464</v>
      </c>
      <c r="C705" t="s">
        <v>74</v>
      </c>
      <c r="D705" t="s">
        <v>74</v>
      </c>
      <c r="E705" t="s">
        <v>74</v>
      </c>
      <c r="F705" t="s">
        <v>13465</v>
      </c>
      <c r="G705" t="s">
        <v>74</v>
      </c>
      <c r="H705" t="s">
        <v>74</v>
      </c>
      <c r="I705" t="s">
        <v>13466</v>
      </c>
      <c r="J705" t="s">
        <v>13467</v>
      </c>
      <c r="K705" t="s">
        <v>74</v>
      </c>
      <c r="L705" t="s">
        <v>74</v>
      </c>
      <c r="M705" t="s">
        <v>79</v>
      </c>
      <c r="N705" t="s">
        <v>108</v>
      </c>
      <c r="O705" t="s">
        <v>74</v>
      </c>
      <c r="P705" t="s">
        <v>74</v>
      </c>
      <c r="Q705" t="s">
        <v>74</v>
      </c>
      <c r="R705" t="s">
        <v>74</v>
      </c>
      <c r="S705" t="s">
        <v>74</v>
      </c>
      <c r="T705" t="s">
        <v>13468</v>
      </c>
      <c r="U705" t="s">
        <v>13469</v>
      </c>
      <c r="V705" t="s">
        <v>13470</v>
      </c>
      <c r="W705" t="s">
        <v>13471</v>
      </c>
      <c r="X705" t="s">
        <v>13472</v>
      </c>
      <c r="Y705" t="s">
        <v>13473</v>
      </c>
      <c r="Z705" t="s">
        <v>13474</v>
      </c>
      <c r="AA705" t="s">
        <v>13475</v>
      </c>
      <c r="AB705" t="s">
        <v>13476</v>
      </c>
      <c r="AC705" t="s">
        <v>13477</v>
      </c>
      <c r="AD705" t="s">
        <v>13478</v>
      </c>
      <c r="AE705" t="s">
        <v>13479</v>
      </c>
      <c r="AF705" t="s">
        <v>74</v>
      </c>
      <c r="AG705">
        <v>87</v>
      </c>
      <c r="AH705">
        <v>0</v>
      </c>
      <c r="AI705">
        <v>0</v>
      </c>
      <c r="AJ705">
        <v>30</v>
      </c>
      <c r="AK705">
        <v>30</v>
      </c>
      <c r="AL705" t="s">
        <v>13480</v>
      </c>
      <c r="AM705" t="s">
        <v>13481</v>
      </c>
      <c r="AN705" t="s">
        <v>13482</v>
      </c>
      <c r="AO705" t="s">
        <v>13483</v>
      </c>
      <c r="AP705" t="s">
        <v>13484</v>
      </c>
      <c r="AQ705" t="s">
        <v>74</v>
      </c>
      <c r="AR705" t="s">
        <v>13485</v>
      </c>
      <c r="AS705" t="s">
        <v>13486</v>
      </c>
      <c r="AT705" t="s">
        <v>527</v>
      </c>
      <c r="AU705">
        <v>2023</v>
      </c>
      <c r="AV705">
        <v>148</v>
      </c>
      <c r="AW705" t="s">
        <v>74</v>
      </c>
      <c r="AX705" t="s">
        <v>74</v>
      </c>
      <c r="AY705" t="s">
        <v>74</v>
      </c>
      <c r="AZ705" t="s">
        <v>74</v>
      </c>
      <c r="BA705" t="s">
        <v>74</v>
      </c>
      <c r="BB705" t="s">
        <v>74</v>
      </c>
      <c r="BC705" t="s">
        <v>74</v>
      </c>
      <c r="BD705">
        <v>104550</v>
      </c>
      <c r="BE705" t="s">
        <v>13487</v>
      </c>
      <c r="BF705" t="str">
        <f>HYPERLINK("http://dx.doi.org/10.1016/j.jbi.2023.104550","http://dx.doi.org/10.1016/j.jbi.2023.104550")</f>
        <v>http://dx.doi.org/10.1016/j.jbi.2023.104550</v>
      </c>
      <c r="BG705" t="s">
        <v>74</v>
      </c>
      <c r="BH705" t="s">
        <v>157</v>
      </c>
      <c r="BI705">
        <v>14</v>
      </c>
      <c r="BJ705" t="s">
        <v>13488</v>
      </c>
      <c r="BK705" t="s">
        <v>130</v>
      </c>
      <c r="BL705" t="s">
        <v>13489</v>
      </c>
      <c r="BM705" t="s">
        <v>13490</v>
      </c>
      <c r="BN705">
        <v>37981107</v>
      </c>
      <c r="BO705" t="s">
        <v>74</v>
      </c>
      <c r="BP705" t="s">
        <v>74</v>
      </c>
      <c r="BQ705" t="s">
        <v>74</v>
      </c>
      <c r="BR705" t="s">
        <v>101</v>
      </c>
      <c r="BS705" t="s">
        <v>13491</v>
      </c>
      <c r="BT705" t="str">
        <f>HYPERLINK("https%3A%2F%2Fwww.webofscience.com%2Fwos%2Fwoscc%2Ffull-record%2FWOS:001125236600001","View Full Record in Web of Science")</f>
        <v>View Full Record in Web of Science</v>
      </c>
    </row>
    <row r="706" spans="1:72" x14ac:dyDescent="0.2">
      <c r="A706" t="s">
        <v>103</v>
      </c>
      <c r="B706" t="s">
        <v>13492</v>
      </c>
      <c r="C706" t="s">
        <v>74</v>
      </c>
      <c r="D706" t="s">
        <v>74</v>
      </c>
      <c r="E706" t="s">
        <v>74</v>
      </c>
      <c r="F706" t="s">
        <v>13493</v>
      </c>
      <c r="G706" t="s">
        <v>74</v>
      </c>
      <c r="H706" t="s">
        <v>74</v>
      </c>
      <c r="I706" t="s">
        <v>13494</v>
      </c>
      <c r="J706" t="s">
        <v>9562</v>
      </c>
      <c r="K706" t="s">
        <v>74</v>
      </c>
      <c r="L706" t="s">
        <v>74</v>
      </c>
      <c r="M706" t="s">
        <v>79</v>
      </c>
      <c r="N706" t="s">
        <v>108</v>
      </c>
      <c r="O706" t="s">
        <v>74</v>
      </c>
      <c r="P706" t="s">
        <v>74</v>
      </c>
      <c r="Q706" t="s">
        <v>74</v>
      </c>
      <c r="R706" t="s">
        <v>74</v>
      </c>
      <c r="S706" t="s">
        <v>74</v>
      </c>
      <c r="T706" t="s">
        <v>13495</v>
      </c>
      <c r="U706" t="s">
        <v>13496</v>
      </c>
      <c r="V706" t="s">
        <v>13497</v>
      </c>
      <c r="W706" t="s">
        <v>13498</v>
      </c>
      <c r="X706" t="s">
        <v>13499</v>
      </c>
      <c r="Y706" t="s">
        <v>13500</v>
      </c>
      <c r="Z706" t="s">
        <v>74</v>
      </c>
      <c r="AA706" t="s">
        <v>74</v>
      </c>
      <c r="AB706" t="s">
        <v>74</v>
      </c>
      <c r="AC706" t="s">
        <v>74</v>
      </c>
      <c r="AD706" t="s">
        <v>74</v>
      </c>
      <c r="AE706" t="s">
        <v>74</v>
      </c>
      <c r="AF706" t="s">
        <v>74</v>
      </c>
      <c r="AG706">
        <v>30</v>
      </c>
      <c r="AH706">
        <v>0</v>
      </c>
      <c r="AI706">
        <v>0</v>
      </c>
      <c r="AJ706">
        <v>0</v>
      </c>
      <c r="AK706">
        <v>0</v>
      </c>
      <c r="AL706" t="s">
        <v>9568</v>
      </c>
      <c r="AM706" t="s">
        <v>9569</v>
      </c>
      <c r="AN706" t="s">
        <v>9570</v>
      </c>
      <c r="AO706" t="s">
        <v>9571</v>
      </c>
      <c r="AP706" t="s">
        <v>9572</v>
      </c>
      <c r="AQ706" t="s">
        <v>74</v>
      </c>
      <c r="AR706" t="s">
        <v>9573</v>
      </c>
      <c r="AS706" t="s">
        <v>9574</v>
      </c>
      <c r="AT706" t="s">
        <v>771</v>
      </c>
      <c r="AU706">
        <v>2023</v>
      </c>
      <c r="AV706">
        <v>14</v>
      </c>
      <c r="AW706">
        <v>9</v>
      </c>
      <c r="AX706" t="s">
        <v>74</v>
      </c>
      <c r="AY706" t="s">
        <v>74</v>
      </c>
      <c r="AZ706" t="s">
        <v>74</v>
      </c>
      <c r="BA706" t="s">
        <v>74</v>
      </c>
      <c r="BB706">
        <v>559</v>
      </c>
      <c r="BC706">
        <v>572</v>
      </c>
      <c r="BD706" t="s">
        <v>74</v>
      </c>
      <c r="BE706" t="s">
        <v>74</v>
      </c>
      <c r="BF706" t="s">
        <v>74</v>
      </c>
      <c r="BG706" t="s">
        <v>74</v>
      </c>
      <c r="BH706" t="s">
        <v>74</v>
      </c>
      <c r="BI706">
        <v>14</v>
      </c>
      <c r="BJ706" t="s">
        <v>9575</v>
      </c>
      <c r="BK706" t="s">
        <v>352</v>
      </c>
      <c r="BL706" t="s">
        <v>99</v>
      </c>
      <c r="BM706" t="s">
        <v>13501</v>
      </c>
      <c r="BN706" t="s">
        <v>74</v>
      </c>
      <c r="BO706" t="s">
        <v>74</v>
      </c>
      <c r="BP706" t="s">
        <v>74</v>
      </c>
      <c r="BQ706" t="s">
        <v>74</v>
      </c>
      <c r="BR706" t="s">
        <v>101</v>
      </c>
      <c r="BS706" t="s">
        <v>13502</v>
      </c>
      <c r="BT706" t="str">
        <f>HYPERLINK("https%3A%2F%2Fwww.webofscience.com%2Fwos%2Fwoscc%2Ffull-record%2FWOS:001094654800001","View Full Record in Web of Science")</f>
        <v>View Full Record in Web of Science</v>
      </c>
    </row>
    <row r="707" spans="1:72" x14ac:dyDescent="0.2">
      <c r="A707" t="s">
        <v>103</v>
      </c>
      <c r="B707" t="s">
        <v>13503</v>
      </c>
      <c r="C707" t="s">
        <v>74</v>
      </c>
      <c r="D707" t="s">
        <v>74</v>
      </c>
      <c r="E707" t="s">
        <v>74</v>
      </c>
      <c r="F707" t="s">
        <v>13504</v>
      </c>
      <c r="G707" t="s">
        <v>74</v>
      </c>
      <c r="H707" t="s">
        <v>74</v>
      </c>
      <c r="I707" t="s">
        <v>13505</v>
      </c>
      <c r="J707" t="s">
        <v>8908</v>
      </c>
      <c r="K707" t="s">
        <v>74</v>
      </c>
      <c r="L707" t="s">
        <v>74</v>
      </c>
      <c r="M707" t="s">
        <v>79</v>
      </c>
      <c r="N707" t="s">
        <v>108</v>
      </c>
      <c r="O707" t="s">
        <v>74</v>
      </c>
      <c r="P707" t="s">
        <v>74</v>
      </c>
      <c r="Q707" t="s">
        <v>74</v>
      </c>
      <c r="R707" t="s">
        <v>74</v>
      </c>
      <c r="S707" t="s">
        <v>74</v>
      </c>
      <c r="T707" t="s">
        <v>13506</v>
      </c>
      <c r="U707" t="s">
        <v>13507</v>
      </c>
      <c r="V707" t="s">
        <v>13508</v>
      </c>
      <c r="W707" t="s">
        <v>13509</v>
      </c>
      <c r="X707" t="s">
        <v>13510</v>
      </c>
      <c r="Y707" t="s">
        <v>13511</v>
      </c>
      <c r="Z707" t="s">
        <v>13512</v>
      </c>
      <c r="AA707" t="s">
        <v>13513</v>
      </c>
      <c r="AB707" t="s">
        <v>13514</v>
      </c>
      <c r="AC707" t="s">
        <v>13515</v>
      </c>
      <c r="AD707" t="s">
        <v>13516</v>
      </c>
      <c r="AE707" t="s">
        <v>13517</v>
      </c>
      <c r="AF707" t="s">
        <v>74</v>
      </c>
      <c r="AG707">
        <v>43</v>
      </c>
      <c r="AH707">
        <v>0</v>
      </c>
      <c r="AI707">
        <v>0</v>
      </c>
      <c r="AJ707">
        <v>5</v>
      </c>
      <c r="AK707">
        <v>7</v>
      </c>
      <c r="AL707" t="s">
        <v>939</v>
      </c>
      <c r="AM707" t="s">
        <v>940</v>
      </c>
      <c r="AN707" t="s">
        <v>941</v>
      </c>
      <c r="AO707" t="s">
        <v>74</v>
      </c>
      <c r="AP707" t="s">
        <v>8918</v>
      </c>
      <c r="AQ707" t="s">
        <v>74</v>
      </c>
      <c r="AR707" t="s">
        <v>8919</v>
      </c>
      <c r="AS707" t="s">
        <v>8920</v>
      </c>
      <c r="AT707" t="s">
        <v>2887</v>
      </c>
      <c r="AU707">
        <v>2023</v>
      </c>
      <c r="AV707">
        <v>12</v>
      </c>
      <c r="AW707">
        <v>9</v>
      </c>
      <c r="AX707" t="s">
        <v>74</v>
      </c>
      <c r="AY707" t="s">
        <v>74</v>
      </c>
      <c r="AZ707" t="s">
        <v>74</v>
      </c>
      <c r="BA707" t="s">
        <v>74</v>
      </c>
      <c r="BB707" t="s">
        <v>74</v>
      </c>
      <c r="BC707" t="s">
        <v>74</v>
      </c>
      <c r="BD707">
        <v>1989</v>
      </c>
      <c r="BE707" t="s">
        <v>13518</v>
      </c>
      <c r="BF707" t="str">
        <f>HYPERLINK("http://dx.doi.org/10.3390/electronics12091989","http://dx.doi.org/10.3390/electronics12091989")</f>
        <v>http://dx.doi.org/10.3390/electronics12091989</v>
      </c>
      <c r="BG707" t="s">
        <v>74</v>
      </c>
      <c r="BH707" t="s">
        <v>74</v>
      </c>
      <c r="BI707">
        <v>20</v>
      </c>
      <c r="BJ707" t="s">
        <v>8922</v>
      </c>
      <c r="BK707" t="s">
        <v>130</v>
      </c>
      <c r="BL707" t="s">
        <v>8923</v>
      </c>
      <c r="BM707" t="s">
        <v>13519</v>
      </c>
      <c r="BN707" t="s">
        <v>74</v>
      </c>
      <c r="BO707" t="s">
        <v>13520</v>
      </c>
      <c r="BP707" t="s">
        <v>74</v>
      </c>
      <c r="BQ707" t="s">
        <v>74</v>
      </c>
      <c r="BR707" t="s">
        <v>101</v>
      </c>
      <c r="BS707" t="s">
        <v>13521</v>
      </c>
      <c r="BT707" t="str">
        <f>HYPERLINK("https%3A%2F%2Fwww.webofscience.com%2Fwos%2Fwoscc%2Ffull-record%2FWOS:000987165100001","View Full Record in Web of Science")</f>
        <v>View Full Record in Web of Science</v>
      </c>
    </row>
    <row r="708" spans="1:72" x14ac:dyDescent="0.2">
      <c r="A708" t="s">
        <v>103</v>
      </c>
      <c r="B708" t="s">
        <v>13522</v>
      </c>
      <c r="C708" t="s">
        <v>74</v>
      </c>
      <c r="D708" t="s">
        <v>74</v>
      </c>
      <c r="E708" t="s">
        <v>74</v>
      </c>
      <c r="F708" t="s">
        <v>13523</v>
      </c>
      <c r="G708" t="s">
        <v>74</v>
      </c>
      <c r="H708" t="s">
        <v>74</v>
      </c>
      <c r="I708" t="s">
        <v>13524</v>
      </c>
      <c r="J708" t="s">
        <v>10711</v>
      </c>
      <c r="K708" t="s">
        <v>74</v>
      </c>
      <c r="L708" t="s">
        <v>74</v>
      </c>
      <c r="M708" t="s">
        <v>79</v>
      </c>
      <c r="N708" t="s">
        <v>108</v>
      </c>
      <c r="O708" t="s">
        <v>74</v>
      </c>
      <c r="P708" t="s">
        <v>74</v>
      </c>
      <c r="Q708" t="s">
        <v>74</v>
      </c>
      <c r="R708" t="s">
        <v>74</v>
      </c>
      <c r="S708" t="s">
        <v>74</v>
      </c>
      <c r="T708" t="s">
        <v>74</v>
      </c>
      <c r="U708" t="s">
        <v>13451</v>
      </c>
      <c r="V708" t="s">
        <v>13525</v>
      </c>
      <c r="W708" t="s">
        <v>13526</v>
      </c>
      <c r="X708" t="s">
        <v>13527</v>
      </c>
      <c r="Y708" t="s">
        <v>13528</v>
      </c>
      <c r="Z708" t="s">
        <v>13529</v>
      </c>
      <c r="AA708" t="s">
        <v>74</v>
      </c>
      <c r="AB708" t="s">
        <v>74</v>
      </c>
      <c r="AC708" t="s">
        <v>13530</v>
      </c>
      <c r="AD708" t="s">
        <v>13531</v>
      </c>
      <c r="AE708" t="s">
        <v>13532</v>
      </c>
      <c r="AF708" t="s">
        <v>74</v>
      </c>
      <c r="AG708">
        <v>56</v>
      </c>
      <c r="AH708">
        <v>1</v>
      </c>
      <c r="AI708">
        <v>1</v>
      </c>
      <c r="AJ708">
        <v>2</v>
      </c>
      <c r="AK708">
        <v>2</v>
      </c>
      <c r="AL708" t="s">
        <v>1880</v>
      </c>
      <c r="AM708" t="s">
        <v>369</v>
      </c>
      <c r="AN708" t="s">
        <v>1881</v>
      </c>
      <c r="AO708" t="s">
        <v>10723</v>
      </c>
      <c r="AP708" t="s">
        <v>74</v>
      </c>
      <c r="AQ708" t="s">
        <v>74</v>
      </c>
      <c r="AR708" t="s">
        <v>10724</v>
      </c>
      <c r="AS708" t="s">
        <v>10725</v>
      </c>
      <c r="AT708" t="s">
        <v>13533</v>
      </c>
      <c r="AU708">
        <v>2023</v>
      </c>
      <c r="AV708">
        <v>13</v>
      </c>
      <c r="AW708">
        <v>1</v>
      </c>
      <c r="AX708" t="s">
        <v>74</v>
      </c>
      <c r="AY708" t="s">
        <v>74</v>
      </c>
      <c r="AZ708" t="s">
        <v>74</v>
      </c>
      <c r="BA708" t="s">
        <v>74</v>
      </c>
      <c r="BB708" t="s">
        <v>74</v>
      </c>
      <c r="BC708" t="s">
        <v>74</v>
      </c>
      <c r="BD708">
        <v>8250</v>
      </c>
      <c r="BE708" t="s">
        <v>13534</v>
      </c>
      <c r="BF708" t="str">
        <f>HYPERLINK("http://dx.doi.org/10.1038/s41598-023-32703-4","http://dx.doi.org/10.1038/s41598-023-32703-4")</f>
        <v>http://dx.doi.org/10.1038/s41598-023-32703-4</v>
      </c>
      <c r="BG708" t="s">
        <v>74</v>
      </c>
      <c r="BH708" t="s">
        <v>74</v>
      </c>
      <c r="BI708">
        <v>8</v>
      </c>
      <c r="BJ708" t="s">
        <v>5686</v>
      </c>
      <c r="BK708" t="s">
        <v>130</v>
      </c>
      <c r="BL708" t="s">
        <v>5687</v>
      </c>
      <c r="BM708" t="s">
        <v>13535</v>
      </c>
      <c r="BN708">
        <v>37217521</v>
      </c>
      <c r="BO708" t="s">
        <v>13536</v>
      </c>
      <c r="BP708" t="s">
        <v>74</v>
      </c>
      <c r="BQ708" t="s">
        <v>74</v>
      </c>
      <c r="BR708" t="s">
        <v>101</v>
      </c>
      <c r="BS708" t="s">
        <v>13537</v>
      </c>
      <c r="BT708" t="str">
        <f>HYPERLINK("https%3A%2F%2Fwww.webofscience.com%2Fwos%2Fwoscc%2Ffull-record%2FWOS:001065312000004","View Full Record in Web of Science")</f>
        <v>View Full Record in Web of Science</v>
      </c>
    </row>
    <row r="709" spans="1:72" x14ac:dyDescent="0.2">
      <c r="A709" t="s">
        <v>103</v>
      </c>
      <c r="B709" t="s">
        <v>13538</v>
      </c>
      <c r="C709" t="s">
        <v>74</v>
      </c>
      <c r="D709" t="s">
        <v>74</v>
      </c>
      <c r="E709" t="s">
        <v>74</v>
      </c>
      <c r="F709" t="s">
        <v>13539</v>
      </c>
      <c r="G709" t="s">
        <v>74</v>
      </c>
      <c r="H709" t="s">
        <v>74</v>
      </c>
      <c r="I709" t="s">
        <v>13540</v>
      </c>
      <c r="J709" t="s">
        <v>7805</v>
      </c>
      <c r="K709" t="s">
        <v>74</v>
      </c>
      <c r="L709" t="s">
        <v>74</v>
      </c>
      <c r="M709" t="s">
        <v>79</v>
      </c>
      <c r="N709" t="s">
        <v>108</v>
      </c>
      <c r="O709" t="s">
        <v>74</v>
      </c>
      <c r="P709" t="s">
        <v>74</v>
      </c>
      <c r="Q709" t="s">
        <v>74</v>
      </c>
      <c r="R709" t="s">
        <v>74</v>
      </c>
      <c r="S709" t="s">
        <v>74</v>
      </c>
      <c r="T709" t="s">
        <v>13541</v>
      </c>
      <c r="U709" t="s">
        <v>13542</v>
      </c>
      <c r="V709" t="s">
        <v>13543</v>
      </c>
      <c r="W709" t="s">
        <v>13544</v>
      </c>
      <c r="X709" t="s">
        <v>13545</v>
      </c>
      <c r="Y709" t="s">
        <v>13546</v>
      </c>
      <c r="Z709" t="s">
        <v>13547</v>
      </c>
      <c r="AA709" t="s">
        <v>13548</v>
      </c>
      <c r="AB709" t="s">
        <v>13549</v>
      </c>
      <c r="AC709" t="s">
        <v>13550</v>
      </c>
      <c r="AD709" t="s">
        <v>13550</v>
      </c>
      <c r="AE709" t="s">
        <v>13551</v>
      </c>
      <c r="AF709" t="s">
        <v>74</v>
      </c>
      <c r="AG709">
        <v>44</v>
      </c>
      <c r="AH709">
        <v>1</v>
      </c>
      <c r="AI709">
        <v>1</v>
      </c>
      <c r="AJ709">
        <v>5</v>
      </c>
      <c r="AK709">
        <v>5</v>
      </c>
      <c r="AL709" t="s">
        <v>1379</v>
      </c>
      <c r="AM709" t="s">
        <v>1380</v>
      </c>
      <c r="AN709" t="s">
        <v>1381</v>
      </c>
      <c r="AO709" t="s">
        <v>7816</v>
      </c>
      <c r="AP709" t="s">
        <v>7817</v>
      </c>
      <c r="AQ709" t="s">
        <v>74</v>
      </c>
      <c r="AR709" t="s">
        <v>7818</v>
      </c>
      <c r="AS709" t="s">
        <v>7819</v>
      </c>
      <c r="AT709" t="s">
        <v>791</v>
      </c>
      <c r="AU709">
        <v>2023</v>
      </c>
      <c r="AV709">
        <v>27</v>
      </c>
      <c r="AW709">
        <v>8</v>
      </c>
      <c r="AX709" t="s">
        <v>74</v>
      </c>
      <c r="AY709" t="s">
        <v>74</v>
      </c>
      <c r="AZ709" t="s">
        <v>74</v>
      </c>
      <c r="BA709" t="s">
        <v>74</v>
      </c>
      <c r="BB709">
        <v>3760</v>
      </c>
      <c r="BC709">
        <v>3769</v>
      </c>
      <c r="BD709" t="s">
        <v>74</v>
      </c>
      <c r="BE709" t="s">
        <v>13552</v>
      </c>
      <c r="BF709" t="str">
        <f>HYPERLINK("http://dx.doi.org/10.1109/JBHI.2023.3236722","http://dx.doi.org/10.1109/JBHI.2023.3236722")</f>
        <v>http://dx.doi.org/10.1109/JBHI.2023.3236722</v>
      </c>
      <c r="BG709" t="s">
        <v>74</v>
      </c>
      <c r="BH709" t="s">
        <v>74</v>
      </c>
      <c r="BI709">
        <v>10</v>
      </c>
      <c r="BJ709" t="s">
        <v>7821</v>
      </c>
      <c r="BK709" t="s">
        <v>130</v>
      </c>
      <c r="BL709" t="s">
        <v>7822</v>
      </c>
      <c r="BM709" t="s">
        <v>13553</v>
      </c>
      <c r="BN709">
        <v>37018683</v>
      </c>
      <c r="BO709" t="s">
        <v>2310</v>
      </c>
      <c r="BP709" t="s">
        <v>74</v>
      </c>
      <c r="BQ709" t="s">
        <v>74</v>
      </c>
      <c r="BR709" t="s">
        <v>101</v>
      </c>
      <c r="BS709" t="s">
        <v>13554</v>
      </c>
      <c r="BT709" t="str">
        <f>HYPERLINK("https%3A%2F%2Fwww.webofscience.com%2Fwos%2Fwoscc%2Ffull-record%2FWOS:001045824200007","View Full Record in Web of Science")</f>
        <v>View Full Record in Web of Science</v>
      </c>
    </row>
    <row r="710" spans="1:72" x14ac:dyDescent="0.2">
      <c r="A710" t="s">
        <v>103</v>
      </c>
      <c r="B710" t="s">
        <v>13555</v>
      </c>
      <c r="C710" t="s">
        <v>74</v>
      </c>
      <c r="D710" t="s">
        <v>74</v>
      </c>
      <c r="E710" t="s">
        <v>74</v>
      </c>
      <c r="F710" t="s">
        <v>13556</v>
      </c>
      <c r="G710" t="s">
        <v>74</v>
      </c>
      <c r="H710" t="s">
        <v>74</v>
      </c>
      <c r="I710" t="s">
        <v>13557</v>
      </c>
      <c r="J710" t="s">
        <v>2001</v>
      </c>
      <c r="K710" t="s">
        <v>74</v>
      </c>
      <c r="L710" t="s">
        <v>74</v>
      </c>
      <c r="M710" t="s">
        <v>79</v>
      </c>
      <c r="N710" t="s">
        <v>108</v>
      </c>
      <c r="O710" t="s">
        <v>74</v>
      </c>
      <c r="P710" t="s">
        <v>74</v>
      </c>
      <c r="Q710" t="s">
        <v>74</v>
      </c>
      <c r="R710" t="s">
        <v>74</v>
      </c>
      <c r="S710" t="s">
        <v>74</v>
      </c>
      <c r="T710" t="s">
        <v>13558</v>
      </c>
      <c r="U710" t="s">
        <v>13559</v>
      </c>
      <c r="V710" t="s">
        <v>13560</v>
      </c>
      <c r="W710" t="s">
        <v>13561</v>
      </c>
      <c r="X710" t="s">
        <v>13562</v>
      </c>
      <c r="Y710" t="s">
        <v>13563</v>
      </c>
      <c r="Z710" t="s">
        <v>13564</v>
      </c>
      <c r="AA710" t="s">
        <v>13565</v>
      </c>
      <c r="AB710" t="s">
        <v>13566</v>
      </c>
      <c r="AC710" t="s">
        <v>13567</v>
      </c>
      <c r="AD710" t="s">
        <v>13568</v>
      </c>
      <c r="AE710" t="s">
        <v>13569</v>
      </c>
      <c r="AF710" t="s">
        <v>74</v>
      </c>
      <c r="AG710">
        <v>67</v>
      </c>
      <c r="AH710">
        <v>0</v>
      </c>
      <c r="AI710">
        <v>0</v>
      </c>
      <c r="AJ710">
        <v>20</v>
      </c>
      <c r="AK710">
        <v>20</v>
      </c>
      <c r="AL710" t="s">
        <v>2010</v>
      </c>
      <c r="AM710" t="s">
        <v>93</v>
      </c>
      <c r="AN710" t="s">
        <v>2011</v>
      </c>
      <c r="AO710" t="s">
        <v>2012</v>
      </c>
      <c r="AP710" t="s">
        <v>2013</v>
      </c>
      <c r="AQ710" t="s">
        <v>74</v>
      </c>
      <c r="AR710" t="s">
        <v>2014</v>
      </c>
      <c r="AS710" t="s">
        <v>2015</v>
      </c>
      <c r="AT710" t="s">
        <v>126</v>
      </c>
      <c r="AU710">
        <v>2024</v>
      </c>
      <c r="AV710">
        <v>200</v>
      </c>
      <c r="AW710" t="s">
        <v>74</v>
      </c>
      <c r="AX710" t="s">
        <v>74</v>
      </c>
      <c r="AY710" t="s">
        <v>74</v>
      </c>
      <c r="AZ710" t="s">
        <v>74</v>
      </c>
      <c r="BA710" t="s">
        <v>74</v>
      </c>
      <c r="BB710" t="s">
        <v>74</v>
      </c>
      <c r="BC710" t="s">
        <v>74</v>
      </c>
      <c r="BD710">
        <v>123162</v>
      </c>
      <c r="BE710" t="s">
        <v>13570</v>
      </c>
      <c r="BF710" t="str">
        <f>HYPERLINK("http://dx.doi.org/10.1016/j.techfore.2023.123162","http://dx.doi.org/10.1016/j.techfore.2023.123162")</f>
        <v>http://dx.doi.org/10.1016/j.techfore.2023.123162</v>
      </c>
      <c r="BG710" t="s">
        <v>74</v>
      </c>
      <c r="BH710" t="s">
        <v>128</v>
      </c>
      <c r="BI710">
        <v>12</v>
      </c>
      <c r="BJ710" t="s">
        <v>2018</v>
      </c>
      <c r="BK710" t="s">
        <v>159</v>
      </c>
      <c r="BL710" t="s">
        <v>2019</v>
      </c>
      <c r="BM710" t="s">
        <v>13571</v>
      </c>
      <c r="BN710" t="s">
        <v>74</v>
      </c>
      <c r="BO710" t="s">
        <v>74</v>
      </c>
      <c r="BP710" t="s">
        <v>74</v>
      </c>
      <c r="BQ710" t="s">
        <v>74</v>
      </c>
      <c r="BR710" t="s">
        <v>101</v>
      </c>
      <c r="BS710" t="s">
        <v>13572</v>
      </c>
      <c r="BT710" t="str">
        <f>HYPERLINK("https%3A%2F%2Fwww.webofscience.com%2Fwos%2Fwoscc%2Ffull-record%2FWOS:001148245100001","View Full Record in Web of Science")</f>
        <v>View Full Record in Web of Science</v>
      </c>
    </row>
    <row r="711" spans="1:72" x14ac:dyDescent="0.2">
      <c r="A711" t="s">
        <v>72</v>
      </c>
      <c r="B711" t="s">
        <v>13573</v>
      </c>
      <c r="C711" t="s">
        <v>74</v>
      </c>
      <c r="D711" t="s">
        <v>6011</v>
      </c>
      <c r="E711" t="s">
        <v>74</v>
      </c>
      <c r="F711" t="s">
        <v>13574</v>
      </c>
      <c r="G711" t="s">
        <v>74</v>
      </c>
      <c r="H711" t="s">
        <v>74</v>
      </c>
      <c r="I711" t="s">
        <v>13575</v>
      </c>
      <c r="J711" t="s">
        <v>13576</v>
      </c>
      <c r="K711" t="s">
        <v>312</v>
      </c>
      <c r="L711" t="s">
        <v>74</v>
      </c>
      <c r="M711" t="s">
        <v>79</v>
      </c>
      <c r="N711" t="s">
        <v>80</v>
      </c>
      <c r="O711" t="s">
        <v>6015</v>
      </c>
      <c r="P711" t="s">
        <v>6016</v>
      </c>
      <c r="Q711" t="s">
        <v>6017</v>
      </c>
      <c r="R711" t="s">
        <v>74</v>
      </c>
      <c r="S711" t="s">
        <v>74</v>
      </c>
      <c r="T711" t="s">
        <v>13577</v>
      </c>
      <c r="U711" t="s">
        <v>74</v>
      </c>
      <c r="V711" t="s">
        <v>13578</v>
      </c>
      <c r="W711" t="s">
        <v>13579</v>
      </c>
      <c r="X711" t="s">
        <v>13580</v>
      </c>
      <c r="Y711" t="s">
        <v>13581</v>
      </c>
      <c r="Z711" t="s">
        <v>13582</v>
      </c>
      <c r="AA711" t="s">
        <v>74</v>
      </c>
      <c r="AB711" t="s">
        <v>13583</v>
      </c>
      <c r="AC711" t="s">
        <v>13584</v>
      </c>
      <c r="AD711" t="s">
        <v>13585</v>
      </c>
      <c r="AE711" t="s">
        <v>13586</v>
      </c>
      <c r="AF711" t="s">
        <v>74</v>
      </c>
      <c r="AG711">
        <v>17</v>
      </c>
      <c r="AH711">
        <v>0</v>
      </c>
      <c r="AI711">
        <v>0</v>
      </c>
      <c r="AJ711">
        <v>0</v>
      </c>
      <c r="AK711">
        <v>0</v>
      </c>
      <c r="AL711" t="s">
        <v>325</v>
      </c>
      <c r="AM711" t="s">
        <v>245</v>
      </c>
      <c r="AN711" t="s">
        <v>246</v>
      </c>
      <c r="AO711" t="s">
        <v>326</v>
      </c>
      <c r="AP711" t="s">
        <v>327</v>
      </c>
      <c r="AQ711" t="s">
        <v>13587</v>
      </c>
      <c r="AR711" t="s">
        <v>329</v>
      </c>
      <c r="AS711" t="s">
        <v>74</v>
      </c>
      <c r="AT711" t="s">
        <v>74</v>
      </c>
      <c r="AU711">
        <v>2023</v>
      </c>
      <c r="AV711">
        <v>14228</v>
      </c>
      <c r="AW711" t="s">
        <v>74</v>
      </c>
      <c r="AX711" t="s">
        <v>74</v>
      </c>
      <c r="AY711" t="s">
        <v>74</v>
      </c>
      <c r="AZ711" t="s">
        <v>74</v>
      </c>
      <c r="BA711" t="s">
        <v>74</v>
      </c>
      <c r="BB711">
        <v>462</v>
      </c>
      <c r="BC711">
        <v>471</v>
      </c>
      <c r="BD711" t="s">
        <v>74</v>
      </c>
      <c r="BE711" t="s">
        <v>13588</v>
      </c>
      <c r="BF711" t="str">
        <f>HYPERLINK("http://dx.doi.org/10.1007/978-3-031-43996-4_44","http://dx.doi.org/10.1007/978-3-031-43996-4_44")</f>
        <v>http://dx.doi.org/10.1007/978-3-031-43996-4_44</v>
      </c>
      <c r="BG711" t="s">
        <v>74</v>
      </c>
      <c r="BH711" t="s">
        <v>74</v>
      </c>
      <c r="BI711">
        <v>10</v>
      </c>
      <c r="BJ711" t="s">
        <v>13589</v>
      </c>
      <c r="BK711" t="s">
        <v>98</v>
      </c>
      <c r="BL711" t="s">
        <v>906</v>
      </c>
      <c r="BM711" t="s">
        <v>13590</v>
      </c>
      <c r="BN711" t="s">
        <v>74</v>
      </c>
      <c r="BO711" t="s">
        <v>74</v>
      </c>
      <c r="BP711" t="s">
        <v>74</v>
      </c>
      <c r="BQ711" t="s">
        <v>74</v>
      </c>
      <c r="BR711" t="s">
        <v>101</v>
      </c>
      <c r="BS711" t="s">
        <v>13591</v>
      </c>
      <c r="BT711" t="str">
        <f>HYPERLINK("https%3A%2F%2Fwww.webofscience.com%2Fwos%2Fwoscc%2Ffull-record%2FWOS:001109638800044","View Full Record in Web of Science")</f>
        <v>View Full Record in Web of Science</v>
      </c>
    </row>
    <row r="712" spans="1:72" x14ac:dyDescent="0.2">
      <c r="A712" t="s">
        <v>103</v>
      </c>
      <c r="B712" t="s">
        <v>13592</v>
      </c>
      <c r="C712" t="s">
        <v>74</v>
      </c>
      <c r="D712" t="s">
        <v>74</v>
      </c>
      <c r="E712" t="s">
        <v>74</v>
      </c>
      <c r="F712" t="s">
        <v>13593</v>
      </c>
      <c r="G712" t="s">
        <v>74</v>
      </c>
      <c r="H712" t="s">
        <v>74</v>
      </c>
      <c r="I712" t="s">
        <v>13594</v>
      </c>
      <c r="J712" t="s">
        <v>13595</v>
      </c>
      <c r="K712" t="s">
        <v>74</v>
      </c>
      <c r="L712" t="s">
        <v>74</v>
      </c>
      <c r="M712" t="s">
        <v>79</v>
      </c>
      <c r="N712" t="s">
        <v>108</v>
      </c>
      <c r="O712" t="s">
        <v>74</v>
      </c>
      <c r="P712" t="s">
        <v>74</v>
      </c>
      <c r="Q712" t="s">
        <v>74</v>
      </c>
      <c r="R712" t="s">
        <v>74</v>
      </c>
      <c r="S712" t="s">
        <v>74</v>
      </c>
      <c r="T712" t="s">
        <v>13596</v>
      </c>
      <c r="U712" t="s">
        <v>74</v>
      </c>
      <c r="V712" t="s">
        <v>13597</v>
      </c>
      <c r="W712" t="s">
        <v>13598</v>
      </c>
      <c r="X712" t="s">
        <v>13599</v>
      </c>
      <c r="Y712" t="s">
        <v>13600</v>
      </c>
      <c r="Z712" t="s">
        <v>13601</v>
      </c>
      <c r="AA712" t="s">
        <v>13602</v>
      </c>
      <c r="AB712" t="s">
        <v>13603</v>
      </c>
      <c r="AC712" t="s">
        <v>13604</v>
      </c>
      <c r="AD712" t="s">
        <v>13605</v>
      </c>
      <c r="AE712" t="s">
        <v>13606</v>
      </c>
      <c r="AF712" t="s">
        <v>74</v>
      </c>
      <c r="AG712">
        <v>33</v>
      </c>
      <c r="AH712">
        <v>0</v>
      </c>
      <c r="AI712">
        <v>0</v>
      </c>
      <c r="AJ712">
        <v>19</v>
      </c>
      <c r="AK712">
        <v>19</v>
      </c>
      <c r="AL712" t="s">
        <v>5985</v>
      </c>
      <c r="AM712" t="s">
        <v>1451</v>
      </c>
      <c r="AN712" t="s">
        <v>5986</v>
      </c>
      <c r="AO712" t="s">
        <v>13607</v>
      </c>
      <c r="AP712" t="s">
        <v>13608</v>
      </c>
      <c r="AQ712" t="s">
        <v>74</v>
      </c>
      <c r="AR712" t="s">
        <v>13609</v>
      </c>
      <c r="AS712" t="s">
        <v>13610</v>
      </c>
      <c r="AT712" t="s">
        <v>13611</v>
      </c>
      <c r="AU712">
        <v>2023</v>
      </c>
      <c r="AV712">
        <v>32</v>
      </c>
      <c r="AW712">
        <v>11</v>
      </c>
      <c r="AX712" t="s">
        <v>74</v>
      </c>
      <c r="AY712" t="s">
        <v>74</v>
      </c>
      <c r="AZ712" t="s">
        <v>74</v>
      </c>
      <c r="BA712" t="s">
        <v>74</v>
      </c>
      <c r="BB712" t="s">
        <v>74</v>
      </c>
      <c r="BC712" t="s">
        <v>74</v>
      </c>
      <c r="BD712">
        <v>118104</v>
      </c>
      <c r="BE712" t="s">
        <v>13612</v>
      </c>
      <c r="BF712" t="str">
        <f>HYPERLINK("http://dx.doi.org/10.1088/1674-1056/ad04cb","http://dx.doi.org/10.1088/1674-1056/ad04cb")</f>
        <v>http://dx.doi.org/10.1088/1674-1056/ad04cb</v>
      </c>
      <c r="BG712" t="s">
        <v>74</v>
      </c>
      <c r="BH712" t="s">
        <v>74</v>
      </c>
      <c r="BI712">
        <v>6</v>
      </c>
      <c r="BJ712" t="s">
        <v>10510</v>
      </c>
      <c r="BK712" t="s">
        <v>130</v>
      </c>
      <c r="BL712" t="s">
        <v>6827</v>
      </c>
      <c r="BM712" t="s">
        <v>13613</v>
      </c>
      <c r="BN712" t="s">
        <v>74</v>
      </c>
      <c r="BO712" t="s">
        <v>646</v>
      </c>
      <c r="BP712" t="s">
        <v>74</v>
      </c>
      <c r="BQ712" t="s">
        <v>74</v>
      </c>
      <c r="BR712" t="s">
        <v>101</v>
      </c>
      <c r="BS712" t="s">
        <v>13614</v>
      </c>
      <c r="BT712" t="str">
        <f>HYPERLINK("https%3A%2F%2Fwww.webofscience.com%2Fwos%2Fwoscc%2Ffull-record%2FWOS:001121059200001","View Full Record in Web of Science")</f>
        <v>View Full Record in Web of Science</v>
      </c>
    </row>
    <row r="713" spans="1:72" x14ac:dyDescent="0.2">
      <c r="A713" t="s">
        <v>72</v>
      </c>
      <c r="B713" t="s">
        <v>13615</v>
      </c>
      <c r="C713" t="s">
        <v>74</v>
      </c>
      <c r="D713" t="s">
        <v>13616</v>
      </c>
      <c r="E713" t="s">
        <v>74</v>
      </c>
      <c r="F713" t="s">
        <v>13617</v>
      </c>
      <c r="G713" t="s">
        <v>74</v>
      </c>
      <c r="H713" t="s">
        <v>74</v>
      </c>
      <c r="I713" t="s">
        <v>13618</v>
      </c>
      <c r="J713" t="s">
        <v>13619</v>
      </c>
      <c r="K713" t="s">
        <v>1034</v>
      </c>
      <c r="L713" t="s">
        <v>74</v>
      </c>
      <c r="M713" t="s">
        <v>79</v>
      </c>
      <c r="N713" t="s">
        <v>80</v>
      </c>
      <c r="O713" t="s">
        <v>13620</v>
      </c>
      <c r="P713" t="s">
        <v>5125</v>
      </c>
      <c r="Q713" t="s">
        <v>13621</v>
      </c>
      <c r="R713" t="s">
        <v>13622</v>
      </c>
      <c r="S713" t="s">
        <v>74</v>
      </c>
      <c r="T713" t="s">
        <v>13623</v>
      </c>
      <c r="U713" t="s">
        <v>74</v>
      </c>
      <c r="V713" t="s">
        <v>13624</v>
      </c>
      <c r="W713" t="s">
        <v>13625</v>
      </c>
      <c r="X713" t="s">
        <v>13626</v>
      </c>
      <c r="Y713" t="s">
        <v>13627</v>
      </c>
      <c r="Z713" t="s">
        <v>13628</v>
      </c>
      <c r="AA713" t="s">
        <v>74</v>
      </c>
      <c r="AB713" t="s">
        <v>13629</v>
      </c>
      <c r="AC713" t="s">
        <v>74</v>
      </c>
      <c r="AD713" t="s">
        <v>74</v>
      </c>
      <c r="AE713" t="s">
        <v>74</v>
      </c>
      <c r="AF713" t="s">
        <v>74</v>
      </c>
      <c r="AG713">
        <v>38</v>
      </c>
      <c r="AH713">
        <v>1</v>
      </c>
      <c r="AI713">
        <v>1</v>
      </c>
      <c r="AJ713">
        <v>1</v>
      </c>
      <c r="AK713">
        <v>1</v>
      </c>
      <c r="AL713" t="s">
        <v>325</v>
      </c>
      <c r="AM713" t="s">
        <v>245</v>
      </c>
      <c r="AN713" t="s">
        <v>246</v>
      </c>
      <c r="AO713" t="s">
        <v>1042</v>
      </c>
      <c r="AP713" t="s">
        <v>327</v>
      </c>
      <c r="AQ713" t="s">
        <v>13630</v>
      </c>
      <c r="AR713" t="s">
        <v>1044</v>
      </c>
      <c r="AS713" t="s">
        <v>74</v>
      </c>
      <c r="AT713" t="s">
        <v>74</v>
      </c>
      <c r="AU713">
        <v>2023</v>
      </c>
      <c r="AV713">
        <v>14236</v>
      </c>
      <c r="AW713" t="s">
        <v>74</v>
      </c>
      <c r="AX713" t="s">
        <v>74</v>
      </c>
      <c r="AY713" t="s">
        <v>74</v>
      </c>
      <c r="AZ713" t="s">
        <v>74</v>
      </c>
      <c r="BA713" t="s">
        <v>74</v>
      </c>
      <c r="BB713">
        <v>198</v>
      </c>
      <c r="BC713">
        <v>206</v>
      </c>
      <c r="BD713" t="s">
        <v>74</v>
      </c>
      <c r="BE713" t="s">
        <v>13631</v>
      </c>
      <c r="BF713" t="str">
        <f>HYPERLINK("http://dx.doi.org/10.1007/978-3-031-42608-7_16","http://dx.doi.org/10.1007/978-3-031-42608-7_16")</f>
        <v>http://dx.doi.org/10.1007/978-3-031-42608-7_16</v>
      </c>
      <c r="BG713" t="s">
        <v>74</v>
      </c>
      <c r="BH713" t="s">
        <v>74</v>
      </c>
      <c r="BI713">
        <v>9</v>
      </c>
      <c r="BJ713" t="s">
        <v>331</v>
      </c>
      <c r="BK713" t="s">
        <v>98</v>
      </c>
      <c r="BL713" t="s">
        <v>99</v>
      </c>
      <c r="BM713" t="s">
        <v>13632</v>
      </c>
      <c r="BN713" t="s">
        <v>74</v>
      </c>
      <c r="BO713" t="s">
        <v>646</v>
      </c>
      <c r="BP713" t="s">
        <v>74</v>
      </c>
      <c r="BQ713" t="s">
        <v>74</v>
      </c>
      <c r="BR713" t="s">
        <v>101</v>
      </c>
      <c r="BS713" t="s">
        <v>13633</v>
      </c>
      <c r="BT713" t="str">
        <f>HYPERLINK("https%3A%2F%2Fwww.webofscience.com%2Fwos%2Fwoscc%2Ffull-record%2FWOS:001155305700016","View Full Record in Web of Science")</f>
        <v>View Full Record in Web of Science</v>
      </c>
    </row>
    <row r="714" spans="1:72" x14ac:dyDescent="0.2">
      <c r="A714" t="s">
        <v>103</v>
      </c>
      <c r="B714" t="s">
        <v>13634</v>
      </c>
      <c r="C714" t="s">
        <v>74</v>
      </c>
      <c r="D714" t="s">
        <v>74</v>
      </c>
      <c r="E714" t="s">
        <v>74</v>
      </c>
      <c r="F714" t="s">
        <v>13635</v>
      </c>
      <c r="G714" t="s">
        <v>74</v>
      </c>
      <c r="H714" t="s">
        <v>74</v>
      </c>
      <c r="I714" t="s">
        <v>13636</v>
      </c>
      <c r="J714" t="s">
        <v>13637</v>
      </c>
      <c r="K714" t="s">
        <v>74</v>
      </c>
      <c r="L714" t="s">
        <v>74</v>
      </c>
      <c r="M714" t="s">
        <v>79</v>
      </c>
      <c r="N714" t="s">
        <v>108</v>
      </c>
      <c r="O714" t="s">
        <v>74</v>
      </c>
      <c r="P714" t="s">
        <v>74</v>
      </c>
      <c r="Q714" t="s">
        <v>74</v>
      </c>
      <c r="R714" t="s">
        <v>74</v>
      </c>
      <c r="S714" t="s">
        <v>74</v>
      </c>
      <c r="T714" t="s">
        <v>13638</v>
      </c>
      <c r="U714" t="s">
        <v>13639</v>
      </c>
      <c r="V714" t="s">
        <v>13640</v>
      </c>
      <c r="W714" t="s">
        <v>13641</v>
      </c>
      <c r="X714" t="s">
        <v>13642</v>
      </c>
      <c r="Y714" t="s">
        <v>13643</v>
      </c>
      <c r="Z714" t="s">
        <v>13644</v>
      </c>
      <c r="AA714" t="s">
        <v>74</v>
      </c>
      <c r="AB714" t="s">
        <v>13645</v>
      </c>
      <c r="AC714" t="s">
        <v>74</v>
      </c>
      <c r="AD714" t="s">
        <v>74</v>
      </c>
      <c r="AE714" t="s">
        <v>74</v>
      </c>
      <c r="AF714" t="s">
        <v>74</v>
      </c>
      <c r="AG714">
        <v>58</v>
      </c>
      <c r="AH714">
        <v>0</v>
      </c>
      <c r="AI714">
        <v>0</v>
      </c>
      <c r="AJ714">
        <v>7</v>
      </c>
      <c r="AK714">
        <v>7</v>
      </c>
      <c r="AL714" t="s">
        <v>1129</v>
      </c>
      <c r="AM714" t="s">
        <v>120</v>
      </c>
      <c r="AN714" t="s">
        <v>1130</v>
      </c>
      <c r="AO714" t="s">
        <v>13646</v>
      </c>
      <c r="AP714" t="s">
        <v>13647</v>
      </c>
      <c r="AQ714" t="s">
        <v>74</v>
      </c>
      <c r="AR714" t="s">
        <v>13648</v>
      </c>
      <c r="AS714" t="s">
        <v>13649</v>
      </c>
      <c r="AT714" t="s">
        <v>2016</v>
      </c>
      <c r="AU714">
        <v>2024</v>
      </c>
      <c r="AV714">
        <v>136</v>
      </c>
      <c r="AW714" t="s">
        <v>74</v>
      </c>
      <c r="AX714" t="s">
        <v>74</v>
      </c>
      <c r="AY714" t="s">
        <v>74</v>
      </c>
      <c r="AZ714" t="s">
        <v>74</v>
      </c>
      <c r="BA714" t="s">
        <v>74</v>
      </c>
      <c r="BB714" t="s">
        <v>74</v>
      </c>
      <c r="BC714" t="s">
        <v>74</v>
      </c>
      <c r="BD714">
        <v>103567</v>
      </c>
      <c r="BE714" t="s">
        <v>13650</v>
      </c>
      <c r="BF714" t="str">
        <f>HYPERLINK("http://dx.doi.org/10.1016/j.cose.2023.103567","http://dx.doi.org/10.1016/j.cose.2023.103567")</f>
        <v>http://dx.doi.org/10.1016/j.cose.2023.103567</v>
      </c>
      <c r="BG714" t="s">
        <v>74</v>
      </c>
      <c r="BH714" t="s">
        <v>157</v>
      </c>
      <c r="BI714">
        <v>14</v>
      </c>
      <c r="BJ714" t="s">
        <v>230</v>
      </c>
      <c r="BK714" t="s">
        <v>130</v>
      </c>
      <c r="BL714" t="s">
        <v>99</v>
      </c>
      <c r="BM714" t="s">
        <v>13651</v>
      </c>
      <c r="BN714" t="s">
        <v>74</v>
      </c>
      <c r="BO714" t="s">
        <v>74</v>
      </c>
      <c r="BP714" t="s">
        <v>74</v>
      </c>
      <c r="BQ714" t="s">
        <v>74</v>
      </c>
      <c r="BR714" t="s">
        <v>101</v>
      </c>
      <c r="BS714" t="s">
        <v>13652</v>
      </c>
      <c r="BT714" t="str">
        <f>HYPERLINK("https%3A%2F%2Fwww.webofscience.com%2Fwos%2Fwoscc%2Ffull-record%2FWOS:001106132700001","View Full Record in Web of Science")</f>
        <v>View Full Record in Web of Science</v>
      </c>
    </row>
    <row r="715" spans="1:72" x14ac:dyDescent="0.2">
      <c r="A715" t="s">
        <v>103</v>
      </c>
      <c r="B715" t="s">
        <v>13653</v>
      </c>
      <c r="C715" t="s">
        <v>74</v>
      </c>
      <c r="D715" t="s">
        <v>74</v>
      </c>
      <c r="E715" t="s">
        <v>74</v>
      </c>
      <c r="F715" t="s">
        <v>13654</v>
      </c>
      <c r="G715" t="s">
        <v>74</v>
      </c>
      <c r="H715" t="s">
        <v>74</v>
      </c>
      <c r="I715" t="s">
        <v>13655</v>
      </c>
      <c r="J715" t="s">
        <v>13656</v>
      </c>
      <c r="K715" t="s">
        <v>74</v>
      </c>
      <c r="L715" t="s">
        <v>74</v>
      </c>
      <c r="M715" t="s">
        <v>79</v>
      </c>
      <c r="N715" t="s">
        <v>108</v>
      </c>
      <c r="O715" t="s">
        <v>74</v>
      </c>
      <c r="P715" t="s">
        <v>74</v>
      </c>
      <c r="Q715" t="s">
        <v>74</v>
      </c>
      <c r="R715" t="s">
        <v>74</v>
      </c>
      <c r="S715" t="s">
        <v>74</v>
      </c>
      <c r="T715" t="s">
        <v>13657</v>
      </c>
      <c r="U715" t="s">
        <v>13658</v>
      </c>
      <c r="V715" t="s">
        <v>13659</v>
      </c>
      <c r="W715" t="s">
        <v>13660</v>
      </c>
      <c r="X715" t="s">
        <v>13661</v>
      </c>
      <c r="Y715" t="s">
        <v>13662</v>
      </c>
      <c r="Z715" t="s">
        <v>13663</v>
      </c>
      <c r="AA715" t="s">
        <v>74</v>
      </c>
      <c r="AB715" t="s">
        <v>74</v>
      </c>
      <c r="AC715" t="s">
        <v>74</v>
      </c>
      <c r="AD715" t="s">
        <v>74</v>
      </c>
      <c r="AE715" t="s">
        <v>74</v>
      </c>
      <c r="AF715" t="s">
        <v>74</v>
      </c>
      <c r="AG715">
        <v>53</v>
      </c>
      <c r="AH715">
        <v>3</v>
      </c>
      <c r="AI715">
        <v>3</v>
      </c>
      <c r="AJ715">
        <v>1</v>
      </c>
      <c r="AK715">
        <v>8</v>
      </c>
      <c r="AL715" t="s">
        <v>3165</v>
      </c>
      <c r="AM715" t="s">
        <v>3166</v>
      </c>
      <c r="AN715" t="s">
        <v>3167</v>
      </c>
      <c r="AO715" t="s">
        <v>13664</v>
      </c>
      <c r="AP715" t="s">
        <v>13665</v>
      </c>
      <c r="AQ715" t="s">
        <v>74</v>
      </c>
      <c r="AR715" t="s">
        <v>13666</v>
      </c>
      <c r="AS715" t="s">
        <v>13667</v>
      </c>
      <c r="AT715" t="s">
        <v>445</v>
      </c>
      <c r="AU715">
        <v>2023</v>
      </c>
      <c r="AV715">
        <v>50</v>
      </c>
      <c r="AW715">
        <v>4</v>
      </c>
      <c r="AX715" t="s">
        <v>74</v>
      </c>
      <c r="AY715" t="s">
        <v>74</v>
      </c>
      <c r="AZ715" t="s">
        <v>74</v>
      </c>
      <c r="BA715" t="s">
        <v>74</v>
      </c>
      <c r="BB715">
        <v>2488</v>
      </c>
      <c r="BC715">
        <v>2498</v>
      </c>
      <c r="BD715" t="s">
        <v>74</v>
      </c>
      <c r="BE715" t="s">
        <v>13668</v>
      </c>
      <c r="BF715" t="str">
        <f>HYPERLINK("http://dx.doi.org/10.1002/mp.16210","http://dx.doi.org/10.1002/mp.16210")</f>
        <v>http://dx.doi.org/10.1002/mp.16210</v>
      </c>
      <c r="BG715" t="s">
        <v>74</v>
      </c>
      <c r="BH715" t="s">
        <v>7345</v>
      </c>
      <c r="BI715">
        <v>11</v>
      </c>
      <c r="BJ715" t="s">
        <v>5360</v>
      </c>
      <c r="BK715" t="s">
        <v>130</v>
      </c>
      <c r="BL715" t="s">
        <v>5360</v>
      </c>
      <c r="BM715" t="s">
        <v>13669</v>
      </c>
      <c r="BN715">
        <v>36609669</v>
      </c>
      <c r="BO715" t="s">
        <v>74</v>
      </c>
      <c r="BP715" t="s">
        <v>74</v>
      </c>
      <c r="BQ715" t="s">
        <v>74</v>
      </c>
      <c r="BR715" t="s">
        <v>101</v>
      </c>
      <c r="BS715" t="s">
        <v>13670</v>
      </c>
      <c r="BT715" t="str">
        <f>HYPERLINK("https%3A%2F%2Fwww.webofscience.com%2Fwos%2Fwoscc%2Ffull-record%2FWOS:000913023000001","View Full Record in Web of Science")</f>
        <v>View Full Record in Web of Science</v>
      </c>
    </row>
    <row r="716" spans="1:72" x14ac:dyDescent="0.2">
      <c r="A716" t="s">
        <v>103</v>
      </c>
      <c r="B716" t="s">
        <v>13671</v>
      </c>
      <c r="C716" t="s">
        <v>74</v>
      </c>
      <c r="D716" t="s">
        <v>74</v>
      </c>
      <c r="E716" t="s">
        <v>74</v>
      </c>
      <c r="F716" t="s">
        <v>13672</v>
      </c>
      <c r="G716" t="s">
        <v>74</v>
      </c>
      <c r="H716" t="s">
        <v>74</v>
      </c>
      <c r="I716" t="s">
        <v>13673</v>
      </c>
      <c r="J716" t="s">
        <v>4413</v>
      </c>
      <c r="K716" t="s">
        <v>74</v>
      </c>
      <c r="L716" t="s">
        <v>74</v>
      </c>
      <c r="M716" t="s">
        <v>79</v>
      </c>
      <c r="N716" t="s">
        <v>108</v>
      </c>
      <c r="O716" t="s">
        <v>74</v>
      </c>
      <c r="P716" t="s">
        <v>74</v>
      </c>
      <c r="Q716" t="s">
        <v>74</v>
      </c>
      <c r="R716" t="s">
        <v>74</v>
      </c>
      <c r="S716" t="s">
        <v>74</v>
      </c>
      <c r="T716" t="s">
        <v>13674</v>
      </c>
      <c r="U716" t="s">
        <v>74</v>
      </c>
      <c r="V716" t="s">
        <v>13675</v>
      </c>
      <c r="W716" t="s">
        <v>13676</v>
      </c>
      <c r="X716" t="s">
        <v>74</v>
      </c>
      <c r="Y716" t="s">
        <v>13677</v>
      </c>
      <c r="Z716" t="s">
        <v>13678</v>
      </c>
      <c r="AA716" t="s">
        <v>13679</v>
      </c>
      <c r="AB716" t="s">
        <v>13680</v>
      </c>
      <c r="AC716" t="s">
        <v>74</v>
      </c>
      <c r="AD716" t="s">
        <v>74</v>
      </c>
      <c r="AE716" t="s">
        <v>74</v>
      </c>
      <c r="AF716" t="s">
        <v>74</v>
      </c>
      <c r="AG716">
        <v>36</v>
      </c>
      <c r="AH716">
        <v>3</v>
      </c>
      <c r="AI716">
        <v>3</v>
      </c>
      <c r="AJ716">
        <v>42</v>
      </c>
      <c r="AK716">
        <v>48</v>
      </c>
      <c r="AL716" t="s">
        <v>939</v>
      </c>
      <c r="AM716" t="s">
        <v>940</v>
      </c>
      <c r="AN716" t="s">
        <v>941</v>
      </c>
      <c r="AO716" t="s">
        <v>74</v>
      </c>
      <c r="AP716" t="s">
        <v>4423</v>
      </c>
      <c r="AQ716" t="s">
        <v>74</v>
      </c>
      <c r="AR716" t="s">
        <v>4413</v>
      </c>
      <c r="AS716" t="s">
        <v>4424</v>
      </c>
      <c r="AT716" t="s">
        <v>615</v>
      </c>
      <c r="AU716">
        <v>2023</v>
      </c>
      <c r="AV716">
        <v>14</v>
      </c>
      <c r="AW716">
        <v>7</v>
      </c>
      <c r="AX716" t="s">
        <v>74</v>
      </c>
      <c r="AY716" t="s">
        <v>74</v>
      </c>
      <c r="AZ716" t="s">
        <v>74</v>
      </c>
      <c r="BA716" t="s">
        <v>74</v>
      </c>
      <c r="BB716" t="s">
        <v>74</v>
      </c>
      <c r="BC716" t="s">
        <v>74</v>
      </c>
      <c r="BD716">
        <v>409</v>
      </c>
      <c r="BE716" t="s">
        <v>13681</v>
      </c>
      <c r="BF716" t="str">
        <f>HYPERLINK("http://dx.doi.org/10.3390/info14070409","http://dx.doi.org/10.3390/info14070409")</f>
        <v>http://dx.doi.org/10.3390/info14070409</v>
      </c>
      <c r="BG716" t="s">
        <v>74</v>
      </c>
      <c r="BH716" t="s">
        <v>74</v>
      </c>
      <c r="BI716">
        <v>14</v>
      </c>
      <c r="BJ716" t="s">
        <v>230</v>
      </c>
      <c r="BK716" t="s">
        <v>352</v>
      </c>
      <c r="BL716" t="s">
        <v>99</v>
      </c>
      <c r="BM716" t="s">
        <v>13682</v>
      </c>
      <c r="BN716" t="s">
        <v>74</v>
      </c>
      <c r="BO716" t="s">
        <v>425</v>
      </c>
      <c r="BP716" t="s">
        <v>74</v>
      </c>
      <c r="BQ716" t="s">
        <v>74</v>
      </c>
      <c r="BR716" t="s">
        <v>101</v>
      </c>
      <c r="BS716" t="s">
        <v>13683</v>
      </c>
      <c r="BT716" t="str">
        <f>HYPERLINK("https%3A%2F%2Fwww.webofscience.com%2Fwos%2Fwoscc%2Ffull-record%2FWOS:001036000000001","View Full Record in Web of Science")</f>
        <v>View Full Record in Web of Science</v>
      </c>
    </row>
    <row r="717" spans="1:72" x14ac:dyDescent="0.2">
      <c r="A717" t="s">
        <v>72</v>
      </c>
      <c r="B717" t="s">
        <v>13684</v>
      </c>
      <c r="C717" t="s">
        <v>74</v>
      </c>
      <c r="D717" t="s">
        <v>74</v>
      </c>
      <c r="E717" t="s">
        <v>284</v>
      </c>
      <c r="F717" t="s">
        <v>13685</v>
      </c>
      <c r="G717" t="s">
        <v>74</v>
      </c>
      <c r="H717" t="s">
        <v>74</v>
      </c>
      <c r="I717" t="s">
        <v>13686</v>
      </c>
      <c r="J717" t="s">
        <v>11480</v>
      </c>
      <c r="K717" t="s">
        <v>11481</v>
      </c>
      <c r="L717" t="s">
        <v>74</v>
      </c>
      <c r="M717" t="s">
        <v>79</v>
      </c>
      <c r="N717" t="s">
        <v>80</v>
      </c>
      <c r="O717" t="s">
        <v>11482</v>
      </c>
      <c r="P717" t="s">
        <v>5082</v>
      </c>
      <c r="Q717" t="s">
        <v>11483</v>
      </c>
      <c r="R717" t="s">
        <v>284</v>
      </c>
      <c r="S717" t="s">
        <v>74</v>
      </c>
      <c r="T717" t="s">
        <v>13687</v>
      </c>
      <c r="U717" t="s">
        <v>74</v>
      </c>
      <c r="V717" t="s">
        <v>13688</v>
      </c>
      <c r="W717" t="s">
        <v>13689</v>
      </c>
      <c r="X717" t="s">
        <v>13690</v>
      </c>
      <c r="Y717" t="s">
        <v>13691</v>
      </c>
      <c r="Z717" t="s">
        <v>74</v>
      </c>
      <c r="AA717" t="s">
        <v>13692</v>
      </c>
      <c r="AB717" t="s">
        <v>13693</v>
      </c>
      <c r="AC717" t="s">
        <v>74</v>
      </c>
      <c r="AD717" t="s">
        <v>74</v>
      </c>
      <c r="AE717" t="s">
        <v>74</v>
      </c>
      <c r="AF717" t="s">
        <v>74</v>
      </c>
      <c r="AG717">
        <v>30</v>
      </c>
      <c r="AH717">
        <v>0</v>
      </c>
      <c r="AI717">
        <v>0</v>
      </c>
      <c r="AJ717">
        <v>0</v>
      </c>
      <c r="AK717">
        <v>0</v>
      </c>
      <c r="AL717" t="s">
        <v>284</v>
      </c>
      <c r="AM717" t="s">
        <v>93</v>
      </c>
      <c r="AN717" t="s">
        <v>299</v>
      </c>
      <c r="AO717" t="s">
        <v>11492</v>
      </c>
      <c r="AP717" t="s">
        <v>74</v>
      </c>
      <c r="AQ717" t="s">
        <v>11493</v>
      </c>
      <c r="AR717" t="s">
        <v>11494</v>
      </c>
      <c r="AS717" t="s">
        <v>74</v>
      </c>
      <c r="AT717" t="s">
        <v>74</v>
      </c>
      <c r="AU717">
        <v>2023</v>
      </c>
      <c r="AV717" t="s">
        <v>74</v>
      </c>
      <c r="AW717" t="s">
        <v>74</v>
      </c>
      <c r="AX717" t="s">
        <v>74</v>
      </c>
      <c r="AY717" t="s">
        <v>74</v>
      </c>
      <c r="AZ717" t="s">
        <v>74</v>
      </c>
      <c r="BA717" t="s">
        <v>74</v>
      </c>
      <c r="BB717" t="s">
        <v>74</v>
      </c>
      <c r="BC717" t="s">
        <v>74</v>
      </c>
      <c r="BD717" t="s">
        <v>74</v>
      </c>
      <c r="BE717" t="s">
        <v>13694</v>
      </c>
      <c r="BF717" t="str">
        <f>HYPERLINK("http://dx.doi.org/10.1109/WASPAA58266.2023.10248076","http://dx.doi.org/10.1109/WASPAA58266.2023.10248076")</f>
        <v>http://dx.doi.org/10.1109/WASPAA58266.2023.10248076</v>
      </c>
      <c r="BG717" t="s">
        <v>74</v>
      </c>
      <c r="BH717" t="s">
        <v>74</v>
      </c>
      <c r="BI717">
        <v>5</v>
      </c>
      <c r="BJ717" t="s">
        <v>11496</v>
      </c>
      <c r="BK717" t="s">
        <v>98</v>
      </c>
      <c r="BL717" t="s">
        <v>11497</v>
      </c>
      <c r="BM717" t="s">
        <v>11498</v>
      </c>
      <c r="BN717" t="s">
        <v>74</v>
      </c>
      <c r="BO717" t="s">
        <v>74</v>
      </c>
      <c r="BP717" t="s">
        <v>74</v>
      </c>
      <c r="BQ717" t="s">
        <v>74</v>
      </c>
      <c r="BR717" t="s">
        <v>101</v>
      </c>
      <c r="BS717" t="s">
        <v>13695</v>
      </c>
      <c r="BT717" t="str">
        <f>HYPERLINK("https%3A%2F%2Fwww.webofscience.com%2Fwos%2Fwoscc%2Ffull-record%2FWOS:001073615200013","View Full Record in Web of Science")</f>
        <v>View Full Record in Web of Science</v>
      </c>
    </row>
    <row r="718" spans="1:72" x14ac:dyDescent="0.2">
      <c r="A718" t="s">
        <v>103</v>
      </c>
      <c r="B718" t="s">
        <v>13696</v>
      </c>
      <c r="C718" t="s">
        <v>74</v>
      </c>
      <c r="D718" t="s">
        <v>74</v>
      </c>
      <c r="E718" t="s">
        <v>74</v>
      </c>
      <c r="F718" t="s">
        <v>13697</v>
      </c>
      <c r="G718" t="s">
        <v>74</v>
      </c>
      <c r="H718" t="s">
        <v>74</v>
      </c>
      <c r="I718" t="s">
        <v>13698</v>
      </c>
      <c r="J718" t="s">
        <v>13699</v>
      </c>
      <c r="K718" t="s">
        <v>74</v>
      </c>
      <c r="L718" t="s">
        <v>74</v>
      </c>
      <c r="M718" t="s">
        <v>79</v>
      </c>
      <c r="N718" t="s">
        <v>108</v>
      </c>
      <c r="O718" t="s">
        <v>74</v>
      </c>
      <c r="P718" t="s">
        <v>74</v>
      </c>
      <c r="Q718" t="s">
        <v>74</v>
      </c>
      <c r="R718" t="s">
        <v>74</v>
      </c>
      <c r="S718" t="s">
        <v>74</v>
      </c>
      <c r="T718" t="s">
        <v>13700</v>
      </c>
      <c r="U718" t="s">
        <v>13701</v>
      </c>
      <c r="V718" t="s">
        <v>13702</v>
      </c>
      <c r="W718" t="s">
        <v>13703</v>
      </c>
      <c r="X718" t="s">
        <v>74</v>
      </c>
      <c r="Y718" t="s">
        <v>13704</v>
      </c>
      <c r="Z718" t="s">
        <v>13705</v>
      </c>
      <c r="AA718" t="s">
        <v>74</v>
      </c>
      <c r="AB718" t="s">
        <v>13706</v>
      </c>
      <c r="AC718" t="s">
        <v>74</v>
      </c>
      <c r="AD718" t="s">
        <v>74</v>
      </c>
      <c r="AE718" t="s">
        <v>74</v>
      </c>
      <c r="AF718" t="s">
        <v>74</v>
      </c>
      <c r="AG718">
        <v>47</v>
      </c>
      <c r="AH718">
        <v>1</v>
      </c>
      <c r="AI718">
        <v>1</v>
      </c>
      <c r="AJ718">
        <v>3</v>
      </c>
      <c r="AK718">
        <v>3</v>
      </c>
      <c r="AL718" t="s">
        <v>764</v>
      </c>
      <c r="AM718" t="s">
        <v>765</v>
      </c>
      <c r="AN718" t="s">
        <v>766</v>
      </c>
      <c r="AO718" t="s">
        <v>13707</v>
      </c>
      <c r="AP718" t="s">
        <v>74</v>
      </c>
      <c r="AQ718" t="s">
        <v>74</v>
      </c>
      <c r="AR718" t="s">
        <v>13708</v>
      </c>
      <c r="AS718" t="s">
        <v>13709</v>
      </c>
      <c r="AT718" t="s">
        <v>527</v>
      </c>
      <c r="AU718">
        <v>2023</v>
      </c>
      <c r="AV718">
        <v>7</v>
      </c>
      <c r="AW718" t="s">
        <v>74</v>
      </c>
      <c r="AX718" t="s">
        <v>74</v>
      </c>
      <c r="AY718" t="s">
        <v>74</v>
      </c>
      <c r="AZ718" t="s">
        <v>74</v>
      </c>
      <c r="BA718" t="s">
        <v>74</v>
      </c>
      <c r="BB718" t="s">
        <v>74</v>
      </c>
      <c r="BC718" t="s">
        <v>74</v>
      </c>
      <c r="BD718">
        <v>100213</v>
      </c>
      <c r="BE718" t="s">
        <v>13710</v>
      </c>
      <c r="BF718" t="str">
        <f>HYPERLINK("http://dx.doi.org/10.1016/j.jtauto.2023.100213","http://dx.doi.org/10.1016/j.jtauto.2023.100213")</f>
        <v>http://dx.doi.org/10.1016/j.jtauto.2023.100213</v>
      </c>
      <c r="BG718" t="s">
        <v>74</v>
      </c>
      <c r="BH718" t="s">
        <v>1886</v>
      </c>
      <c r="BI718">
        <v>6</v>
      </c>
      <c r="BJ718" t="s">
        <v>13711</v>
      </c>
      <c r="BK718" t="s">
        <v>352</v>
      </c>
      <c r="BL718" t="s">
        <v>13711</v>
      </c>
      <c r="BM718" t="s">
        <v>13712</v>
      </c>
      <c r="BN718">
        <v>37927888</v>
      </c>
      <c r="BO718" t="s">
        <v>4185</v>
      </c>
      <c r="BP718" t="s">
        <v>74</v>
      </c>
      <c r="BQ718" t="s">
        <v>74</v>
      </c>
      <c r="BR718" t="s">
        <v>101</v>
      </c>
      <c r="BS718" t="s">
        <v>13713</v>
      </c>
      <c r="BT718" t="str">
        <f>HYPERLINK("https%3A%2F%2Fwww.webofscience.com%2Fwos%2Fwoscc%2Ffull-record%2FWOS:001103664200001","View Full Record in Web of Science")</f>
        <v>View Full Record in Web of Science</v>
      </c>
    </row>
    <row r="719" spans="1:72" x14ac:dyDescent="0.2">
      <c r="A719" t="s">
        <v>103</v>
      </c>
      <c r="B719" t="s">
        <v>13714</v>
      </c>
      <c r="C719" t="s">
        <v>74</v>
      </c>
      <c r="D719" t="s">
        <v>74</v>
      </c>
      <c r="E719" t="s">
        <v>74</v>
      </c>
      <c r="F719" t="s">
        <v>13715</v>
      </c>
      <c r="G719" t="s">
        <v>74</v>
      </c>
      <c r="H719" t="s">
        <v>74</v>
      </c>
      <c r="I719" t="s">
        <v>13716</v>
      </c>
      <c r="J719" t="s">
        <v>4686</v>
      </c>
      <c r="K719" t="s">
        <v>74</v>
      </c>
      <c r="L719" t="s">
        <v>74</v>
      </c>
      <c r="M719" t="s">
        <v>79</v>
      </c>
      <c r="N719" t="s">
        <v>108</v>
      </c>
      <c r="O719" t="s">
        <v>74</v>
      </c>
      <c r="P719" t="s">
        <v>74</v>
      </c>
      <c r="Q719" t="s">
        <v>74</v>
      </c>
      <c r="R719" t="s">
        <v>74</v>
      </c>
      <c r="S719" t="s">
        <v>74</v>
      </c>
      <c r="T719" t="s">
        <v>13717</v>
      </c>
      <c r="U719" t="s">
        <v>74</v>
      </c>
      <c r="V719" t="s">
        <v>13718</v>
      </c>
      <c r="W719" t="s">
        <v>13719</v>
      </c>
      <c r="X719" t="s">
        <v>13720</v>
      </c>
      <c r="Y719" t="s">
        <v>13721</v>
      </c>
      <c r="Z719" t="s">
        <v>13722</v>
      </c>
      <c r="AA719" t="s">
        <v>13723</v>
      </c>
      <c r="AB719" t="s">
        <v>13724</v>
      </c>
      <c r="AC719" t="s">
        <v>74</v>
      </c>
      <c r="AD719" t="s">
        <v>74</v>
      </c>
      <c r="AE719" t="s">
        <v>74</v>
      </c>
      <c r="AF719" t="s">
        <v>74</v>
      </c>
      <c r="AG719">
        <v>6</v>
      </c>
      <c r="AH719">
        <v>6</v>
      </c>
      <c r="AI719">
        <v>6</v>
      </c>
      <c r="AJ719">
        <v>4</v>
      </c>
      <c r="AK719">
        <v>14</v>
      </c>
      <c r="AL719" t="s">
        <v>13725</v>
      </c>
      <c r="AM719" t="s">
        <v>13726</v>
      </c>
      <c r="AN719" t="s">
        <v>13727</v>
      </c>
      <c r="AO719" t="s">
        <v>74</v>
      </c>
      <c r="AP719" t="s">
        <v>4694</v>
      </c>
      <c r="AQ719" t="s">
        <v>74</v>
      </c>
      <c r="AR719" t="s">
        <v>4695</v>
      </c>
      <c r="AS719" t="s">
        <v>4696</v>
      </c>
      <c r="AT719" t="s">
        <v>13728</v>
      </c>
      <c r="AU719">
        <v>2023</v>
      </c>
      <c r="AV719">
        <v>15</v>
      </c>
      <c r="AW719">
        <v>3</v>
      </c>
      <c r="AX719" t="s">
        <v>74</v>
      </c>
      <c r="AY719" t="s">
        <v>74</v>
      </c>
      <c r="AZ719" t="s">
        <v>74</v>
      </c>
      <c r="BA719" t="s">
        <v>74</v>
      </c>
      <c r="BB719" t="s">
        <v>74</v>
      </c>
      <c r="BC719" t="s">
        <v>74</v>
      </c>
      <c r="BD719" t="s">
        <v>13729</v>
      </c>
      <c r="BE719" t="s">
        <v>13730</v>
      </c>
      <c r="BF719" t="str">
        <f>HYPERLINK("http://dx.doi.org/10.7759/cureus.35850","http://dx.doi.org/10.7759/cureus.35850")</f>
        <v>http://dx.doi.org/10.7759/cureus.35850</v>
      </c>
      <c r="BG719" t="s">
        <v>74</v>
      </c>
      <c r="BH719" t="s">
        <v>74</v>
      </c>
      <c r="BI719">
        <v>7</v>
      </c>
      <c r="BJ719" t="s">
        <v>3440</v>
      </c>
      <c r="BK719" t="s">
        <v>352</v>
      </c>
      <c r="BL719" t="s">
        <v>3441</v>
      </c>
      <c r="BM719" t="s">
        <v>13731</v>
      </c>
      <c r="BN719">
        <v>37033498</v>
      </c>
      <c r="BO719" t="s">
        <v>1728</v>
      </c>
      <c r="BP719" t="s">
        <v>74</v>
      </c>
      <c r="BQ719" t="s">
        <v>74</v>
      </c>
      <c r="BR719" t="s">
        <v>101</v>
      </c>
      <c r="BS719" t="s">
        <v>13732</v>
      </c>
      <c r="BT719" t="str">
        <f>HYPERLINK("https%3A%2F%2Fwww.webofscience.com%2Fwos%2Fwoscc%2Ffull-record%2FWOS:000978753400022","View Full Record in Web of Science")</f>
        <v>View Full Record in Web of Science</v>
      </c>
    </row>
    <row r="720" spans="1:72" x14ac:dyDescent="0.2">
      <c r="A720" t="s">
        <v>103</v>
      </c>
      <c r="B720" t="s">
        <v>13733</v>
      </c>
      <c r="C720" t="s">
        <v>74</v>
      </c>
      <c r="D720" t="s">
        <v>74</v>
      </c>
      <c r="E720" t="s">
        <v>74</v>
      </c>
      <c r="F720" t="s">
        <v>13734</v>
      </c>
      <c r="G720" t="s">
        <v>74</v>
      </c>
      <c r="H720" t="s">
        <v>74</v>
      </c>
      <c r="I720" t="s">
        <v>13735</v>
      </c>
      <c r="J720" t="s">
        <v>5864</v>
      </c>
      <c r="K720" t="s">
        <v>74</v>
      </c>
      <c r="L720" t="s">
        <v>74</v>
      </c>
      <c r="M720" t="s">
        <v>79</v>
      </c>
      <c r="N720" t="s">
        <v>108</v>
      </c>
      <c r="O720" t="s">
        <v>74</v>
      </c>
      <c r="P720" t="s">
        <v>74</v>
      </c>
      <c r="Q720" t="s">
        <v>74</v>
      </c>
      <c r="R720" t="s">
        <v>74</v>
      </c>
      <c r="S720" t="s">
        <v>74</v>
      </c>
      <c r="T720" t="s">
        <v>13736</v>
      </c>
      <c r="U720" t="s">
        <v>4266</v>
      </c>
      <c r="V720" t="s">
        <v>13737</v>
      </c>
      <c r="W720" t="s">
        <v>13738</v>
      </c>
      <c r="X720" t="s">
        <v>13739</v>
      </c>
      <c r="Y720" t="s">
        <v>13740</v>
      </c>
      <c r="Z720" t="s">
        <v>13741</v>
      </c>
      <c r="AA720" t="s">
        <v>13742</v>
      </c>
      <c r="AB720" t="s">
        <v>13743</v>
      </c>
      <c r="AC720" t="s">
        <v>13744</v>
      </c>
      <c r="AD720" t="s">
        <v>13745</v>
      </c>
      <c r="AE720" t="s">
        <v>13746</v>
      </c>
      <c r="AF720" t="s">
        <v>74</v>
      </c>
      <c r="AG720">
        <v>39</v>
      </c>
      <c r="AH720">
        <v>0</v>
      </c>
      <c r="AI720">
        <v>0</v>
      </c>
      <c r="AJ720">
        <v>6</v>
      </c>
      <c r="AK720">
        <v>8</v>
      </c>
      <c r="AL720" t="s">
        <v>343</v>
      </c>
      <c r="AM720" t="s">
        <v>521</v>
      </c>
      <c r="AN720" t="s">
        <v>522</v>
      </c>
      <c r="AO720" t="s">
        <v>5877</v>
      </c>
      <c r="AP720" t="s">
        <v>5878</v>
      </c>
      <c r="AQ720" t="s">
        <v>74</v>
      </c>
      <c r="AR720" t="s">
        <v>5879</v>
      </c>
      <c r="AS720" t="s">
        <v>5880</v>
      </c>
      <c r="AT720" t="s">
        <v>276</v>
      </c>
      <c r="AU720">
        <v>2023</v>
      </c>
      <c r="AV720">
        <v>53</v>
      </c>
      <c r="AW720">
        <v>21</v>
      </c>
      <c r="AX720" t="s">
        <v>74</v>
      </c>
      <c r="AY720" t="s">
        <v>74</v>
      </c>
      <c r="AZ720" t="s">
        <v>74</v>
      </c>
      <c r="BA720" t="s">
        <v>74</v>
      </c>
      <c r="BB720">
        <v>24765</v>
      </c>
      <c r="BC720">
        <v>24781</v>
      </c>
      <c r="BD720" t="s">
        <v>74</v>
      </c>
      <c r="BE720" t="s">
        <v>13747</v>
      </c>
      <c r="BF720" t="str">
        <f>HYPERLINK("http://dx.doi.org/10.1007/s10489-023-04783-2","http://dx.doi.org/10.1007/s10489-023-04783-2")</f>
        <v>http://dx.doi.org/10.1007/s10489-023-04783-2</v>
      </c>
      <c r="BG720" t="s">
        <v>74</v>
      </c>
      <c r="BH720" t="s">
        <v>229</v>
      </c>
      <c r="BI720">
        <v>17</v>
      </c>
      <c r="BJ720" t="s">
        <v>304</v>
      </c>
      <c r="BK720" t="s">
        <v>130</v>
      </c>
      <c r="BL720" t="s">
        <v>99</v>
      </c>
      <c r="BM720" t="s">
        <v>13748</v>
      </c>
      <c r="BN720" t="s">
        <v>74</v>
      </c>
      <c r="BO720" t="s">
        <v>161</v>
      </c>
      <c r="BP720" t="s">
        <v>74</v>
      </c>
      <c r="BQ720" t="s">
        <v>74</v>
      </c>
      <c r="BR720" t="s">
        <v>101</v>
      </c>
      <c r="BS720" t="s">
        <v>13749</v>
      </c>
      <c r="BT720" t="str">
        <f>HYPERLINK("https%3A%2F%2Fwww.webofscience.com%2Fwos%2Fwoscc%2Ffull-record%2FWOS:001037360100001","View Full Record in Web of Science")</f>
        <v>View Full Record in Web of Science</v>
      </c>
    </row>
    <row r="721" spans="1:72" x14ac:dyDescent="0.2">
      <c r="A721" t="s">
        <v>103</v>
      </c>
      <c r="B721" t="s">
        <v>13750</v>
      </c>
      <c r="C721" t="s">
        <v>74</v>
      </c>
      <c r="D721" t="s">
        <v>74</v>
      </c>
      <c r="E721" t="s">
        <v>74</v>
      </c>
      <c r="F721" t="s">
        <v>13751</v>
      </c>
      <c r="G721" t="s">
        <v>74</v>
      </c>
      <c r="H721" t="s">
        <v>74</v>
      </c>
      <c r="I721" t="s">
        <v>13752</v>
      </c>
      <c r="J721" t="s">
        <v>13753</v>
      </c>
      <c r="K721" t="s">
        <v>74</v>
      </c>
      <c r="L721" t="s">
        <v>74</v>
      </c>
      <c r="M721" t="s">
        <v>79</v>
      </c>
      <c r="N721" t="s">
        <v>108</v>
      </c>
      <c r="O721" t="s">
        <v>74</v>
      </c>
      <c r="P721" t="s">
        <v>74</v>
      </c>
      <c r="Q721" t="s">
        <v>74</v>
      </c>
      <c r="R721" t="s">
        <v>74</v>
      </c>
      <c r="S721" t="s">
        <v>74</v>
      </c>
      <c r="T721" t="s">
        <v>13754</v>
      </c>
      <c r="U721" t="s">
        <v>13755</v>
      </c>
      <c r="V721" t="s">
        <v>13756</v>
      </c>
      <c r="W721" t="s">
        <v>13757</v>
      </c>
      <c r="X721" t="s">
        <v>13758</v>
      </c>
      <c r="Y721" t="s">
        <v>13759</v>
      </c>
      <c r="Z721" t="s">
        <v>7161</v>
      </c>
      <c r="AA721" t="s">
        <v>74</v>
      </c>
      <c r="AB721" t="s">
        <v>74</v>
      </c>
      <c r="AC721" t="s">
        <v>13760</v>
      </c>
      <c r="AD721" t="s">
        <v>13761</v>
      </c>
      <c r="AE721" t="s">
        <v>7164</v>
      </c>
      <c r="AF721" t="s">
        <v>74</v>
      </c>
      <c r="AG721">
        <v>60</v>
      </c>
      <c r="AH721">
        <v>1</v>
      </c>
      <c r="AI721">
        <v>1</v>
      </c>
      <c r="AJ721">
        <v>8</v>
      </c>
      <c r="AK721">
        <v>8</v>
      </c>
      <c r="AL721" t="s">
        <v>764</v>
      </c>
      <c r="AM721" t="s">
        <v>765</v>
      </c>
      <c r="AN721" t="s">
        <v>766</v>
      </c>
      <c r="AO721" t="s">
        <v>13762</v>
      </c>
      <c r="AP721" t="s">
        <v>13763</v>
      </c>
      <c r="AQ721" t="s">
        <v>74</v>
      </c>
      <c r="AR721" t="s">
        <v>13764</v>
      </c>
      <c r="AS721" t="s">
        <v>13765</v>
      </c>
      <c r="AT721" t="s">
        <v>2016</v>
      </c>
      <c r="AU721">
        <v>2024</v>
      </c>
      <c r="AV721">
        <v>157</v>
      </c>
      <c r="AW721" t="s">
        <v>74</v>
      </c>
      <c r="AX721" t="s">
        <v>74</v>
      </c>
      <c r="AY721" t="s">
        <v>74</v>
      </c>
      <c r="AZ721" t="s">
        <v>74</v>
      </c>
      <c r="BA721" t="s">
        <v>74</v>
      </c>
      <c r="BB721" t="s">
        <v>74</v>
      </c>
      <c r="BC721" t="s">
        <v>74</v>
      </c>
      <c r="BD721">
        <v>105140</v>
      </c>
      <c r="BE721" t="s">
        <v>13766</v>
      </c>
      <c r="BF721" t="str">
        <f>HYPERLINK("http://dx.doi.org/10.1016/j.autcon.2023.105140","http://dx.doi.org/10.1016/j.autcon.2023.105140")</f>
        <v>http://dx.doi.org/10.1016/j.autcon.2023.105140</v>
      </c>
      <c r="BG721" t="s">
        <v>74</v>
      </c>
      <c r="BH721" t="s">
        <v>1886</v>
      </c>
      <c r="BI721">
        <v>13</v>
      </c>
      <c r="BJ721" t="s">
        <v>13051</v>
      </c>
      <c r="BK721" t="s">
        <v>130</v>
      </c>
      <c r="BL721" t="s">
        <v>13052</v>
      </c>
      <c r="BM721" t="s">
        <v>13767</v>
      </c>
      <c r="BN721" t="s">
        <v>74</v>
      </c>
      <c r="BO721" t="s">
        <v>74</v>
      </c>
      <c r="BP721" t="s">
        <v>74</v>
      </c>
      <c r="BQ721" t="s">
        <v>74</v>
      </c>
      <c r="BR721" t="s">
        <v>101</v>
      </c>
      <c r="BS721" t="s">
        <v>13768</v>
      </c>
      <c r="BT721" t="str">
        <f>HYPERLINK("https%3A%2F%2Fwww.webofscience.com%2Fwos%2Fwoscc%2Ffull-record%2FWOS:001102423900001","View Full Record in Web of Science")</f>
        <v>View Full Record in Web of Science</v>
      </c>
    </row>
    <row r="722" spans="1:72" x14ac:dyDescent="0.2">
      <c r="A722" t="s">
        <v>103</v>
      </c>
      <c r="B722" t="s">
        <v>13769</v>
      </c>
      <c r="C722" t="s">
        <v>74</v>
      </c>
      <c r="D722" t="s">
        <v>74</v>
      </c>
      <c r="E722" t="s">
        <v>74</v>
      </c>
      <c r="F722" t="s">
        <v>13770</v>
      </c>
      <c r="G722" t="s">
        <v>74</v>
      </c>
      <c r="H722" t="s">
        <v>74</v>
      </c>
      <c r="I722" t="s">
        <v>13771</v>
      </c>
      <c r="J722" t="s">
        <v>3527</v>
      </c>
      <c r="K722" t="s">
        <v>74</v>
      </c>
      <c r="L722" t="s">
        <v>74</v>
      </c>
      <c r="M722" t="s">
        <v>79</v>
      </c>
      <c r="N722" t="s">
        <v>108</v>
      </c>
      <c r="O722" t="s">
        <v>74</v>
      </c>
      <c r="P722" t="s">
        <v>74</v>
      </c>
      <c r="Q722" t="s">
        <v>74</v>
      </c>
      <c r="R722" t="s">
        <v>74</v>
      </c>
      <c r="S722" t="s">
        <v>74</v>
      </c>
      <c r="T722" t="s">
        <v>13772</v>
      </c>
      <c r="U722" t="s">
        <v>13773</v>
      </c>
      <c r="V722" t="s">
        <v>13774</v>
      </c>
      <c r="W722" t="s">
        <v>13775</v>
      </c>
      <c r="X722" t="s">
        <v>13776</v>
      </c>
      <c r="Y722" t="s">
        <v>13777</v>
      </c>
      <c r="Z722" t="s">
        <v>13778</v>
      </c>
      <c r="AA722" t="s">
        <v>74</v>
      </c>
      <c r="AB722" t="s">
        <v>74</v>
      </c>
      <c r="AC722" t="s">
        <v>74</v>
      </c>
      <c r="AD722" t="s">
        <v>74</v>
      </c>
      <c r="AE722" t="s">
        <v>74</v>
      </c>
      <c r="AF722" t="s">
        <v>74</v>
      </c>
      <c r="AG722">
        <v>41</v>
      </c>
      <c r="AH722">
        <v>0</v>
      </c>
      <c r="AI722">
        <v>0</v>
      </c>
      <c r="AJ722">
        <v>4</v>
      </c>
      <c r="AK722">
        <v>4</v>
      </c>
      <c r="AL722" t="s">
        <v>3537</v>
      </c>
      <c r="AM722" t="s">
        <v>3538</v>
      </c>
      <c r="AN722" t="s">
        <v>3539</v>
      </c>
      <c r="AO722" t="s">
        <v>3540</v>
      </c>
      <c r="AP722" t="s">
        <v>74</v>
      </c>
      <c r="AQ722" t="s">
        <v>74</v>
      </c>
      <c r="AR722" t="s">
        <v>3541</v>
      </c>
      <c r="AS722" t="s">
        <v>3542</v>
      </c>
      <c r="AT722" t="s">
        <v>74</v>
      </c>
      <c r="AU722">
        <v>2023</v>
      </c>
      <c r="AV722">
        <v>20</v>
      </c>
      <c r="AW722">
        <v>7</v>
      </c>
      <c r="AX722" t="s">
        <v>74</v>
      </c>
      <c r="AY722" t="s">
        <v>74</v>
      </c>
      <c r="AZ722" t="s">
        <v>74</v>
      </c>
      <c r="BA722" t="s">
        <v>74</v>
      </c>
      <c r="BB722" t="s">
        <v>74</v>
      </c>
      <c r="BC722" t="s">
        <v>74</v>
      </c>
      <c r="BD722">
        <v>8</v>
      </c>
      <c r="BE722" t="s">
        <v>13779</v>
      </c>
      <c r="BF722" t="str">
        <f>HYPERLINK("http://dx.doi.org/10.53761/1.20.7.08","http://dx.doi.org/10.53761/1.20.7.08")</f>
        <v>http://dx.doi.org/10.53761/1.20.7.08</v>
      </c>
      <c r="BG722" t="s">
        <v>74</v>
      </c>
      <c r="BH722" t="s">
        <v>74</v>
      </c>
      <c r="BI722">
        <v>23</v>
      </c>
      <c r="BJ722" t="s">
        <v>423</v>
      </c>
      <c r="BK722" t="s">
        <v>352</v>
      </c>
      <c r="BL722" t="s">
        <v>423</v>
      </c>
      <c r="BM722" t="s">
        <v>3544</v>
      </c>
      <c r="BN722" t="s">
        <v>74</v>
      </c>
      <c r="BO722" t="s">
        <v>1071</v>
      </c>
      <c r="BP722" t="s">
        <v>74</v>
      </c>
      <c r="BQ722" t="s">
        <v>74</v>
      </c>
      <c r="BR722" t="s">
        <v>101</v>
      </c>
      <c r="BS722" t="s">
        <v>13780</v>
      </c>
      <c r="BT722" t="str">
        <f>HYPERLINK("https%3A%2F%2Fwww.webofscience.com%2Fwos%2Fwoscc%2Ffull-record%2FWOS:001103781300006","View Full Record in Web of Science")</f>
        <v>View Full Record in Web of Science</v>
      </c>
    </row>
    <row r="723" spans="1:72" x14ac:dyDescent="0.2">
      <c r="A723" t="s">
        <v>103</v>
      </c>
      <c r="B723" t="s">
        <v>13781</v>
      </c>
      <c r="C723" t="s">
        <v>74</v>
      </c>
      <c r="D723" t="s">
        <v>74</v>
      </c>
      <c r="E723" t="s">
        <v>74</v>
      </c>
      <c r="F723" t="s">
        <v>13782</v>
      </c>
      <c r="G723" t="s">
        <v>74</v>
      </c>
      <c r="H723" t="s">
        <v>74</v>
      </c>
      <c r="I723" t="s">
        <v>13783</v>
      </c>
      <c r="J723" t="s">
        <v>13784</v>
      </c>
      <c r="K723" t="s">
        <v>74</v>
      </c>
      <c r="L723" t="s">
        <v>74</v>
      </c>
      <c r="M723" t="s">
        <v>79</v>
      </c>
      <c r="N723" t="s">
        <v>108</v>
      </c>
      <c r="O723" t="s">
        <v>74</v>
      </c>
      <c r="P723" t="s">
        <v>74</v>
      </c>
      <c r="Q723" t="s">
        <v>74</v>
      </c>
      <c r="R723" t="s">
        <v>74</v>
      </c>
      <c r="S723" t="s">
        <v>74</v>
      </c>
      <c r="T723" t="s">
        <v>74</v>
      </c>
      <c r="U723" t="s">
        <v>13785</v>
      </c>
      <c r="V723" t="s">
        <v>13786</v>
      </c>
      <c r="W723" t="s">
        <v>13787</v>
      </c>
      <c r="X723" t="s">
        <v>13788</v>
      </c>
      <c r="Y723" t="s">
        <v>13789</v>
      </c>
      <c r="Z723" t="s">
        <v>13790</v>
      </c>
      <c r="AA723" t="s">
        <v>74</v>
      </c>
      <c r="AB723" t="s">
        <v>74</v>
      </c>
      <c r="AC723" t="s">
        <v>13791</v>
      </c>
      <c r="AD723" t="s">
        <v>13792</v>
      </c>
      <c r="AE723" t="s">
        <v>13793</v>
      </c>
      <c r="AF723" t="s">
        <v>74</v>
      </c>
      <c r="AG723">
        <v>65</v>
      </c>
      <c r="AH723">
        <v>3</v>
      </c>
      <c r="AI723">
        <v>3</v>
      </c>
      <c r="AJ723">
        <v>6</v>
      </c>
      <c r="AK723">
        <v>10</v>
      </c>
      <c r="AL723" t="s">
        <v>8881</v>
      </c>
      <c r="AM723" t="s">
        <v>1153</v>
      </c>
      <c r="AN723" t="s">
        <v>8882</v>
      </c>
      <c r="AO723" t="s">
        <v>74</v>
      </c>
      <c r="AP723" t="s">
        <v>13794</v>
      </c>
      <c r="AQ723" t="s">
        <v>74</v>
      </c>
      <c r="AR723" t="s">
        <v>13795</v>
      </c>
      <c r="AS723" t="s">
        <v>13796</v>
      </c>
      <c r="AT723" t="s">
        <v>13797</v>
      </c>
      <c r="AU723">
        <v>2023</v>
      </c>
      <c r="AV723">
        <v>11</v>
      </c>
      <c r="AW723" t="s">
        <v>74</v>
      </c>
      <c r="AX723" t="s">
        <v>74</v>
      </c>
      <c r="AY723" t="s">
        <v>74</v>
      </c>
      <c r="AZ723" t="s">
        <v>74</v>
      </c>
      <c r="BA723" t="s">
        <v>74</v>
      </c>
      <c r="BB723">
        <v>250</v>
      </c>
      <c r="BC723">
        <v>266</v>
      </c>
      <c r="BD723" t="s">
        <v>74</v>
      </c>
      <c r="BE723" t="s">
        <v>13798</v>
      </c>
      <c r="BF723" t="str">
        <f>HYPERLINK("http://dx.doi.org/10.1162/tacl_a_00545","http://dx.doi.org/10.1162/tacl_a_00545")</f>
        <v>http://dx.doi.org/10.1162/tacl_a_00545</v>
      </c>
      <c r="BG723" t="s">
        <v>74</v>
      </c>
      <c r="BH723" t="s">
        <v>74</v>
      </c>
      <c r="BI723">
        <v>17</v>
      </c>
      <c r="BJ723" t="s">
        <v>13799</v>
      </c>
      <c r="BK723" t="s">
        <v>13800</v>
      </c>
      <c r="BL723" t="s">
        <v>13801</v>
      </c>
      <c r="BM723" t="s">
        <v>13802</v>
      </c>
      <c r="BN723" t="s">
        <v>74</v>
      </c>
      <c r="BO723" t="s">
        <v>1071</v>
      </c>
      <c r="BP723" t="s">
        <v>74</v>
      </c>
      <c r="BQ723" t="s">
        <v>74</v>
      </c>
      <c r="BR723" t="s">
        <v>101</v>
      </c>
      <c r="BS723" t="s">
        <v>13803</v>
      </c>
      <c r="BT723" t="str">
        <f>HYPERLINK("https%3A%2F%2Fwww.webofscience.com%2Fwos%2Fwoscc%2Ffull-record%2FWOS:000952620700005","View Full Record in Web of Science")</f>
        <v>View Full Record in Web of Science</v>
      </c>
    </row>
    <row r="724" spans="1:72" x14ac:dyDescent="0.2">
      <c r="A724" t="s">
        <v>72</v>
      </c>
      <c r="B724" t="s">
        <v>13804</v>
      </c>
      <c r="C724" t="s">
        <v>74</v>
      </c>
      <c r="D724" t="s">
        <v>74</v>
      </c>
      <c r="E724" t="s">
        <v>284</v>
      </c>
      <c r="F724" t="s">
        <v>13805</v>
      </c>
      <c r="G724" t="s">
        <v>74</v>
      </c>
      <c r="H724" t="s">
        <v>74</v>
      </c>
      <c r="I724" t="s">
        <v>13806</v>
      </c>
      <c r="J724" t="s">
        <v>8245</v>
      </c>
      <c r="K724" t="s">
        <v>8246</v>
      </c>
      <c r="L724" t="s">
        <v>74</v>
      </c>
      <c r="M724" t="s">
        <v>79</v>
      </c>
      <c r="N724" t="s">
        <v>80</v>
      </c>
      <c r="O724" t="s">
        <v>8247</v>
      </c>
      <c r="P724" t="s">
        <v>8248</v>
      </c>
      <c r="Q724" t="s">
        <v>6017</v>
      </c>
      <c r="R724" t="s">
        <v>8249</v>
      </c>
      <c r="S724" t="s">
        <v>74</v>
      </c>
      <c r="T724" t="s">
        <v>74</v>
      </c>
      <c r="U724" t="s">
        <v>74</v>
      </c>
      <c r="V724" t="s">
        <v>13807</v>
      </c>
      <c r="W724" t="s">
        <v>13808</v>
      </c>
      <c r="X724" t="s">
        <v>13809</v>
      </c>
      <c r="Y724" t="s">
        <v>13810</v>
      </c>
      <c r="Z724" t="s">
        <v>74</v>
      </c>
      <c r="AA724" t="s">
        <v>74</v>
      </c>
      <c r="AB724" t="s">
        <v>74</v>
      </c>
      <c r="AC724" t="s">
        <v>13811</v>
      </c>
      <c r="AD724" t="s">
        <v>13812</v>
      </c>
      <c r="AE724" t="s">
        <v>13813</v>
      </c>
      <c r="AF724" t="s">
        <v>74</v>
      </c>
      <c r="AG724">
        <v>83</v>
      </c>
      <c r="AH724">
        <v>2</v>
      </c>
      <c r="AI724">
        <v>2</v>
      </c>
      <c r="AJ724">
        <v>2</v>
      </c>
      <c r="AK724">
        <v>2</v>
      </c>
      <c r="AL724" t="s">
        <v>638</v>
      </c>
      <c r="AM724" t="s">
        <v>639</v>
      </c>
      <c r="AN724" t="s">
        <v>640</v>
      </c>
      <c r="AO724" t="s">
        <v>8260</v>
      </c>
      <c r="AP724" t="s">
        <v>74</v>
      </c>
      <c r="AQ724" t="s">
        <v>8261</v>
      </c>
      <c r="AR724" t="s">
        <v>8262</v>
      </c>
      <c r="AS724" t="s">
        <v>74</v>
      </c>
      <c r="AT724" t="s">
        <v>74</v>
      </c>
      <c r="AU724">
        <v>2023</v>
      </c>
      <c r="AV724" t="s">
        <v>74</v>
      </c>
      <c r="AW724" t="s">
        <v>74</v>
      </c>
      <c r="AX724" t="s">
        <v>74</v>
      </c>
      <c r="AY724" t="s">
        <v>74</v>
      </c>
      <c r="AZ724" t="s">
        <v>74</v>
      </c>
      <c r="BA724" t="s">
        <v>74</v>
      </c>
      <c r="BB724">
        <v>9403</v>
      </c>
      <c r="BC724">
        <v>9414</v>
      </c>
      <c r="BD724" t="s">
        <v>74</v>
      </c>
      <c r="BE724" t="s">
        <v>13814</v>
      </c>
      <c r="BF724" t="str">
        <f>HYPERLINK("http://dx.doi.org/10.1109/CVPR52729.2023.00907","http://dx.doi.org/10.1109/CVPR52729.2023.00907")</f>
        <v>http://dx.doi.org/10.1109/CVPR52729.2023.00907</v>
      </c>
      <c r="BG724" t="s">
        <v>74</v>
      </c>
      <c r="BH724" t="s">
        <v>74</v>
      </c>
      <c r="BI724">
        <v>12</v>
      </c>
      <c r="BJ724" t="s">
        <v>304</v>
      </c>
      <c r="BK724" t="s">
        <v>98</v>
      </c>
      <c r="BL724" t="s">
        <v>99</v>
      </c>
      <c r="BM724" t="s">
        <v>8264</v>
      </c>
      <c r="BN724" t="s">
        <v>74</v>
      </c>
      <c r="BO724" t="s">
        <v>646</v>
      </c>
      <c r="BP724" t="s">
        <v>74</v>
      </c>
      <c r="BQ724" t="s">
        <v>74</v>
      </c>
      <c r="BR724" t="s">
        <v>101</v>
      </c>
      <c r="BS724" t="s">
        <v>13815</v>
      </c>
      <c r="BT724" t="str">
        <f>HYPERLINK("https%3A%2F%2Fwww.webofscience.com%2Fwos%2Fwoscc%2Ffull-record%2FWOS:001062522101067","View Full Record in Web of Science")</f>
        <v>View Full Record in Web of Science</v>
      </c>
    </row>
    <row r="725" spans="1:72" x14ac:dyDescent="0.2">
      <c r="A725" t="s">
        <v>72</v>
      </c>
      <c r="B725" t="s">
        <v>13816</v>
      </c>
      <c r="C725" t="s">
        <v>74</v>
      </c>
      <c r="D725" t="s">
        <v>74</v>
      </c>
      <c r="E725" t="s">
        <v>1223</v>
      </c>
      <c r="F725" t="s">
        <v>13817</v>
      </c>
      <c r="G725" t="s">
        <v>74</v>
      </c>
      <c r="H725" t="s">
        <v>74</v>
      </c>
      <c r="I725" t="s">
        <v>13818</v>
      </c>
      <c r="J725" t="s">
        <v>13819</v>
      </c>
      <c r="K725" t="s">
        <v>74</v>
      </c>
      <c r="L725" t="s">
        <v>74</v>
      </c>
      <c r="M725" t="s">
        <v>79</v>
      </c>
      <c r="N725" t="s">
        <v>80</v>
      </c>
      <c r="O725" t="s">
        <v>13820</v>
      </c>
      <c r="P725" t="s">
        <v>13821</v>
      </c>
      <c r="Q725" t="s">
        <v>13822</v>
      </c>
      <c r="R725" t="s">
        <v>1842</v>
      </c>
      <c r="S725" t="s">
        <v>74</v>
      </c>
      <c r="T725" t="s">
        <v>13823</v>
      </c>
      <c r="U725" t="s">
        <v>74</v>
      </c>
      <c r="V725" t="s">
        <v>13824</v>
      </c>
      <c r="W725" t="s">
        <v>13825</v>
      </c>
      <c r="X725" t="s">
        <v>3608</v>
      </c>
      <c r="Y725" t="s">
        <v>13826</v>
      </c>
      <c r="Z725" t="s">
        <v>13827</v>
      </c>
      <c r="AA725" t="s">
        <v>74</v>
      </c>
      <c r="AB725" t="s">
        <v>13828</v>
      </c>
      <c r="AC725" t="s">
        <v>13829</v>
      </c>
      <c r="AD725" t="s">
        <v>8105</v>
      </c>
      <c r="AE725" t="s">
        <v>13830</v>
      </c>
      <c r="AF725" t="s">
        <v>74</v>
      </c>
      <c r="AG725">
        <v>4</v>
      </c>
      <c r="AH725">
        <v>0</v>
      </c>
      <c r="AI725">
        <v>0</v>
      </c>
      <c r="AJ725">
        <v>3</v>
      </c>
      <c r="AK725">
        <v>3</v>
      </c>
      <c r="AL725" t="s">
        <v>92</v>
      </c>
      <c r="AM725" t="s">
        <v>93</v>
      </c>
      <c r="AN725" t="s">
        <v>94</v>
      </c>
      <c r="AO725" t="s">
        <v>74</v>
      </c>
      <c r="AP725" t="s">
        <v>74</v>
      </c>
      <c r="AQ725" t="s">
        <v>13831</v>
      </c>
      <c r="AR725" t="s">
        <v>74</v>
      </c>
      <c r="AS725" t="s">
        <v>74</v>
      </c>
      <c r="AT725" t="s">
        <v>74</v>
      </c>
      <c r="AU725">
        <v>2023</v>
      </c>
      <c r="AV725" t="s">
        <v>74</v>
      </c>
      <c r="AW725" t="s">
        <v>74</v>
      </c>
      <c r="AX725" t="s">
        <v>74</v>
      </c>
      <c r="AY725" t="s">
        <v>74</v>
      </c>
      <c r="AZ725" t="s">
        <v>74</v>
      </c>
      <c r="BA725" t="s">
        <v>74</v>
      </c>
      <c r="BB725">
        <v>1</v>
      </c>
      <c r="BC725">
        <v>1</v>
      </c>
      <c r="BD725" t="s">
        <v>74</v>
      </c>
      <c r="BE725" t="s">
        <v>13832</v>
      </c>
      <c r="BF725" t="str">
        <f>HYPERLINK("http://dx.doi.org/10.1145/3592572.3596476","http://dx.doi.org/10.1145/3592572.3596476")</f>
        <v>http://dx.doi.org/10.1145/3592572.3596476</v>
      </c>
      <c r="BG725" t="s">
        <v>74</v>
      </c>
      <c r="BH725" t="s">
        <v>74</v>
      </c>
      <c r="BI725">
        <v>1</v>
      </c>
      <c r="BJ725" t="s">
        <v>1069</v>
      </c>
      <c r="BK725" t="s">
        <v>98</v>
      </c>
      <c r="BL725" t="s">
        <v>99</v>
      </c>
      <c r="BM725" t="s">
        <v>13833</v>
      </c>
      <c r="BN725" t="s">
        <v>74</v>
      </c>
      <c r="BO725" t="s">
        <v>74</v>
      </c>
      <c r="BP725" t="s">
        <v>74</v>
      </c>
      <c r="BQ725" t="s">
        <v>74</v>
      </c>
      <c r="BR725" t="s">
        <v>101</v>
      </c>
      <c r="BS725" t="s">
        <v>13834</v>
      </c>
      <c r="BT725" t="str">
        <f>HYPERLINK("https%3A%2F%2Fwww.webofscience.com%2Fwos%2Fwoscc%2Ffull-record%2FWOS:001059176200001","View Full Record in Web of Science")</f>
        <v>View Full Record in Web of Science</v>
      </c>
    </row>
    <row r="726" spans="1:72" x14ac:dyDescent="0.2">
      <c r="A726" t="s">
        <v>103</v>
      </c>
      <c r="B726" t="s">
        <v>13835</v>
      </c>
      <c r="C726" t="s">
        <v>74</v>
      </c>
      <c r="D726" t="s">
        <v>74</v>
      </c>
      <c r="E726" t="s">
        <v>74</v>
      </c>
      <c r="F726" t="s">
        <v>13836</v>
      </c>
      <c r="G726" t="s">
        <v>74</v>
      </c>
      <c r="H726" t="s">
        <v>74</v>
      </c>
      <c r="I726" t="s">
        <v>13837</v>
      </c>
      <c r="J726" t="s">
        <v>13838</v>
      </c>
      <c r="K726" t="s">
        <v>74</v>
      </c>
      <c r="L726" t="s">
        <v>74</v>
      </c>
      <c r="M726" t="s">
        <v>79</v>
      </c>
      <c r="N726" t="s">
        <v>138</v>
      </c>
      <c r="O726" t="s">
        <v>74</v>
      </c>
      <c r="P726" t="s">
        <v>74</v>
      </c>
      <c r="Q726" t="s">
        <v>74</v>
      </c>
      <c r="R726" t="s">
        <v>74</v>
      </c>
      <c r="S726" t="s">
        <v>74</v>
      </c>
      <c r="T726" t="s">
        <v>13839</v>
      </c>
      <c r="U726" t="s">
        <v>13840</v>
      </c>
      <c r="V726" t="s">
        <v>13841</v>
      </c>
      <c r="W726" t="s">
        <v>13842</v>
      </c>
      <c r="X726" t="s">
        <v>13843</v>
      </c>
      <c r="Y726" t="s">
        <v>13844</v>
      </c>
      <c r="Z726" t="s">
        <v>13845</v>
      </c>
      <c r="AA726" t="s">
        <v>74</v>
      </c>
      <c r="AB726" t="s">
        <v>74</v>
      </c>
      <c r="AC726" t="s">
        <v>13846</v>
      </c>
      <c r="AD726" t="s">
        <v>13846</v>
      </c>
      <c r="AE726" t="s">
        <v>13846</v>
      </c>
      <c r="AF726" t="s">
        <v>74</v>
      </c>
      <c r="AG726">
        <v>49</v>
      </c>
      <c r="AH726">
        <v>0</v>
      </c>
      <c r="AI726">
        <v>0</v>
      </c>
      <c r="AJ726">
        <v>14</v>
      </c>
      <c r="AK726">
        <v>14</v>
      </c>
      <c r="AL726" t="s">
        <v>737</v>
      </c>
      <c r="AM726" t="s">
        <v>738</v>
      </c>
      <c r="AN726" t="s">
        <v>739</v>
      </c>
      <c r="AO726" t="s">
        <v>13847</v>
      </c>
      <c r="AP726" t="s">
        <v>13848</v>
      </c>
      <c r="AQ726" t="s">
        <v>74</v>
      </c>
      <c r="AR726" t="s">
        <v>13849</v>
      </c>
      <c r="AS726" t="s">
        <v>13850</v>
      </c>
      <c r="AT726" t="s">
        <v>13851</v>
      </c>
      <c r="AU726">
        <v>2023</v>
      </c>
      <c r="AV726" t="s">
        <v>74</v>
      </c>
      <c r="AW726" t="s">
        <v>74</v>
      </c>
      <c r="AX726" t="s">
        <v>74</v>
      </c>
      <c r="AY726" t="s">
        <v>74</v>
      </c>
      <c r="AZ726" t="s">
        <v>74</v>
      </c>
      <c r="BA726" t="s">
        <v>74</v>
      </c>
      <c r="BB726" t="s">
        <v>74</v>
      </c>
      <c r="BC726" t="s">
        <v>74</v>
      </c>
      <c r="BD726" t="s">
        <v>74</v>
      </c>
      <c r="BE726" t="s">
        <v>13852</v>
      </c>
      <c r="BF726" t="str">
        <f>HYPERLINK("http://dx.doi.org/10.1080/15512169.2023.2266848","http://dx.doi.org/10.1080/15512169.2023.2266848")</f>
        <v>http://dx.doi.org/10.1080/15512169.2023.2266848</v>
      </c>
      <c r="BG726" t="s">
        <v>74</v>
      </c>
      <c r="BH726" t="s">
        <v>1886</v>
      </c>
      <c r="BI726">
        <v>12</v>
      </c>
      <c r="BJ726" t="s">
        <v>1605</v>
      </c>
      <c r="BK726" t="s">
        <v>352</v>
      </c>
      <c r="BL726" t="s">
        <v>1136</v>
      </c>
      <c r="BM726" t="s">
        <v>13853</v>
      </c>
      <c r="BN726" t="s">
        <v>74</v>
      </c>
      <c r="BO726" t="s">
        <v>74</v>
      </c>
      <c r="BP726" t="s">
        <v>74</v>
      </c>
      <c r="BQ726" t="s">
        <v>74</v>
      </c>
      <c r="BR726" t="s">
        <v>101</v>
      </c>
      <c r="BS726" t="s">
        <v>13854</v>
      </c>
      <c r="BT726" t="str">
        <f>HYPERLINK("https%3A%2F%2Fwww.webofscience.com%2Fwos%2Fwoscc%2Ffull-record%2FWOS:001093175300001","View Full Record in Web of Science")</f>
        <v>View Full Record in Web of Science</v>
      </c>
    </row>
    <row r="727" spans="1:72" x14ac:dyDescent="0.2">
      <c r="A727" t="s">
        <v>103</v>
      </c>
      <c r="B727" t="s">
        <v>13855</v>
      </c>
      <c r="C727" t="s">
        <v>74</v>
      </c>
      <c r="D727" t="s">
        <v>74</v>
      </c>
      <c r="E727" t="s">
        <v>74</v>
      </c>
      <c r="F727" t="s">
        <v>13856</v>
      </c>
      <c r="G727" t="s">
        <v>74</v>
      </c>
      <c r="H727" t="s">
        <v>74</v>
      </c>
      <c r="I727" t="s">
        <v>13857</v>
      </c>
      <c r="J727" t="s">
        <v>4686</v>
      </c>
      <c r="K727" t="s">
        <v>74</v>
      </c>
      <c r="L727" t="s">
        <v>74</v>
      </c>
      <c r="M727" t="s">
        <v>79</v>
      </c>
      <c r="N727" t="s">
        <v>108</v>
      </c>
      <c r="O727" t="s">
        <v>74</v>
      </c>
      <c r="P727" t="s">
        <v>74</v>
      </c>
      <c r="Q727" t="s">
        <v>74</v>
      </c>
      <c r="R727" t="s">
        <v>74</v>
      </c>
      <c r="S727" t="s">
        <v>74</v>
      </c>
      <c r="T727" t="s">
        <v>13858</v>
      </c>
      <c r="U727" t="s">
        <v>74</v>
      </c>
      <c r="V727" t="s">
        <v>13859</v>
      </c>
      <c r="W727" t="s">
        <v>13860</v>
      </c>
      <c r="X727" t="s">
        <v>13861</v>
      </c>
      <c r="Y727" t="s">
        <v>13862</v>
      </c>
      <c r="Z727" t="s">
        <v>13863</v>
      </c>
      <c r="AA727" t="s">
        <v>74</v>
      </c>
      <c r="AB727" t="s">
        <v>74</v>
      </c>
      <c r="AC727" t="s">
        <v>74</v>
      </c>
      <c r="AD727" t="s">
        <v>74</v>
      </c>
      <c r="AE727" t="s">
        <v>74</v>
      </c>
      <c r="AF727" t="s">
        <v>74</v>
      </c>
      <c r="AG727">
        <v>9</v>
      </c>
      <c r="AH727">
        <v>0</v>
      </c>
      <c r="AI727">
        <v>0</v>
      </c>
      <c r="AJ727">
        <v>4</v>
      </c>
      <c r="AK727">
        <v>4</v>
      </c>
      <c r="AL727" t="s">
        <v>2032</v>
      </c>
      <c r="AM727" t="s">
        <v>149</v>
      </c>
      <c r="AN727" t="s">
        <v>2033</v>
      </c>
      <c r="AO727" t="s">
        <v>74</v>
      </c>
      <c r="AP727" t="s">
        <v>4694</v>
      </c>
      <c r="AQ727" t="s">
        <v>74</v>
      </c>
      <c r="AR727" t="s">
        <v>4695</v>
      </c>
      <c r="AS727" t="s">
        <v>4696</v>
      </c>
      <c r="AT727" t="s">
        <v>5073</v>
      </c>
      <c r="AU727">
        <v>2023</v>
      </c>
      <c r="AV727">
        <v>15</v>
      </c>
      <c r="AW727">
        <v>9</v>
      </c>
      <c r="AX727" t="s">
        <v>74</v>
      </c>
      <c r="AY727" t="s">
        <v>74</v>
      </c>
      <c r="AZ727" t="s">
        <v>74</v>
      </c>
      <c r="BA727" t="s">
        <v>74</v>
      </c>
      <c r="BB727" t="s">
        <v>74</v>
      </c>
      <c r="BC727" t="s">
        <v>74</v>
      </c>
      <c r="BD727" t="s">
        <v>13864</v>
      </c>
      <c r="BE727" t="s">
        <v>13865</v>
      </c>
      <c r="BF727" t="str">
        <f>HYPERLINK("http://dx.doi.org/10.7759/cureus.44825","http://dx.doi.org/10.7759/cureus.44825")</f>
        <v>http://dx.doi.org/10.7759/cureus.44825</v>
      </c>
      <c r="BG727" t="s">
        <v>74</v>
      </c>
      <c r="BH727" t="s">
        <v>74</v>
      </c>
      <c r="BI727">
        <v>5</v>
      </c>
      <c r="BJ727" t="s">
        <v>3440</v>
      </c>
      <c r="BK727" t="s">
        <v>352</v>
      </c>
      <c r="BL727" t="s">
        <v>3441</v>
      </c>
      <c r="BM727" t="s">
        <v>13866</v>
      </c>
      <c r="BN727">
        <v>37809128</v>
      </c>
      <c r="BO727" t="s">
        <v>1728</v>
      </c>
      <c r="BP727" t="s">
        <v>74</v>
      </c>
      <c r="BQ727" t="s">
        <v>74</v>
      </c>
      <c r="BR727" t="s">
        <v>101</v>
      </c>
      <c r="BS727" t="s">
        <v>13867</v>
      </c>
      <c r="BT727" t="str">
        <f>HYPERLINK("https%3A%2F%2Fwww.webofscience.com%2Fwos%2Fwoscc%2Ffull-record%2FWOS:001097348800032","View Full Record in Web of Science")</f>
        <v>View Full Record in Web of Science</v>
      </c>
    </row>
    <row r="728" spans="1:72" x14ac:dyDescent="0.2">
      <c r="A728" t="s">
        <v>103</v>
      </c>
      <c r="B728" t="s">
        <v>13868</v>
      </c>
      <c r="C728" t="s">
        <v>74</v>
      </c>
      <c r="D728" t="s">
        <v>74</v>
      </c>
      <c r="E728" t="s">
        <v>74</v>
      </c>
      <c r="F728" t="s">
        <v>13869</v>
      </c>
      <c r="G728" t="s">
        <v>74</v>
      </c>
      <c r="H728" t="s">
        <v>74</v>
      </c>
      <c r="I728" t="s">
        <v>13870</v>
      </c>
      <c r="J728" t="s">
        <v>13871</v>
      </c>
      <c r="K728" t="s">
        <v>74</v>
      </c>
      <c r="L728" t="s">
        <v>74</v>
      </c>
      <c r="M728" t="s">
        <v>79</v>
      </c>
      <c r="N728" t="s">
        <v>108</v>
      </c>
      <c r="O728" t="s">
        <v>74</v>
      </c>
      <c r="P728" t="s">
        <v>74</v>
      </c>
      <c r="Q728" t="s">
        <v>74</v>
      </c>
      <c r="R728" t="s">
        <v>74</v>
      </c>
      <c r="S728" t="s">
        <v>74</v>
      </c>
      <c r="T728" t="s">
        <v>13872</v>
      </c>
      <c r="U728" t="s">
        <v>74</v>
      </c>
      <c r="V728" t="s">
        <v>13873</v>
      </c>
      <c r="W728" t="s">
        <v>13874</v>
      </c>
      <c r="X728" t="s">
        <v>13875</v>
      </c>
      <c r="Y728" t="s">
        <v>13876</v>
      </c>
      <c r="Z728" t="s">
        <v>13877</v>
      </c>
      <c r="AA728" t="s">
        <v>74</v>
      </c>
      <c r="AB728" t="s">
        <v>74</v>
      </c>
      <c r="AC728" t="s">
        <v>13878</v>
      </c>
      <c r="AD728" t="s">
        <v>13879</v>
      </c>
      <c r="AE728" t="s">
        <v>13880</v>
      </c>
      <c r="AF728" t="s">
        <v>74</v>
      </c>
      <c r="AG728">
        <v>32</v>
      </c>
      <c r="AH728">
        <v>3</v>
      </c>
      <c r="AI728">
        <v>3</v>
      </c>
      <c r="AJ728">
        <v>125</v>
      </c>
      <c r="AK728">
        <v>125</v>
      </c>
      <c r="AL728" t="s">
        <v>13881</v>
      </c>
      <c r="AM728" t="s">
        <v>7144</v>
      </c>
      <c r="AN728" t="s">
        <v>13882</v>
      </c>
      <c r="AO728" t="s">
        <v>13883</v>
      </c>
      <c r="AP728" t="s">
        <v>13884</v>
      </c>
      <c r="AQ728" t="s">
        <v>74</v>
      </c>
      <c r="AR728" t="s">
        <v>13885</v>
      </c>
      <c r="AS728" t="s">
        <v>13886</v>
      </c>
      <c r="AT728" t="s">
        <v>527</v>
      </c>
      <c r="AU728">
        <v>2023</v>
      </c>
      <c r="AV728">
        <v>4</v>
      </c>
      <c r="AW728">
        <v>4</v>
      </c>
      <c r="AX728" t="s">
        <v>74</v>
      </c>
      <c r="AY728" t="s">
        <v>74</v>
      </c>
      <c r="AZ728" t="s">
        <v>74</v>
      </c>
      <c r="BA728" t="s">
        <v>74</v>
      </c>
      <c r="BB728">
        <v>329</v>
      </c>
      <c r="BC728">
        <v>339</v>
      </c>
      <c r="BD728" t="s">
        <v>74</v>
      </c>
      <c r="BE728" t="s">
        <v>13887</v>
      </c>
      <c r="BF728" t="str">
        <f>HYPERLINK("http://dx.doi.org/10.1016/j.jnlssr.2023.08.001","http://dx.doi.org/10.1016/j.jnlssr.2023.08.001")</f>
        <v>http://dx.doi.org/10.1016/j.jnlssr.2023.08.001</v>
      </c>
      <c r="BG728" t="s">
        <v>74</v>
      </c>
      <c r="BH728" t="s">
        <v>74</v>
      </c>
      <c r="BI728">
        <v>11</v>
      </c>
      <c r="BJ728" t="s">
        <v>10919</v>
      </c>
      <c r="BK728" t="s">
        <v>352</v>
      </c>
      <c r="BL728" t="s">
        <v>10919</v>
      </c>
      <c r="BM728" t="s">
        <v>13888</v>
      </c>
      <c r="BN728" t="s">
        <v>74</v>
      </c>
      <c r="BO728" t="s">
        <v>425</v>
      </c>
      <c r="BP728" t="s">
        <v>74</v>
      </c>
      <c r="BQ728" t="s">
        <v>74</v>
      </c>
      <c r="BR728" t="s">
        <v>101</v>
      </c>
      <c r="BS728" t="s">
        <v>13889</v>
      </c>
      <c r="BT728" t="str">
        <f>HYPERLINK("https%3A%2F%2Fwww.webofscience.com%2Fwos%2Fwoscc%2Ffull-record%2FWOS:001089799000001","View Full Record in Web of Science")</f>
        <v>View Full Record in Web of Science</v>
      </c>
    </row>
    <row r="729" spans="1:72" x14ac:dyDescent="0.2">
      <c r="A729" t="s">
        <v>103</v>
      </c>
      <c r="B729" t="s">
        <v>13890</v>
      </c>
      <c r="C729" t="s">
        <v>74</v>
      </c>
      <c r="D729" t="s">
        <v>74</v>
      </c>
      <c r="E729" t="s">
        <v>74</v>
      </c>
      <c r="F729" t="s">
        <v>13891</v>
      </c>
      <c r="G729" t="s">
        <v>74</v>
      </c>
      <c r="H729" t="s">
        <v>74</v>
      </c>
      <c r="I729" t="s">
        <v>13892</v>
      </c>
      <c r="J729" t="s">
        <v>4393</v>
      </c>
      <c r="K729" t="s">
        <v>74</v>
      </c>
      <c r="L729" t="s">
        <v>74</v>
      </c>
      <c r="M729" t="s">
        <v>79</v>
      </c>
      <c r="N729" t="s">
        <v>108</v>
      </c>
      <c r="O729" t="s">
        <v>74</v>
      </c>
      <c r="P729" t="s">
        <v>74</v>
      </c>
      <c r="Q729" t="s">
        <v>74</v>
      </c>
      <c r="R729" t="s">
        <v>74</v>
      </c>
      <c r="S729" t="s">
        <v>74</v>
      </c>
      <c r="T729" t="s">
        <v>13893</v>
      </c>
      <c r="U729" t="s">
        <v>13894</v>
      </c>
      <c r="V729" t="s">
        <v>13895</v>
      </c>
      <c r="W729" t="s">
        <v>13896</v>
      </c>
      <c r="X729" t="s">
        <v>13897</v>
      </c>
      <c r="Y729" t="s">
        <v>13898</v>
      </c>
      <c r="Z729" t="s">
        <v>13899</v>
      </c>
      <c r="AA729" t="s">
        <v>74</v>
      </c>
      <c r="AB729" t="s">
        <v>13900</v>
      </c>
      <c r="AC729" t="s">
        <v>74</v>
      </c>
      <c r="AD729" t="s">
        <v>74</v>
      </c>
      <c r="AE729" t="s">
        <v>74</v>
      </c>
      <c r="AF729" t="s">
        <v>74</v>
      </c>
      <c r="AG729">
        <v>46</v>
      </c>
      <c r="AH729">
        <v>1</v>
      </c>
      <c r="AI729">
        <v>1</v>
      </c>
      <c r="AJ729">
        <v>5</v>
      </c>
      <c r="AK729">
        <v>6</v>
      </c>
      <c r="AL729" t="s">
        <v>939</v>
      </c>
      <c r="AM729" t="s">
        <v>940</v>
      </c>
      <c r="AN729" t="s">
        <v>941</v>
      </c>
      <c r="AO729" t="s">
        <v>74</v>
      </c>
      <c r="AP729" t="s">
        <v>4403</v>
      </c>
      <c r="AQ729" t="s">
        <v>74</v>
      </c>
      <c r="AR729" t="s">
        <v>4404</v>
      </c>
      <c r="AS729" t="s">
        <v>4405</v>
      </c>
      <c r="AT729" t="s">
        <v>13901</v>
      </c>
      <c r="AU729">
        <v>2023</v>
      </c>
      <c r="AV729">
        <v>9</v>
      </c>
      <c r="AW729">
        <v>5</v>
      </c>
      <c r="AX729" t="s">
        <v>74</v>
      </c>
      <c r="AY729" t="s">
        <v>74</v>
      </c>
      <c r="AZ729" t="s">
        <v>74</v>
      </c>
      <c r="BA729" t="s">
        <v>74</v>
      </c>
      <c r="BB729" t="s">
        <v>74</v>
      </c>
      <c r="BC729" t="s">
        <v>74</v>
      </c>
      <c r="BD729">
        <v>96</v>
      </c>
      <c r="BE729" t="s">
        <v>13902</v>
      </c>
      <c r="BF729" t="str">
        <f>HYPERLINK("http://dx.doi.org/10.3390/jimaging9050096","http://dx.doi.org/10.3390/jimaging9050096")</f>
        <v>http://dx.doi.org/10.3390/jimaging9050096</v>
      </c>
      <c r="BG729" t="s">
        <v>74</v>
      </c>
      <c r="BH729" t="s">
        <v>74</v>
      </c>
      <c r="BI729">
        <v>23</v>
      </c>
      <c r="BJ729" t="s">
        <v>4407</v>
      </c>
      <c r="BK729" t="s">
        <v>352</v>
      </c>
      <c r="BL729" t="s">
        <v>4407</v>
      </c>
      <c r="BM729" t="s">
        <v>13903</v>
      </c>
      <c r="BN729">
        <v>37233315</v>
      </c>
      <c r="BO729" t="s">
        <v>1728</v>
      </c>
      <c r="BP729" t="s">
        <v>74</v>
      </c>
      <c r="BQ729" t="s">
        <v>74</v>
      </c>
      <c r="BR729" t="s">
        <v>101</v>
      </c>
      <c r="BS729" t="s">
        <v>13904</v>
      </c>
      <c r="BT729" t="str">
        <f>HYPERLINK("https%3A%2F%2Fwww.webofscience.com%2Fwos%2Fwoscc%2Ffull-record%2FWOS:000997248000001","View Full Record in Web of Science")</f>
        <v>View Full Record in Web of Science</v>
      </c>
    </row>
    <row r="730" spans="1:72" x14ac:dyDescent="0.2">
      <c r="A730" t="s">
        <v>103</v>
      </c>
      <c r="B730" t="s">
        <v>13905</v>
      </c>
      <c r="C730" t="s">
        <v>74</v>
      </c>
      <c r="D730" t="s">
        <v>74</v>
      </c>
      <c r="E730" t="s">
        <v>74</v>
      </c>
      <c r="F730" t="s">
        <v>13906</v>
      </c>
      <c r="G730" t="s">
        <v>74</v>
      </c>
      <c r="H730" t="s">
        <v>74</v>
      </c>
      <c r="I730" t="s">
        <v>13907</v>
      </c>
      <c r="J730" t="s">
        <v>4167</v>
      </c>
      <c r="K730" t="s">
        <v>74</v>
      </c>
      <c r="L730" t="s">
        <v>74</v>
      </c>
      <c r="M730" t="s">
        <v>79</v>
      </c>
      <c r="N730" t="s">
        <v>108</v>
      </c>
      <c r="O730" t="s">
        <v>74</v>
      </c>
      <c r="P730" t="s">
        <v>74</v>
      </c>
      <c r="Q730" t="s">
        <v>74</v>
      </c>
      <c r="R730" t="s">
        <v>74</v>
      </c>
      <c r="S730" t="s">
        <v>74</v>
      </c>
      <c r="T730" t="s">
        <v>13908</v>
      </c>
      <c r="U730" t="s">
        <v>74</v>
      </c>
      <c r="V730" t="s">
        <v>13909</v>
      </c>
      <c r="W730" t="s">
        <v>13910</v>
      </c>
      <c r="X730" t="s">
        <v>13911</v>
      </c>
      <c r="Y730" t="s">
        <v>13912</v>
      </c>
      <c r="Z730" t="s">
        <v>13913</v>
      </c>
      <c r="AA730" t="s">
        <v>13914</v>
      </c>
      <c r="AB730" t="s">
        <v>13915</v>
      </c>
      <c r="AC730" t="s">
        <v>74</v>
      </c>
      <c r="AD730" t="s">
        <v>74</v>
      </c>
      <c r="AE730" t="s">
        <v>74</v>
      </c>
      <c r="AF730" t="s">
        <v>74</v>
      </c>
      <c r="AG730">
        <v>43</v>
      </c>
      <c r="AH730">
        <v>1</v>
      </c>
      <c r="AI730">
        <v>1</v>
      </c>
      <c r="AJ730">
        <v>18</v>
      </c>
      <c r="AK730">
        <v>18</v>
      </c>
      <c r="AL730" t="s">
        <v>4176</v>
      </c>
      <c r="AM730" t="s">
        <v>4177</v>
      </c>
      <c r="AN730" t="s">
        <v>4178</v>
      </c>
      <c r="AO730" t="s">
        <v>4179</v>
      </c>
      <c r="AP730" t="s">
        <v>74</v>
      </c>
      <c r="AQ730" t="s">
        <v>74</v>
      </c>
      <c r="AR730" t="s">
        <v>4180</v>
      </c>
      <c r="AS730" t="s">
        <v>4181</v>
      </c>
      <c r="AT730" t="s">
        <v>74</v>
      </c>
      <c r="AU730">
        <v>2023</v>
      </c>
      <c r="AV730">
        <v>9</v>
      </c>
      <c r="AW730" t="s">
        <v>74</v>
      </c>
      <c r="AX730" t="s">
        <v>74</v>
      </c>
      <c r="AY730" t="s">
        <v>74</v>
      </c>
      <c r="AZ730" t="s">
        <v>74</v>
      </c>
      <c r="BA730" t="s">
        <v>74</v>
      </c>
      <c r="BB730" t="s">
        <v>74</v>
      </c>
      <c r="BC730" t="s">
        <v>74</v>
      </c>
      <c r="BD730" t="s">
        <v>13916</v>
      </c>
      <c r="BE730" t="s">
        <v>13917</v>
      </c>
      <c r="BF730" t="str">
        <f>HYPERLINK("http://dx.doi.org/10.2196/47274","http://dx.doi.org/10.2196/47274")</f>
        <v>http://dx.doi.org/10.2196/47274</v>
      </c>
      <c r="BG730" t="s">
        <v>74</v>
      </c>
      <c r="BH730" t="s">
        <v>74</v>
      </c>
      <c r="BI730">
        <v>8</v>
      </c>
      <c r="BJ730" t="s">
        <v>3308</v>
      </c>
      <c r="BK730" t="s">
        <v>352</v>
      </c>
      <c r="BL730" t="s">
        <v>423</v>
      </c>
      <c r="BM730" t="s">
        <v>13918</v>
      </c>
      <c r="BN730">
        <v>37988149</v>
      </c>
      <c r="BO730" t="s">
        <v>1728</v>
      </c>
      <c r="BP730" t="s">
        <v>74</v>
      </c>
      <c r="BQ730" t="s">
        <v>74</v>
      </c>
      <c r="BR730" t="s">
        <v>101</v>
      </c>
      <c r="BS730" t="s">
        <v>13919</v>
      </c>
      <c r="BT730" t="str">
        <f>HYPERLINK("https%3A%2F%2Fwww.webofscience.com%2Fwos%2Fwoscc%2Ffull-record%2FWOS:001114957900001","View Full Record in Web of Science")</f>
        <v>View Full Record in Web of Science</v>
      </c>
    </row>
    <row r="731" spans="1:72" x14ac:dyDescent="0.2">
      <c r="A731" t="s">
        <v>72</v>
      </c>
      <c r="B731" t="s">
        <v>13920</v>
      </c>
      <c r="C731" t="s">
        <v>74</v>
      </c>
      <c r="D731" t="s">
        <v>74</v>
      </c>
      <c r="E731" t="s">
        <v>75</v>
      </c>
      <c r="F731" t="s">
        <v>13921</v>
      </c>
      <c r="G731" t="s">
        <v>74</v>
      </c>
      <c r="H731" t="s">
        <v>74</v>
      </c>
      <c r="I731" t="s">
        <v>13922</v>
      </c>
      <c r="J731" t="s">
        <v>6413</v>
      </c>
      <c r="K731" t="s">
        <v>74</v>
      </c>
      <c r="L731" t="s">
        <v>74</v>
      </c>
      <c r="M731" t="s">
        <v>79</v>
      </c>
      <c r="N731" t="s">
        <v>80</v>
      </c>
      <c r="O731" t="s">
        <v>6414</v>
      </c>
      <c r="P731" t="s">
        <v>6415</v>
      </c>
      <c r="Q731" t="s">
        <v>6416</v>
      </c>
      <c r="R731" t="s">
        <v>6417</v>
      </c>
      <c r="S731" t="s">
        <v>74</v>
      </c>
      <c r="T731" t="s">
        <v>13923</v>
      </c>
      <c r="U731" t="s">
        <v>74</v>
      </c>
      <c r="V731" t="s">
        <v>13924</v>
      </c>
      <c r="W731" t="s">
        <v>13925</v>
      </c>
      <c r="X731" t="s">
        <v>13926</v>
      </c>
      <c r="Y731" t="s">
        <v>13927</v>
      </c>
      <c r="Z731" t="s">
        <v>13928</v>
      </c>
      <c r="AA731" t="s">
        <v>74</v>
      </c>
      <c r="AB731" t="s">
        <v>74</v>
      </c>
      <c r="AC731" t="s">
        <v>74</v>
      </c>
      <c r="AD731" t="s">
        <v>74</v>
      </c>
      <c r="AE731" t="s">
        <v>74</v>
      </c>
      <c r="AF731" t="s">
        <v>74</v>
      </c>
      <c r="AG731">
        <v>16</v>
      </c>
      <c r="AH731">
        <v>0</v>
      </c>
      <c r="AI731">
        <v>0</v>
      </c>
      <c r="AJ731">
        <v>0</v>
      </c>
      <c r="AK731">
        <v>0</v>
      </c>
      <c r="AL731" t="s">
        <v>92</v>
      </c>
      <c r="AM731" t="s">
        <v>93</v>
      </c>
      <c r="AN731" t="s">
        <v>94</v>
      </c>
      <c r="AO731" t="s">
        <v>74</v>
      </c>
      <c r="AP731" t="s">
        <v>74</v>
      </c>
      <c r="AQ731" t="s">
        <v>6429</v>
      </c>
      <c r="AR731" t="s">
        <v>74</v>
      </c>
      <c r="AS731" t="s">
        <v>74</v>
      </c>
      <c r="AT731" t="s">
        <v>74</v>
      </c>
      <c r="AU731">
        <v>2023</v>
      </c>
      <c r="AV731" t="s">
        <v>74</v>
      </c>
      <c r="AW731" t="s">
        <v>74</v>
      </c>
      <c r="AX731" t="s">
        <v>74</v>
      </c>
      <c r="AY731" t="s">
        <v>74</v>
      </c>
      <c r="AZ731" t="s">
        <v>74</v>
      </c>
      <c r="BA731" t="s">
        <v>74</v>
      </c>
      <c r="BB731">
        <v>747</v>
      </c>
      <c r="BC731">
        <v>750</v>
      </c>
      <c r="BD731" t="s">
        <v>74</v>
      </c>
      <c r="BE731" t="s">
        <v>13929</v>
      </c>
      <c r="BF731" t="str">
        <f>HYPERLINK("http://dx.doi.org/10.1145/3583133.3590567","http://dx.doi.org/10.1145/3583133.3590567")</f>
        <v>http://dx.doi.org/10.1145/3583133.3590567</v>
      </c>
      <c r="BG731" t="s">
        <v>74</v>
      </c>
      <c r="BH731" t="s">
        <v>74</v>
      </c>
      <c r="BI731">
        <v>4</v>
      </c>
      <c r="BJ731" t="s">
        <v>883</v>
      </c>
      <c r="BK731" t="s">
        <v>98</v>
      </c>
      <c r="BL731" t="s">
        <v>99</v>
      </c>
      <c r="BM731" t="s">
        <v>6431</v>
      </c>
      <c r="BN731" t="s">
        <v>74</v>
      </c>
      <c r="BO731" t="s">
        <v>74</v>
      </c>
      <c r="BP731" t="s">
        <v>74</v>
      </c>
      <c r="BQ731" t="s">
        <v>74</v>
      </c>
      <c r="BR731" t="s">
        <v>101</v>
      </c>
      <c r="BS731" t="s">
        <v>13930</v>
      </c>
      <c r="BT731" t="str">
        <f>HYPERLINK("https%3A%2F%2Fwww.webofscience.com%2Fwos%2Fwoscc%2Ffull-record%2FWOS:001117972600209","View Full Record in Web of Science")</f>
        <v>View Full Record in Web of Science</v>
      </c>
    </row>
    <row r="732" spans="1:72" x14ac:dyDescent="0.2">
      <c r="A732" t="s">
        <v>103</v>
      </c>
      <c r="B732" t="s">
        <v>13931</v>
      </c>
      <c r="C732" t="s">
        <v>74</v>
      </c>
      <c r="D732" t="s">
        <v>74</v>
      </c>
      <c r="E732" t="s">
        <v>74</v>
      </c>
      <c r="F732" t="s">
        <v>13932</v>
      </c>
      <c r="G732" t="s">
        <v>74</v>
      </c>
      <c r="H732" t="s">
        <v>74</v>
      </c>
      <c r="I732" t="s">
        <v>13933</v>
      </c>
      <c r="J732" t="s">
        <v>13934</v>
      </c>
      <c r="K732" t="s">
        <v>74</v>
      </c>
      <c r="L732" t="s">
        <v>74</v>
      </c>
      <c r="M732" t="s">
        <v>79</v>
      </c>
      <c r="N732" t="s">
        <v>108</v>
      </c>
      <c r="O732" t="s">
        <v>74</v>
      </c>
      <c r="P732" t="s">
        <v>74</v>
      </c>
      <c r="Q732" t="s">
        <v>74</v>
      </c>
      <c r="R732" t="s">
        <v>74</v>
      </c>
      <c r="S732" t="s">
        <v>74</v>
      </c>
      <c r="T732" t="s">
        <v>13935</v>
      </c>
      <c r="U732" t="s">
        <v>13936</v>
      </c>
      <c r="V732" t="s">
        <v>13937</v>
      </c>
      <c r="W732" t="s">
        <v>13938</v>
      </c>
      <c r="X732" t="s">
        <v>13939</v>
      </c>
      <c r="Y732" t="s">
        <v>13940</v>
      </c>
      <c r="Z732" t="s">
        <v>13941</v>
      </c>
      <c r="AA732" t="s">
        <v>13942</v>
      </c>
      <c r="AB732" t="s">
        <v>13943</v>
      </c>
      <c r="AC732" t="s">
        <v>74</v>
      </c>
      <c r="AD732" t="s">
        <v>74</v>
      </c>
      <c r="AE732" t="s">
        <v>74</v>
      </c>
      <c r="AF732" t="s">
        <v>74</v>
      </c>
      <c r="AG732">
        <v>21</v>
      </c>
      <c r="AH732">
        <v>0</v>
      </c>
      <c r="AI732">
        <v>0</v>
      </c>
      <c r="AJ732">
        <v>0</v>
      </c>
      <c r="AK732">
        <v>0</v>
      </c>
      <c r="AL732" t="s">
        <v>3165</v>
      </c>
      <c r="AM732" t="s">
        <v>3166</v>
      </c>
      <c r="AN732" t="s">
        <v>3167</v>
      </c>
      <c r="AO732" t="s">
        <v>13944</v>
      </c>
      <c r="AP732" t="s">
        <v>13945</v>
      </c>
      <c r="AQ732" t="s">
        <v>74</v>
      </c>
      <c r="AR732" t="s">
        <v>13946</v>
      </c>
      <c r="AS732" t="s">
        <v>13947</v>
      </c>
      <c r="AT732" t="s">
        <v>276</v>
      </c>
      <c r="AU732">
        <v>2023</v>
      </c>
      <c r="AV732">
        <v>29</v>
      </c>
      <c r="AW732">
        <v>11</v>
      </c>
      <c r="AX732" t="s">
        <v>74</v>
      </c>
      <c r="AY732" t="s">
        <v>74</v>
      </c>
      <c r="AZ732" t="s">
        <v>74</v>
      </c>
      <c r="BA732" t="s">
        <v>74</v>
      </c>
      <c r="BB732" t="s">
        <v>74</v>
      </c>
      <c r="BC732" t="s">
        <v>74</v>
      </c>
      <c r="BD732" t="s">
        <v>13948</v>
      </c>
      <c r="BE732" t="s">
        <v>13949</v>
      </c>
      <c r="BF732" t="str">
        <f>HYPERLINK("http://dx.doi.org/10.1111/srt.13508","http://dx.doi.org/10.1111/srt.13508")</f>
        <v>http://dx.doi.org/10.1111/srt.13508</v>
      </c>
      <c r="BG732" t="s">
        <v>74</v>
      </c>
      <c r="BH732" t="s">
        <v>74</v>
      </c>
      <c r="BI732">
        <v>9</v>
      </c>
      <c r="BJ732" t="s">
        <v>13950</v>
      </c>
      <c r="BK732" t="s">
        <v>130</v>
      </c>
      <c r="BL732" t="s">
        <v>13950</v>
      </c>
      <c r="BM732" t="s">
        <v>13951</v>
      </c>
      <c r="BN732">
        <v>38009044</v>
      </c>
      <c r="BO732" t="s">
        <v>1214</v>
      </c>
      <c r="BP732" t="s">
        <v>74</v>
      </c>
      <c r="BQ732" t="s">
        <v>74</v>
      </c>
      <c r="BR732" t="s">
        <v>101</v>
      </c>
      <c r="BS732" t="s">
        <v>13952</v>
      </c>
      <c r="BT732" t="str">
        <f>HYPERLINK("https%3A%2F%2Fwww.webofscience.com%2Fwos%2Fwoscc%2Ffull-record%2FWOS:001087657700001","View Full Record in Web of Science")</f>
        <v>View Full Record in Web of Science</v>
      </c>
    </row>
    <row r="733" spans="1:72" x14ac:dyDescent="0.2">
      <c r="A733" t="s">
        <v>103</v>
      </c>
      <c r="B733" t="s">
        <v>13953</v>
      </c>
      <c r="C733" t="s">
        <v>74</v>
      </c>
      <c r="D733" t="s">
        <v>74</v>
      </c>
      <c r="E733" t="s">
        <v>74</v>
      </c>
      <c r="F733" t="s">
        <v>13954</v>
      </c>
      <c r="G733" t="s">
        <v>74</v>
      </c>
      <c r="H733" t="s">
        <v>74</v>
      </c>
      <c r="I733" t="s">
        <v>13955</v>
      </c>
      <c r="J733" t="s">
        <v>6769</v>
      </c>
      <c r="K733" t="s">
        <v>74</v>
      </c>
      <c r="L733" t="s">
        <v>74</v>
      </c>
      <c r="M733" t="s">
        <v>79</v>
      </c>
      <c r="N733" t="s">
        <v>108</v>
      </c>
      <c r="O733" t="s">
        <v>74</v>
      </c>
      <c r="P733" t="s">
        <v>74</v>
      </c>
      <c r="Q733" t="s">
        <v>74</v>
      </c>
      <c r="R733" t="s">
        <v>74</v>
      </c>
      <c r="S733" t="s">
        <v>74</v>
      </c>
      <c r="T733" t="s">
        <v>13956</v>
      </c>
      <c r="U733" t="s">
        <v>74</v>
      </c>
      <c r="V733" t="s">
        <v>13957</v>
      </c>
      <c r="W733" t="s">
        <v>13958</v>
      </c>
      <c r="X733" t="s">
        <v>4691</v>
      </c>
      <c r="Y733" t="s">
        <v>13959</v>
      </c>
      <c r="Z733" t="s">
        <v>74</v>
      </c>
      <c r="AA733" t="s">
        <v>74</v>
      </c>
      <c r="AB733" t="s">
        <v>74</v>
      </c>
      <c r="AC733" t="s">
        <v>74</v>
      </c>
      <c r="AD733" t="s">
        <v>74</v>
      </c>
      <c r="AE733" t="s">
        <v>74</v>
      </c>
      <c r="AF733" t="s">
        <v>74</v>
      </c>
      <c r="AG733">
        <v>66</v>
      </c>
      <c r="AH733">
        <v>0</v>
      </c>
      <c r="AI733">
        <v>0</v>
      </c>
      <c r="AJ733">
        <v>3</v>
      </c>
      <c r="AK733">
        <v>3</v>
      </c>
      <c r="AL733" t="s">
        <v>6776</v>
      </c>
      <c r="AM733" t="s">
        <v>6777</v>
      </c>
      <c r="AN733" t="s">
        <v>6778</v>
      </c>
      <c r="AO733" t="s">
        <v>6779</v>
      </c>
      <c r="AP733" t="s">
        <v>74</v>
      </c>
      <c r="AQ733" t="s">
        <v>74</v>
      </c>
      <c r="AR733" t="s">
        <v>6780</v>
      </c>
      <c r="AS733" t="s">
        <v>6781</v>
      </c>
      <c r="AT733" t="s">
        <v>74</v>
      </c>
      <c r="AU733">
        <v>2023</v>
      </c>
      <c r="AV733">
        <v>16</v>
      </c>
      <c r="AW733">
        <v>2</v>
      </c>
      <c r="AX733" t="s">
        <v>74</v>
      </c>
      <c r="AY733" t="s">
        <v>74</v>
      </c>
      <c r="AZ733" t="s">
        <v>74</v>
      </c>
      <c r="BA733" t="s">
        <v>74</v>
      </c>
      <c r="BB733">
        <v>263</v>
      </c>
      <c r="BC733">
        <v>299</v>
      </c>
      <c r="BD733" t="s">
        <v>74</v>
      </c>
      <c r="BE733" t="s">
        <v>74</v>
      </c>
      <c r="BF733" t="s">
        <v>74</v>
      </c>
      <c r="BG733" t="s">
        <v>74</v>
      </c>
      <c r="BH733" t="s">
        <v>74</v>
      </c>
      <c r="BI733">
        <v>37</v>
      </c>
      <c r="BJ733" t="s">
        <v>1135</v>
      </c>
      <c r="BK733" t="s">
        <v>352</v>
      </c>
      <c r="BL733" t="s">
        <v>1136</v>
      </c>
      <c r="BM733" t="s">
        <v>6782</v>
      </c>
      <c r="BN733" t="s">
        <v>74</v>
      </c>
      <c r="BO733" t="s">
        <v>74</v>
      </c>
      <c r="BP733" t="s">
        <v>74</v>
      </c>
      <c r="BQ733" t="s">
        <v>74</v>
      </c>
      <c r="BR733" t="s">
        <v>101</v>
      </c>
      <c r="BS733" t="s">
        <v>13960</v>
      </c>
      <c r="BT733" t="str">
        <f>HYPERLINK("https%3A%2F%2Fwww.webofscience.com%2Fwos%2Fwoscc%2Ffull-record%2FWOS:001111303600003","View Full Record in Web of Science")</f>
        <v>View Full Record in Web of Science</v>
      </c>
    </row>
    <row r="734" spans="1:72" x14ac:dyDescent="0.2">
      <c r="A734" t="s">
        <v>103</v>
      </c>
      <c r="B734" t="s">
        <v>13961</v>
      </c>
      <c r="C734" t="s">
        <v>74</v>
      </c>
      <c r="D734" t="s">
        <v>74</v>
      </c>
      <c r="E734" t="s">
        <v>74</v>
      </c>
      <c r="F734" t="s">
        <v>13962</v>
      </c>
      <c r="G734" t="s">
        <v>74</v>
      </c>
      <c r="H734" t="s">
        <v>74</v>
      </c>
      <c r="I734" t="s">
        <v>13963</v>
      </c>
      <c r="J734" t="s">
        <v>9658</v>
      </c>
      <c r="K734" t="s">
        <v>74</v>
      </c>
      <c r="L734" t="s">
        <v>74</v>
      </c>
      <c r="M734" t="s">
        <v>79</v>
      </c>
      <c r="N734" t="s">
        <v>138</v>
      </c>
      <c r="O734" t="s">
        <v>74</v>
      </c>
      <c r="P734" t="s">
        <v>74</v>
      </c>
      <c r="Q734" t="s">
        <v>74</v>
      </c>
      <c r="R734" t="s">
        <v>74</v>
      </c>
      <c r="S734" t="s">
        <v>74</v>
      </c>
      <c r="T734" t="s">
        <v>13964</v>
      </c>
      <c r="U734" t="s">
        <v>13965</v>
      </c>
      <c r="V734" t="s">
        <v>13966</v>
      </c>
      <c r="W734" t="s">
        <v>13967</v>
      </c>
      <c r="X734" t="s">
        <v>13968</v>
      </c>
      <c r="Y734" t="s">
        <v>13969</v>
      </c>
      <c r="Z734" t="s">
        <v>13970</v>
      </c>
      <c r="AA734" t="s">
        <v>74</v>
      </c>
      <c r="AB734" t="s">
        <v>13971</v>
      </c>
      <c r="AC734" t="s">
        <v>13972</v>
      </c>
      <c r="AD734" t="s">
        <v>13973</v>
      </c>
      <c r="AE734" t="s">
        <v>13974</v>
      </c>
      <c r="AF734" t="s">
        <v>74</v>
      </c>
      <c r="AG734">
        <v>30</v>
      </c>
      <c r="AH734">
        <v>1</v>
      </c>
      <c r="AI734">
        <v>1</v>
      </c>
      <c r="AJ734">
        <v>115</v>
      </c>
      <c r="AK734">
        <v>139</v>
      </c>
      <c r="AL734" t="s">
        <v>1379</v>
      </c>
      <c r="AM734" t="s">
        <v>1380</v>
      </c>
      <c r="AN734" t="s">
        <v>1381</v>
      </c>
      <c r="AO734" t="s">
        <v>9671</v>
      </c>
      <c r="AP734" t="s">
        <v>74</v>
      </c>
      <c r="AQ734" t="s">
        <v>74</v>
      </c>
      <c r="AR734" t="s">
        <v>9672</v>
      </c>
      <c r="AS734" t="s">
        <v>9673</v>
      </c>
      <c r="AT734" t="s">
        <v>9252</v>
      </c>
      <c r="AU734">
        <v>2023</v>
      </c>
      <c r="AV734" t="s">
        <v>74</v>
      </c>
      <c r="AW734" t="s">
        <v>74</v>
      </c>
      <c r="AX734" t="s">
        <v>74</v>
      </c>
      <c r="AY734" t="s">
        <v>74</v>
      </c>
      <c r="AZ734" t="s">
        <v>74</v>
      </c>
      <c r="BA734" t="s">
        <v>74</v>
      </c>
      <c r="BB734" t="s">
        <v>74</v>
      </c>
      <c r="BC734" t="s">
        <v>74</v>
      </c>
      <c r="BD734" t="s">
        <v>74</v>
      </c>
      <c r="BE734" t="s">
        <v>13975</v>
      </c>
      <c r="BF734" t="str">
        <f>HYPERLINK("http://dx.doi.org/10.1109/TCSS.2023.3291539","http://dx.doi.org/10.1109/TCSS.2023.3291539")</f>
        <v>http://dx.doi.org/10.1109/TCSS.2023.3291539</v>
      </c>
      <c r="BG734" t="s">
        <v>74</v>
      </c>
      <c r="BH734" t="s">
        <v>229</v>
      </c>
      <c r="BI734">
        <v>10</v>
      </c>
      <c r="BJ734" t="s">
        <v>9675</v>
      </c>
      <c r="BK734" t="s">
        <v>130</v>
      </c>
      <c r="BL734" t="s">
        <v>99</v>
      </c>
      <c r="BM734" t="s">
        <v>13976</v>
      </c>
      <c r="BN734" t="s">
        <v>74</v>
      </c>
      <c r="BO734" t="s">
        <v>74</v>
      </c>
      <c r="BP734" t="s">
        <v>74</v>
      </c>
      <c r="BQ734" t="s">
        <v>74</v>
      </c>
      <c r="BR734" t="s">
        <v>101</v>
      </c>
      <c r="BS734" t="s">
        <v>13977</v>
      </c>
      <c r="BT734" t="str">
        <f>HYPERLINK("https%3A%2F%2Fwww.webofscience.com%2Fwos%2Fwoscc%2Ffull-record%2FWOS:001035811300001","View Full Record in Web of Science")</f>
        <v>View Full Record in Web of Science</v>
      </c>
    </row>
    <row r="735" spans="1:72" x14ac:dyDescent="0.2">
      <c r="A735" t="s">
        <v>103</v>
      </c>
      <c r="B735" t="s">
        <v>13978</v>
      </c>
      <c r="C735" t="s">
        <v>74</v>
      </c>
      <c r="D735" t="s">
        <v>74</v>
      </c>
      <c r="E735" t="s">
        <v>74</v>
      </c>
      <c r="F735" t="s">
        <v>13979</v>
      </c>
      <c r="G735" t="s">
        <v>74</v>
      </c>
      <c r="H735" t="s">
        <v>74</v>
      </c>
      <c r="I735" t="s">
        <v>13980</v>
      </c>
      <c r="J735" t="s">
        <v>13981</v>
      </c>
      <c r="K735" t="s">
        <v>74</v>
      </c>
      <c r="L735" t="s">
        <v>74</v>
      </c>
      <c r="M735" t="s">
        <v>79</v>
      </c>
      <c r="N735" t="s">
        <v>108</v>
      </c>
      <c r="O735" t="s">
        <v>74</v>
      </c>
      <c r="P735" t="s">
        <v>74</v>
      </c>
      <c r="Q735" t="s">
        <v>74</v>
      </c>
      <c r="R735" t="s">
        <v>74</v>
      </c>
      <c r="S735" t="s">
        <v>74</v>
      </c>
      <c r="T735" t="s">
        <v>74</v>
      </c>
      <c r="U735" t="s">
        <v>13982</v>
      </c>
      <c r="V735" t="s">
        <v>13983</v>
      </c>
      <c r="W735" t="s">
        <v>13984</v>
      </c>
      <c r="X735" t="s">
        <v>13985</v>
      </c>
      <c r="Y735" t="s">
        <v>13986</v>
      </c>
      <c r="Z735" t="s">
        <v>13987</v>
      </c>
      <c r="AA735" t="s">
        <v>13988</v>
      </c>
      <c r="AB735" t="s">
        <v>13989</v>
      </c>
      <c r="AC735" t="s">
        <v>74</v>
      </c>
      <c r="AD735" t="s">
        <v>74</v>
      </c>
      <c r="AE735" t="s">
        <v>74</v>
      </c>
      <c r="AF735" t="s">
        <v>74</v>
      </c>
      <c r="AG735">
        <v>72</v>
      </c>
      <c r="AH735">
        <v>3</v>
      </c>
      <c r="AI735">
        <v>3</v>
      </c>
      <c r="AJ735">
        <v>9</v>
      </c>
      <c r="AK735">
        <v>26</v>
      </c>
      <c r="AL735" t="s">
        <v>13990</v>
      </c>
      <c r="AM735" t="s">
        <v>149</v>
      </c>
      <c r="AN735" t="s">
        <v>13991</v>
      </c>
      <c r="AO735" t="s">
        <v>13992</v>
      </c>
      <c r="AP735" t="s">
        <v>13993</v>
      </c>
      <c r="AQ735" t="s">
        <v>74</v>
      </c>
      <c r="AR735" t="s">
        <v>13994</v>
      </c>
      <c r="AS735" t="s">
        <v>13995</v>
      </c>
      <c r="AT735" t="s">
        <v>2582</v>
      </c>
      <c r="AU735">
        <v>2023</v>
      </c>
      <c r="AV735">
        <v>80</v>
      </c>
      <c r="AW735" t="s">
        <v>74</v>
      </c>
      <c r="AX735" t="s">
        <v>74</v>
      </c>
      <c r="AY735" t="s">
        <v>74</v>
      </c>
      <c r="AZ735" t="s">
        <v>74</v>
      </c>
      <c r="BA735" t="s">
        <v>74</v>
      </c>
      <c r="BB735" t="s">
        <v>74</v>
      </c>
      <c r="BC735" t="s">
        <v>74</v>
      </c>
      <c r="BD735">
        <v>102575</v>
      </c>
      <c r="BE735" t="s">
        <v>13996</v>
      </c>
      <c r="BF735" t="str">
        <f>HYPERLINK("http://dx.doi.org/10.1016/j.sbi.2023.102575","http://dx.doi.org/10.1016/j.sbi.2023.102575")</f>
        <v>http://dx.doi.org/10.1016/j.sbi.2023.102575</v>
      </c>
      <c r="BG735" t="s">
        <v>74</v>
      </c>
      <c r="BH735" t="s">
        <v>1431</v>
      </c>
      <c r="BI735">
        <v>6</v>
      </c>
      <c r="BJ735" t="s">
        <v>13997</v>
      </c>
      <c r="BK735" t="s">
        <v>130</v>
      </c>
      <c r="BL735" t="s">
        <v>13997</v>
      </c>
      <c r="BM735" t="s">
        <v>13998</v>
      </c>
      <c r="BN735">
        <v>36966692</v>
      </c>
      <c r="BO735" t="s">
        <v>1237</v>
      </c>
      <c r="BP735" t="s">
        <v>74</v>
      </c>
      <c r="BQ735" t="s">
        <v>74</v>
      </c>
      <c r="BR735" t="s">
        <v>101</v>
      </c>
      <c r="BS735" t="s">
        <v>13999</v>
      </c>
      <c r="BT735" t="str">
        <f>HYPERLINK("https%3A%2F%2Fwww.webofscience.com%2Fwos%2Fwoscc%2Ffull-record%2FWOS:000964396300001","View Full Record in Web of Science")</f>
        <v>View Full Record in Web of Science</v>
      </c>
    </row>
    <row r="736" spans="1:72" x14ac:dyDescent="0.2">
      <c r="A736" t="s">
        <v>103</v>
      </c>
      <c r="B736" t="s">
        <v>14000</v>
      </c>
      <c r="C736" t="s">
        <v>74</v>
      </c>
      <c r="D736" t="s">
        <v>74</v>
      </c>
      <c r="E736" t="s">
        <v>74</v>
      </c>
      <c r="F736" t="s">
        <v>14001</v>
      </c>
      <c r="G736" t="s">
        <v>74</v>
      </c>
      <c r="H736" t="s">
        <v>74</v>
      </c>
      <c r="I736" t="s">
        <v>14002</v>
      </c>
      <c r="J736" t="s">
        <v>4705</v>
      </c>
      <c r="K736" t="s">
        <v>74</v>
      </c>
      <c r="L736" t="s">
        <v>74</v>
      </c>
      <c r="M736" t="s">
        <v>79</v>
      </c>
      <c r="N736" t="s">
        <v>108</v>
      </c>
      <c r="O736" t="s">
        <v>74</v>
      </c>
      <c r="P736" t="s">
        <v>74</v>
      </c>
      <c r="Q736" t="s">
        <v>74</v>
      </c>
      <c r="R736" t="s">
        <v>74</v>
      </c>
      <c r="S736" t="s">
        <v>74</v>
      </c>
      <c r="T736" t="s">
        <v>14003</v>
      </c>
      <c r="U736" t="s">
        <v>74</v>
      </c>
      <c r="V736" t="s">
        <v>14004</v>
      </c>
      <c r="W736" t="s">
        <v>14005</v>
      </c>
      <c r="X736" t="s">
        <v>14006</v>
      </c>
      <c r="Y736" t="s">
        <v>14007</v>
      </c>
      <c r="Z736" t="s">
        <v>14008</v>
      </c>
      <c r="AA736" t="s">
        <v>74</v>
      </c>
      <c r="AB736" t="s">
        <v>74</v>
      </c>
      <c r="AC736" t="s">
        <v>14009</v>
      </c>
      <c r="AD736" t="s">
        <v>14010</v>
      </c>
      <c r="AE736" t="s">
        <v>14011</v>
      </c>
      <c r="AF736" t="s">
        <v>74</v>
      </c>
      <c r="AG736">
        <v>88</v>
      </c>
      <c r="AH736">
        <v>2</v>
      </c>
      <c r="AI736">
        <v>2</v>
      </c>
      <c r="AJ736">
        <v>13</v>
      </c>
      <c r="AK736">
        <v>14</v>
      </c>
      <c r="AL736" t="s">
        <v>764</v>
      </c>
      <c r="AM736" t="s">
        <v>765</v>
      </c>
      <c r="AN736" t="s">
        <v>766</v>
      </c>
      <c r="AO736" t="s">
        <v>4714</v>
      </c>
      <c r="AP736" t="s">
        <v>74</v>
      </c>
      <c r="AQ736" t="s">
        <v>74</v>
      </c>
      <c r="AR736" t="s">
        <v>4715</v>
      </c>
      <c r="AS736" t="s">
        <v>4716</v>
      </c>
      <c r="AT736" t="s">
        <v>527</v>
      </c>
      <c r="AU736">
        <v>2023</v>
      </c>
      <c r="AV736">
        <v>28</v>
      </c>
      <c r="AW736" t="s">
        <v>74</v>
      </c>
      <c r="AX736" t="s">
        <v>74</v>
      </c>
      <c r="AY736" t="s">
        <v>74</v>
      </c>
      <c r="AZ736" t="s">
        <v>74</v>
      </c>
      <c r="BA736" t="s">
        <v>74</v>
      </c>
      <c r="BB736" t="s">
        <v>74</v>
      </c>
      <c r="BC736" t="s">
        <v>74</v>
      </c>
      <c r="BD736">
        <v>100473</v>
      </c>
      <c r="BE736" t="s">
        <v>14012</v>
      </c>
      <c r="BF736" t="str">
        <f>HYPERLINK("http://dx.doi.org/10.1016/j.cobme.2023.100473","http://dx.doi.org/10.1016/j.cobme.2023.100473")</f>
        <v>http://dx.doi.org/10.1016/j.cobme.2023.100473</v>
      </c>
      <c r="BG736" t="s">
        <v>74</v>
      </c>
      <c r="BH736" t="s">
        <v>229</v>
      </c>
      <c r="BI736">
        <v>12</v>
      </c>
      <c r="BJ736" t="s">
        <v>4718</v>
      </c>
      <c r="BK736" t="s">
        <v>130</v>
      </c>
      <c r="BL736" t="s">
        <v>2823</v>
      </c>
      <c r="BM736" t="s">
        <v>14013</v>
      </c>
      <c r="BN736">
        <v>37484815</v>
      </c>
      <c r="BO736" t="s">
        <v>74</v>
      </c>
      <c r="BP736" t="s">
        <v>74</v>
      </c>
      <c r="BQ736" t="s">
        <v>74</v>
      </c>
      <c r="BR736" t="s">
        <v>101</v>
      </c>
      <c r="BS736" t="s">
        <v>14014</v>
      </c>
      <c r="BT736" t="str">
        <f>HYPERLINK("https%3A%2F%2Fwww.webofscience.com%2Fwos%2Fwoscc%2Ffull-record%2FWOS:001029127000001","View Full Record in Web of Science")</f>
        <v>View Full Record in Web of Science</v>
      </c>
    </row>
    <row r="737" spans="1:72" x14ac:dyDescent="0.2">
      <c r="A737" t="s">
        <v>103</v>
      </c>
      <c r="B737" t="s">
        <v>14015</v>
      </c>
      <c r="C737" t="s">
        <v>74</v>
      </c>
      <c r="D737" t="s">
        <v>74</v>
      </c>
      <c r="E737" t="s">
        <v>74</v>
      </c>
      <c r="F737" t="s">
        <v>14016</v>
      </c>
      <c r="G737" t="s">
        <v>74</v>
      </c>
      <c r="H737" t="s">
        <v>74</v>
      </c>
      <c r="I737" t="s">
        <v>14017</v>
      </c>
      <c r="J737" t="s">
        <v>14018</v>
      </c>
      <c r="K737" t="s">
        <v>74</v>
      </c>
      <c r="L737" t="s">
        <v>74</v>
      </c>
      <c r="M737" t="s">
        <v>79</v>
      </c>
      <c r="N737" t="s">
        <v>108</v>
      </c>
      <c r="O737" t="s">
        <v>74</v>
      </c>
      <c r="P737" t="s">
        <v>74</v>
      </c>
      <c r="Q737" t="s">
        <v>74</v>
      </c>
      <c r="R737" t="s">
        <v>74</v>
      </c>
      <c r="S737" t="s">
        <v>74</v>
      </c>
      <c r="T737" t="s">
        <v>14019</v>
      </c>
      <c r="U737" t="s">
        <v>74</v>
      </c>
      <c r="V737" t="s">
        <v>14020</v>
      </c>
      <c r="W737" t="s">
        <v>14021</v>
      </c>
      <c r="X737" t="s">
        <v>14022</v>
      </c>
      <c r="Y737" t="s">
        <v>14023</v>
      </c>
      <c r="Z737" t="s">
        <v>14024</v>
      </c>
      <c r="AA737" t="s">
        <v>14025</v>
      </c>
      <c r="AB737" t="s">
        <v>14026</v>
      </c>
      <c r="AC737" t="s">
        <v>14027</v>
      </c>
      <c r="AD737" t="s">
        <v>14028</v>
      </c>
      <c r="AE737" t="s">
        <v>14029</v>
      </c>
      <c r="AF737" t="s">
        <v>74</v>
      </c>
      <c r="AG737">
        <v>33</v>
      </c>
      <c r="AH737">
        <v>4</v>
      </c>
      <c r="AI737">
        <v>4</v>
      </c>
      <c r="AJ737">
        <v>53</v>
      </c>
      <c r="AK737">
        <v>53</v>
      </c>
      <c r="AL737" t="s">
        <v>14030</v>
      </c>
      <c r="AM737" t="s">
        <v>14031</v>
      </c>
      <c r="AN737" t="s">
        <v>14032</v>
      </c>
      <c r="AO737" t="s">
        <v>14033</v>
      </c>
      <c r="AP737" t="s">
        <v>74</v>
      </c>
      <c r="AQ737" t="s">
        <v>74</v>
      </c>
      <c r="AR737" t="s">
        <v>14034</v>
      </c>
      <c r="AS737" t="s">
        <v>14035</v>
      </c>
      <c r="AT737" t="s">
        <v>771</v>
      </c>
      <c r="AU737">
        <v>2023</v>
      </c>
      <c r="AV737">
        <v>17</v>
      </c>
      <c r="AW737">
        <v>9</v>
      </c>
      <c r="AX737" t="s">
        <v>74</v>
      </c>
      <c r="AY737" t="s">
        <v>74</v>
      </c>
      <c r="AZ737" t="s">
        <v>74</v>
      </c>
      <c r="BA737" t="s">
        <v>74</v>
      </c>
      <c r="BB737">
        <v>1292</v>
      </c>
      <c r="BC737">
        <v>1299</v>
      </c>
      <c r="BD737" t="s">
        <v>74</v>
      </c>
      <c r="BE737" t="s">
        <v>14036</v>
      </c>
      <c r="BF737" t="str">
        <f>HYPERLINK("http://dx.doi.org/10.3855/jidc.18738","http://dx.doi.org/10.3855/jidc.18738")</f>
        <v>http://dx.doi.org/10.3855/jidc.18738</v>
      </c>
      <c r="BG737" t="s">
        <v>74</v>
      </c>
      <c r="BH737" t="s">
        <v>74</v>
      </c>
      <c r="BI737">
        <v>8</v>
      </c>
      <c r="BJ737" t="s">
        <v>14037</v>
      </c>
      <c r="BK737" t="s">
        <v>130</v>
      </c>
      <c r="BL737" t="s">
        <v>14037</v>
      </c>
      <c r="BM737" t="s">
        <v>14038</v>
      </c>
      <c r="BN737">
        <v>37824352</v>
      </c>
      <c r="BO737" t="s">
        <v>425</v>
      </c>
      <c r="BP737" t="s">
        <v>74</v>
      </c>
      <c r="BQ737" t="s">
        <v>74</v>
      </c>
      <c r="BR737" t="s">
        <v>101</v>
      </c>
      <c r="BS737" t="s">
        <v>14039</v>
      </c>
      <c r="BT737" t="str">
        <f>HYPERLINK("https%3A%2F%2Fwww.webofscience.com%2Fwos%2Fwoscc%2Ffull-record%2FWOS:001108706100020","View Full Record in Web of Science")</f>
        <v>View Full Record in Web of Science</v>
      </c>
    </row>
    <row r="738" spans="1:72" x14ac:dyDescent="0.2">
      <c r="A738" t="s">
        <v>103</v>
      </c>
      <c r="B738" t="s">
        <v>14040</v>
      </c>
      <c r="C738" t="s">
        <v>74</v>
      </c>
      <c r="D738" t="s">
        <v>74</v>
      </c>
      <c r="E738" t="s">
        <v>74</v>
      </c>
      <c r="F738" t="s">
        <v>14041</v>
      </c>
      <c r="G738" t="s">
        <v>74</v>
      </c>
      <c r="H738" t="s">
        <v>74</v>
      </c>
      <c r="I738" t="s">
        <v>14042</v>
      </c>
      <c r="J738" t="s">
        <v>14043</v>
      </c>
      <c r="K738" t="s">
        <v>74</v>
      </c>
      <c r="L738" t="s">
        <v>74</v>
      </c>
      <c r="M738" t="s">
        <v>79</v>
      </c>
      <c r="N738" t="s">
        <v>108</v>
      </c>
      <c r="O738" t="s">
        <v>74</v>
      </c>
      <c r="P738" t="s">
        <v>74</v>
      </c>
      <c r="Q738" t="s">
        <v>74</v>
      </c>
      <c r="R738" t="s">
        <v>74</v>
      </c>
      <c r="S738" t="s">
        <v>74</v>
      </c>
      <c r="T738" t="s">
        <v>14044</v>
      </c>
      <c r="U738" t="s">
        <v>74</v>
      </c>
      <c r="V738" t="s">
        <v>14045</v>
      </c>
      <c r="W738" t="s">
        <v>14046</v>
      </c>
      <c r="X738" t="s">
        <v>14047</v>
      </c>
      <c r="Y738" t="s">
        <v>14048</v>
      </c>
      <c r="Z738" t="s">
        <v>14049</v>
      </c>
      <c r="AA738" t="s">
        <v>14050</v>
      </c>
      <c r="AB738" t="s">
        <v>74</v>
      </c>
      <c r="AC738" t="s">
        <v>74</v>
      </c>
      <c r="AD738" t="s">
        <v>74</v>
      </c>
      <c r="AE738" t="s">
        <v>74</v>
      </c>
      <c r="AF738" t="s">
        <v>74</v>
      </c>
      <c r="AG738">
        <v>43</v>
      </c>
      <c r="AH738">
        <v>4</v>
      </c>
      <c r="AI738">
        <v>4</v>
      </c>
      <c r="AJ738">
        <v>82</v>
      </c>
      <c r="AK738">
        <v>118</v>
      </c>
      <c r="AL738" t="s">
        <v>737</v>
      </c>
      <c r="AM738" t="s">
        <v>738</v>
      </c>
      <c r="AN738" t="s">
        <v>739</v>
      </c>
      <c r="AO738" t="s">
        <v>14051</v>
      </c>
      <c r="AP738" t="s">
        <v>14052</v>
      </c>
      <c r="AQ738" t="s">
        <v>74</v>
      </c>
      <c r="AR738" t="s">
        <v>14053</v>
      </c>
      <c r="AS738" t="s">
        <v>14054</v>
      </c>
      <c r="AT738" t="s">
        <v>7043</v>
      </c>
      <c r="AU738">
        <v>2023</v>
      </c>
      <c r="AV738">
        <v>40</v>
      </c>
      <c r="AW738">
        <v>2</v>
      </c>
      <c r="AX738" t="s">
        <v>74</v>
      </c>
      <c r="AY738" t="s">
        <v>74</v>
      </c>
      <c r="AZ738" t="s">
        <v>74</v>
      </c>
      <c r="BA738" t="s">
        <v>74</v>
      </c>
      <c r="BB738">
        <v>76</v>
      </c>
      <c r="BC738">
        <v>91</v>
      </c>
      <c r="BD738" t="s">
        <v>74</v>
      </c>
      <c r="BE738" t="s">
        <v>14055</v>
      </c>
      <c r="BF738" t="str">
        <f>HYPERLINK("http://dx.doi.org/10.1080/07317131.2023.2187110","http://dx.doi.org/10.1080/07317131.2023.2187110")</f>
        <v>http://dx.doi.org/10.1080/07317131.2023.2187110</v>
      </c>
      <c r="BG738" t="s">
        <v>74</v>
      </c>
      <c r="BH738" t="s">
        <v>74</v>
      </c>
      <c r="BI738">
        <v>16</v>
      </c>
      <c r="BJ738" t="s">
        <v>1016</v>
      </c>
      <c r="BK738" t="s">
        <v>352</v>
      </c>
      <c r="BL738" t="s">
        <v>1016</v>
      </c>
      <c r="BM738" t="s">
        <v>14056</v>
      </c>
      <c r="BN738" t="s">
        <v>74</v>
      </c>
      <c r="BO738" t="s">
        <v>74</v>
      </c>
      <c r="BP738" t="s">
        <v>74</v>
      </c>
      <c r="BQ738" t="s">
        <v>74</v>
      </c>
      <c r="BR738" t="s">
        <v>101</v>
      </c>
      <c r="BS738" t="s">
        <v>14057</v>
      </c>
      <c r="BT738" t="str">
        <f>HYPERLINK("https%3A%2F%2Fwww.webofscience.com%2Fwos%2Fwoscc%2Ffull-record%2FWOS:000998916000003","View Full Record in Web of Science")</f>
        <v>View Full Record in Web of Science</v>
      </c>
    </row>
    <row r="739" spans="1:72" x14ac:dyDescent="0.2">
      <c r="A739" t="s">
        <v>103</v>
      </c>
      <c r="B739" t="s">
        <v>14058</v>
      </c>
      <c r="C739" t="s">
        <v>74</v>
      </c>
      <c r="D739" t="s">
        <v>74</v>
      </c>
      <c r="E739" t="s">
        <v>74</v>
      </c>
      <c r="F739" t="s">
        <v>14059</v>
      </c>
      <c r="G739" t="s">
        <v>74</v>
      </c>
      <c r="H739" t="s">
        <v>74</v>
      </c>
      <c r="I739" t="s">
        <v>14060</v>
      </c>
      <c r="J739" t="s">
        <v>10711</v>
      </c>
      <c r="K739" t="s">
        <v>74</v>
      </c>
      <c r="L739" t="s">
        <v>74</v>
      </c>
      <c r="M739" t="s">
        <v>79</v>
      </c>
      <c r="N739" t="s">
        <v>108</v>
      </c>
      <c r="O739" t="s">
        <v>74</v>
      </c>
      <c r="P739" t="s">
        <v>74</v>
      </c>
      <c r="Q739" t="s">
        <v>74</v>
      </c>
      <c r="R739" t="s">
        <v>74</v>
      </c>
      <c r="S739" t="s">
        <v>74</v>
      </c>
      <c r="T739" t="s">
        <v>74</v>
      </c>
      <c r="U739" t="s">
        <v>14061</v>
      </c>
      <c r="V739" t="s">
        <v>14062</v>
      </c>
      <c r="W739" t="s">
        <v>14063</v>
      </c>
      <c r="X739" t="s">
        <v>14064</v>
      </c>
      <c r="Y739" t="s">
        <v>14065</v>
      </c>
      <c r="Z739" t="s">
        <v>14066</v>
      </c>
      <c r="AA739" t="s">
        <v>14067</v>
      </c>
      <c r="AB739" t="s">
        <v>14068</v>
      </c>
      <c r="AC739" t="s">
        <v>14069</v>
      </c>
      <c r="AD739" t="s">
        <v>14070</v>
      </c>
      <c r="AE739" t="s">
        <v>14071</v>
      </c>
      <c r="AF739" t="s">
        <v>74</v>
      </c>
      <c r="AG739">
        <v>32</v>
      </c>
      <c r="AH739">
        <v>4</v>
      </c>
      <c r="AI739">
        <v>4</v>
      </c>
      <c r="AJ739">
        <v>13</v>
      </c>
      <c r="AK739">
        <v>17</v>
      </c>
      <c r="AL739" t="s">
        <v>1880</v>
      </c>
      <c r="AM739" t="s">
        <v>369</v>
      </c>
      <c r="AN739" t="s">
        <v>1881</v>
      </c>
      <c r="AO739" t="s">
        <v>10723</v>
      </c>
      <c r="AP739" t="s">
        <v>74</v>
      </c>
      <c r="AQ739" t="s">
        <v>74</v>
      </c>
      <c r="AR739" t="s">
        <v>10724</v>
      </c>
      <c r="AS739" t="s">
        <v>10725</v>
      </c>
      <c r="AT739" t="s">
        <v>14072</v>
      </c>
      <c r="AU739">
        <v>2023</v>
      </c>
      <c r="AV739">
        <v>13</v>
      </c>
      <c r="AW739">
        <v>1</v>
      </c>
      <c r="AX739" t="s">
        <v>74</v>
      </c>
      <c r="AY739" t="s">
        <v>74</v>
      </c>
      <c r="AZ739" t="s">
        <v>74</v>
      </c>
      <c r="BA739" t="s">
        <v>74</v>
      </c>
      <c r="BB739" t="s">
        <v>74</v>
      </c>
      <c r="BC739" t="s">
        <v>74</v>
      </c>
      <c r="BD739" t="s">
        <v>74</v>
      </c>
      <c r="BE739" t="s">
        <v>14073</v>
      </c>
      <c r="BF739" t="str">
        <f>HYPERLINK("http://dx.doi.org/10.1038/s41598-023-32032-6","http://dx.doi.org/10.1038/s41598-023-32032-6")</f>
        <v>http://dx.doi.org/10.1038/s41598-023-32032-6</v>
      </c>
      <c r="BG739" t="s">
        <v>74</v>
      </c>
      <c r="BH739" t="s">
        <v>74</v>
      </c>
      <c r="BI739">
        <v>14</v>
      </c>
      <c r="BJ739" t="s">
        <v>5686</v>
      </c>
      <c r="BK739" t="s">
        <v>130</v>
      </c>
      <c r="BL739" t="s">
        <v>5687</v>
      </c>
      <c r="BM739" t="s">
        <v>14074</v>
      </c>
      <c r="BN739">
        <v>37002296</v>
      </c>
      <c r="BO739" t="s">
        <v>4185</v>
      </c>
      <c r="BP739" t="s">
        <v>74</v>
      </c>
      <c r="BQ739" t="s">
        <v>74</v>
      </c>
      <c r="BR739" t="s">
        <v>101</v>
      </c>
      <c r="BS739" t="s">
        <v>14075</v>
      </c>
      <c r="BT739" t="str">
        <f>HYPERLINK("https%3A%2F%2Fwww.webofscience.com%2Fwos%2Fwoscc%2Ffull-record%2FWOS:001001498900024","View Full Record in Web of Science")</f>
        <v>View Full Record in Web of Science</v>
      </c>
    </row>
    <row r="740" spans="1:72" x14ac:dyDescent="0.2">
      <c r="A740" t="s">
        <v>103</v>
      </c>
      <c r="B740" t="s">
        <v>14076</v>
      </c>
      <c r="C740" t="s">
        <v>74</v>
      </c>
      <c r="D740" t="s">
        <v>74</v>
      </c>
      <c r="E740" t="s">
        <v>74</v>
      </c>
      <c r="F740" t="s">
        <v>14077</v>
      </c>
      <c r="G740" t="s">
        <v>74</v>
      </c>
      <c r="H740" t="s">
        <v>74</v>
      </c>
      <c r="I740" t="s">
        <v>14078</v>
      </c>
      <c r="J740" t="s">
        <v>1326</v>
      </c>
      <c r="K740" t="s">
        <v>74</v>
      </c>
      <c r="L740" t="s">
        <v>74</v>
      </c>
      <c r="M740" t="s">
        <v>79</v>
      </c>
      <c r="N740" t="s">
        <v>108</v>
      </c>
      <c r="O740" t="s">
        <v>74</v>
      </c>
      <c r="P740" t="s">
        <v>74</v>
      </c>
      <c r="Q740" t="s">
        <v>74</v>
      </c>
      <c r="R740" t="s">
        <v>74</v>
      </c>
      <c r="S740" t="s">
        <v>74</v>
      </c>
      <c r="T740" t="s">
        <v>14079</v>
      </c>
      <c r="U740" t="s">
        <v>14080</v>
      </c>
      <c r="V740" t="s">
        <v>14081</v>
      </c>
      <c r="W740" t="s">
        <v>14082</v>
      </c>
      <c r="X740" t="s">
        <v>4031</v>
      </c>
      <c r="Y740" t="s">
        <v>14083</v>
      </c>
      <c r="Z740" t="s">
        <v>14084</v>
      </c>
      <c r="AA740" t="s">
        <v>74</v>
      </c>
      <c r="AB740" t="s">
        <v>74</v>
      </c>
      <c r="AC740" t="s">
        <v>74</v>
      </c>
      <c r="AD740" t="s">
        <v>74</v>
      </c>
      <c r="AE740" t="s">
        <v>74</v>
      </c>
      <c r="AF740" t="s">
        <v>74</v>
      </c>
      <c r="AG740">
        <v>29</v>
      </c>
      <c r="AH740">
        <v>0</v>
      </c>
      <c r="AI740">
        <v>0</v>
      </c>
      <c r="AJ740">
        <v>6</v>
      </c>
      <c r="AK740">
        <v>6</v>
      </c>
      <c r="AL740" t="s">
        <v>1333</v>
      </c>
      <c r="AM740" t="s">
        <v>1334</v>
      </c>
      <c r="AN740" t="s">
        <v>1335</v>
      </c>
      <c r="AO740" t="s">
        <v>1336</v>
      </c>
      <c r="AP740" t="s">
        <v>74</v>
      </c>
      <c r="AQ740" t="s">
        <v>74</v>
      </c>
      <c r="AR740" t="s">
        <v>1337</v>
      </c>
      <c r="AS740" t="s">
        <v>1338</v>
      </c>
      <c r="AT740" t="s">
        <v>74</v>
      </c>
      <c r="AU740">
        <v>2023</v>
      </c>
      <c r="AV740">
        <v>17</v>
      </c>
      <c r="AW740">
        <v>1</v>
      </c>
      <c r="AX740" t="s">
        <v>74</v>
      </c>
      <c r="AY740" t="s">
        <v>74</v>
      </c>
      <c r="AZ740" t="s">
        <v>74</v>
      </c>
      <c r="BA740" t="s">
        <v>74</v>
      </c>
      <c r="BB740" t="s">
        <v>14085</v>
      </c>
      <c r="BC740" t="s">
        <v>14086</v>
      </c>
      <c r="BD740" t="s">
        <v>74</v>
      </c>
      <c r="BE740" t="s">
        <v>74</v>
      </c>
      <c r="BF740" t="s">
        <v>74</v>
      </c>
      <c r="BG740" t="s">
        <v>74</v>
      </c>
      <c r="BH740" t="s">
        <v>74</v>
      </c>
      <c r="BI740">
        <v>11</v>
      </c>
      <c r="BJ740" t="s">
        <v>423</v>
      </c>
      <c r="BK740" t="s">
        <v>352</v>
      </c>
      <c r="BL740" t="s">
        <v>423</v>
      </c>
      <c r="BM740" t="s">
        <v>1341</v>
      </c>
      <c r="BN740" t="s">
        <v>74</v>
      </c>
      <c r="BO740" t="s">
        <v>74</v>
      </c>
      <c r="BP740" t="s">
        <v>74</v>
      </c>
      <c r="BQ740" t="s">
        <v>74</v>
      </c>
      <c r="BR740" t="s">
        <v>101</v>
      </c>
      <c r="BS740" t="s">
        <v>14087</v>
      </c>
      <c r="BT740" t="str">
        <f>HYPERLINK("https%3A%2F%2Fwww.webofscience.com%2Fwos%2Fwoscc%2Ffull-record%2FWOS:001163419200003","View Full Record in Web of Science")</f>
        <v>View Full Record in Web of Science</v>
      </c>
    </row>
    <row r="741" spans="1:72" x14ac:dyDescent="0.2">
      <c r="A741" t="s">
        <v>103</v>
      </c>
      <c r="B741" t="s">
        <v>14088</v>
      </c>
      <c r="C741" t="s">
        <v>74</v>
      </c>
      <c r="D741" t="s">
        <v>74</v>
      </c>
      <c r="E741" t="s">
        <v>74</v>
      </c>
      <c r="F741" t="s">
        <v>14089</v>
      </c>
      <c r="G741" t="s">
        <v>74</v>
      </c>
      <c r="H741" t="s">
        <v>74</v>
      </c>
      <c r="I741" t="s">
        <v>14090</v>
      </c>
      <c r="J741" t="s">
        <v>4059</v>
      </c>
      <c r="K741" t="s">
        <v>74</v>
      </c>
      <c r="L741" t="s">
        <v>74</v>
      </c>
      <c r="M741" t="s">
        <v>79</v>
      </c>
      <c r="N741" t="s">
        <v>108</v>
      </c>
      <c r="O741" t="s">
        <v>74</v>
      </c>
      <c r="P741" t="s">
        <v>74</v>
      </c>
      <c r="Q741" t="s">
        <v>74</v>
      </c>
      <c r="R741" t="s">
        <v>74</v>
      </c>
      <c r="S741" t="s">
        <v>74</v>
      </c>
      <c r="T741" t="s">
        <v>14091</v>
      </c>
      <c r="U741" t="s">
        <v>74</v>
      </c>
      <c r="V741" t="s">
        <v>14092</v>
      </c>
      <c r="W741" t="s">
        <v>14093</v>
      </c>
      <c r="X741" t="s">
        <v>14094</v>
      </c>
      <c r="Y741" t="s">
        <v>12215</v>
      </c>
      <c r="Z741" t="s">
        <v>14095</v>
      </c>
      <c r="AA741" t="s">
        <v>74</v>
      </c>
      <c r="AB741" t="s">
        <v>14096</v>
      </c>
      <c r="AC741" t="s">
        <v>14097</v>
      </c>
      <c r="AD741" t="s">
        <v>14097</v>
      </c>
      <c r="AE741" t="s">
        <v>14098</v>
      </c>
      <c r="AF741" t="s">
        <v>74</v>
      </c>
      <c r="AG741">
        <v>25</v>
      </c>
      <c r="AH741">
        <v>1</v>
      </c>
      <c r="AI741">
        <v>1</v>
      </c>
      <c r="AJ741">
        <v>2</v>
      </c>
      <c r="AK741">
        <v>4</v>
      </c>
      <c r="AL741" t="s">
        <v>148</v>
      </c>
      <c r="AM741" t="s">
        <v>149</v>
      </c>
      <c r="AN741" t="s">
        <v>150</v>
      </c>
      <c r="AO741" t="s">
        <v>4068</v>
      </c>
      <c r="AP741" t="s">
        <v>4069</v>
      </c>
      <c r="AQ741" t="s">
        <v>74</v>
      </c>
      <c r="AR741" t="s">
        <v>4070</v>
      </c>
      <c r="AS741" t="s">
        <v>4071</v>
      </c>
      <c r="AT741" t="s">
        <v>2582</v>
      </c>
      <c r="AU741">
        <v>2023</v>
      </c>
      <c r="AV741">
        <v>21</v>
      </c>
      <c r="AW741">
        <v>2</v>
      </c>
      <c r="AX741" t="s">
        <v>74</v>
      </c>
      <c r="AY741" t="s">
        <v>74</v>
      </c>
      <c r="AZ741" t="s">
        <v>253</v>
      </c>
      <c r="BA741" t="s">
        <v>74</v>
      </c>
      <c r="BB741">
        <v>358</v>
      </c>
      <c r="BC741">
        <v>373</v>
      </c>
      <c r="BD741" t="s">
        <v>74</v>
      </c>
      <c r="BE741" t="s">
        <v>14099</v>
      </c>
      <c r="BF741" t="str">
        <f>HYPERLINK("http://dx.doi.org/10.1177/14780771231168231","http://dx.doi.org/10.1177/14780771231168231")</f>
        <v>http://dx.doi.org/10.1177/14780771231168231</v>
      </c>
      <c r="BG741" t="s">
        <v>74</v>
      </c>
      <c r="BH741" t="s">
        <v>2889</v>
      </c>
      <c r="BI741">
        <v>16</v>
      </c>
      <c r="BJ741" t="s">
        <v>4073</v>
      </c>
      <c r="BK741" t="s">
        <v>352</v>
      </c>
      <c r="BL741" t="s">
        <v>4073</v>
      </c>
      <c r="BM741" t="s">
        <v>4074</v>
      </c>
      <c r="BN741" t="s">
        <v>74</v>
      </c>
      <c r="BO741" t="s">
        <v>74</v>
      </c>
      <c r="BP741" t="s">
        <v>74</v>
      </c>
      <c r="BQ741" t="s">
        <v>74</v>
      </c>
      <c r="BR741" t="s">
        <v>101</v>
      </c>
      <c r="BS741" t="s">
        <v>14100</v>
      </c>
      <c r="BT741" t="str">
        <f>HYPERLINK("https%3A%2F%2Fwww.webofscience.com%2Fwos%2Fwoscc%2Ffull-record%2FWOS:000985959500001","View Full Record in Web of Science")</f>
        <v>View Full Record in Web of Science</v>
      </c>
    </row>
    <row r="742" spans="1:72" x14ac:dyDescent="0.2">
      <c r="A742" t="s">
        <v>72</v>
      </c>
      <c r="B742" t="s">
        <v>14101</v>
      </c>
      <c r="C742" t="s">
        <v>74</v>
      </c>
      <c r="D742" t="s">
        <v>14102</v>
      </c>
      <c r="E742" t="s">
        <v>74</v>
      </c>
      <c r="F742" t="s">
        <v>14103</v>
      </c>
      <c r="G742" t="s">
        <v>74</v>
      </c>
      <c r="H742" t="s">
        <v>74</v>
      </c>
      <c r="I742" t="s">
        <v>14104</v>
      </c>
      <c r="J742" t="s">
        <v>14105</v>
      </c>
      <c r="K742" t="s">
        <v>14106</v>
      </c>
      <c r="L742" t="s">
        <v>74</v>
      </c>
      <c r="M742" t="s">
        <v>79</v>
      </c>
      <c r="N742" t="s">
        <v>80</v>
      </c>
      <c r="O742" t="s">
        <v>14107</v>
      </c>
      <c r="P742" t="s">
        <v>14108</v>
      </c>
      <c r="Q742" t="s">
        <v>14109</v>
      </c>
      <c r="R742" t="s">
        <v>14110</v>
      </c>
      <c r="S742" t="s">
        <v>14111</v>
      </c>
      <c r="T742" t="s">
        <v>14112</v>
      </c>
      <c r="U742" t="s">
        <v>74</v>
      </c>
      <c r="V742" t="s">
        <v>14113</v>
      </c>
      <c r="W742" t="s">
        <v>14114</v>
      </c>
      <c r="X742" t="s">
        <v>14115</v>
      </c>
      <c r="Y742" t="s">
        <v>14116</v>
      </c>
      <c r="Z742" t="s">
        <v>14117</v>
      </c>
      <c r="AA742" t="s">
        <v>14118</v>
      </c>
      <c r="AB742" t="s">
        <v>14119</v>
      </c>
      <c r="AC742" t="s">
        <v>74</v>
      </c>
      <c r="AD742" t="s">
        <v>74</v>
      </c>
      <c r="AE742" t="s">
        <v>74</v>
      </c>
      <c r="AF742" t="s">
        <v>74</v>
      </c>
      <c r="AG742">
        <v>16</v>
      </c>
      <c r="AH742">
        <v>0</v>
      </c>
      <c r="AI742">
        <v>0</v>
      </c>
      <c r="AJ742">
        <v>1</v>
      </c>
      <c r="AK742">
        <v>1</v>
      </c>
      <c r="AL742" t="s">
        <v>5011</v>
      </c>
      <c r="AM742" t="s">
        <v>5012</v>
      </c>
      <c r="AN742" t="s">
        <v>5013</v>
      </c>
      <c r="AO742" t="s">
        <v>14120</v>
      </c>
      <c r="AP742" t="s">
        <v>14121</v>
      </c>
      <c r="AQ742" t="s">
        <v>14122</v>
      </c>
      <c r="AR742" t="s">
        <v>14123</v>
      </c>
      <c r="AS742" t="s">
        <v>74</v>
      </c>
      <c r="AT742" t="s">
        <v>74</v>
      </c>
      <c r="AU742">
        <v>2023</v>
      </c>
      <c r="AV742">
        <v>608</v>
      </c>
      <c r="AW742" t="s">
        <v>74</v>
      </c>
      <c r="AX742" t="s">
        <v>74</v>
      </c>
      <c r="AY742" t="s">
        <v>74</v>
      </c>
      <c r="AZ742" t="s">
        <v>74</v>
      </c>
      <c r="BA742" t="s">
        <v>74</v>
      </c>
      <c r="BB742">
        <v>409</v>
      </c>
      <c r="BC742">
        <v>425</v>
      </c>
      <c r="BD742" t="s">
        <v>74</v>
      </c>
      <c r="BE742" t="s">
        <v>14124</v>
      </c>
      <c r="BF742" t="str">
        <f>HYPERLINK("http://dx.doi.org/10.1007/978-981-19-9225-4_31","http://dx.doi.org/10.1007/978-981-19-9225-4_31")</f>
        <v>http://dx.doi.org/10.1007/978-981-19-9225-4_31</v>
      </c>
      <c r="BG742" t="s">
        <v>74</v>
      </c>
      <c r="BH742" t="s">
        <v>74</v>
      </c>
      <c r="BI742">
        <v>17</v>
      </c>
      <c r="BJ742" t="s">
        <v>3012</v>
      </c>
      <c r="BK742" t="s">
        <v>98</v>
      </c>
      <c r="BL742" t="s">
        <v>99</v>
      </c>
      <c r="BM742" t="s">
        <v>14125</v>
      </c>
      <c r="BN742" t="s">
        <v>74</v>
      </c>
      <c r="BO742" t="s">
        <v>74</v>
      </c>
      <c r="BP742" t="s">
        <v>74</v>
      </c>
      <c r="BQ742" t="s">
        <v>74</v>
      </c>
      <c r="BR742" t="s">
        <v>101</v>
      </c>
      <c r="BS742" t="s">
        <v>14126</v>
      </c>
      <c r="BT742" t="str">
        <f>HYPERLINK("https%3A%2F%2Fwww.webofscience.com%2Fwos%2Fwoscc%2Ffull-record%2FWOS:001008148400031","View Full Record in Web of Science")</f>
        <v>View Full Record in Web of Science</v>
      </c>
    </row>
    <row r="743" spans="1:72" x14ac:dyDescent="0.2">
      <c r="A743" t="s">
        <v>72</v>
      </c>
      <c r="B743" t="s">
        <v>14127</v>
      </c>
      <c r="C743" t="s">
        <v>74</v>
      </c>
      <c r="D743" t="s">
        <v>74</v>
      </c>
      <c r="E743" t="s">
        <v>75</v>
      </c>
      <c r="F743" t="s">
        <v>14128</v>
      </c>
      <c r="G743" t="s">
        <v>74</v>
      </c>
      <c r="H743" t="s">
        <v>74</v>
      </c>
      <c r="I743" t="s">
        <v>14129</v>
      </c>
      <c r="J743" t="s">
        <v>78</v>
      </c>
      <c r="K743" t="s">
        <v>74</v>
      </c>
      <c r="L743" t="s">
        <v>74</v>
      </c>
      <c r="M743" t="s">
        <v>79</v>
      </c>
      <c r="N743" t="s">
        <v>80</v>
      </c>
      <c r="O743" t="s">
        <v>81</v>
      </c>
      <c r="P743" t="s">
        <v>82</v>
      </c>
      <c r="Q743" t="s">
        <v>83</v>
      </c>
      <c r="R743" t="s">
        <v>84</v>
      </c>
      <c r="S743" t="s">
        <v>74</v>
      </c>
      <c r="T743" t="s">
        <v>14130</v>
      </c>
      <c r="U743" t="s">
        <v>74</v>
      </c>
      <c r="V743" t="s">
        <v>14131</v>
      </c>
      <c r="W743" t="s">
        <v>14132</v>
      </c>
      <c r="X743" t="s">
        <v>14133</v>
      </c>
      <c r="Y743" t="s">
        <v>14134</v>
      </c>
      <c r="Z743" t="s">
        <v>14135</v>
      </c>
      <c r="AA743" t="s">
        <v>74</v>
      </c>
      <c r="AB743" t="s">
        <v>74</v>
      </c>
      <c r="AC743" t="s">
        <v>74</v>
      </c>
      <c r="AD743" t="s">
        <v>74</v>
      </c>
      <c r="AE743" t="s">
        <v>74</v>
      </c>
      <c r="AF743" t="s">
        <v>74</v>
      </c>
      <c r="AG743">
        <v>8</v>
      </c>
      <c r="AH743">
        <v>0</v>
      </c>
      <c r="AI743">
        <v>0</v>
      </c>
      <c r="AJ743">
        <v>2</v>
      </c>
      <c r="AK743">
        <v>2</v>
      </c>
      <c r="AL743" t="s">
        <v>92</v>
      </c>
      <c r="AM743" t="s">
        <v>93</v>
      </c>
      <c r="AN743" t="s">
        <v>94</v>
      </c>
      <c r="AO743" t="s">
        <v>74</v>
      </c>
      <c r="AP743" t="s">
        <v>74</v>
      </c>
      <c r="AQ743" t="s">
        <v>95</v>
      </c>
      <c r="AR743" t="s">
        <v>74</v>
      </c>
      <c r="AS743" t="s">
        <v>74</v>
      </c>
      <c r="AT743" t="s">
        <v>74</v>
      </c>
      <c r="AU743">
        <v>2023</v>
      </c>
      <c r="AV743" t="s">
        <v>74</v>
      </c>
      <c r="AW743" t="s">
        <v>74</v>
      </c>
      <c r="AX743" t="s">
        <v>74</v>
      </c>
      <c r="AY743" t="s">
        <v>74</v>
      </c>
      <c r="AZ743" t="s">
        <v>74</v>
      </c>
      <c r="BA743" t="s">
        <v>74</v>
      </c>
      <c r="BB743" t="s">
        <v>74</v>
      </c>
      <c r="BC743" t="s">
        <v>74</v>
      </c>
      <c r="BD743">
        <v>119</v>
      </c>
      <c r="BE743" t="s">
        <v>14136</v>
      </c>
      <c r="BF743" t="str">
        <f>HYPERLINK("http://dx.doi.org/10.1145/3586182.3625120","http://dx.doi.org/10.1145/3586182.3625120")</f>
        <v>http://dx.doi.org/10.1145/3586182.3625120</v>
      </c>
      <c r="BG743" t="s">
        <v>74</v>
      </c>
      <c r="BH743" t="s">
        <v>74</v>
      </c>
      <c r="BI743">
        <v>6</v>
      </c>
      <c r="BJ743" t="s">
        <v>97</v>
      </c>
      <c r="BK743" t="s">
        <v>98</v>
      </c>
      <c r="BL743" t="s">
        <v>99</v>
      </c>
      <c r="BM743" t="s">
        <v>100</v>
      </c>
      <c r="BN743" t="s">
        <v>74</v>
      </c>
      <c r="BO743" t="s">
        <v>74</v>
      </c>
      <c r="BP743" t="s">
        <v>74</v>
      </c>
      <c r="BQ743" t="s">
        <v>74</v>
      </c>
      <c r="BR743" t="s">
        <v>101</v>
      </c>
      <c r="BS743" t="s">
        <v>14137</v>
      </c>
      <c r="BT743" t="str">
        <f>HYPERLINK("https%3A%2F%2Fwww.webofscience.com%2Fwos%2Fwoscc%2Ffull-record%2FWOS:001125107000118","View Full Record in Web of Science")</f>
        <v>View Full Record in Web of Science</v>
      </c>
    </row>
    <row r="744" spans="1:72" x14ac:dyDescent="0.2">
      <c r="A744" t="s">
        <v>103</v>
      </c>
      <c r="B744" t="s">
        <v>14138</v>
      </c>
      <c r="C744" t="s">
        <v>74</v>
      </c>
      <c r="D744" t="s">
        <v>74</v>
      </c>
      <c r="E744" t="s">
        <v>74</v>
      </c>
      <c r="F744" t="s">
        <v>14139</v>
      </c>
      <c r="G744" t="s">
        <v>74</v>
      </c>
      <c r="H744" t="s">
        <v>74</v>
      </c>
      <c r="I744" t="s">
        <v>14140</v>
      </c>
      <c r="J744" t="s">
        <v>14141</v>
      </c>
      <c r="K744" t="s">
        <v>74</v>
      </c>
      <c r="L744" t="s">
        <v>74</v>
      </c>
      <c r="M744" t="s">
        <v>79</v>
      </c>
      <c r="N744" t="s">
        <v>108</v>
      </c>
      <c r="O744" t="s">
        <v>74</v>
      </c>
      <c r="P744" t="s">
        <v>74</v>
      </c>
      <c r="Q744" t="s">
        <v>74</v>
      </c>
      <c r="R744" t="s">
        <v>74</v>
      </c>
      <c r="S744" t="s">
        <v>74</v>
      </c>
      <c r="T744" t="s">
        <v>14142</v>
      </c>
      <c r="U744" t="s">
        <v>14143</v>
      </c>
      <c r="V744" t="s">
        <v>14144</v>
      </c>
      <c r="W744" t="s">
        <v>14145</v>
      </c>
      <c r="X744" t="s">
        <v>14146</v>
      </c>
      <c r="Y744" t="s">
        <v>14147</v>
      </c>
      <c r="Z744" t="s">
        <v>14148</v>
      </c>
      <c r="AA744" t="s">
        <v>74</v>
      </c>
      <c r="AB744" t="s">
        <v>74</v>
      </c>
      <c r="AC744" t="s">
        <v>74</v>
      </c>
      <c r="AD744" t="s">
        <v>74</v>
      </c>
      <c r="AE744" t="s">
        <v>74</v>
      </c>
      <c r="AF744" t="s">
        <v>74</v>
      </c>
      <c r="AG744">
        <v>21</v>
      </c>
      <c r="AH744">
        <v>0</v>
      </c>
      <c r="AI744">
        <v>0</v>
      </c>
      <c r="AJ744">
        <v>7</v>
      </c>
      <c r="AK744">
        <v>7</v>
      </c>
      <c r="AL744" t="s">
        <v>14149</v>
      </c>
      <c r="AM744" t="s">
        <v>14150</v>
      </c>
      <c r="AN744" t="s">
        <v>14151</v>
      </c>
      <c r="AO744" t="s">
        <v>14152</v>
      </c>
      <c r="AP744" t="s">
        <v>14153</v>
      </c>
      <c r="AQ744" t="s">
        <v>74</v>
      </c>
      <c r="AR744" t="s">
        <v>14154</v>
      </c>
      <c r="AS744" t="s">
        <v>14155</v>
      </c>
      <c r="AT744" t="s">
        <v>14156</v>
      </c>
      <c r="AU744">
        <v>2023</v>
      </c>
      <c r="AV744">
        <v>29</v>
      </c>
      <c r="AW744">
        <v>4</v>
      </c>
      <c r="AX744" t="s">
        <v>74</v>
      </c>
      <c r="AY744" t="s">
        <v>74</v>
      </c>
      <c r="AZ744" t="s">
        <v>74</v>
      </c>
      <c r="BA744" t="s">
        <v>74</v>
      </c>
      <c r="BB744">
        <v>418</v>
      </c>
      <c r="BC744">
        <v>425</v>
      </c>
      <c r="BD744" t="s">
        <v>74</v>
      </c>
      <c r="BE744" t="s">
        <v>14157</v>
      </c>
      <c r="BF744" t="str">
        <f>HYPERLINK("http://dx.doi.org/10.25259/IJPC_155_2023","http://dx.doi.org/10.25259/IJPC_155_2023")</f>
        <v>http://dx.doi.org/10.25259/IJPC_155_2023</v>
      </c>
      <c r="BG744" t="s">
        <v>74</v>
      </c>
      <c r="BH744" t="s">
        <v>74</v>
      </c>
      <c r="BI744">
        <v>8</v>
      </c>
      <c r="BJ744" t="s">
        <v>14158</v>
      </c>
      <c r="BK744" t="s">
        <v>352</v>
      </c>
      <c r="BL744" t="s">
        <v>14158</v>
      </c>
      <c r="BM744" t="s">
        <v>14159</v>
      </c>
      <c r="BN744">
        <v>38058478</v>
      </c>
      <c r="BO744" t="s">
        <v>1728</v>
      </c>
      <c r="BP744" t="s">
        <v>74</v>
      </c>
      <c r="BQ744" t="s">
        <v>74</v>
      </c>
      <c r="BR744" t="s">
        <v>101</v>
      </c>
      <c r="BS744" t="s">
        <v>14160</v>
      </c>
      <c r="BT744" t="str">
        <f>HYPERLINK("https%3A%2F%2Fwww.webofscience.com%2Fwos%2Fwoscc%2Ffull-record%2FWOS:001109595400014","View Full Record in Web of Science")</f>
        <v>View Full Record in Web of Science</v>
      </c>
    </row>
    <row r="745" spans="1:72" x14ac:dyDescent="0.2">
      <c r="A745" t="s">
        <v>103</v>
      </c>
      <c r="B745" t="s">
        <v>14161</v>
      </c>
      <c r="C745" t="s">
        <v>74</v>
      </c>
      <c r="D745" t="s">
        <v>74</v>
      </c>
      <c r="E745" t="s">
        <v>74</v>
      </c>
      <c r="F745" t="s">
        <v>14162</v>
      </c>
      <c r="G745" t="s">
        <v>74</v>
      </c>
      <c r="H745" t="s">
        <v>74</v>
      </c>
      <c r="I745" t="s">
        <v>14163</v>
      </c>
      <c r="J745" t="s">
        <v>14164</v>
      </c>
      <c r="K745" t="s">
        <v>74</v>
      </c>
      <c r="L745" t="s">
        <v>74</v>
      </c>
      <c r="M745" t="s">
        <v>79</v>
      </c>
      <c r="N745" t="s">
        <v>108</v>
      </c>
      <c r="O745" t="s">
        <v>74</v>
      </c>
      <c r="P745" t="s">
        <v>74</v>
      </c>
      <c r="Q745" t="s">
        <v>74</v>
      </c>
      <c r="R745" t="s">
        <v>74</v>
      </c>
      <c r="S745" t="s">
        <v>74</v>
      </c>
      <c r="T745" t="s">
        <v>14165</v>
      </c>
      <c r="U745" t="s">
        <v>74</v>
      </c>
      <c r="V745" t="s">
        <v>14166</v>
      </c>
      <c r="W745" t="s">
        <v>14167</v>
      </c>
      <c r="X745" t="s">
        <v>14168</v>
      </c>
      <c r="Y745" t="s">
        <v>14169</v>
      </c>
      <c r="Z745" t="s">
        <v>14170</v>
      </c>
      <c r="AA745" t="s">
        <v>74</v>
      </c>
      <c r="AB745" t="s">
        <v>74</v>
      </c>
      <c r="AC745" t="s">
        <v>14171</v>
      </c>
      <c r="AD745" t="s">
        <v>14171</v>
      </c>
      <c r="AE745" t="s">
        <v>14171</v>
      </c>
      <c r="AF745" t="s">
        <v>74</v>
      </c>
      <c r="AG745">
        <v>23</v>
      </c>
      <c r="AH745">
        <v>0</v>
      </c>
      <c r="AI745">
        <v>0</v>
      </c>
      <c r="AJ745">
        <v>12</v>
      </c>
      <c r="AK745">
        <v>12</v>
      </c>
      <c r="AL745" t="s">
        <v>737</v>
      </c>
      <c r="AM745" t="s">
        <v>738</v>
      </c>
      <c r="AN745" t="s">
        <v>739</v>
      </c>
      <c r="AO745" t="s">
        <v>14172</v>
      </c>
      <c r="AP745" t="s">
        <v>14173</v>
      </c>
      <c r="AQ745" t="s">
        <v>74</v>
      </c>
      <c r="AR745" t="s">
        <v>14174</v>
      </c>
      <c r="AS745" t="s">
        <v>14175</v>
      </c>
      <c r="AT745" t="s">
        <v>14176</v>
      </c>
      <c r="AU745">
        <v>2024</v>
      </c>
      <c r="AV745">
        <v>99</v>
      </c>
      <c r="AW745">
        <v>2</v>
      </c>
      <c r="AX745" t="s">
        <v>74</v>
      </c>
      <c r="AY745" t="s">
        <v>74</v>
      </c>
      <c r="AZ745" t="s">
        <v>74</v>
      </c>
      <c r="BA745" t="s">
        <v>74</v>
      </c>
      <c r="BB745">
        <v>125</v>
      </c>
      <c r="BC745">
        <v>132</v>
      </c>
      <c r="BD745" t="s">
        <v>74</v>
      </c>
      <c r="BE745" t="s">
        <v>14177</v>
      </c>
      <c r="BF745" t="str">
        <f>HYPERLINK("http://dx.doi.org/10.1080/08832323.2023.2260929","http://dx.doi.org/10.1080/08832323.2023.2260929")</f>
        <v>http://dx.doi.org/10.1080/08832323.2023.2260929</v>
      </c>
      <c r="BG745" t="s">
        <v>74</v>
      </c>
      <c r="BH745" t="s">
        <v>1886</v>
      </c>
      <c r="BI745">
        <v>8</v>
      </c>
      <c r="BJ745" t="s">
        <v>423</v>
      </c>
      <c r="BK745" t="s">
        <v>352</v>
      </c>
      <c r="BL745" t="s">
        <v>423</v>
      </c>
      <c r="BM745" t="s">
        <v>14178</v>
      </c>
      <c r="BN745" t="s">
        <v>74</v>
      </c>
      <c r="BO745" t="s">
        <v>74</v>
      </c>
      <c r="BP745" t="s">
        <v>74</v>
      </c>
      <c r="BQ745" t="s">
        <v>74</v>
      </c>
      <c r="BR745" t="s">
        <v>101</v>
      </c>
      <c r="BS745" t="s">
        <v>14179</v>
      </c>
      <c r="BT745" t="str">
        <f>HYPERLINK("https%3A%2F%2Fwww.webofscience.com%2Fwos%2Fwoscc%2Ffull-record%2FWOS:001081071800001","View Full Record in Web of Science")</f>
        <v>View Full Record in Web of Science</v>
      </c>
    </row>
    <row r="746" spans="1:72" x14ac:dyDescent="0.2">
      <c r="A746" t="s">
        <v>103</v>
      </c>
      <c r="B746" t="s">
        <v>14180</v>
      </c>
      <c r="C746" t="s">
        <v>74</v>
      </c>
      <c r="D746" t="s">
        <v>74</v>
      </c>
      <c r="E746" t="s">
        <v>74</v>
      </c>
      <c r="F746" t="s">
        <v>14181</v>
      </c>
      <c r="G746" t="s">
        <v>74</v>
      </c>
      <c r="H746" t="s">
        <v>74</v>
      </c>
      <c r="I746" t="s">
        <v>14182</v>
      </c>
      <c r="J746" t="s">
        <v>14183</v>
      </c>
      <c r="K746" t="s">
        <v>74</v>
      </c>
      <c r="L746" t="s">
        <v>74</v>
      </c>
      <c r="M746" t="s">
        <v>79</v>
      </c>
      <c r="N746" t="s">
        <v>138</v>
      </c>
      <c r="O746" t="s">
        <v>74</v>
      </c>
      <c r="P746" t="s">
        <v>74</v>
      </c>
      <c r="Q746" t="s">
        <v>74</v>
      </c>
      <c r="R746" t="s">
        <v>74</v>
      </c>
      <c r="S746" t="s">
        <v>74</v>
      </c>
      <c r="T746" t="s">
        <v>14184</v>
      </c>
      <c r="U746" t="s">
        <v>14185</v>
      </c>
      <c r="V746" t="s">
        <v>14186</v>
      </c>
      <c r="W746" t="s">
        <v>14187</v>
      </c>
      <c r="X746" t="s">
        <v>14188</v>
      </c>
      <c r="Y746" t="s">
        <v>14189</v>
      </c>
      <c r="Z746" t="s">
        <v>14190</v>
      </c>
      <c r="AA746" t="s">
        <v>14191</v>
      </c>
      <c r="AB746" t="s">
        <v>14192</v>
      </c>
      <c r="AC746" t="s">
        <v>14193</v>
      </c>
      <c r="AD746" t="s">
        <v>14194</v>
      </c>
      <c r="AE746" t="s">
        <v>14195</v>
      </c>
      <c r="AF746" t="s">
        <v>74</v>
      </c>
      <c r="AG746">
        <v>68</v>
      </c>
      <c r="AH746">
        <v>0</v>
      </c>
      <c r="AI746">
        <v>0</v>
      </c>
      <c r="AJ746">
        <v>4</v>
      </c>
      <c r="AK746">
        <v>10</v>
      </c>
      <c r="AL746" t="s">
        <v>220</v>
      </c>
      <c r="AM746" t="s">
        <v>221</v>
      </c>
      <c r="AN746" t="s">
        <v>222</v>
      </c>
      <c r="AO746" t="s">
        <v>14196</v>
      </c>
      <c r="AP746" t="s">
        <v>14197</v>
      </c>
      <c r="AQ746" t="s">
        <v>74</v>
      </c>
      <c r="AR746" t="s">
        <v>14198</v>
      </c>
      <c r="AS746" t="s">
        <v>14199</v>
      </c>
      <c r="AT746" t="s">
        <v>14200</v>
      </c>
      <c r="AU746">
        <v>2023</v>
      </c>
      <c r="AV746" t="s">
        <v>74</v>
      </c>
      <c r="AW746" t="s">
        <v>74</v>
      </c>
      <c r="AX746" t="s">
        <v>74</v>
      </c>
      <c r="AY746" t="s">
        <v>74</v>
      </c>
      <c r="AZ746" t="s">
        <v>74</v>
      </c>
      <c r="BA746" t="s">
        <v>74</v>
      </c>
      <c r="BB746" t="s">
        <v>74</v>
      </c>
      <c r="BC746" t="s">
        <v>74</v>
      </c>
      <c r="BD746" t="s">
        <v>74</v>
      </c>
      <c r="BE746" t="s">
        <v>14201</v>
      </c>
      <c r="BF746" t="str">
        <f>HYPERLINK("http://dx.doi.org/10.1080/07391102.2023.2234481","http://dx.doi.org/10.1080/07391102.2023.2234481")</f>
        <v>http://dx.doi.org/10.1080/07391102.2023.2234481</v>
      </c>
      <c r="BG746" t="s">
        <v>74</v>
      </c>
      <c r="BH746" t="s">
        <v>229</v>
      </c>
      <c r="BI746">
        <v>11</v>
      </c>
      <c r="BJ746" t="s">
        <v>14202</v>
      </c>
      <c r="BK746" t="s">
        <v>130</v>
      </c>
      <c r="BL746" t="s">
        <v>14202</v>
      </c>
      <c r="BM746" t="s">
        <v>14203</v>
      </c>
      <c r="BN746">
        <v>37449757</v>
      </c>
      <c r="BO746" t="s">
        <v>74</v>
      </c>
      <c r="BP746" t="s">
        <v>74</v>
      </c>
      <c r="BQ746" t="s">
        <v>74</v>
      </c>
      <c r="BR746" t="s">
        <v>101</v>
      </c>
      <c r="BS746" t="s">
        <v>14204</v>
      </c>
      <c r="BT746" t="str">
        <f>HYPERLINK("https%3A%2F%2Fwww.webofscience.com%2Fwos%2Fwoscc%2Ffull-record%2FWOS:001028379500001","View Full Record in Web of Science")</f>
        <v>View Full Record in Web of Science</v>
      </c>
    </row>
    <row r="747" spans="1:72" x14ac:dyDescent="0.2">
      <c r="A747" t="s">
        <v>103</v>
      </c>
      <c r="B747" t="s">
        <v>14205</v>
      </c>
      <c r="C747" t="s">
        <v>74</v>
      </c>
      <c r="D747" t="s">
        <v>74</v>
      </c>
      <c r="E747" t="s">
        <v>74</v>
      </c>
      <c r="F747" t="s">
        <v>14206</v>
      </c>
      <c r="G747" t="s">
        <v>74</v>
      </c>
      <c r="H747" t="s">
        <v>74</v>
      </c>
      <c r="I747" t="s">
        <v>14207</v>
      </c>
      <c r="J747" t="s">
        <v>3179</v>
      </c>
      <c r="K747" t="s">
        <v>74</v>
      </c>
      <c r="L747" t="s">
        <v>74</v>
      </c>
      <c r="M747" t="s">
        <v>79</v>
      </c>
      <c r="N747" t="s">
        <v>108</v>
      </c>
      <c r="O747" t="s">
        <v>74</v>
      </c>
      <c r="P747" t="s">
        <v>74</v>
      </c>
      <c r="Q747" t="s">
        <v>74</v>
      </c>
      <c r="R747" t="s">
        <v>74</v>
      </c>
      <c r="S747" t="s">
        <v>74</v>
      </c>
      <c r="T747" t="s">
        <v>14208</v>
      </c>
      <c r="U747" t="s">
        <v>74</v>
      </c>
      <c r="V747" t="s">
        <v>14209</v>
      </c>
      <c r="W747" t="s">
        <v>14210</v>
      </c>
      <c r="X747" t="s">
        <v>14211</v>
      </c>
      <c r="Y747" t="s">
        <v>14212</v>
      </c>
      <c r="Z747" t="s">
        <v>14213</v>
      </c>
      <c r="AA747" t="s">
        <v>74</v>
      </c>
      <c r="AB747" t="s">
        <v>14214</v>
      </c>
      <c r="AC747" t="s">
        <v>74</v>
      </c>
      <c r="AD747" t="s">
        <v>74</v>
      </c>
      <c r="AE747" t="s">
        <v>74</v>
      </c>
      <c r="AF747" t="s">
        <v>74</v>
      </c>
      <c r="AG747">
        <v>26</v>
      </c>
      <c r="AH747">
        <v>0</v>
      </c>
      <c r="AI747">
        <v>0</v>
      </c>
      <c r="AJ747">
        <v>1</v>
      </c>
      <c r="AK747">
        <v>1</v>
      </c>
      <c r="AL747" t="s">
        <v>92</v>
      </c>
      <c r="AM747" t="s">
        <v>93</v>
      </c>
      <c r="AN747" t="s">
        <v>3186</v>
      </c>
      <c r="AO747" t="s">
        <v>74</v>
      </c>
      <c r="AP747" t="s">
        <v>3187</v>
      </c>
      <c r="AQ747" t="s">
        <v>74</v>
      </c>
      <c r="AR747" t="s">
        <v>3188</v>
      </c>
      <c r="AS747" t="s">
        <v>3189</v>
      </c>
      <c r="AT747" t="s">
        <v>791</v>
      </c>
      <c r="AU747">
        <v>2023</v>
      </c>
      <c r="AV747">
        <v>6</v>
      </c>
      <c r="AW747">
        <v>2</v>
      </c>
      <c r="AX747" t="s">
        <v>74</v>
      </c>
      <c r="AY747" t="s">
        <v>74</v>
      </c>
      <c r="AZ747" t="s">
        <v>74</v>
      </c>
      <c r="BA747" t="s">
        <v>74</v>
      </c>
      <c r="BB747" t="s">
        <v>74</v>
      </c>
      <c r="BC747" t="s">
        <v>74</v>
      </c>
      <c r="BD747">
        <v>17</v>
      </c>
      <c r="BE747" t="s">
        <v>14215</v>
      </c>
      <c r="BF747" t="str">
        <f>HYPERLINK("http://dx.doi.org/10.1145/3597625","http://dx.doi.org/10.1145/3597625")</f>
        <v>http://dx.doi.org/10.1145/3597625</v>
      </c>
      <c r="BG747" t="s">
        <v>74</v>
      </c>
      <c r="BH747" t="s">
        <v>74</v>
      </c>
      <c r="BI747">
        <v>11</v>
      </c>
      <c r="BJ747" t="s">
        <v>1563</v>
      </c>
      <c r="BK747" t="s">
        <v>352</v>
      </c>
      <c r="BL747" t="s">
        <v>99</v>
      </c>
      <c r="BM747" t="s">
        <v>3191</v>
      </c>
      <c r="BN747" t="s">
        <v>74</v>
      </c>
      <c r="BO747" t="s">
        <v>74</v>
      </c>
      <c r="BP747" t="s">
        <v>74</v>
      </c>
      <c r="BQ747" t="s">
        <v>74</v>
      </c>
      <c r="BR747" t="s">
        <v>101</v>
      </c>
      <c r="BS747" t="s">
        <v>14216</v>
      </c>
      <c r="BT747" t="str">
        <f>HYPERLINK("https%3A%2F%2Fwww.webofscience.com%2Fwos%2Fwoscc%2Ffull-record%2FWOS:001056350400002","View Full Record in Web of Science")</f>
        <v>View Full Record in Web of Science</v>
      </c>
    </row>
    <row r="748" spans="1:72" x14ac:dyDescent="0.2">
      <c r="A748" t="s">
        <v>72</v>
      </c>
      <c r="B748" t="s">
        <v>14217</v>
      </c>
      <c r="C748" t="s">
        <v>74</v>
      </c>
      <c r="D748" t="s">
        <v>74</v>
      </c>
      <c r="E748" t="s">
        <v>75</v>
      </c>
      <c r="F748" t="s">
        <v>14218</v>
      </c>
      <c r="G748" t="s">
        <v>74</v>
      </c>
      <c r="H748" t="s">
        <v>74</v>
      </c>
      <c r="I748" t="s">
        <v>14219</v>
      </c>
      <c r="J748" t="s">
        <v>1264</v>
      </c>
      <c r="K748" t="s">
        <v>74</v>
      </c>
      <c r="L748" t="s">
        <v>74</v>
      </c>
      <c r="M748" t="s">
        <v>79</v>
      </c>
      <c r="N748" t="s">
        <v>80</v>
      </c>
      <c r="O748" t="s">
        <v>1265</v>
      </c>
      <c r="P748" t="s">
        <v>290</v>
      </c>
      <c r="Q748" t="s">
        <v>1266</v>
      </c>
      <c r="R748" t="s">
        <v>1267</v>
      </c>
      <c r="S748" t="s">
        <v>74</v>
      </c>
      <c r="T748" t="s">
        <v>14220</v>
      </c>
      <c r="U748" t="s">
        <v>14221</v>
      </c>
      <c r="V748" t="s">
        <v>14222</v>
      </c>
      <c r="W748" t="s">
        <v>14223</v>
      </c>
      <c r="X748" t="s">
        <v>14224</v>
      </c>
      <c r="Y748" t="s">
        <v>14225</v>
      </c>
      <c r="Z748" t="s">
        <v>14226</v>
      </c>
      <c r="AA748" t="s">
        <v>14227</v>
      </c>
      <c r="AB748" t="s">
        <v>14228</v>
      </c>
      <c r="AC748" t="s">
        <v>14229</v>
      </c>
      <c r="AD748" t="s">
        <v>14229</v>
      </c>
      <c r="AE748" t="s">
        <v>14230</v>
      </c>
      <c r="AF748" t="s">
        <v>74</v>
      </c>
      <c r="AG748">
        <v>56</v>
      </c>
      <c r="AH748">
        <v>0</v>
      </c>
      <c r="AI748">
        <v>0</v>
      </c>
      <c r="AJ748">
        <v>0</v>
      </c>
      <c r="AK748">
        <v>0</v>
      </c>
      <c r="AL748" t="s">
        <v>92</v>
      </c>
      <c r="AM748" t="s">
        <v>93</v>
      </c>
      <c r="AN748" t="s">
        <v>94</v>
      </c>
      <c r="AO748" t="s">
        <v>74</v>
      </c>
      <c r="AP748" t="s">
        <v>74</v>
      </c>
      <c r="AQ748" t="s">
        <v>1278</v>
      </c>
      <c r="AR748" t="s">
        <v>74</v>
      </c>
      <c r="AS748" t="s">
        <v>74</v>
      </c>
      <c r="AT748" t="s">
        <v>74</v>
      </c>
      <c r="AU748">
        <v>2023</v>
      </c>
      <c r="AV748" t="s">
        <v>74</v>
      </c>
      <c r="AW748" t="s">
        <v>74</v>
      </c>
      <c r="AX748" t="s">
        <v>74</v>
      </c>
      <c r="AY748" t="s">
        <v>74</v>
      </c>
      <c r="AZ748" t="s">
        <v>74</v>
      </c>
      <c r="BA748" t="s">
        <v>74</v>
      </c>
      <c r="BB748">
        <v>27</v>
      </c>
      <c r="BC748">
        <v>35</v>
      </c>
      <c r="BD748" t="s">
        <v>74</v>
      </c>
      <c r="BE748" t="s">
        <v>14231</v>
      </c>
      <c r="BF748" t="str">
        <f>HYPERLINK("http://dx.doi.org/10.1145/3604237.3626854","http://dx.doi.org/10.1145/3604237.3626854")</f>
        <v>http://dx.doi.org/10.1145/3604237.3626854</v>
      </c>
      <c r="BG748" t="s">
        <v>74</v>
      </c>
      <c r="BH748" t="s">
        <v>74</v>
      </c>
      <c r="BI748">
        <v>9</v>
      </c>
      <c r="BJ748" t="s">
        <v>1280</v>
      </c>
      <c r="BK748" t="s">
        <v>180</v>
      </c>
      <c r="BL748" t="s">
        <v>1281</v>
      </c>
      <c r="BM748" t="s">
        <v>1282</v>
      </c>
      <c r="BN748" t="s">
        <v>74</v>
      </c>
      <c r="BO748" t="s">
        <v>2310</v>
      </c>
      <c r="BP748" t="s">
        <v>74</v>
      </c>
      <c r="BQ748" t="s">
        <v>74</v>
      </c>
      <c r="BR748" t="s">
        <v>101</v>
      </c>
      <c r="BS748" t="s">
        <v>14232</v>
      </c>
      <c r="BT748" t="str">
        <f>HYPERLINK("https%3A%2F%2Fwww.webofscience.com%2Fwos%2Fwoscc%2Ffull-record%2FWOS:001124982700004","View Full Record in Web of Science")</f>
        <v>View Full Record in Web of Science</v>
      </c>
    </row>
    <row r="749" spans="1:72" x14ac:dyDescent="0.2">
      <c r="A749" t="s">
        <v>103</v>
      </c>
      <c r="B749" t="s">
        <v>14233</v>
      </c>
      <c r="C749" t="s">
        <v>74</v>
      </c>
      <c r="D749" t="s">
        <v>74</v>
      </c>
      <c r="E749" t="s">
        <v>74</v>
      </c>
      <c r="F749" t="s">
        <v>14234</v>
      </c>
      <c r="G749" t="s">
        <v>74</v>
      </c>
      <c r="H749" t="s">
        <v>74</v>
      </c>
      <c r="I749" t="s">
        <v>14235</v>
      </c>
      <c r="J749" t="s">
        <v>14236</v>
      </c>
      <c r="K749" t="s">
        <v>74</v>
      </c>
      <c r="L749" t="s">
        <v>74</v>
      </c>
      <c r="M749" t="s">
        <v>79</v>
      </c>
      <c r="N749" t="s">
        <v>108</v>
      </c>
      <c r="O749" t="s">
        <v>74</v>
      </c>
      <c r="P749" t="s">
        <v>74</v>
      </c>
      <c r="Q749" t="s">
        <v>74</v>
      </c>
      <c r="R749" t="s">
        <v>74</v>
      </c>
      <c r="S749" t="s">
        <v>74</v>
      </c>
      <c r="T749" t="s">
        <v>74</v>
      </c>
      <c r="U749" t="s">
        <v>4266</v>
      </c>
      <c r="V749" t="s">
        <v>14237</v>
      </c>
      <c r="W749" t="s">
        <v>14238</v>
      </c>
      <c r="X749" t="s">
        <v>14239</v>
      </c>
      <c r="Y749" t="s">
        <v>12781</v>
      </c>
      <c r="Z749" t="s">
        <v>4372</v>
      </c>
      <c r="AA749" t="s">
        <v>4373</v>
      </c>
      <c r="AB749" t="s">
        <v>12782</v>
      </c>
      <c r="AC749" t="s">
        <v>14240</v>
      </c>
      <c r="AD749" t="s">
        <v>14241</v>
      </c>
      <c r="AE749" t="s">
        <v>14242</v>
      </c>
      <c r="AF749" t="s">
        <v>74</v>
      </c>
      <c r="AG749">
        <v>55</v>
      </c>
      <c r="AH749">
        <v>3</v>
      </c>
      <c r="AI749">
        <v>3</v>
      </c>
      <c r="AJ749">
        <v>0</v>
      </c>
      <c r="AK749">
        <v>0</v>
      </c>
      <c r="AL749" t="s">
        <v>14243</v>
      </c>
      <c r="AM749" t="s">
        <v>14244</v>
      </c>
      <c r="AN749" t="s">
        <v>14245</v>
      </c>
      <c r="AO749" t="s">
        <v>14246</v>
      </c>
      <c r="AP749" t="s">
        <v>14247</v>
      </c>
      <c r="AQ749" t="s">
        <v>74</v>
      </c>
      <c r="AR749" t="s">
        <v>14248</v>
      </c>
      <c r="AS749" t="s">
        <v>14249</v>
      </c>
      <c r="AT749" t="s">
        <v>14250</v>
      </c>
      <c r="AU749">
        <v>2023</v>
      </c>
      <c r="AV749">
        <v>134</v>
      </c>
      <c r="AW749">
        <v>8</v>
      </c>
      <c r="AX749" t="s">
        <v>74</v>
      </c>
      <c r="AY749" t="s">
        <v>74</v>
      </c>
      <c r="AZ749" t="s">
        <v>74</v>
      </c>
      <c r="BA749" t="s">
        <v>74</v>
      </c>
      <c r="BB749" t="s">
        <v>74</v>
      </c>
      <c r="BC749" t="s">
        <v>74</v>
      </c>
      <c r="BD749">
        <v>84902</v>
      </c>
      <c r="BE749" t="s">
        <v>14251</v>
      </c>
      <c r="BF749" t="str">
        <f>HYPERLINK("http://dx.doi.org/10.1063/5.0157367","http://dx.doi.org/10.1063/5.0157367")</f>
        <v>http://dx.doi.org/10.1063/5.0157367</v>
      </c>
      <c r="BG749" t="s">
        <v>74</v>
      </c>
      <c r="BH749" t="s">
        <v>74</v>
      </c>
      <c r="BI749">
        <v>16</v>
      </c>
      <c r="BJ749" t="s">
        <v>14252</v>
      </c>
      <c r="BK749" t="s">
        <v>130</v>
      </c>
      <c r="BL749" t="s">
        <v>6827</v>
      </c>
      <c r="BM749" t="s">
        <v>14253</v>
      </c>
      <c r="BN749" t="s">
        <v>74</v>
      </c>
      <c r="BO749" t="s">
        <v>2722</v>
      </c>
      <c r="BP749" t="s">
        <v>74</v>
      </c>
      <c r="BQ749" t="s">
        <v>74</v>
      </c>
      <c r="BR749" t="s">
        <v>101</v>
      </c>
      <c r="BS749" t="s">
        <v>14254</v>
      </c>
      <c r="BT749" t="str">
        <f>HYPERLINK("https%3A%2F%2Fwww.webofscience.com%2Fwos%2Fwoscc%2Ffull-record%2FWOS:001113566600001","View Full Record in Web of Science")</f>
        <v>View Full Record in Web of Science</v>
      </c>
    </row>
    <row r="750" spans="1:72" x14ac:dyDescent="0.2">
      <c r="A750" t="s">
        <v>72</v>
      </c>
      <c r="B750" t="s">
        <v>14255</v>
      </c>
      <c r="C750" t="s">
        <v>74</v>
      </c>
      <c r="D750" t="s">
        <v>14256</v>
      </c>
      <c r="E750" t="s">
        <v>74</v>
      </c>
      <c r="F750" t="s">
        <v>14257</v>
      </c>
      <c r="G750" t="s">
        <v>74</v>
      </c>
      <c r="H750" t="s">
        <v>74</v>
      </c>
      <c r="I750" t="s">
        <v>14258</v>
      </c>
      <c r="J750" t="s">
        <v>14259</v>
      </c>
      <c r="K750" t="s">
        <v>74</v>
      </c>
      <c r="L750" t="s">
        <v>74</v>
      </c>
      <c r="M750" t="s">
        <v>79</v>
      </c>
      <c r="N750" t="s">
        <v>80</v>
      </c>
      <c r="O750" t="s">
        <v>14260</v>
      </c>
      <c r="P750" t="s">
        <v>14261</v>
      </c>
      <c r="Q750" t="s">
        <v>169</v>
      </c>
      <c r="R750" t="s">
        <v>14262</v>
      </c>
      <c r="S750" t="s">
        <v>74</v>
      </c>
      <c r="T750" t="s">
        <v>14263</v>
      </c>
      <c r="U750" t="s">
        <v>14264</v>
      </c>
      <c r="V750" t="s">
        <v>14265</v>
      </c>
      <c r="W750" t="s">
        <v>14266</v>
      </c>
      <c r="X750" t="s">
        <v>14267</v>
      </c>
      <c r="Y750" t="s">
        <v>14268</v>
      </c>
      <c r="Z750" t="s">
        <v>14269</v>
      </c>
      <c r="AA750" t="s">
        <v>14270</v>
      </c>
      <c r="AB750" t="s">
        <v>14271</v>
      </c>
      <c r="AC750" t="s">
        <v>14272</v>
      </c>
      <c r="AD750" t="s">
        <v>14273</v>
      </c>
      <c r="AE750" t="s">
        <v>14274</v>
      </c>
      <c r="AF750" t="s">
        <v>74</v>
      </c>
      <c r="AG750">
        <v>37</v>
      </c>
      <c r="AH750">
        <v>1</v>
      </c>
      <c r="AI750">
        <v>1</v>
      </c>
      <c r="AJ750">
        <v>3</v>
      </c>
      <c r="AK750">
        <v>3</v>
      </c>
      <c r="AL750" t="s">
        <v>284</v>
      </c>
      <c r="AM750" t="s">
        <v>93</v>
      </c>
      <c r="AN750" t="s">
        <v>299</v>
      </c>
      <c r="AO750" t="s">
        <v>74</v>
      </c>
      <c r="AP750" t="s">
        <v>74</v>
      </c>
      <c r="AQ750" t="s">
        <v>14275</v>
      </c>
      <c r="AR750" t="s">
        <v>74</v>
      </c>
      <c r="AS750" t="s">
        <v>74</v>
      </c>
      <c r="AT750" t="s">
        <v>74</v>
      </c>
      <c r="AU750">
        <v>2023</v>
      </c>
      <c r="AV750" t="s">
        <v>74</v>
      </c>
      <c r="AW750" t="s">
        <v>74</v>
      </c>
      <c r="AX750" t="s">
        <v>74</v>
      </c>
      <c r="AY750" t="s">
        <v>74</v>
      </c>
      <c r="AZ750" t="s">
        <v>74</v>
      </c>
      <c r="BA750" t="s">
        <v>74</v>
      </c>
      <c r="BB750">
        <v>1236</v>
      </c>
      <c r="BC750">
        <v>1242</v>
      </c>
      <c r="BD750" t="s">
        <v>74</v>
      </c>
      <c r="BE750" t="s">
        <v>14276</v>
      </c>
      <c r="BF750" t="str">
        <f>HYPERLINK("http://dx.doi.org/10.1109/CCWC57344.2023.10099362","http://dx.doi.org/10.1109/CCWC57344.2023.10099362")</f>
        <v>http://dx.doi.org/10.1109/CCWC57344.2023.10099362</v>
      </c>
      <c r="BG750" t="s">
        <v>74</v>
      </c>
      <c r="BH750" t="s">
        <v>74</v>
      </c>
      <c r="BI750">
        <v>7</v>
      </c>
      <c r="BJ750" t="s">
        <v>4637</v>
      </c>
      <c r="BK750" t="s">
        <v>98</v>
      </c>
      <c r="BL750" t="s">
        <v>644</v>
      </c>
      <c r="BM750" t="s">
        <v>14277</v>
      </c>
      <c r="BN750" t="s">
        <v>74</v>
      </c>
      <c r="BO750" t="s">
        <v>74</v>
      </c>
      <c r="BP750" t="s">
        <v>74</v>
      </c>
      <c r="BQ750" t="s">
        <v>74</v>
      </c>
      <c r="BR750" t="s">
        <v>101</v>
      </c>
      <c r="BS750" t="s">
        <v>14278</v>
      </c>
      <c r="BT750" t="str">
        <f>HYPERLINK("https%3A%2F%2Fwww.webofscience.com%2Fwos%2Fwoscc%2Ffull-record%2FWOS:000995182600194","View Full Record in Web of Science")</f>
        <v>View Full Record in Web of Science</v>
      </c>
    </row>
    <row r="751" spans="1:72" x14ac:dyDescent="0.2">
      <c r="A751" t="s">
        <v>103</v>
      </c>
      <c r="B751" t="s">
        <v>14279</v>
      </c>
      <c r="C751" t="s">
        <v>74</v>
      </c>
      <c r="D751" t="s">
        <v>74</v>
      </c>
      <c r="E751" t="s">
        <v>74</v>
      </c>
      <c r="F751" t="s">
        <v>14280</v>
      </c>
      <c r="G751" t="s">
        <v>74</v>
      </c>
      <c r="H751" t="s">
        <v>74</v>
      </c>
      <c r="I751" t="s">
        <v>14281</v>
      </c>
      <c r="J751" t="s">
        <v>14282</v>
      </c>
      <c r="K751" t="s">
        <v>74</v>
      </c>
      <c r="L751" t="s">
        <v>74</v>
      </c>
      <c r="M751" t="s">
        <v>79</v>
      </c>
      <c r="N751" t="s">
        <v>108</v>
      </c>
      <c r="O751" t="s">
        <v>74</v>
      </c>
      <c r="P751" t="s">
        <v>74</v>
      </c>
      <c r="Q751" t="s">
        <v>74</v>
      </c>
      <c r="R751" t="s">
        <v>74</v>
      </c>
      <c r="S751" t="s">
        <v>74</v>
      </c>
      <c r="T751" t="s">
        <v>14283</v>
      </c>
      <c r="U751" t="s">
        <v>74</v>
      </c>
      <c r="V751" t="s">
        <v>14284</v>
      </c>
      <c r="W751" t="s">
        <v>14285</v>
      </c>
      <c r="X751" t="s">
        <v>5678</v>
      </c>
      <c r="Y751" t="s">
        <v>14286</v>
      </c>
      <c r="Z751" t="s">
        <v>14287</v>
      </c>
      <c r="AA751" t="s">
        <v>74</v>
      </c>
      <c r="AB751" t="s">
        <v>14288</v>
      </c>
      <c r="AC751" t="s">
        <v>14289</v>
      </c>
      <c r="AD751" t="s">
        <v>14289</v>
      </c>
      <c r="AE751" t="s">
        <v>14290</v>
      </c>
      <c r="AF751" t="s">
        <v>74</v>
      </c>
      <c r="AG751">
        <v>25</v>
      </c>
      <c r="AH751">
        <v>0</v>
      </c>
      <c r="AI751">
        <v>0</v>
      </c>
      <c r="AJ751">
        <v>2</v>
      </c>
      <c r="AK751">
        <v>2</v>
      </c>
      <c r="AL751" t="s">
        <v>764</v>
      </c>
      <c r="AM751" t="s">
        <v>765</v>
      </c>
      <c r="AN751" t="s">
        <v>766</v>
      </c>
      <c r="AO751" t="s">
        <v>14291</v>
      </c>
      <c r="AP751" t="s">
        <v>14292</v>
      </c>
      <c r="AQ751" t="s">
        <v>74</v>
      </c>
      <c r="AR751" t="s">
        <v>14293</v>
      </c>
      <c r="AS751" t="s">
        <v>14294</v>
      </c>
      <c r="AT751" t="s">
        <v>14295</v>
      </c>
      <c r="AU751">
        <v>2023</v>
      </c>
      <c r="AV751">
        <v>78</v>
      </c>
      <c r="AW751" t="s">
        <v>74</v>
      </c>
      <c r="AX751" t="s">
        <v>74</v>
      </c>
      <c r="AY751" t="s">
        <v>74</v>
      </c>
      <c r="AZ751" t="s">
        <v>74</v>
      </c>
      <c r="BA751" t="s">
        <v>74</v>
      </c>
      <c r="BB751" t="s">
        <v>74</v>
      </c>
      <c r="BC751" t="s">
        <v>74</v>
      </c>
      <c r="BD751">
        <v>103868</v>
      </c>
      <c r="BE751" t="s">
        <v>14296</v>
      </c>
      <c r="BF751" t="str">
        <f>HYPERLINK("http://dx.doi.org/10.1016/j.addma.2023.103868","http://dx.doi.org/10.1016/j.addma.2023.103868")</f>
        <v>http://dx.doi.org/10.1016/j.addma.2023.103868</v>
      </c>
      <c r="BG751" t="s">
        <v>74</v>
      </c>
      <c r="BH751" t="s">
        <v>157</v>
      </c>
      <c r="BI751">
        <v>14</v>
      </c>
      <c r="BJ751" t="s">
        <v>11911</v>
      </c>
      <c r="BK751" t="s">
        <v>130</v>
      </c>
      <c r="BL751" t="s">
        <v>1797</v>
      </c>
      <c r="BM751" t="s">
        <v>14297</v>
      </c>
      <c r="BN751" t="s">
        <v>74</v>
      </c>
      <c r="BO751" t="s">
        <v>161</v>
      </c>
      <c r="BP751" t="s">
        <v>74</v>
      </c>
      <c r="BQ751" t="s">
        <v>74</v>
      </c>
      <c r="BR751" t="s">
        <v>101</v>
      </c>
      <c r="BS751" t="s">
        <v>14298</v>
      </c>
      <c r="BT751" t="str">
        <f>HYPERLINK("https%3A%2F%2Fwww.webofscience.com%2Fwos%2Fwoscc%2Ffull-record%2FWOS:001147902800001","View Full Record in Web of Science")</f>
        <v>View Full Record in Web of Science</v>
      </c>
    </row>
    <row r="752" spans="1:72" x14ac:dyDescent="0.2">
      <c r="A752" t="s">
        <v>103</v>
      </c>
      <c r="B752" t="s">
        <v>14299</v>
      </c>
      <c r="C752" t="s">
        <v>74</v>
      </c>
      <c r="D752" t="s">
        <v>74</v>
      </c>
      <c r="E752" t="s">
        <v>74</v>
      </c>
      <c r="F752" t="s">
        <v>14300</v>
      </c>
      <c r="G752" t="s">
        <v>74</v>
      </c>
      <c r="H752" t="s">
        <v>74</v>
      </c>
      <c r="I752" t="s">
        <v>14301</v>
      </c>
      <c r="J752" t="s">
        <v>14302</v>
      </c>
      <c r="K752" t="s">
        <v>74</v>
      </c>
      <c r="L752" t="s">
        <v>74</v>
      </c>
      <c r="M752" t="s">
        <v>79</v>
      </c>
      <c r="N752" t="s">
        <v>138</v>
      </c>
      <c r="O752" t="s">
        <v>74</v>
      </c>
      <c r="P752" t="s">
        <v>74</v>
      </c>
      <c r="Q752" t="s">
        <v>74</v>
      </c>
      <c r="R752" t="s">
        <v>74</v>
      </c>
      <c r="S752" t="s">
        <v>74</v>
      </c>
      <c r="T752" t="s">
        <v>14303</v>
      </c>
      <c r="U752" t="s">
        <v>74</v>
      </c>
      <c r="V752" t="s">
        <v>14304</v>
      </c>
      <c r="W752" t="s">
        <v>14305</v>
      </c>
      <c r="X752" t="s">
        <v>14306</v>
      </c>
      <c r="Y752" t="s">
        <v>14307</v>
      </c>
      <c r="Z752" t="s">
        <v>14308</v>
      </c>
      <c r="AA752" t="s">
        <v>14309</v>
      </c>
      <c r="AB752" t="s">
        <v>14310</v>
      </c>
      <c r="AC752" t="s">
        <v>74</v>
      </c>
      <c r="AD752" t="s">
        <v>74</v>
      </c>
      <c r="AE752" t="s">
        <v>74</v>
      </c>
      <c r="AF752" t="s">
        <v>74</v>
      </c>
      <c r="AG752">
        <v>52</v>
      </c>
      <c r="AH752">
        <v>0</v>
      </c>
      <c r="AI752">
        <v>0</v>
      </c>
      <c r="AJ752">
        <v>22</v>
      </c>
      <c r="AK752">
        <v>22</v>
      </c>
      <c r="AL752" t="s">
        <v>3202</v>
      </c>
      <c r="AM752" t="s">
        <v>120</v>
      </c>
      <c r="AN752" t="s">
        <v>3203</v>
      </c>
      <c r="AO752" t="s">
        <v>14311</v>
      </c>
      <c r="AP752" t="s">
        <v>14312</v>
      </c>
      <c r="AQ752" t="s">
        <v>74</v>
      </c>
      <c r="AR752" t="s">
        <v>14313</v>
      </c>
      <c r="AS752" t="s">
        <v>14314</v>
      </c>
      <c r="AT752" t="s">
        <v>14315</v>
      </c>
      <c r="AU752">
        <v>2023</v>
      </c>
      <c r="AV752" t="s">
        <v>74</v>
      </c>
      <c r="AW752" t="s">
        <v>74</v>
      </c>
      <c r="AX752" t="s">
        <v>74</v>
      </c>
      <c r="AY752" t="s">
        <v>74</v>
      </c>
      <c r="AZ752" t="s">
        <v>74</v>
      </c>
      <c r="BA752" t="s">
        <v>74</v>
      </c>
      <c r="BB752" t="s">
        <v>74</v>
      </c>
      <c r="BC752" t="s">
        <v>74</v>
      </c>
      <c r="BD752" t="s">
        <v>74</v>
      </c>
      <c r="BE752" t="s">
        <v>14316</v>
      </c>
      <c r="BF752" t="str">
        <f>HYPERLINK("http://dx.doi.org/10.1093/ijl/ecad030","http://dx.doi.org/10.1093/ijl/ecad030")</f>
        <v>http://dx.doi.org/10.1093/ijl/ecad030</v>
      </c>
      <c r="BG752" t="s">
        <v>74</v>
      </c>
      <c r="BH752" t="s">
        <v>128</v>
      </c>
      <c r="BI752">
        <v>25</v>
      </c>
      <c r="BJ752" t="s">
        <v>14317</v>
      </c>
      <c r="BK752" t="s">
        <v>530</v>
      </c>
      <c r="BL752" t="s">
        <v>377</v>
      </c>
      <c r="BM752" t="s">
        <v>14318</v>
      </c>
      <c r="BN752" t="s">
        <v>74</v>
      </c>
      <c r="BO752" t="s">
        <v>74</v>
      </c>
      <c r="BP752" t="s">
        <v>74</v>
      </c>
      <c r="BQ752" t="s">
        <v>74</v>
      </c>
      <c r="BR752" t="s">
        <v>101</v>
      </c>
      <c r="BS752" t="s">
        <v>14319</v>
      </c>
      <c r="BT752" t="str">
        <f>HYPERLINK("https%3A%2F%2Fwww.webofscience.com%2Fwos%2Fwoscc%2Ffull-record%2FWOS:001125836300001","View Full Record in Web of Science")</f>
        <v>View Full Record in Web of Science</v>
      </c>
    </row>
    <row r="753" spans="1:72" x14ac:dyDescent="0.2">
      <c r="A753" t="s">
        <v>103</v>
      </c>
      <c r="B753" t="s">
        <v>14320</v>
      </c>
      <c r="C753" t="s">
        <v>74</v>
      </c>
      <c r="D753" t="s">
        <v>74</v>
      </c>
      <c r="E753" t="s">
        <v>74</v>
      </c>
      <c r="F753" t="s">
        <v>14321</v>
      </c>
      <c r="G753" t="s">
        <v>74</v>
      </c>
      <c r="H753" t="s">
        <v>74</v>
      </c>
      <c r="I753" t="s">
        <v>14322</v>
      </c>
      <c r="J753" t="s">
        <v>6056</v>
      </c>
      <c r="K753" t="s">
        <v>74</v>
      </c>
      <c r="L753" t="s">
        <v>74</v>
      </c>
      <c r="M753" t="s">
        <v>79</v>
      </c>
      <c r="N753" t="s">
        <v>108</v>
      </c>
      <c r="O753" t="s">
        <v>74</v>
      </c>
      <c r="P753" t="s">
        <v>74</v>
      </c>
      <c r="Q753" t="s">
        <v>74</v>
      </c>
      <c r="R753" t="s">
        <v>74</v>
      </c>
      <c r="S753" t="s">
        <v>74</v>
      </c>
      <c r="T753" t="s">
        <v>14323</v>
      </c>
      <c r="U753" t="s">
        <v>74</v>
      </c>
      <c r="V753" t="s">
        <v>14324</v>
      </c>
      <c r="W753" t="s">
        <v>14325</v>
      </c>
      <c r="X753" t="s">
        <v>14326</v>
      </c>
      <c r="Y753" t="s">
        <v>14327</v>
      </c>
      <c r="Z753" t="s">
        <v>14328</v>
      </c>
      <c r="AA753" t="s">
        <v>74</v>
      </c>
      <c r="AB753" t="s">
        <v>14329</v>
      </c>
      <c r="AC753" t="s">
        <v>74</v>
      </c>
      <c r="AD753" t="s">
        <v>74</v>
      </c>
      <c r="AE753" t="s">
        <v>74</v>
      </c>
      <c r="AF753" t="s">
        <v>74</v>
      </c>
      <c r="AG753">
        <v>17</v>
      </c>
      <c r="AH753">
        <v>0</v>
      </c>
      <c r="AI753">
        <v>0</v>
      </c>
      <c r="AJ753">
        <v>0</v>
      </c>
      <c r="AK753">
        <v>0</v>
      </c>
      <c r="AL753" t="s">
        <v>4176</v>
      </c>
      <c r="AM753" t="s">
        <v>4177</v>
      </c>
      <c r="AN753" t="s">
        <v>4178</v>
      </c>
      <c r="AO753" t="s">
        <v>6067</v>
      </c>
      <c r="AP753" t="s">
        <v>74</v>
      </c>
      <c r="AQ753" t="s">
        <v>74</v>
      </c>
      <c r="AR753" t="s">
        <v>6068</v>
      </c>
      <c r="AS753" t="s">
        <v>6069</v>
      </c>
      <c r="AT753" t="s">
        <v>11219</v>
      </c>
      <c r="AU753">
        <v>2023</v>
      </c>
      <c r="AV753">
        <v>25</v>
      </c>
      <c r="AW753" t="s">
        <v>74</v>
      </c>
      <c r="AX753" t="s">
        <v>74</v>
      </c>
      <c r="AY753" t="s">
        <v>74</v>
      </c>
      <c r="AZ753" t="s">
        <v>74</v>
      </c>
      <c r="BA753" t="s">
        <v>74</v>
      </c>
      <c r="BB753" t="s">
        <v>74</v>
      </c>
      <c r="BC753" t="s">
        <v>74</v>
      </c>
      <c r="BD753" t="s">
        <v>14330</v>
      </c>
      <c r="BE753" t="s">
        <v>14331</v>
      </c>
      <c r="BF753" t="str">
        <f>HYPERLINK("http://dx.doi.org/10.2196/50865","http://dx.doi.org/10.2196/50865")</f>
        <v>http://dx.doi.org/10.2196/50865</v>
      </c>
      <c r="BG753" t="s">
        <v>74</v>
      </c>
      <c r="BH753" t="s">
        <v>74</v>
      </c>
      <c r="BI753">
        <v>5</v>
      </c>
      <c r="BJ753" t="s">
        <v>4947</v>
      </c>
      <c r="BK753" t="s">
        <v>130</v>
      </c>
      <c r="BL753" t="s">
        <v>4947</v>
      </c>
      <c r="BM753" t="s">
        <v>14332</v>
      </c>
      <c r="BN753">
        <v>38133918</v>
      </c>
      <c r="BO753" t="s">
        <v>14333</v>
      </c>
      <c r="BP753" t="s">
        <v>74</v>
      </c>
      <c r="BQ753" t="s">
        <v>74</v>
      </c>
      <c r="BR753" t="s">
        <v>101</v>
      </c>
      <c r="BS753" t="s">
        <v>14334</v>
      </c>
      <c r="BT753" t="str">
        <f>HYPERLINK("https%3A%2F%2Fwww.webofscience.com%2Fwos%2Fwoscc%2Ffull-record%2FWOS:001146488800001","View Full Record in Web of Science")</f>
        <v>View Full Record in Web of Science</v>
      </c>
    </row>
    <row r="754" spans="1:72" x14ac:dyDescent="0.2">
      <c r="A754" t="s">
        <v>103</v>
      </c>
      <c r="B754" t="s">
        <v>14335</v>
      </c>
      <c r="C754" t="s">
        <v>74</v>
      </c>
      <c r="D754" t="s">
        <v>74</v>
      </c>
      <c r="E754" t="s">
        <v>74</v>
      </c>
      <c r="F754" t="s">
        <v>14336</v>
      </c>
      <c r="G754" t="s">
        <v>74</v>
      </c>
      <c r="H754" t="s">
        <v>74</v>
      </c>
      <c r="I754" t="s">
        <v>14337</v>
      </c>
      <c r="J754" t="s">
        <v>14338</v>
      </c>
      <c r="K754" t="s">
        <v>74</v>
      </c>
      <c r="L754" t="s">
        <v>74</v>
      </c>
      <c r="M754" t="s">
        <v>79</v>
      </c>
      <c r="N754" t="s">
        <v>108</v>
      </c>
      <c r="O754" t="s">
        <v>74</v>
      </c>
      <c r="P754" t="s">
        <v>74</v>
      </c>
      <c r="Q754" t="s">
        <v>74</v>
      </c>
      <c r="R754" t="s">
        <v>74</v>
      </c>
      <c r="S754" t="s">
        <v>74</v>
      </c>
      <c r="T754" t="s">
        <v>14339</v>
      </c>
      <c r="U754" t="s">
        <v>74</v>
      </c>
      <c r="V754" t="s">
        <v>14340</v>
      </c>
      <c r="W754" t="s">
        <v>14341</v>
      </c>
      <c r="X754" t="s">
        <v>14342</v>
      </c>
      <c r="Y754" t="s">
        <v>14343</v>
      </c>
      <c r="Z754" t="s">
        <v>14344</v>
      </c>
      <c r="AA754" t="s">
        <v>74</v>
      </c>
      <c r="AB754" t="s">
        <v>14345</v>
      </c>
      <c r="AC754" t="s">
        <v>14346</v>
      </c>
      <c r="AD754" t="s">
        <v>14346</v>
      </c>
      <c r="AE754" t="s">
        <v>14347</v>
      </c>
      <c r="AF754" t="s">
        <v>74</v>
      </c>
      <c r="AG754">
        <v>38</v>
      </c>
      <c r="AH754">
        <v>0</v>
      </c>
      <c r="AI754">
        <v>0</v>
      </c>
      <c r="AJ754">
        <v>9</v>
      </c>
      <c r="AK754">
        <v>17</v>
      </c>
      <c r="AL754" t="s">
        <v>939</v>
      </c>
      <c r="AM754" t="s">
        <v>940</v>
      </c>
      <c r="AN754" t="s">
        <v>941</v>
      </c>
      <c r="AO754" t="s">
        <v>74</v>
      </c>
      <c r="AP754" t="s">
        <v>14348</v>
      </c>
      <c r="AQ754" t="s">
        <v>74</v>
      </c>
      <c r="AR754" t="s">
        <v>14338</v>
      </c>
      <c r="AS754" t="s">
        <v>14349</v>
      </c>
      <c r="AT754" t="s">
        <v>126</v>
      </c>
      <c r="AU754">
        <v>2023</v>
      </c>
      <c r="AV754">
        <v>16</v>
      </c>
      <c r="AW754">
        <v>3</v>
      </c>
      <c r="AX754" t="s">
        <v>74</v>
      </c>
      <c r="AY754" t="s">
        <v>74</v>
      </c>
      <c r="AZ754" t="s">
        <v>74</v>
      </c>
      <c r="BA754" t="s">
        <v>74</v>
      </c>
      <c r="BB754" t="s">
        <v>74</v>
      </c>
      <c r="BC754" t="s">
        <v>74</v>
      </c>
      <c r="BD754">
        <v>155</v>
      </c>
      <c r="BE754" t="s">
        <v>14350</v>
      </c>
      <c r="BF754" t="str">
        <f>HYPERLINK("http://dx.doi.org/10.3390/a16030155","http://dx.doi.org/10.3390/a16030155")</f>
        <v>http://dx.doi.org/10.3390/a16030155</v>
      </c>
      <c r="BG754" t="s">
        <v>74</v>
      </c>
      <c r="BH754" t="s">
        <v>74</v>
      </c>
      <c r="BI754">
        <v>17</v>
      </c>
      <c r="BJ754" t="s">
        <v>331</v>
      </c>
      <c r="BK754" t="s">
        <v>352</v>
      </c>
      <c r="BL754" t="s">
        <v>99</v>
      </c>
      <c r="BM754" t="s">
        <v>14351</v>
      </c>
      <c r="BN754" t="s">
        <v>74</v>
      </c>
      <c r="BO754" t="s">
        <v>425</v>
      </c>
      <c r="BP754" t="s">
        <v>74</v>
      </c>
      <c r="BQ754" t="s">
        <v>74</v>
      </c>
      <c r="BR754" t="s">
        <v>101</v>
      </c>
      <c r="BS754" t="s">
        <v>14352</v>
      </c>
      <c r="BT754" t="str">
        <f>HYPERLINK("https%3A%2F%2Fwww.webofscience.com%2Fwos%2Fwoscc%2Ffull-record%2FWOS:000957162200001","View Full Record in Web of Science")</f>
        <v>View Full Record in Web of Science</v>
      </c>
    </row>
    <row r="755" spans="1:72" x14ac:dyDescent="0.2">
      <c r="A755" t="s">
        <v>103</v>
      </c>
      <c r="B755" t="s">
        <v>14353</v>
      </c>
      <c r="C755" t="s">
        <v>74</v>
      </c>
      <c r="D755" t="s">
        <v>74</v>
      </c>
      <c r="E755" t="s">
        <v>74</v>
      </c>
      <c r="F755" t="s">
        <v>14354</v>
      </c>
      <c r="G755" t="s">
        <v>74</v>
      </c>
      <c r="H755" t="s">
        <v>74</v>
      </c>
      <c r="I755" t="s">
        <v>14355</v>
      </c>
      <c r="J755" t="s">
        <v>4686</v>
      </c>
      <c r="K755" t="s">
        <v>74</v>
      </c>
      <c r="L755" t="s">
        <v>74</v>
      </c>
      <c r="M755" t="s">
        <v>79</v>
      </c>
      <c r="N755" t="s">
        <v>108</v>
      </c>
      <c r="O755" t="s">
        <v>74</v>
      </c>
      <c r="P755" t="s">
        <v>74</v>
      </c>
      <c r="Q755" t="s">
        <v>74</v>
      </c>
      <c r="R755" t="s">
        <v>74</v>
      </c>
      <c r="S755" t="s">
        <v>74</v>
      </c>
      <c r="T755" t="s">
        <v>14356</v>
      </c>
      <c r="U755" t="s">
        <v>74</v>
      </c>
      <c r="V755" t="s">
        <v>14357</v>
      </c>
      <c r="W755" t="s">
        <v>14358</v>
      </c>
      <c r="X755" t="s">
        <v>14359</v>
      </c>
      <c r="Y755" t="s">
        <v>14360</v>
      </c>
      <c r="Z755" t="s">
        <v>14361</v>
      </c>
      <c r="AA755" t="s">
        <v>14362</v>
      </c>
      <c r="AB755" t="s">
        <v>14363</v>
      </c>
      <c r="AC755" t="s">
        <v>74</v>
      </c>
      <c r="AD755" t="s">
        <v>74</v>
      </c>
      <c r="AE755" t="s">
        <v>74</v>
      </c>
      <c r="AF755" t="s">
        <v>74</v>
      </c>
      <c r="AG755">
        <v>13</v>
      </c>
      <c r="AH755">
        <v>7</v>
      </c>
      <c r="AI755">
        <v>7</v>
      </c>
      <c r="AJ755">
        <v>3</v>
      </c>
      <c r="AK755">
        <v>12</v>
      </c>
      <c r="AL755" t="s">
        <v>2032</v>
      </c>
      <c r="AM755" t="s">
        <v>149</v>
      </c>
      <c r="AN755" t="s">
        <v>2033</v>
      </c>
      <c r="AO755" t="s">
        <v>74</v>
      </c>
      <c r="AP755" t="s">
        <v>4694</v>
      </c>
      <c r="AQ755" t="s">
        <v>74</v>
      </c>
      <c r="AR755" t="s">
        <v>4695</v>
      </c>
      <c r="AS755" t="s">
        <v>4696</v>
      </c>
      <c r="AT755" t="s">
        <v>14364</v>
      </c>
      <c r="AU755">
        <v>2023</v>
      </c>
      <c r="AV755">
        <v>15</v>
      </c>
      <c r="AW755">
        <v>3</v>
      </c>
      <c r="AX755" t="s">
        <v>74</v>
      </c>
      <c r="AY755" t="s">
        <v>74</v>
      </c>
      <c r="AZ755" t="s">
        <v>74</v>
      </c>
      <c r="BA755" t="s">
        <v>74</v>
      </c>
      <c r="BB755" t="s">
        <v>74</v>
      </c>
      <c r="BC755" t="s">
        <v>74</v>
      </c>
      <c r="BD755" t="s">
        <v>14365</v>
      </c>
      <c r="BE755" t="s">
        <v>14366</v>
      </c>
      <c r="BF755" t="str">
        <f>HYPERLINK("http://dx.doi.org/10.7759/cureus.36263","http://dx.doi.org/10.7759/cureus.36263")</f>
        <v>http://dx.doi.org/10.7759/cureus.36263</v>
      </c>
      <c r="BG755" t="s">
        <v>74</v>
      </c>
      <c r="BH755" t="s">
        <v>74</v>
      </c>
      <c r="BI755">
        <v>3</v>
      </c>
      <c r="BJ755" t="s">
        <v>3440</v>
      </c>
      <c r="BK755" t="s">
        <v>352</v>
      </c>
      <c r="BL755" t="s">
        <v>3441</v>
      </c>
      <c r="BM755" t="s">
        <v>14367</v>
      </c>
      <c r="BN755">
        <v>37073200</v>
      </c>
      <c r="BO755" t="s">
        <v>4185</v>
      </c>
      <c r="BP755" t="s">
        <v>74</v>
      </c>
      <c r="BQ755" t="s">
        <v>74</v>
      </c>
      <c r="BR755" t="s">
        <v>101</v>
      </c>
      <c r="BS755" t="s">
        <v>14368</v>
      </c>
      <c r="BT755" t="str">
        <f>HYPERLINK("https%3A%2F%2Fwww.webofscience.com%2Fwos%2Fwoscc%2Ffull-record%2FWOS:000993824800020","View Full Record in Web of Science")</f>
        <v>View Full Record in Web of Science</v>
      </c>
    </row>
    <row r="756" spans="1:72" x14ac:dyDescent="0.2">
      <c r="A756" t="s">
        <v>103</v>
      </c>
      <c r="B756" t="s">
        <v>14369</v>
      </c>
      <c r="C756" t="s">
        <v>74</v>
      </c>
      <c r="D756" t="s">
        <v>74</v>
      </c>
      <c r="E756" t="s">
        <v>74</v>
      </c>
      <c r="F756" t="s">
        <v>14370</v>
      </c>
      <c r="G756" t="s">
        <v>74</v>
      </c>
      <c r="H756" t="s">
        <v>74</v>
      </c>
      <c r="I756" t="s">
        <v>14371</v>
      </c>
      <c r="J756" t="s">
        <v>4686</v>
      </c>
      <c r="K756" t="s">
        <v>74</v>
      </c>
      <c r="L756" t="s">
        <v>74</v>
      </c>
      <c r="M756" t="s">
        <v>79</v>
      </c>
      <c r="N756" t="s">
        <v>108</v>
      </c>
      <c r="O756" t="s">
        <v>74</v>
      </c>
      <c r="P756" t="s">
        <v>74</v>
      </c>
      <c r="Q756" t="s">
        <v>74</v>
      </c>
      <c r="R756" t="s">
        <v>74</v>
      </c>
      <c r="S756" t="s">
        <v>74</v>
      </c>
      <c r="T756" t="s">
        <v>14372</v>
      </c>
      <c r="U756" t="s">
        <v>14373</v>
      </c>
      <c r="V756" t="s">
        <v>14374</v>
      </c>
      <c r="W756" t="s">
        <v>14375</v>
      </c>
      <c r="X756" t="s">
        <v>14376</v>
      </c>
      <c r="Y756" t="s">
        <v>14377</v>
      </c>
      <c r="Z756" t="s">
        <v>14378</v>
      </c>
      <c r="AA756" t="s">
        <v>14379</v>
      </c>
      <c r="AB756" t="s">
        <v>14380</v>
      </c>
      <c r="AC756" t="s">
        <v>74</v>
      </c>
      <c r="AD756" t="s">
        <v>74</v>
      </c>
      <c r="AE756" t="s">
        <v>74</v>
      </c>
      <c r="AF756" t="s">
        <v>74</v>
      </c>
      <c r="AG756">
        <v>38</v>
      </c>
      <c r="AH756">
        <v>4</v>
      </c>
      <c r="AI756">
        <v>4</v>
      </c>
      <c r="AJ756">
        <v>6</v>
      </c>
      <c r="AK756">
        <v>6</v>
      </c>
      <c r="AL756" t="s">
        <v>2032</v>
      </c>
      <c r="AM756" t="s">
        <v>149</v>
      </c>
      <c r="AN756" t="s">
        <v>2033</v>
      </c>
      <c r="AO756" t="s">
        <v>74</v>
      </c>
      <c r="AP756" t="s">
        <v>4694</v>
      </c>
      <c r="AQ756" t="s">
        <v>74</v>
      </c>
      <c r="AR756" t="s">
        <v>4695</v>
      </c>
      <c r="AS756" t="s">
        <v>4696</v>
      </c>
      <c r="AT756" t="s">
        <v>14381</v>
      </c>
      <c r="AU756">
        <v>2023</v>
      </c>
      <c r="AV756">
        <v>15</v>
      </c>
      <c r="AW756">
        <v>11</v>
      </c>
      <c r="AX756" t="s">
        <v>74</v>
      </c>
      <c r="AY756" t="s">
        <v>74</v>
      </c>
      <c r="AZ756" t="s">
        <v>74</v>
      </c>
      <c r="BA756" t="s">
        <v>74</v>
      </c>
      <c r="BB756" t="s">
        <v>74</v>
      </c>
      <c r="BC756" t="s">
        <v>74</v>
      </c>
      <c r="BD756" t="s">
        <v>14382</v>
      </c>
      <c r="BE756" t="s">
        <v>14383</v>
      </c>
      <c r="BF756" t="str">
        <f>HYPERLINK("http://dx.doi.org/10.7759/cureus.49373","http://dx.doi.org/10.7759/cureus.49373")</f>
        <v>http://dx.doi.org/10.7759/cureus.49373</v>
      </c>
      <c r="BG756" t="s">
        <v>74</v>
      </c>
      <c r="BH756" t="s">
        <v>74</v>
      </c>
      <c r="BI756">
        <v>9</v>
      </c>
      <c r="BJ756" t="s">
        <v>3440</v>
      </c>
      <c r="BK756" t="s">
        <v>352</v>
      </c>
      <c r="BL756" t="s">
        <v>3441</v>
      </c>
      <c r="BM756" t="s">
        <v>14384</v>
      </c>
      <c r="BN756">
        <v>38024074</v>
      </c>
      <c r="BO756" t="s">
        <v>425</v>
      </c>
      <c r="BP756" t="s">
        <v>74</v>
      </c>
      <c r="BQ756" t="s">
        <v>74</v>
      </c>
      <c r="BR756" t="s">
        <v>101</v>
      </c>
      <c r="BS756" t="s">
        <v>14385</v>
      </c>
      <c r="BT756" t="str">
        <f>HYPERLINK("https%3A%2F%2Fwww.webofscience.com%2Fwos%2Fwoscc%2Ffull-record%2FWOS:001115583900015","View Full Record in Web of Science")</f>
        <v>View Full Record in Web of Science</v>
      </c>
    </row>
    <row r="757" spans="1:72" x14ac:dyDescent="0.2">
      <c r="A757" t="s">
        <v>103</v>
      </c>
      <c r="B757" t="s">
        <v>14386</v>
      </c>
      <c r="C757" t="s">
        <v>74</v>
      </c>
      <c r="D757" t="s">
        <v>74</v>
      </c>
      <c r="E757" t="s">
        <v>74</v>
      </c>
      <c r="F757" t="s">
        <v>14387</v>
      </c>
      <c r="G757" t="s">
        <v>74</v>
      </c>
      <c r="H757" t="s">
        <v>74</v>
      </c>
      <c r="I757" t="s">
        <v>14388</v>
      </c>
      <c r="J757" t="s">
        <v>4686</v>
      </c>
      <c r="K757" t="s">
        <v>74</v>
      </c>
      <c r="L757" t="s">
        <v>74</v>
      </c>
      <c r="M757" t="s">
        <v>79</v>
      </c>
      <c r="N757" t="s">
        <v>108</v>
      </c>
      <c r="O757" t="s">
        <v>74</v>
      </c>
      <c r="P757" t="s">
        <v>74</v>
      </c>
      <c r="Q757" t="s">
        <v>74</v>
      </c>
      <c r="R757" t="s">
        <v>74</v>
      </c>
      <c r="S757" t="s">
        <v>74</v>
      </c>
      <c r="T757" t="s">
        <v>14389</v>
      </c>
      <c r="U757" t="s">
        <v>74</v>
      </c>
      <c r="V757" t="s">
        <v>14390</v>
      </c>
      <c r="W757" t="s">
        <v>14391</v>
      </c>
      <c r="X757" t="s">
        <v>14392</v>
      </c>
      <c r="Y757" t="s">
        <v>14393</v>
      </c>
      <c r="Z757" t="s">
        <v>14394</v>
      </c>
      <c r="AA757" t="s">
        <v>14395</v>
      </c>
      <c r="AB757" t="s">
        <v>14396</v>
      </c>
      <c r="AC757" t="s">
        <v>74</v>
      </c>
      <c r="AD757" t="s">
        <v>74</v>
      </c>
      <c r="AE757" t="s">
        <v>74</v>
      </c>
      <c r="AF757" t="s">
        <v>74</v>
      </c>
      <c r="AG757">
        <v>5</v>
      </c>
      <c r="AH757">
        <v>34</v>
      </c>
      <c r="AI757">
        <v>35</v>
      </c>
      <c r="AJ757">
        <v>51</v>
      </c>
      <c r="AK757">
        <v>87</v>
      </c>
      <c r="AL757" t="s">
        <v>13725</v>
      </c>
      <c r="AM757" t="s">
        <v>13726</v>
      </c>
      <c r="AN757" t="s">
        <v>13727</v>
      </c>
      <c r="AO757" t="s">
        <v>74</v>
      </c>
      <c r="AP757" t="s">
        <v>4694</v>
      </c>
      <c r="AQ757" t="s">
        <v>74</v>
      </c>
      <c r="AR757" t="s">
        <v>4695</v>
      </c>
      <c r="AS757" t="s">
        <v>4696</v>
      </c>
      <c r="AT757" t="s">
        <v>14397</v>
      </c>
      <c r="AU757">
        <v>2023</v>
      </c>
      <c r="AV757">
        <v>15</v>
      </c>
      <c r="AW757">
        <v>4</v>
      </c>
      <c r="AX757" t="s">
        <v>74</v>
      </c>
      <c r="AY757" t="s">
        <v>74</v>
      </c>
      <c r="AZ757" t="s">
        <v>74</v>
      </c>
      <c r="BA757" t="s">
        <v>74</v>
      </c>
      <c r="BB757" t="s">
        <v>74</v>
      </c>
      <c r="BC757" t="s">
        <v>74</v>
      </c>
      <c r="BD757" t="s">
        <v>74</v>
      </c>
      <c r="BE757" t="s">
        <v>14398</v>
      </c>
      <c r="BF757" t="str">
        <f>HYPERLINK("http://dx.doi.org/10.7759/cureus.37432","http://dx.doi.org/10.7759/cureus.37432")</f>
        <v>http://dx.doi.org/10.7759/cureus.37432</v>
      </c>
      <c r="BG757" t="s">
        <v>74</v>
      </c>
      <c r="BH757" t="s">
        <v>74</v>
      </c>
      <c r="BI757">
        <v>5</v>
      </c>
      <c r="BJ757" t="s">
        <v>3440</v>
      </c>
      <c r="BK757" t="s">
        <v>352</v>
      </c>
      <c r="BL757" t="s">
        <v>3441</v>
      </c>
      <c r="BM757" t="s">
        <v>14399</v>
      </c>
      <c r="BN757">
        <v>37182055</v>
      </c>
      <c r="BO757" t="s">
        <v>4185</v>
      </c>
      <c r="BP757" t="s">
        <v>74</v>
      </c>
      <c r="BQ757" t="s">
        <v>74</v>
      </c>
      <c r="BR757" t="s">
        <v>101</v>
      </c>
      <c r="BS757" t="s">
        <v>14400</v>
      </c>
      <c r="BT757" t="str">
        <f>HYPERLINK("https%3A%2F%2Fwww.webofscience.com%2Fwos%2Fwoscc%2Ffull-record%2FWOS:000980749900035","View Full Record in Web of Science")</f>
        <v>View Full Record in Web of Science</v>
      </c>
    </row>
    <row r="758" spans="1:72" x14ac:dyDescent="0.2">
      <c r="A758" t="s">
        <v>103</v>
      </c>
      <c r="B758" t="s">
        <v>14401</v>
      </c>
      <c r="C758" t="s">
        <v>74</v>
      </c>
      <c r="D758" t="s">
        <v>74</v>
      </c>
      <c r="E758" t="s">
        <v>74</v>
      </c>
      <c r="F758" t="s">
        <v>14402</v>
      </c>
      <c r="G758" t="s">
        <v>74</v>
      </c>
      <c r="H758" t="s">
        <v>74</v>
      </c>
      <c r="I758" t="s">
        <v>14403</v>
      </c>
      <c r="J758" t="s">
        <v>14404</v>
      </c>
      <c r="K758" t="s">
        <v>74</v>
      </c>
      <c r="L758" t="s">
        <v>74</v>
      </c>
      <c r="M758" t="s">
        <v>79</v>
      </c>
      <c r="N758" t="s">
        <v>108</v>
      </c>
      <c r="O758" t="s">
        <v>74</v>
      </c>
      <c r="P758" t="s">
        <v>74</v>
      </c>
      <c r="Q758" t="s">
        <v>74</v>
      </c>
      <c r="R758" t="s">
        <v>74</v>
      </c>
      <c r="S758" t="s">
        <v>74</v>
      </c>
      <c r="T758" t="s">
        <v>14405</v>
      </c>
      <c r="U758" t="s">
        <v>14406</v>
      </c>
      <c r="V758" t="s">
        <v>14407</v>
      </c>
      <c r="W758" t="s">
        <v>14408</v>
      </c>
      <c r="X758" t="s">
        <v>74</v>
      </c>
      <c r="Y758" t="s">
        <v>14409</v>
      </c>
      <c r="Z758" t="s">
        <v>11936</v>
      </c>
      <c r="AA758" t="s">
        <v>74</v>
      </c>
      <c r="AB758" t="s">
        <v>74</v>
      </c>
      <c r="AC758" t="s">
        <v>74</v>
      </c>
      <c r="AD758" t="s">
        <v>74</v>
      </c>
      <c r="AE758" t="s">
        <v>74</v>
      </c>
      <c r="AF758" t="s">
        <v>74</v>
      </c>
      <c r="AG758">
        <v>72</v>
      </c>
      <c r="AH758">
        <v>2</v>
      </c>
      <c r="AI758">
        <v>2</v>
      </c>
      <c r="AJ758">
        <v>21</v>
      </c>
      <c r="AK758">
        <v>21</v>
      </c>
      <c r="AL758" t="s">
        <v>14410</v>
      </c>
      <c r="AM758" t="s">
        <v>14411</v>
      </c>
      <c r="AN758" t="s">
        <v>14412</v>
      </c>
      <c r="AO758" t="s">
        <v>14413</v>
      </c>
      <c r="AP758" t="s">
        <v>74</v>
      </c>
      <c r="AQ758" t="s">
        <v>74</v>
      </c>
      <c r="AR758" t="s">
        <v>14404</v>
      </c>
      <c r="AS758" t="s">
        <v>14414</v>
      </c>
      <c r="AT758" t="s">
        <v>14415</v>
      </c>
      <c r="AU758">
        <v>2023</v>
      </c>
      <c r="AV758">
        <v>15</v>
      </c>
      <c r="AW758">
        <v>18</v>
      </c>
      <c r="AX758" t="s">
        <v>74</v>
      </c>
      <c r="AY758" t="s">
        <v>74</v>
      </c>
      <c r="AZ758" t="s">
        <v>74</v>
      </c>
      <c r="BA758" t="s">
        <v>74</v>
      </c>
      <c r="BB758">
        <v>9293</v>
      </c>
      <c r="BC758">
        <v>9309</v>
      </c>
      <c r="BD758" t="s">
        <v>74</v>
      </c>
      <c r="BE758" t="s">
        <v>74</v>
      </c>
      <c r="BF758" t="s">
        <v>74</v>
      </c>
      <c r="BG758" t="s">
        <v>74</v>
      </c>
      <c r="BH758" t="s">
        <v>74</v>
      </c>
      <c r="BI758">
        <v>17</v>
      </c>
      <c r="BJ758" t="s">
        <v>14416</v>
      </c>
      <c r="BK758" t="s">
        <v>130</v>
      </c>
      <c r="BL758" t="s">
        <v>14416</v>
      </c>
      <c r="BM758" t="s">
        <v>14417</v>
      </c>
      <c r="BN758">
        <v>37742294</v>
      </c>
      <c r="BO758" t="s">
        <v>4185</v>
      </c>
      <c r="BP758" t="s">
        <v>74</v>
      </c>
      <c r="BQ758" t="s">
        <v>74</v>
      </c>
      <c r="BR758" t="s">
        <v>101</v>
      </c>
      <c r="BS758" t="s">
        <v>14418</v>
      </c>
      <c r="BT758" t="str">
        <f>HYPERLINK("https%3A%2F%2Fwww.webofscience.com%2Fwos%2Fwoscc%2Ffull-record%2FWOS:001083382600007","View Full Record in Web of Science")</f>
        <v>View Full Record in Web of Science</v>
      </c>
    </row>
    <row r="759" spans="1:72" x14ac:dyDescent="0.2">
      <c r="A759" t="s">
        <v>103</v>
      </c>
      <c r="B759" t="s">
        <v>14419</v>
      </c>
      <c r="C759" t="s">
        <v>74</v>
      </c>
      <c r="D759" t="s">
        <v>74</v>
      </c>
      <c r="E759" t="s">
        <v>74</v>
      </c>
      <c r="F759" t="s">
        <v>14420</v>
      </c>
      <c r="G759" t="s">
        <v>74</v>
      </c>
      <c r="H759" t="s">
        <v>74</v>
      </c>
      <c r="I759" t="s">
        <v>14421</v>
      </c>
      <c r="J759" t="s">
        <v>7237</v>
      </c>
      <c r="K759" t="s">
        <v>74</v>
      </c>
      <c r="L759" t="s">
        <v>74</v>
      </c>
      <c r="M759" t="s">
        <v>79</v>
      </c>
      <c r="N759" t="s">
        <v>138</v>
      </c>
      <c r="O759" t="s">
        <v>74</v>
      </c>
      <c r="P759" t="s">
        <v>74</v>
      </c>
      <c r="Q759" t="s">
        <v>74</v>
      </c>
      <c r="R759" t="s">
        <v>74</v>
      </c>
      <c r="S759" t="s">
        <v>74</v>
      </c>
      <c r="T759" t="s">
        <v>14422</v>
      </c>
      <c r="U759" t="s">
        <v>74</v>
      </c>
      <c r="V759" t="s">
        <v>14423</v>
      </c>
      <c r="W759" t="s">
        <v>14424</v>
      </c>
      <c r="X759" t="s">
        <v>8998</v>
      </c>
      <c r="Y759" t="s">
        <v>14425</v>
      </c>
      <c r="Z759" t="s">
        <v>14426</v>
      </c>
      <c r="AA759" t="s">
        <v>74</v>
      </c>
      <c r="AB759" t="s">
        <v>14427</v>
      </c>
      <c r="AC759" t="s">
        <v>74</v>
      </c>
      <c r="AD759" t="s">
        <v>74</v>
      </c>
      <c r="AE759" t="s">
        <v>74</v>
      </c>
      <c r="AF759" t="s">
        <v>74</v>
      </c>
      <c r="AG759">
        <v>21</v>
      </c>
      <c r="AH759">
        <v>6</v>
      </c>
      <c r="AI759">
        <v>6</v>
      </c>
      <c r="AJ759">
        <v>37</v>
      </c>
      <c r="AK759">
        <v>45</v>
      </c>
      <c r="AL759" t="s">
        <v>3165</v>
      </c>
      <c r="AM759" t="s">
        <v>3166</v>
      </c>
      <c r="AN759" t="s">
        <v>3167</v>
      </c>
      <c r="AO759" t="s">
        <v>7247</v>
      </c>
      <c r="AP759" t="s">
        <v>7248</v>
      </c>
      <c r="AQ759" t="s">
        <v>74</v>
      </c>
      <c r="AR759" t="s">
        <v>7249</v>
      </c>
      <c r="AS759" t="s">
        <v>7250</v>
      </c>
      <c r="AT759" t="s">
        <v>14428</v>
      </c>
      <c r="AU759">
        <v>2023</v>
      </c>
      <c r="AV759" t="s">
        <v>74</v>
      </c>
      <c r="AW759" t="s">
        <v>74</v>
      </c>
      <c r="AX759" t="s">
        <v>74</v>
      </c>
      <c r="AY759" t="s">
        <v>74</v>
      </c>
      <c r="AZ759" t="s">
        <v>74</v>
      </c>
      <c r="BA759" t="s">
        <v>74</v>
      </c>
      <c r="BB759" t="s">
        <v>74</v>
      </c>
      <c r="BC759" t="s">
        <v>74</v>
      </c>
      <c r="BD759" t="s">
        <v>74</v>
      </c>
      <c r="BE759" t="s">
        <v>14429</v>
      </c>
      <c r="BF759" t="str">
        <f>HYPERLINK("http://dx.doi.org/10.1002/ohn.465","http://dx.doi.org/10.1002/ohn.465")</f>
        <v>http://dx.doi.org/10.1002/ohn.465</v>
      </c>
      <c r="BG759" t="s">
        <v>74</v>
      </c>
      <c r="BH759" t="s">
        <v>255</v>
      </c>
      <c r="BI759">
        <v>8</v>
      </c>
      <c r="BJ759" t="s">
        <v>7253</v>
      </c>
      <c r="BK759" t="s">
        <v>130</v>
      </c>
      <c r="BL759" t="s">
        <v>7253</v>
      </c>
      <c r="BM759" t="s">
        <v>14430</v>
      </c>
      <c r="BN759">
        <v>37529853</v>
      </c>
      <c r="BO759" t="s">
        <v>74</v>
      </c>
      <c r="BP759" t="s">
        <v>74</v>
      </c>
      <c r="BQ759" t="s">
        <v>74</v>
      </c>
      <c r="BR759" t="s">
        <v>101</v>
      </c>
      <c r="BS759" t="s">
        <v>14431</v>
      </c>
      <c r="BT759" t="str">
        <f>HYPERLINK("https%3A%2F%2Fwww.webofscience.com%2Fwos%2Fwoscc%2Ffull-record%2FWOS:001040937600001","View Full Record in Web of Science")</f>
        <v>View Full Record in Web of Science</v>
      </c>
    </row>
    <row r="760" spans="1:72" x14ac:dyDescent="0.2">
      <c r="A760" t="s">
        <v>103</v>
      </c>
      <c r="B760" t="s">
        <v>9915</v>
      </c>
      <c r="C760" t="s">
        <v>74</v>
      </c>
      <c r="D760" t="s">
        <v>74</v>
      </c>
      <c r="E760" t="s">
        <v>74</v>
      </c>
      <c r="F760" t="s">
        <v>7968</v>
      </c>
      <c r="G760" t="s">
        <v>74</v>
      </c>
      <c r="H760" t="s">
        <v>74</v>
      </c>
      <c r="I760" t="s">
        <v>14432</v>
      </c>
      <c r="J760" t="s">
        <v>6056</v>
      </c>
      <c r="K760" t="s">
        <v>74</v>
      </c>
      <c r="L760" t="s">
        <v>74</v>
      </c>
      <c r="M760" t="s">
        <v>79</v>
      </c>
      <c r="N760" t="s">
        <v>108</v>
      </c>
      <c r="O760" t="s">
        <v>74</v>
      </c>
      <c r="P760" t="s">
        <v>74</v>
      </c>
      <c r="Q760" t="s">
        <v>74</v>
      </c>
      <c r="R760" t="s">
        <v>74</v>
      </c>
      <c r="S760" t="s">
        <v>74</v>
      </c>
      <c r="T760" t="s">
        <v>14433</v>
      </c>
      <c r="U760" t="s">
        <v>74</v>
      </c>
      <c r="V760" t="s">
        <v>14434</v>
      </c>
      <c r="W760" t="s">
        <v>14435</v>
      </c>
      <c r="X760" t="s">
        <v>74</v>
      </c>
      <c r="Y760" t="s">
        <v>14436</v>
      </c>
      <c r="Z760" t="s">
        <v>4940</v>
      </c>
      <c r="AA760" t="s">
        <v>74</v>
      </c>
      <c r="AB760" t="s">
        <v>7975</v>
      </c>
      <c r="AC760" t="s">
        <v>74</v>
      </c>
      <c r="AD760" t="s">
        <v>74</v>
      </c>
      <c r="AE760" t="s">
        <v>74</v>
      </c>
      <c r="AF760" t="s">
        <v>74</v>
      </c>
      <c r="AG760">
        <v>12</v>
      </c>
      <c r="AH760">
        <v>11</v>
      </c>
      <c r="AI760">
        <v>11</v>
      </c>
      <c r="AJ760">
        <v>78</v>
      </c>
      <c r="AK760">
        <v>78</v>
      </c>
      <c r="AL760" t="s">
        <v>4176</v>
      </c>
      <c r="AM760" t="s">
        <v>4177</v>
      </c>
      <c r="AN760" t="s">
        <v>4178</v>
      </c>
      <c r="AO760" t="s">
        <v>6067</v>
      </c>
      <c r="AP760" t="s">
        <v>74</v>
      </c>
      <c r="AQ760" t="s">
        <v>74</v>
      </c>
      <c r="AR760" t="s">
        <v>6068</v>
      </c>
      <c r="AS760" t="s">
        <v>6069</v>
      </c>
      <c r="AT760" t="s">
        <v>14437</v>
      </c>
      <c r="AU760">
        <v>2023</v>
      </c>
      <c r="AV760">
        <v>25</v>
      </c>
      <c r="AW760" t="s">
        <v>74</v>
      </c>
      <c r="AX760" t="s">
        <v>74</v>
      </c>
      <c r="AY760" t="s">
        <v>74</v>
      </c>
      <c r="AZ760" t="s">
        <v>74</v>
      </c>
      <c r="BA760" t="s">
        <v>74</v>
      </c>
      <c r="BB760" t="s">
        <v>74</v>
      </c>
      <c r="BC760" t="s">
        <v>74</v>
      </c>
      <c r="BD760" t="s">
        <v>14438</v>
      </c>
      <c r="BE760" t="s">
        <v>14439</v>
      </c>
      <c r="BF760" t="str">
        <f>HYPERLINK("http://dx.doi.org/10.2196/50638","http://dx.doi.org/10.2196/50638")</f>
        <v>http://dx.doi.org/10.2196/50638</v>
      </c>
      <c r="BG760" t="s">
        <v>74</v>
      </c>
      <c r="BH760" t="s">
        <v>74</v>
      </c>
      <c r="BI760">
        <v>6</v>
      </c>
      <c r="BJ760" t="s">
        <v>4947</v>
      </c>
      <c r="BK760" t="s">
        <v>130</v>
      </c>
      <c r="BL760" t="s">
        <v>4947</v>
      </c>
      <c r="BM760" t="s">
        <v>14440</v>
      </c>
      <c r="BN760">
        <v>37792434</v>
      </c>
      <c r="BO760" t="s">
        <v>1728</v>
      </c>
      <c r="BP760" t="s">
        <v>74</v>
      </c>
      <c r="BQ760" t="s">
        <v>74</v>
      </c>
      <c r="BR760" t="s">
        <v>101</v>
      </c>
      <c r="BS760" t="s">
        <v>14441</v>
      </c>
      <c r="BT760" t="str">
        <f>HYPERLINK("https%3A%2F%2Fwww.webofscience.com%2Fwos%2Fwoscc%2Ffull-record%2FWOS:001085878900001","View Full Record in Web of Science")</f>
        <v>View Full Record in Web of Science</v>
      </c>
    </row>
    <row r="761" spans="1:72" x14ac:dyDescent="0.2">
      <c r="A761" t="s">
        <v>103</v>
      </c>
      <c r="B761" t="s">
        <v>14442</v>
      </c>
      <c r="C761" t="s">
        <v>74</v>
      </c>
      <c r="D761" t="s">
        <v>74</v>
      </c>
      <c r="E761" t="s">
        <v>74</v>
      </c>
      <c r="F761" t="s">
        <v>14443</v>
      </c>
      <c r="G761" t="s">
        <v>74</v>
      </c>
      <c r="H761" t="s">
        <v>74</v>
      </c>
      <c r="I761" t="s">
        <v>14444</v>
      </c>
      <c r="J761" t="s">
        <v>4108</v>
      </c>
      <c r="K761" t="s">
        <v>74</v>
      </c>
      <c r="L761" t="s">
        <v>74</v>
      </c>
      <c r="M761" t="s">
        <v>79</v>
      </c>
      <c r="N761" t="s">
        <v>138</v>
      </c>
      <c r="O761" t="s">
        <v>74</v>
      </c>
      <c r="P761" t="s">
        <v>74</v>
      </c>
      <c r="Q761" t="s">
        <v>74</v>
      </c>
      <c r="R761" t="s">
        <v>74</v>
      </c>
      <c r="S761" t="s">
        <v>74</v>
      </c>
      <c r="T761" t="s">
        <v>14445</v>
      </c>
      <c r="U761" t="s">
        <v>14446</v>
      </c>
      <c r="V761" t="s">
        <v>14447</v>
      </c>
      <c r="W761" t="s">
        <v>14448</v>
      </c>
      <c r="X761" t="s">
        <v>10617</v>
      </c>
      <c r="Y761" t="s">
        <v>14449</v>
      </c>
      <c r="Z761" t="s">
        <v>14450</v>
      </c>
      <c r="AA761" t="s">
        <v>74</v>
      </c>
      <c r="AB761" t="s">
        <v>74</v>
      </c>
      <c r="AC761" t="s">
        <v>14451</v>
      </c>
      <c r="AD761" t="s">
        <v>14452</v>
      </c>
      <c r="AE761" t="s">
        <v>14453</v>
      </c>
      <c r="AF761" t="s">
        <v>74</v>
      </c>
      <c r="AG761">
        <v>70</v>
      </c>
      <c r="AH761">
        <v>0</v>
      </c>
      <c r="AI761">
        <v>0</v>
      </c>
      <c r="AJ761">
        <v>22</v>
      </c>
      <c r="AK761">
        <v>29</v>
      </c>
      <c r="AL761" t="s">
        <v>343</v>
      </c>
      <c r="AM761" t="s">
        <v>521</v>
      </c>
      <c r="AN761" t="s">
        <v>522</v>
      </c>
      <c r="AO761" t="s">
        <v>4115</v>
      </c>
      <c r="AP761" t="s">
        <v>4116</v>
      </c>
      <c r="AQ761" t="s">
        <v>74</v>
      </c>
      <c r="AR761" t="s">
        <v>4117</v>
      </c>
      <c r="AS761" t="s">
        <v>4118</v>
      </c>
      <c r="AT761" t="s">
        <v>14454</v>
      </c>
      <c r="AU761">
        <v>2023</v>
      </c>
      <c r="AV761" t="s">
        <v>74</v>
      </c>
      <c r="AW761" t="s">
        <v>74</v>
      </c>
      <c r="AX761" t="s">
        <v>74</v>
      </c>
      <c r="AY761" t="s">
        <v>74</v>
      </c>
      <c r="AZ761" t="s">
        <v>74</v>
      </c>
      <c r="BA761" t="s">
        <v>74</v>
      </c>
      <c r="BB761" t="s">
        <v>74</v>
      </c>
      <c r="BC761" t="s">
        <v>74</v>
      </c>
      <c r="BD761" t="s">
        <v>74</v>
      </c>
      <c r="BE761" t="s">
        <v>14455</v>
      </c>
      <c r="BF761" t="str">
        <f>HYPERLINK("http://dx.doi.org/10.1007/s11042-023-15797-w","http://dx.doi.org/10.1007/s11042-023-15797-w")</f>
        <v>http://dx.doi.org/10.1007/s11042-023-15797-w</v>
      </c>
      <c r="BG761" t="s">
        <v>74</v>
      </c>
      <c r="BH761" t="s">
        <v>229</v>
      </c>
      <c r="BI761">
        <v>24</v>
      </c>
      <c r="BJ761" t="s">
        <v>4120</v>
      </c>
      <c r="BK761" t="s">
        <v>130</v>
      </c>
      <c r="BL761" t="s">
        <v>906</v>
      </c>
      <c r="BM761" t="s">
        <v>14456</v>
      </c>
      <c r="BN761" t="s">
        <v>74</v>
      </c>
      <c r="BO761" t="s">
        <v>74</v>
      </c>
      <c r="BP761" t="s">
        <v>74</v>
      </c>
      <c r="BQ761" t="s">
        <v>74</v>
      </c>
      <c r="BR761" t="s">
        <v>101</v>
      </c>
      <c r="BS761" t="s">
        <v>14457</v>
      </c>
      <c r="BT761" t="str">
        <f>HYPERLINK("https%3A%2F%2Fwww.webofscience.com%2Fwos%2Fwoscc%2Ffull-record%2FWOS:001027492600005","View Full Record in Web of Science")</f>
        <v>View Full Record in Web of Science</v>
      </c>
    </row>
    <row r="762" spans="1:72" x14ac:dyDescent="0.2">
      <c r="A762" t="s">
        <v>103</v>
      </c>
      <c r="B762" t="s">
        <v>14458</v>
      </c>
      <c r="C762" t="s">
        <v>74</v>
      </c>
      <c r="D762" t="s">
        <v>74</v>
      </c>
      <c r="E762" t="s">
        <v>74</v>
      </c>
      <c r="F762" t="s">
        <v>14459</v>
      </c>
      <c r="G762" t="s">
        <v>74</v>
      </c>
      <c r="H762" t="s">
        <v>74</v>
      </c>
      <c r="I762" t="s">
        <v>14460</v>
      </c>
      <c r="J762" t="s">
        <v>14461</v>
      </c>
      <c r="K762" t="s">
        <v>74</v>
      </c>
      <c r="L762" t="s">
        <v>74</v>
      </c>
      <c r="M762" t="s">
        <v>79</v>
      </c>
      <c r="N762" t="s">
        <v>108</v>
      </c>
      <c r="O762" t="s">
        <v>74</v>
      </c>
      <c r="P762" t="s">
        <v>74</v>
      </c>
      <c r="Q762" t="s">
        <v>74</v>
      </c>
      <c r="R762" t="s">
        <v>74</v>
      </c>
      <c r="S762" t="s">
        <v>74</v>
      </c>
      <c r="T762" t="s">
        <v>14462</v>
      </c>
      <c r="U762" t="s">
        <v>14463</v>
      </c>
      <c r="V762" t="s">
        <v>14464</v>
      </c>
      <c r="W762" t="s">
        <v>14465</v>
      </c>
      <c r="X762" t="s">
        <v>14466</v>
      </c>
      <c r="Y762" t="s">
        <v>14467</v>
      </c>
      <c r="Z762" t="s">
        <v>14468</v>
      </c>
      <c r="AA762" t="s">
        <v>14469</v>
      </c>
      <c r="AB762" t="s">
        <v>14470</v>
      </c>
      <c r="AC762" t="s">
        <v>74</v>
      </c>
      <c r="AD762" t="s">
        <v>74</v>
      </c>
      <c r="AE762" t="s">
        <v>74</v>
      </c>
      <c r="AF762" t="s">
        <v>74</v>
      </c>
      <c r="AG762">
        <v>54</v>
      </c>
      <c r="AH762">
        <v>1</v>
      </c>
      <c r="AI762">
        <v>1</v>
      </c>
      <c r="AJ762">
        <v>44</v>
      </c>
      <c r="AK762">
        <v>44</v>
      </c>
      <c r="AL762" t="s">
        <v>2010</v>
      </c>
      <c r="AM762" t="s">
        <v>93</v>
      </c>
      <c r="AN762" t="s">
        <v>2011</v>
      </c>
      <c r="AO762" t="s">
        <v>14471</v>
      </c>
      <c r="AP762" t="s">
        <v>14472</v>
      </c>
      <c r="AQ762" t="s">
        <v>74</v>
      </c>
      <c r="AR762" t="s">
        <v>14473</v>
      </c>
      <c r="AS762" t="s">
        <v>14474</v>
      </c>
      <c r="AT762" t="s">
        <v>276</v>
      </c>
      <c r="AU762">
        <v>2023</v>
      </c>
      <c r="AV762">
        <v>71</v>
      </c>
      <c r="AW762">
        <v>6</v>
      </c>
      <c r="AX762" t="s">
        <v>74</v>
      </c>
      <c r="AY762" t="s">
        <v>74</v>
      </c>
      <c r="AZ762" t="s">
        <v>74</v>
      </c>
      <c r="BA762" t="s">
        <v>74</v>
      </c>
      <c r="BB762" t="s">
        <v>74</v>
      </c>
      <c r="BC762" t="s">
        <v>74</v>
      </c>
      <c r="BD762">
        <v>102064</v>
      </c>
      <c r="BE762" t="s">
        <v>14475</v>
      </c>
      <c r="BF762" t="str">
        <f>HYPERLINK("http://dx.doi.org/10.1016/j.outlook.2023.102064","http://dx.doi.org/10.1016/j.outlook.2023.102064")</f>
        <v>http://dx.doi.org/10.1016/j.outlook.2023.102064</v>
      </c>
      <c r="BG762" t="s">
        <v>74</v>
      </c>
      <c r="BH762" t="s">
        <v>1886</v>
      </c>
      <c r="BI762">
        <v>5</v>
      </c>
      <c r="BJ762" t="s">
        <v>3173</v>
      </c>
      <c r="BK762" t="s">
        <v>947</v>
      </c>
      <c r="BL762" t="s">
        <v>3173</v>
      </c>
      <c r="BM762" t="s">
        <v>14476</v>
      </c>
      <c r="BN762">
        <v>37879261</v>
      </c>
      <c r="BO762" t="s">
        <v>74</v>
      </c>
      <c r="BP762" t="s">
        <v>74</v>
      </c>
      <c r="BQ762" t="s">
        <v>74</v>
      </c>
      <c r="BR762" t="s">
        <v>101</v>
      </c>
      <c r="BS762" t="s">
        <v>14477</v>
      </c>
      <c r="BT762" t="str">
        <f>HYPERLINK("https%3A%2F%2Fwww.webofscience.com%2Fwos%2Fwoscc%2Ffull-record%2FWOS:001103444700001","View Full Record in Web of Science")</f>
        <v>View Full Record in Web of Science</v>
      </c>
    </row>
    <row r="763" spans="1:72" x14ac:dyDescent="0.2">
      <c r="A763" t="s">
        <v>103</v>
      </c>
      <c r="B763" t="s">
        <v>14478</v>
      </c>
      <c r="C763" t="s">
        <v>74</v>
      </c>
      <c r="D763" t="s">
        <v>74</v>
      </c>
      <c r="E763" t="s">
        <v>74</v>
      </c>
      <c r="F763" t="s">
        <v>14479</v>
      </c>
      <c r="G763" t="s">
        <v>74</v>
      </c>
      <c r="H763" t="s">
        <v>74</v>
      </c>
      <c r="I763" t="s">
        <v>14480</v>
      </c>
      <c r="J763" t="s">
        <v>4686</v>
      </c>
      <c r="K763" t="s">
        <v>74</v>
      </c>
      <c r="L763" t="s">
        <v>74</v>
      </c>
      <c r="M763" t="s">
        <v>79</v>
      </c>
      <c r="N763" t="s">
        <v>108</v>
      </c>
      <c r="O763" t="s">
        <v>74</v>
      </c>
      <c r="P763" t="s">
        <v>74</v>
      </c>
      <c r="Q763" t="s">
        <v>74</v>
      </c>
      <c r="R763" t="s">
        <v>74</v>
      </c>
      <c r="S763" t="s">
        <v>74</v>
      </c>
      <c r="T763" t="s">
        <v>14481</v>
      </c>
      <c r="U763" t="s">
        <v>74</v>
      </c>
      <c r="V763" t="s">
        <v>14482</v>
      </c>
      <c r="W763" t="s">
        <v>14483</v>
      </c>
      <c r="X763" t="s">
        <v>14484</v>
      </c>
      <c r="Y763" t="s">
        <v>14485</v>
      </c>
      <c r="Z763" t="s">
        <v>14486</v>
      </c>
      <c r="AA763" t="s">
        <v>74</v>
      </c>
      <c r="AB763" t="s">
        <v>74</v>
      </c>
      <c r="AC763" t="s">
        <v>74</v>
      </c>
      <c r="AD763" t="s">
        <v>74</v>
      </c>
      <c r="AE763" t="s">
        <v>74</v>
      </c>
      <c r="AF763" t="s">
        <v>74</v>
      </c>
      <c r="AG763">
        <v>18</v>
      </c>
      <c r="AH763">
        <v>16</v>
      </c>
      <c r="AI763">
        <v>16</v>
      </c>
      <c r="AJ763">
        <v>31</v>
      </c>
      <c r="AK763">
        <v>37</v>
      </c>
      <c r="AL763" t="s">
        <v>2032</v>
      </c>
      <c r="AM763" t="s">
        <v>149</v>
      </c>
      <c r="AN763" t="s">
        <v>2033</v>
      </c>
      <c r="AO763" t="s">
        <v>74</v>
      </c>
      <c r="AP763" t="s">
        <v>4694</v>
      </c>
      <c r="AQ763" t="s">
        <v>74</v>
      </c>
      <c r="AR763" t="s">
        <v>4695</v>
      </c>
      <c r="AS763" t="s">
        <v>4696</v>
      </c>
      <c r="AT763" t="s">
        <v>7976</v>
      </c>
      <c r="AU763">
        <v>2023</v>
      </c>
      <c r="AV763">
        <v>15</v>
      </c>
      <c r="AW763">
        <v>6</v>
      </c>
      <c r="AX763" t="s">
        <v>74</v>
      </c>
      <c r="AY763" t="s">
        <v>74</v>
      </c>
      <c r="AZ763" t="s">
        <v>74</v>
      </c>
      <c r="BA763" t="s">
        <v>74</v>
      </c>
      <c r="BB763" t="s">
        <v>74</v>
      </c>
      <c r="BC763" t="s">
        <v>74</v>
      </c>
      <c r="BD763" t="s">
        <v>14487</v>
      </c>
      <c r="BE763" t="s">
        <v>14488</v>
      </c>
      <c r="BF763" t="str">
        <f>HYPERLINK("http://dx.doi.org/10.7759/cureus.40822","http://dx.doi.org/10.7759/cureus.40822")</f>
        <v>http://dx.doi.org/10.7759/cureus.40822</v>
      </c>
      <c r="BG763" t="s">
        <v>74</v>
      </c>
      <c r="BH763" t="s">
        <v>74</v>
      </c>
      <c r="BI763">
        <v>9</v>
      </c>
      <c r="BJ763" t="s">
        <v>3440</v>
      </c>
      <c r="BK763" t="s">
        <v>352</v>
      </c>
      <c r="BL763" t="s">
        <v>3441</v>
      </c>
      <c r="BM763" t="s">
        <v>14489</v>
      </c>
      <c r="BN763">
        <v>37485215</v>
      </c>
      <c r="BO763" t="s">
        <v>4185</v>
      </c>
      <c r="BP763" t="s">
        <v>74</v>
      </c>
      <c r="BQ763" t="s">
        <v>74</v>
      </c>
      <c r="BR763" t="s">
        <v>101</v>
      </c>
      <c r="BS763" t="s">
        <v>14490</v>
      </c>
      <c r="BT763" t="str">
        <f>HYPERLINK("https%3A%2F%2Fwww.webofscience.com%2Fwos%2Fwoscc%2Ffull-record%2FWOS:001034596500007","View Full Record in Web of Science")</f>
        <v>View Full Record in Web of Science</v>
      </c>
    </row>
    <row r="764" spans="1:72" x14ac:dyDescent="0.2">
      <c r="A764" t="s">
        <v>103</v>
      </c>
      <c r="B764" t="s">
        <v>14491</v>
      </c>
      <c r="C764" t="s">
        <v>74</v>
      </c>
      <c r="D764" t="s">
        <v>74</v>
      </c>
      <c r="E764" t="s">
        <v>74</v>
      </c>
      <c r="F764" t="s">
        <v>14492</v>
      </c>
      <c r="G764" t="s">
        <v>74</v>
      </c>
      <c r="H764" t="s">
        <v>74</v>
      </c>
      <c r="I764" t="s">
        <v>14493</v>
      </c>
      <c r="J764" t="s">
        <v>14494</v>
      </c>
      <c r="K764" t="s">
        <v>74</v>
      </c>
      <c r="L764" t="s">
        <v>74</v>
      </c>
      <c r="M764" t="s">
        <v>79</v>
      </c>
      <c r="N764" t="s">
        <v>108</v>
      </c>
      <c r="O764" t="s">
        <v>74</v>
      </c>
      <c r="P764" t="s">
        <v>74</v>
      </c>
      <c r="Q764" t="s">
        <v>74</v>
      </c>
      <c r="R764" t="s">
        <v>74</v>
      </c>
      <c r="S764" t="s">
        <v>74</v>
      </c>
      <c r="T764" t="s">
        <v>14495</v>
      </c>
      <c r="U764" t="s">
        <v>14496</v>
      </c>
      <c r="V764" t="s">
        <v>14497</v>
      </c>
      <c r="W764" t="s">
        <v>14498</v>
      </c>
      <c r="X764" t="s">
        <v>14499</v>
      </c>
      <c r="Y764" t="s">
        <v>14500</v>
      </c>
      <c r="Z764" t="s">
        <v>14501</v>
      </c>
      <c r="AA764" t="s">
        <v>14502</v>
      </c>
      <c r="AB764" t="s">
        <v>14503</v>
      </c>
      <c r="AC764" t="s">
        <v>14504</v>
      </c>
      <c r="AD764" t="s">
        <v>14505</v>
      </c>
      <c r="AE764" t="s">
        <v>14506</v>
      </c>
      <c r="AF764" t="s">
        <v>74</v>
      </c>
      <c r="AG764">
        <v>55</v>
      </c>
      <c r="AH764">
        <v>0</v>
      </c>
      <c r="AI764">
        <v>0</v>
      </c>
      <c r="AJ764">
        <v>4</v>
      </c>
      <c r="AK764">
        <v>15</v>
      </c>
      <c r="AL764" t="s">
        <v>10360</v>
      </c>
      <c r="AM764" t="s">
        <v>10361</v>
      </c>
      <c r="AN764" t="s">
        <v>10362</v>
      </c>
      <c r="AO764" t="s">
        <v>14507</v>
      </c>
      <c r="AP764" t="s">
        <v>14508</v>
      </c>
      <c r="AQ764" t="s">
        <v>74</v>
      </c>
      <c r="AR764" t="s">
        <v>14509</v>
      </c>
      <c r="AS764" t="s">
        <v>14510</v>
      </c>
      <c r="AT764" t="s">
        <v>74</v>
      </c>
      <c r="AU764">
        <v>2023</v>
      </c>
      <c r="AV764">
        <v>74</v>
      </c>
      <c r="AW764">
        <v>3</v>
      </c>
      <c r="AX764" t="s">
        <v>74</v>
      </c>
      <c r="AY764" t="s">
        <v>74</v>
      </c>
      <c r="AZ764" t="s">
        <v>74</v>
      </c>
      <c r="BA764" t="s">
        <v>74</v>
      </c>
      <c r="BB764">
        <v>5087</v>
      </c>
      <c r="BC764">
        <v>5103</v>
      </c>
      <c r="BD764" t="s">
        <v>74</v>
      </c>
      <c r="BE764" t="s">
        <v>14511</v>
      </c>
      <c r="BF764" t="str">
        <f>HYPERLINK("http://dx.doi.org/10.32604/cmc.2023.035364","http://dx.doi.org/10.32604/cmc.2023.035364")</f>
        <v>http://dx.doi.org/10.32604/cmc.2023.035364</v>
      </c>
      <c r="BG764" t="s">
        <v>74</v>
      </c>
      <c r="BH764" t="s">
        <v>74</v>
      </c>
      <c r="BI764">
        <v>17</v>
      </c>
      <c r="BJ764" t="s">
        <v>14512</v>
      </c>
      <c r="BK764" t="s">
        <v>130</v>
      </c>
      <c r="BL764" t="s">
        <v>14513</v>
      </c>
      <c r="BM764" t="s">
        <v>14514</v>
      </c>
      <c r="BN764" t="s">
        <v>74</v>
      </c>
      <c r="BO764" t="s">
        <v>425</v>
      </c>
      <c r="BP764" t="s">
        <v>74</v>
      </c>
      <c r="BQ764" t="s">
        <v>74</v>
      </c>
      <c r="BR764" t="s">
        <v>101</v>
      </c>
      <c r="BS764" t="s">
        <v>14515</v>
      </c>
      <c r="BT764" t="str">
        <f>HYPERLINK("https%3A%2F%2Fwww.webofscience.com%2Fwos%2Fwoscc%2Ffull-record%2FWOS:000950629100009","View Full Record in Web of Science")</f>
        <v>View Full Record in Web of Science</v>
      </c>
    </row>
    <row r="765" spans="1:72" x14ac:dyDescent="0.2">
      <c r="A765" t="s">
        <v>103</v>
      </c>
      <c r="B765" t="s">
        <v>14516</v>
      </c>
      <c r="C765" t="s">
        <v>74</v>
      </c>
      <c r="D765" t="s">
        <v>74</v>
      </c>
      <c r="E765" t="s">
        <v>74</v>
      </c>
      <c r="F765" t="s">
        <v>14517</v>
      </c>
      <c r="G765" t="s">
        <v>74</v>
      </c>
      <c r="H765" t="s">
        <v>74</v>
      </c>
      <c r="I765" t="s">
        <v>14518</v>
      </c>
      <c r="J765" t="s">
        <v>6611</v>
      </c>
      <c r="K765" t="s">
        <v>74</v>
      </c>
      <c r="L765" t="s">
        <v>74</v>
      </c>
      <c r="M765" t="s">
        <v>79</v>
      </c>
      <c r="N765" t="s">
        <v>108</v>
      </c>
      <c r="O765" t="s">
        <v>74</v>
      </c>
      <c r="P765" t="s">
        <v>74</v>
      </c>
      <c r="Q765" t="s">
        <v>74</v>
      </c>
      <c r="R765" t="s">
        <v>74</v>
      </c>
      <c r="S765" t="s">
        <v>74</v>
      </c>
      <c r="T765" t="s">
        <v>14519</v>
      </c>
      <c r="U765" t="s">
        <v>74</v>
      </c>
      <c r="V765" t="s">
        <v>14520</v>
      </c>
      <c r="W765" t="s">
        <v>14521</v>
      </c>
      <c r="X765" t="s">
        <v>14522</v>
      </c>
      <c r="Y765" t="s">
        <v>14523</v>
      </c>
      <c r="Z765" t="s">
        <v>14524</v>
      </c>
      <c r="AA765" t="s">
        <v>74</v>
      </c>
      <c r="AB765" t="s">
        <v>14525</v>
      </c>
      <c r="AC765" t="s">
        <v>14526</v>
      </c>
      <c r="AD765" t="s">
        <v>14527</v>
      </c>
      <c r="AE765" t="s">
        <v>14528</v>
      </c>
      <c r="AF765" t="s">
        <v>74</v>
      </c>
      <c r="AG765">
        <v>160</v>
      </c>
      <c r="AH765">
        <v>1</v>
      </c>
      <c r="AI765">
        <v>1</v>
      </c>
      <c r="AJ765">
        <v>0</v>
      </c>
      <c r="AK765">
        <v>0</v>
      </c>
      <c r="AL765" t="s">
        <v>638</v>
      </c>
      <c r="AM765" t="s">
        <v>639</v>
      </c>
      <c r="AN765" t="s">
        <v>1557</v>
      </c>
      <c r="AO765" t="s">
        <v>6621</v>
      </c>
      <c r="AP765" t="s">
        <v>6622</v>
      </c>
      <c r="AQ765" t="s">
        <v>74</v>
      </c>
      <c r="AR765" t="s">
        <v>6623</v>
      </c>
      <c r="AS765" t="s">
        <v>6624</v>
      </c>
      <c r="AT765" t="s">
        <v>527</v>
      </c>
      <c r="AU765">
        <v>2023</v>
      </c>
      <c r="AV765">
        <v>45</v>
      </c>
      <c r="AW765">
        <v>12</v>
      </c>
      <c r="AX765" t="s">
        <v>74</v>
      </c>
      <c r="AY765" t="s">
        <v>74</v>
      </c>
      <c r="AZ765" t="s">
        <v>74</v>
      </c>
      <c r="BA765" t="s">
        <v>74</v>
      </c>
      <c r="BB765">
        <v>15725</v>
      </c>
      <c r="BC765">
        <v>15742</v>
      </c>
      <c r="BD765" t="s">
        <v>74</v>
      </c>
      <c r="BE765" t="s">
        <v>14529</v>
      </c>
      <c r="BF765" t="str">
        <f>HYPERLINK("http://dx.doi.org/10.1109/TPAMI.2023.3306436","http://dx.doi.org/10.1109/TPAMI.2023.3306436")</f>
        <v>http://dx.doi.org/10.1109/TPAMI.2023.3306436</v>
      </c>
      <c r="BG765" t="s">
        <v>74</v>
      </c>
      <c r="BH765" t="s">
        <v>74</v>
      </c>
      <c r="BI765">
        <v>18</v>
      </c>
      <c r="BJ765" t="s">
        <v>6627</v>
      </c>
      <c r="BK765" t="s">
        <v>130</v>
      </c>
      <c r="BL765" t="s">
        <v>906</v>
      </c>
      <c r="BM765" t="s">
        <v>8203</v>
      </c>
      <c r="BN765">
        <v>37594871</v>
      </c>
      <c r="BO765" t="s">
        <v>646</v>
      </c>
      <c r="BP765" t="s">
        <v>74</v>
      </c>
      <c r="BQ765" t="s">
        <v>74</v>
      </c>
      <c r="BR765" t="s">
        <v>101</v>
      </c>
      <c r="BS765" t="s">
        <v>14530</v>
      </c>
      <c r="BT765" t="str">
        <f>HYPERLINK("https%3A%2F%2Fwww.webofscience.com%2Fwos%2Fwoscc%2Ffull-record%2FWOS:001104973300104","View Full Record in Web of Science")</f>
        <v>View Full Record in Web of Science</v>
      </c>
    </row>
    <row r="766" spans="1:72" x14ac:dyDescent="0.2">
      <c r="A766" t="s">
        <v>103</v>
      </c>
      <c r="B766" t="s">
        <v>14531</v>
      </c>
      <c r="C766" t="s">
        <v>74</v>
      </c>
      <c r="D766" t="s">
        <v>74</v>
      </c>
      <c r="E766" t="s">
        <v>74</v>
      </c>
      <c r="F766" t="s">
        <v>14532</v>
      </c>
      <c r="G766" t="s">
        <v>74</v>
      </c>
      <c r="H766" t="s">
        <v>74</v>
      </c>
      <c r="I766" t="s">
        <v>14533</v>
      </c>
      <c r="J766" t="s">
        <v>14534</v>
      </c>
      <c r="K766" t="s">
        <v>74</v>
      </c>
      <c r="L766" t="s">
        <v>74</v>
      </c>
      <c r="M766" t="s">
        <v>79</v>
      </c>
      <c r="N766" t="s">
        <v>108</v>
      </c>
      <c r="O766" t="s">
        <v>74</v>
      </c>
      <c r="P766" t="s">
        <v>74</v>
      </c>
      <c r="Q766" t="s">
        <v>74</v>
      </c>
      <c r="R766" t="s">
        <v>74</v>
      </c>
      <c r="S766" t="s">
        <v>74</v>
      </c>
      <c r="T766" t="s">
        <v>74</v>
      </c>
      <c r="U766" t="s">
        <v>74</v>
      </c>
      <c r="V766" t="s">
        <v>14535</v>
      </c>
      <c r="W766" t="s">
        <v>14536</v>
      </c>
      <c r="X766" t="s">
        <v>14537</v>
      </c>
      <c r="Y766" t="s">
        <v>14538</v>
      </c>
      <c r="Z766" t="s">
        <v>14539</v>
      </c>
      <c r="AA766" t="s">
        <v>14540</v>
      </c>
      <c r="AB766" t="s">
        <v>14541</v>
      </c>
      <c r="AC766" t="s">
        <v>74</v>
      </c>
      <c r="AD766" t="s">
        <v>74</v>
      </c>
      <c r="AE766" t="s">
        <v>74</v>
      </c>
      <c r="AF766" t="s">
        <v>74</v>
      </c>
      <c r="AG766">
        <v>48</v>
      </c>
      <c r="AH766">
        <v>7</v>
      </c>
      <c r="AI766">
        <v>7</v>
      </c>
      <c r="AJ766">
        <v>0</v>
      </c>
      <c r="AK766">
        <v>1</v>
      </c>
      <c r="AL766" t="s">
        <v>14542</v>
      </c>
      <c r="AM766" t="s">
        <v>149</v>
      </c>
      <c r="AN766" t="s">
        <v>14543</v>
      </c>
      <c r="AO766" t="s">
        <v>14544</v>
      </c>
      <c r="AP766" t="s">
        <v>14545</v>
      </c>
      <c r="AQ766" t="s">
        <v>74</v>
      </c>
      <c r="AR766" t="s">
        <v>14546</v>
      </c>
      <c r="AS766" t="s">
        <v>14547</v>
      </c>
      <c r="AT766" t="s">
        <v>10523</v>
      </c>
      <c r="AU766">
        <v>2023</v>
      </c>
      <c r="AV766">
        <v>2023</v>
      </c>
      <c r="AW766" t="s">
        <v>74</v>
      </c>
      <c r="AX766" t="s">
        <v>74</v>
      </c>
      <c r="AY766" t="s">
        <v>74</v>
      </c>
      <c r="AZ766" t="s">
        <v>74</v>
      </c>
      <c r="BA766" t="s">
        <v>74</v>
      </c>
      <c r="BB766" t="s">
        <v>74</v>
      </c>
      <c r="BC766" t="s">
        <v>74</v>
      </c>
      <c r="BD766">
        <v>6376275</v>
      </c>
      <c r="BE766" t="s">
        <v>14548</v>
      </c>
      <c r="BF766" t="str">
        <f>HYPERLINK("http://dx.doi.org/10.1155/2023/6376275","http://dx.doi.org/10.1155/2023/6376275")</f>
        <v>http://dx.doi.org/10.1155/2023/6376275</v>
      </c>
      <c r="BG766" t="s">
        <v>74</v>
      </c>
      <c r="BH766" t="s">
        <v>74</v>
      </c>
      <c r="BI766">
        <v>14</v>
      </c>
      <c r="BJ766" t="s">
        <v>304</v>
      </c>
      <c r="BK766" t="s">
        <v>130</v>
      </c>
      <c r="BL766" t="s">
        <v>99</v>
      </c>
      <c r="BM766" t="s">
        <v>14549</v>
      </c>
      <c r="BN766" t="s">
        <v>74</v>
      </c>
      <c r="BO766" t="s">
        <v>425</v>
      </c>
      <c r="BP766" t="s">
        <v>74</v>
      </c>
      <c r="BQ766" t="s">
        <v>74</v>
      </c>
      <c r="BR766" t="s">
        <v>101</v>
      </c>
      <c r="BS766" t="s">
        <v>14550</v>
      </c>
      <c r="BT766" t="str">
        <f>HYPERLINK("https%3A%2F%2Fwww.webofscience.com%2Fwos%2Fwoscc%2Ffull-record%2FWOS:000953307600002","View Full Record in Web of Science")</f>
        <v>View Full Record in Web of Science</v>
      </c>
    </row>
    <row r="767" spans="1:72" x14ac:dyDescent="0.2">
      <c r="A767" t="s">
        <v>103</v>
      </c>
      <c r="B767" t="s">
        <v>14551</v>
      </c>
      <c r="C767" t="s">
        <v>74</v>
      </c>
      <c r="D767" t="s">
        <v>74</v>
      </c>
      <c r="E767" t="s">
        <v>74</v>
      </c>
      <c r="F767" t="s">
        <v>14552</v>
      </c>
      <c r="G767" t="s">
        <v>74</v>
      </c>
      <c r="H767" t="s">
        <v>74</v>
      </c>
      <c r="I767" t="s">
        <v>14553</v>
      </c>
      <c r="J767" t="s">
        <v>14554</v>
      </c>
      <c r="K767" t="s">
        <v>74</v>
      </c>
      <c r="L767" t="s">
        <v>74</v>
      </c>
      <c r="M767" t="s">
        <v>79</v>
      </c>
      <c r="N767" t="s">
        <v>108</v>
      </c>
      <c r="O767" t="s">
        <v>74</v>
      </c>
      <c r="P767" t="s">
        <v>74</v>
      </c>
      <c r="Q767" t="s">
        <v>74</v>
      </c>
      <c r="R767" t="s">
        <v>74</v>
      </c>
      <c r="S767" t="s">
        <v>74</v>
      </c>
      <c r="T767" t="s">
        <v>14555</v>
      </c>
      <c r="U767" t="s">
        <v>14556</v>
      </c>
      <c r="V767" t="s">
        <v>14557</v>
      </c>
      <c r="W767" t="s">
        <v>14558</v>
      </c>
      <c r="X767" t="s">
        <v>14559</v>
      </c>
      <c r="Y767" t="s">
        <v>14560</v>
      </c>
      <c r="Z767" t="s">
        <v>14561</v>
      </c>
      <c r="AA767" t="s">
        <v>14562</v>
      </c>
      <c r="AB767" t="s">
        <v>14563</v>
      </c>
      <c r="AC767" t="s">
        <v>14564</v>
      </c>
      <c r="AD767" t="s">
        <v>14565</v>
      </c>
      <c r="AE767" t="s">
        <v>14566</v>
      </c>
      <c r="AF767" t="s">
        <v>74</v>
      </c>
      <c r="AG767">
        <v>47</v>
      </c>
      <c r="AH767">
        <v>1</v>
      </c>
      <c r="AI767">
        <v>1</v>
      </c>
      <c r="AJ767">
        <v>9</v>
      </c>
      <c r="AK767">
        <v>17</v>
      </c>
      <c r="AL767" t="s">
        <v>14567</v>
      </c>
      <c r="AM767" t="s">
        <v>7144</v>
      </c>
      <c r="AN767" t="s">
        <v>14568</v>
      </c>
      <c r="AO767" t="s">
        <v>14569</v>
      </c>
      <c r="AP767" t="s">
        <v>14570</v>
      </c>
      <c r="AQ767" t="s">
        <v>74</v>
      </c>
      <c r="AR767" t="s">
        <v>14571</v>
      </c>
      <c r="AS767" t="s">
        <v>14572</v>
      </c>
      <c r="AT767" t="s">
        <v>615</v>
      </c>
      <c r="AU767">
        <v>2023</v>
      </c>
      <c r="AV767">
        <v>16</v>
      </c>
      <c r="AW767">
        <v>7</v>
      </c>
      <c r="AX767" t="s">
        <v>74</v>
      </c>
      <c r="AY767" t="s">
        <v>74</v>
      </c>
      <c r="AZ767" t="s">
        <v>74</v>
      </c>
      <c r="BA767" t="s">
        <v>74</v>
      </c>
      <c r="BB767">
        <v>1219</v>
      </c>
      <c r="BC767">
        <v>1238</v>
      </c>
      <c r="BD767" t="s">
        <v>74</v>
      </c>
      <c r="BE767" t="s">
        <v>14573</v>
      </c>
      <c r="BF767" t="str">
        <f>HYPERLINK("http://dx.doi.org/10.1007/s12273-023-0989-1","http://dx.doi.org/10.1007/s12273-023-0989-1")</f>
        <v>http://dx.doi.org/10.1007/s12273-023-0989-1</v>
      </c>
      <c r="BG767" t="s">
        <v>74</v>
      </c>
      <c r="BH767" t="s">
        <v>1431</v>
      </c>
      <c r="BI767">
        <v>20</v>
      </c>
      <c r="BJ767" t="s">
        <v>14574</v>
      </c>
      <c r="BK767" t="s">
        <v>130</v>
      </c>
      <c r="BL767" t="s">
        <v>14574</v>
      </c>
      <c r="BM767" t="s">
        <v>14575</v>
      </c>
      <c r="BN767">
        <v>37359832</v>
      </c>
      <c r="BO767" t="s">
        <v>14576</v>
      </c>
      <c r="BP767" t="s">
        <v>74</v>
      </c>
      <c r="BQ767" t="s">
        <v>74</v>
      </c>
      <c r="BR767" t="s">
        <v>101</v>
      </c>
      <c r="BS767" t="s">
        <v>14577</v>
      </c>
      <c r="BT767" t="str">
        <f>HYPERLINK("https%3A%2F%2Fwww.webofscience.com%2Fwos%2Fwoscc%2Ffull-record%2FWOS:000948748600001","View Full Record in Web of Science")</f>
        <v>View Full Record in Web of Science</v>
      </c>
    </row>
    <row r="768" spans="1:72" x14ac:dyDescent="0.2">
      <c r="A768" t="s">
        <v>103</v>
      </c>
      <c r="B768" t="s">
        <v>14578</v>
      </c>
      <c r="C768" t="s">
        <v>74</v>
      </c>
      <c r="D768" t="s">
        <v>74</v>
      </c>
      <c r="E768" t="s">
        <v>74</v>
      </c>
      <c r="F768" t="s">
        <v>14579</v>
      </c>
      <c r="G768" t="s">
        <v>74</v>
      </c>
      <c r="H768" t="s">
        <v>74</v>
      </c>
      <c r="I768" t="s">
        <v>14580</v>
      </c>
      <c r="J768" t="s">
        <v>12480</v>
      </c>
      <c r="K768" t="s">
        <v>74</v>
      </c>
      <c r="L768" t="s">
        <v>74</v>
      </c>
      <c r="M768" t="s">
        <v>79</v>
      </c>
      <c r="N768" t="s">
        <v>108</v>
      </c>
      <c r="O768" t="s">
        <v>74</v>
      </c>
      <c r="P768" t="s">
        <v>74</v>
      </c>
      <c r="Q768" t="s">
        <v>74</v>
      </c>
      <c r="R768" t="s">
        <v>74</v>
      </c>
      <c r="S768" t="s">
        <v>74</v>
      </c>
      <c r="T768" t="s">
        <v>14581</v>
      </c>
      <c r="U768" t="s">
        <v>7522</v>
      </c>
      <c r="V768" t="s">
        <v>14582</v>
      </c>
      <c r="W768" t="s">
        <v>14583</v>
      </c>
      <c r="X768" t="s">
        <v>14584</v>
      </c>
      <c r="Y768" t="s">
        <v>14585</v>
      </c>
      <c r="Z768" t="s">
        <v>14586</v>
      </c>
      <c r="AA768" t="s">
        <v>74</v>
      </c>
      <c r="AB768" t="s">
        <v>14587</v>
      </c>
      <c r="AC768" t="s">
        <v>14588</v>
      </c>
      <c r="AD768" t="s">
        <v>14589</v>
      </c>
      <c r="AE768" t="s">
        <v>14590</v>
      </c>
      <c r="AF768" t="s">
        <v>74</v>
      </c>
      <c r="AG768">
        <v>32</v>
      </c>
      <c r="AH768">
        <v>3</v>
      </c>
      <c r="AI768">
        <v>3</v>
      </c>
      <c r="AJ768">
        <v>15</v>
      </c>
      <c r="AK768">
        <v>38</v>
      </c>
      <c r="AL768" t="s">
        <v>1379</v>
      </c>
      <c r="AM768" t="s">
        <v>1380</v>
      </c>
      <c r="AN768" t="s">
        <v>1381</v>
      </c>
      <c r="AO768" t="s">
        <v>12492</v>
      </c>
      <c r="AP768" t="s">
        <v>12493</v>
      </c>
      <c r="AQ768" t="s">
        <v>74</v>
      </c>
      <c r="AR768" t="s">
        <v>12494</v>
      </c>
      <c r="AS768" t="s">
        <v>12495</v>
      </c>
      <c r="AT768" t="s">
        <v>74</v>
      </c>
      <c r="AU768">
        <v>2023</v>
      </c>
      <c r="AV768">
        <v>72</v>
      </c>
      <c r="AW768" t="s">
        <v>74</v>
      </c>
      <c r="AX768" t="s">
        <v>74</v>
      </c>
      <c r="AY768" t="s">
        <v>74</v>
      </c>
      <c r="AZ768" t="s">
        <v>74</v>
      </c>
      <c r="BA768" t="s">
        <v>74</v>
      </c>
      <c r="BB768" t="s">
        <v>74</v>
      </c>
      <c r="BC768" t="s">
        <v>74</v>
      </c>
      <c r="BD768">
        <v>3506611</v>
      </c>
      <c r="BE768" t="s">
        <v>14591</v>
      </c>
      <c r="BF768" t="str">
        <f>HYPERLINK("http://dx.doi.org/10.1109/TIM.2023.3240228","http://dx.doi.org/10.1109/TIM.2023.3240228")</f>
        <v>http://dx.doi.org/10.1109/TIM.2023.3240228</v>
      </c>
      <c r="BG768" t="s">
        <v>74</v>
      </c>
      <c r="BH768" t="s">
        <v>74</v>
      </c>
      <c r="BI768">
        <v>11</v>
      </c>
      <c r="BJ768" t="s">
        <v>12497</v>
      </c>
      <c r="BK768" t="s">
        <v>130</v>
      </c>
      <c r="BL768" t="s">
        <v>12498</v>
      </c>
      <c r="BM768" t="s">
        <v>14592</v>
      </c>
      <c r="BN768" t="s">
        <v>74</v>
      </c>
      <c r="BO768" t="s">
        <v>74</v>
      </c>
      <c r="BP768" t="s">
        <v>74</v>
      </c>
      <c r="BQ768" t="s">
        <v>74</v>
      </c>
      <c r="BR768" t="s">
        <v>101</v>
      </c>
      <c r="BS768" t="s">
        <v>14593</v>
      </c>
      <c r="BT768" t="str">
        <f>HYPERLINK("https%3A%2F%2Fwww.webofscience.com%2Fwos%2Fwoscc%2Ffull-record%2FWOS:000965358500001","View Full Record in Web of Science")</f>
        <v>View Full Record in Web of Science</v>
      </c>
    </row>
    <row r="769" spans="1:72" x14ac:dyDescent="0.2">
      <c r="A769" t="s">
        <v>103</v>
      </c>
      <c r="B769" t="s">
        <v>14594</v>
      </c>
      <c r="C769" t="s">
        <v>74</v>
      </c>
      <c r="D769" t="s">
        <v>74</v>
      </c>
      <c r="E769" t="s">
        <v>74</v>
      </c>
      <c r="F769" t="s">
        <v>14595</v>
      </c>
      <c r="G769" t="s">
        <v>74</v>
      </c>
      <c r="H769" t="s">
        <v>74</v>
      </c>
      <c r="I769" t="s">
        <v>14596</v>
      </c>
      <c r="J769" t="s">
        <v>14597</v>
      </c>
      <c r="K769" t="s">
        <v>74</v>
      </c>
      <c r="L769" t="s">
        <v>74</v>
      </c>
      <c r="M769" t="s">
        <v>79</v>
      </c>
      <c r="N769" t="s">
        <v>108</v>
      </c>
      <c r="O769" t="s">
        <v>74</v>
      </c>
      <c r="P769" t="s">
        <v>74</v>
      </c>
      <c r="Q769" t="s">
        <v>74</v>
      </c>
      <c r="R769" t="s">
        <v>74</v>
      </c>
      <c r="S769" t="s">
        <v>74</v>
      </c>
      <c r="T769" t="s">
        <v>14598</v>
      </c>
      <c r="U769" t="s">
        <v>14599</v>
      </c>
      <c r="V769" t="s">
        <v>14600</v>
      </c>
      <c r="W769" t="s">
        <v>14601</v>
      </c>
      <c r="X769" t="s">
        <v>14602</v>
      </c>
      <c r="Y769" t="s">
        <v>14603</v>
      </c>
      <c r="Z769" t="s">
        <v>14604</v>
      </c>
      <c r="AA769" t="s">
        <v>74</v>
      </c>
      <c r="AB769" t="s">
        <v>14605</v>
      </c>
      <c r="AC769" t="s">
        <v>14606</v>
      </c>
      <c r="AD769" t="s">
        <v>14607</v>
      </c>
      <c r="AE769" t="s">
        <v>14608</v>
      </c>
      <c r="AF769" t="s">
        <v>74</v>
      </c>
      <c r="AG769">
        <v>106</v>
      </c>
      <c r="AH769">
        <v>0</v>
      </c>
      <c r="AI769">
        <v>0</v>
      </c>
      <c r="AJ769">
        <v>2</v>
      </c>
      <c r="AK769">
        <v>2</v>
      </c>
      <c r="AL769" t="s">
        <v>119</v>
      </c>
      <c r="AM769" t="s">
        <v>120</v>
      </c>
      <c r="AN769" t="s">
        <v>121</v>
      </c>
      <c r="AO769" t="s">
        <v>14609</v>
      </c>
      <c r="AP769" t="s">
        <v>14610</v>
      </c>
      <c r="AQ769" t="s">
        <v>74</v>
      </c>
      <c r="AR769" t="s">
        <v>14597</v>
      </c>
      <c r="AS769" t="s">
        <v>14611</v>
      </c>
      <c r="AT769" t="s">
        <v>126</v>
      </c>
      <c r="AU769">
        <v>2024</v>
      </c>
      <c r="AV769">
        <v>171</v>
      </c>
      <c r="AW769" t="s">
        <v>74</v>
      </c>
      <c r="AX769" t="s">
        <v>74</v>
      </c>
      <c r="AY769" t="s">
        <v>74</v>
      </c>
      <c r="AZ769" t="s">
        <v>74</v>
      </c>
      <c r="BA769" t="s">
        <v>74</v>
      </c>
      <c r="BB769">
        <v>440</v>
      </c>
      <c r="BC769">
        <v>456</v>
      </c>
      <c r="BD769" t="s">
        <v>74</v>
      </c>
      <c r="BE769" t="s">
        <v>14612</v>
      </c>
      <c r="BF769" t="str">
        <f>HYPERLINK("http://dx.doi.org/10.1016/j.neunet.2023.12.030","http://dx.doi.org/10.1016/j.neunet.2023.12.030")</f>
        <v>http://dx.doi.org/10.1016/j.neunet.2023.12.030</v>
      </c>
      <c r="BG769" t="s">
        <v>74</v>
      </c>
      <c r="BH769" t="s">
        <v>128</v>
      </c>
      <c r="BI769">
        <v>17</v>
      </c>
      <c r="BJ769" t="s">
        <v>14613</v>
      </c>
      <c r="BK769" t="s">
        <v>130</v>
      </c>
      <c r="BL769" t="s">
        <v>14614</v>
      </c>
      <c r="BM769" t="s">
        <v>14615</v>
      </c>
      <c r="BN769">
        <v>38150870</v>
      </c>
      <c r="BO769" t="s">
        <v>74</v>
      </c>
      <c r="BP769" t="s">
        <v>74</v>
      </c>
      <c r="BQ769" t="s">
        <v>74</v>
      </c>
      <c r="BR769" t="s">
        <v>101</v>
      </c>
      <c r="BS769" t="s">
        <v>14616</v>
      </c>
      <c r="BT769" t="str">
        <f>HYPERLINK("https%3A%2F%2Fwww.webofscience.com%2Fwos%2Fwoscc%2Ffull-record%2FWOS:001149106100001","View Full Record in Web of Science")</f>
        <v>View Full Record in Web of Science</v>
      </c>
    </row>
    <row r="770" spans="1:72" x14ac:dyDescent="0.2">
      <c r="A770" t="s">
        <v>103</v>
      </c>
      <c r="B770" t="s">
        <v>14617</v>
      </c>
      <c r="C770" t="s">
        <v>74</v>
      </c>
      <c r="D770" t="s">
        <v>74</v>
      </c>
      <c r="E770" t="s">
        <v>74</v>
      </c>
      <c r="F770" t="s">
        <v>14618</v>
      </c>
      <c r="G770" t="s">
        <v>74</v>
      </c>
      <c r="H770" t="s">
        <v>74</v>
      </c>
      <c r="I770" t="s">
        <v>14619</v>
      </c>
      <c r="J770" t="s">
        <v>14620</v>
      </c>
      <c r="K770" t="s">
        <v>74</v>
      </c>
      <c r="L770" t="s">
        <v>74</v>
      </c>
      <c r="M770" t="s">
        <v>79</v>
      </c>
      <c r="N770" t="s">
        <v>108</v>
      </c>
      <c r="O770" t="s">
        <v>74</v>
      </c>
      <c r="P770" t="s">
        <v>74</v>
      </c>
      <c r="Q770" t="s">
        <v>74</v>
      </c>
      <c r="R770" t="s">
        <v>74</v>
      </c>
      <c r="S770" t="s">
        <v>74</v>
      </c>
      <c r="T770" t="s">
        <v>74</v>
      </c>
      <c r="U770" t="s">
        <v>74</v>
      </c>
      <c r="V770" t="s">
        <v>14621</v>
      </c>
      <c r="W770" t="s">
        <v>14622</v>
      </c>
      <c r="X770" t="s">
        <v>14623</v>
      </c>
      <c r="Y770" t="s">
        <v>14624</v>
      </c>
      <c r="Z770" t="s">
        <v>14625</v>
      </c>
      <c r="AA770" t="s">
        <v>14626</v>
      </c>
      <c r="AB770" t="s">
        <v>14627</v>
      </c>
      <c r="AC770" t="s">
        <v>14628</v>
      </c>
      <c r="AD770" t="s">
        <v>14629</v>
      </c>
      <c r="AE770" t="s">
        <v>14630</v>
      </c>
      <c r="AF770" t="s">
        <v>74</v>
      </c>
      <c r="AG770">
        <v>40</v>
      </c>
      <c r="AH770">
        <v>0</v>
      </c>
      <c r="AI770">
        <v>0</v>
      </c>
      <c r="AJ770">
        <v>0</v>
      </c>
      <c r="AK770">
        <v>0</v>
      </c>
      <c r="AL770" t="s">
        <v>13108</v>
      </c>
      <c r="AM770" t="s">
        <v>13109</v>
      </c>
      <c r="AN770" t="s">
        <v>13110</v>
      </c>
      <c r="AO770" t="s">
        <v>14631</v>
      </c>
      <c r="AP770" t="s">
        <v>74</v>
      </c>
      <c r="AQ770" t="s">
        <v>74</v>
      </c>
      <c r="AR770" t="s">
        <v>14632</v>
      </c>
      <c r="AS770" t="s">
        <v>14633</v>
      </c>
      <c r="AT770" t="s">
        <v>12891</v>
      </c>
      <c r="AU770">
        <v>2023</v>
      </c>
      <c r="AV770">
        <v>11</v>
      </c>
      <c r="AW770">
        <v>10</v>
      </c>
      <c r="AX770" t="s">
        <v>74</v>
      </c>
      <c r="AY770" t="s">
        <v>74</v>
      </c>
      <c r="AZ770" t="s">
        <v>74</v>
      </c>
      <c r="BA770" t="s">
        <v>74</v>
      </c>
      <c r="BB770">
        <v>1703</v>
      </c>
      <c r="BC770">
        <v>1712</v>
      </c>
      <c r="BD770" t="s">
        <v>74</v>
      </c>
      <c r="BE770" t="s">
        <v>14634</v>
      </c>
      <c r="BF770" t="str">
        <f>HYPERLINK("http://dx.doi.org/10.1364/PRJ.493865","http://dx.doi.org/10.1364/PRJ.493865")</f>
        <v>http://dx.doi.org/10.1364/PRJ.493865</v>
      </c>
      <c r="BG770" t="s">
        <v>74</v>
      </c>
      <c r="BH770" t="s">
        <v>74</v>
      </c>
      <c r="BI770">
        <v>10</v>
      </c>
      <c r="BJ770" t="s">
        <v>3823</v>
      </c>
      <c r="BK770" t="s">
        <v>130</v>
      </c>
      <c r="BL770" t="s">
        <v>3823</v>
      </c>
      <c r="BM770" t="s">
        <v>14635</v>
      </c>
      <c r="BN770" t="s">
        <v>74</v>
      </c>
      <c r="BO770" t="s">
        <v>646</v>
      </c>
      <c r="BP770" t="s">
        <v>74</v>
      </c>
      <c r="BQ770" t="s">
        <v>74</v>
      </c>
      <c r="BR770" t="s">
        <v>101</v>
      </c>
      <c r="BS770" t="s">
        <v>14636</v>
      </c>
      <c r="BT770" t="str">
        <f>HYPERLINK("https%3A%2F%2Fwww.webofscience.com%2Fwos%2Fwoscc%2Ffull-record%2FWOS:001108685800011","View Full Record in Web of Science")</f>
        <v>View Full Record in Web of Science</v>
      </c>
    </row>
    <row r="771" spans="1:72" x14ac:dyDescent="0.2">
      <c r="A771" t="s">
        <v>103</v>
      </c>
      <c r="B771" t="s">
        <v>14637</v>
      </c>
      <c r="C771" t="s">
        <v>74</v>
      </c>
      <c r="D771" t="s">
        <v>74</v>
      </c>
      <c r="E771" t="s">
        <v>74</v>
      </c>
      <c r="F771" t="s">
        <v>14638</v>
      </c>
      <c r="G771" t="s">
        <v>74</v>
      </c>
      <c r="H771" t="s">
        <v>74</v>
      </c>
      <c r="I771" t="s">
        <v>14639</v>
      </c>
      <c r="J771" t="s">
        <v>1370</v>
      </c>
      <c r="K771" t="s">
        <v>74</v>
      </c>
      <c r="L771" t="s">
        <v>74</v>
      </c>
      <c r="M771" t="s">
        <v>79</v>
      </c>
      <c r="N771" t="s">
        <v>108</v>
      </c>
      <c r="O771" t="s">
        <v>74</v>
      </c>
      <c r="P771" t="s">
        <v>74</v>
      </c>
      <c r="Q771" t="s">
        <v>74</v>
      </c>
      <c r="R771" t="s">
        <v>74</v>
      </c>
      <c r="S771" t="s">
        <v>74</v>
      </c>
      <c r="T771" t="s">
        <v>14640</v>
      </c>
      <c r="U771" t="s">
        <v>74</v>
      </c>
      <c r="V771" t="s">
        <v>14641</v>
      </c>
      <c r="W771" t="s">
        <v>14642</v>
      </c>
      <c r="X771" t="s">
        <v>14643</v>
      </c>
      <c r="Y771" t="s">
        <v>14644</v>
      </c>
      <c r="Z771" t="s">
        <v>14645</v>
      </c>
      <c r="AA771" t="s">
        <v>14646</v>
      </c>
      <c r="AB771" t="s">
        <v>14647</v>
      </c>
      <c r="AC771" t="s">
        <v>74</v>
      </c>
      <c r="AD771" t="s">
        <v>74</v>
      </c>
      <c r="AE771" t="s">
        <v>74</v>
      </c>
      <c r="AF771" t="s">
        <v>74</v>
      </c>
      <c r="AG771">
        <v>40</v>
      </c>
      <c r="AH771">
        <v>0</v>
      </c>
      <c r="AI771">
        <v>0</v>
      </c>
      <c r="AJ771">
        <v>8</v>
      </c>
      <c r="AK771">
        <v>10</v>
      </c>
      <c r="AL771" t="s">
        <v>1379</v>
      </c>
      <c r="AM771" t="s">
        <v>1380</v>
      </c>
      <c r="AN771" t="s">
        <v>1381</v>
      </c>
      <c r="AO771" t="s">
        <v>1382</v>
      </c>
      <c r="AP771" t="s">
        <v>74</v>
      </c>
      <c r="AQ771" t="s">
        <v>74</v>
      </c>
      <c r="AR771" t="s">
        <v>1370</v>
      </c>
      <c r="AS771" t="s">
        <v>1383</v>
      </c>
      <c r="AT771" t="s">
        <v>74</v>
      </c>
      <c r="AU771">
        <v>2023</v>
      </c>
      <c r="AV771">
        <v>11</v>
      </c>
      <c r="AW771" t="s">
        <v>74</v>
      </c>
      <c r="AX771" t="s">
        <v>74</v>
      </c>
      <c r="AY771" t="s">
        <v>74</v>
      </c>
      <c r="AZ771" t="s">
        <v>74</v>
      </c>
      <c r="BA771" t="s">
        <v>74</v>
      </c>
      <c r="BB771">
        <v>71940</v>
      </c>
      <c r="BC771">
        <v>71952</v>
      </c>
      <c r="BD771" t="s">
        <v>74</v>
      </c>
      <c r="BE771" t="s">
        <v>14648</v>
      </c>
      <c r="BF771" t="str">
        <f>HYPERLINK("http://dx.doi.org/10.1109/ACCESS.2023.3294966","http://dx.doi.org/10.1109/ACCESS.2023.3294966")</f>
        <v>http://dx.doi.org/10.1109/ACCESS.2023.3294966</v>
      </c>
      <c r="BG771" t="s">
        <v>74</v>
      </c>
      <c r="BH771" t="s">
        <v>74</v>
      </c>
      <c r="BI771">
        <v>13</v>
      </c>
      <c r="BJ771" t="s">
        <v>1385</v>
      </c>
      <c r="BK771" t="s">
        <v>130</v>
      </c>
      <c r="BL771" t="s">
        <v>1386</v>
      </c>
      <c r="BM771" t="s">
        <v>14649</v>
      </c>
      <c r="BN771" t="s">
        <v>74</v>
      </c>
      <c r="BO771" t="s">
        <v>425</v>
      </c>
      <c r="BP771" t="s">
        <v>74</v>
      </c>
      <c r="BQ771" t="s">
        <v>74</v>
      </c>
      <c r="BR771" t="s">
        <v>101</v>
      </c>
      <c r="BS771" t="s">
        <v>14650</v>
      </c>
      <c r="BT771" t="str">
        <f>HYPERLINK("https%3A%2F%2Fwww.webofscience.com%2Fwos%2Fwoscc%2Ffull-record%2FWOS:001035823200001","View Full Record in Web of Science")</f>
        <v>View Full Record in Web of Science</v>
      </c>
    </row>
    <row r="772" spans="1:72" x14ac:dyDescent="0.2">
      <c r="A772" t="s">
        <v>103</v>
      </c>
      <c r="B772" t="s">
        <v>14651</v>
      </c>
      <c r="C772" t="s">
        <v>74</v>
      </c>
      <c r="D772" t="s">
        <v>74</v>
      </c>
      <c r="E772" t="s">
        <v>74</v>
      </c>
      <c r="F772" t="s">
        <v>14652</v>
      </c>
      <c r="G772" t="s">
        <v>74</v>
      </c>
      <c r="H772" t="s">
        <v>74</v>
      </c>
      <c r="I772" t="s">
        <v>14653</v>
      </c>
      <c r="J772" t="s">
        <v>14654</v>
      </c>
      <c r="K772" t="s">
        <v>74</v>
      </c>
      <c r="L772" t="s">
        <v>74</v>
      </c>
      <c r="M772" t="s">
        <v>79</v>
      </c>
      <c r="N772" t="s">
        <v>108</v>
      </c>
      <c r="O772" t="s">
        <v>74</v>
      </c>
      <c r="P772" t="s">
        <v>74</v>
      </c>
      <c r="Q772" t="s">
        <v>74</v>
      </c>
      <c r="R772" t="s">
        <v>74</v>
      </c>
      <c r="S772" t="s">
        <v>74</v>
      </c>
      <c r="T772" t="s">
        <v>74</v>
      </c>
      <c r="U772" t="s">
        <v>14655</v>
      </c>
      <c r="V772" t="s">
        <v>14656</v>
      </c>
      <c r="W772" t="s">
        <v>14657</v>
      </c>
      <c r="X772" t="s">
        <v>14658</v>
      </c>
      <c r="Y772" t="s">
        <v>14659</v>
      </c>
      <c r="Z772" t="s">
        <v>14660</v>
      </c>
      <c r="AA772" t="s">
        <v>14661</v>
      </c>
      <c r="AB772" t="s">
        <v>14662</v>
      </c>
      <c r="AC772" t="s">
        <v>14663</v>
      </c>
      <c r="AD772" t="s">
        <v>14664</v>
      </c>
      <c r="AE772" t="s">
        <v>14665</v>
      </c>
      <c r="AF772" t="s">
        <v>74</v>
      </c>
      <c r="AG772">
        <v>70</v>
      </c>
      <c r="AH772">
        <v>1</v>
      </c>
      <c r="AI772">
        <v>1</v>
      </c>
      <c r="AJ772">
        <v>66</v>
      </c>
      <c r="AK772">
        <v>66</v>
      </c>
      <c r="AL772" t="s">
        <v>1880</v>
      </c>
      <c r="AM772" t="s">
        <v>369</v>
      </c>
      <c r="AN772" t="s">
        <v>1881</v>
      </c>
      <c r="AO772" t="s">
        <v>74</v>
      </c>
      <c r="AP772" t="s">
        <v>14666</v>
      </c>
      <c r="AQ772" t="s">
        <v>74</v>
      </c>
      <c r="AR772" t="s">
        <v>14667</v>
      </c>
      <c r="AS772" t="s">
        <v>14668</v>
      </c>
      <c r="AT772" t="s">
        <v>744</v>
      </c>
      <c r="AU772">
        <v>2023</v>
      </c>
      <c r="AV772">
        <v>14</v>
      </c>
      <c r="AW772">
        <v>1</v>
      </c>
      <c r="AX772" t="s">
        <v>74</v>
      </c>
      <c r="AY772" t="s">
        <v>74</v>
      </c>
      <c r="AZ772" t="s">
        <v>74</v>
      </c>
      <c r="BA772" t="s">
        <v>74</v>
      </c>
      <c r="BB772" t="s">
        <v>74</v>
      </c>
      <c r="BC772" t="s">
        <v>74</v>
      </c>
      <c r="BD772">
        <v>6134</v>
      </c>
      <c r="BE772" t="s">
        <v>14669</v>
      </c>
      <c r="BF772" t="str">
        <f>HYPERLINK("http://dx.doi.org/10.1038/s41467-023-41921-3","http://dx.doi.org/10.1038/s41467-023-41921-3")</f>
        <v>http://dx.doi.org/10.1038/s41467-023-41921-3</v>
      </c>
      <c r="BG772" t="s">
        <v>74</v>
      </c>
      <c r="BH772" t="s">
        <v>74</v>
      </c>
      <c r="BI772">
        <v>10</v>
      </c>
      <c r="BJ772" t="s">
        <v>5686</v>
      </c>
      <c r="BK772" t="s">
        <v>130</v>
      </c>
      <c r="BL772" t="s">
        <v>5687</v>
      </c>
      <c r="BM772" t="s">
        <v>14670</v>
      </c>
      <c r="BN772">
        <v>37783711</v>
      </c>
      <c r="BO772" t="s">
        <v>4185</v>
      </c>
      <c r="BP772" t="s">
        <v>74</v>
      </c>
      <c r="BQ772" t="s">
        <v>74</v>
      </c>
      <c r="BR772" t="s">
        <v>101</v>
      </c>
      <c r="BS772" t="s">
        <v>14671</v>
      </c>
      <c r="BT772" t="str">
        <f>HYPERLINK("https%3A%2F%2Fwww.webofscience.com%2Fwos%2Fwoscc%2Ffull-record%2FWOS:001084354900007","View Full Record in Web of Science")</f>
        <v>View Full Record in Web of Science</v>
      </c>
    </row>
    <row r="773" spans="1:72" x14ac:dyDescent="0.2">
      <c r="A773" t="s">
        <v>103</v>
      </c>
      <c r="B773" t="s">
        <v>14672</v>
      </c>
      <c r="C773" t="s">
        <v>74</v>
      </c>
      <c r="D773" t="s">
        <v>74</v>
      </c>
      <c r="E773" t="s">
        <v>74</v>
      </c>
      <c r="F773" t="s">
        <v>14673</v>
      </c>
      <c r="G773" t="s">
        <v>74</v>
      </c>
      <c r="H773" t="s">
        <v>74</v>
      </c>
      <c r="I773" t="s">
        <v>14674</v>
      </c>
      <c r="J773" t="s">
        <v>14675</v>
      </c>
      <c r="K773" t="s">
        <v>74</v>
      </c>
      <c r="L773" t="s">
        <v>74</v>
      </c>
      <c r="M773" t="s">
        <v>79</v>
      </c>
      <c r="N773" t="s">
        <v>108</v>
      </c>
      <c r="O773" t="s">
        <v>74</v>
      </c>
      <c r="P773" t="s">
        <v>74</v>
      </c>
      <c r="Q773" t="s">
        <v>74</v>
      </c>
      <c r="R773" t="s">
        <v>74</v>
      </c>
      <c r="S773" t="s">
        <v>74</v>
      </c>
      <c r="T773" t="s">
        <v>14676</v>
      </c>
      <c r="U773" t="s">
        <v>74</v>
      </c>
      <c r="V773" t="s">
        <v>14677</v>
      </c>
      <c r="W773" t="s">
        <v>14678</v>
      </c>
      <c r="X773" t="s">
        <v>2984</v>
      </c>
      <c r="Y773" t="s">
        <v>14679</v>
      </c>
      <c r="Z773" t="s">
        <v>14680</v>
      </c>
      <c r="AA773" t="s">
        <v>74</v>
      </c>
      <c r="AB773" t="s">
        <v>14681</v>
      </c>
      <c r="AC773" t="s">
        <v>74</v>
      </c>
      <c r="AD773" t="s">
        <v>74</v>
      </c>
      <c r="AE773" t="s">
        <v>74</v>
      </c>
      <c r="AF773" t="s">
        <v>74</v>
      </c>
      <c r="AG773">
        <v>10</v>
      </c>
      <c r="AH773">
        <v>4</v>
      </c>
      <c r="AI773">
        <v>4</v>
      </c>
      <c r="AJ773">
        <v>2</v>
      </c>
      <c r="AK773">
        <v>2</v>
      </c>
      <c r="AL773" t="s">
        <v>14682</v>
      </c>
      <c r="AM773" t="s">
        <v>6998</v>
      </c>
      <c r="AN773" t="s">
        <v>14683</v>
      </c>
      <c r="AO773" t="s">
        <v>14684</v>
      </c>
      <c r="AP773" t="s">
        <v>14685</v>
      </c>
      <c r="AQ773" t="s">
        <v>74</v>
      </c>
      <c r="AR773" t="s">
        <v>14686</v>
      </c>
      <c r="AS773" t="s">
        <v>14687</v>
      </c>
      <c r="AT773" t="s">
        <v>2497</v>
      </c>
      <c r="AU773">
        <v>2023</v>
      </c>
      <c r="AV773">
        <v>51</v>
      </c>
      <c r="AW773">
        <v>4</v>
      </c>
      <c r="AX773" t="s">
        <v>74</v>
      </c>
      <c r="AY773" t="s">
        <v>74</v>
      </c>
      <c r="AZ773" t="s">
        <v>74</v>
      </c>
      <c r="BA773" t="s">
        <v>74</v>
      </c>
      <c r="BB773">
        <v>307</v>
      </c>
      <c r="BC773">
        <v>313</v>
      </c>
      <c r="BD773" t="s">
        <v>74</v>
      </c>
      <c r="BE773" t="s">
        <v>14688</v>
      </c>
      <c r="BF773" t="str">
        <f>HYPERLINK("http://dx.doi.org/10.2967/jnmt.123.266151","http://dx.doi.org/10.2967/jnmt.123.266151")</f>
        <v>http://dx.doi.org/10.2967/jnmt.123.266151</v>
      </c>
      <c r="BG773" t="s">
        <v>74</v>
      </c>
      <c r="BH773" t="s">
        <v>74</v>
      </c>
      <c r="BI773">
        <v>7</v>
      </c>
      <c r="BJ773" t="s">
        <v>5360</v>
      </c>
      <c r="BK773" t="s">
        <v>352</v>
      </c>
      <c r="BL773" t="s">
        <v>5360</v>
      </c>
      <c r="BM773" t="s">
        <v>14689</v>
      </c>
      <c r="BN773">
        <v>37699647</v>
      </c>
      <c r="BO773" t="s">
        <v>1237</v>
      </c>
      <c r="BP773" t="s">
        <v>74</v>
      </c>
      <c r="BQ773" t="s">
        <v>74</v>
      </c>
      <c r="BR773" t="s">
        <v>101</v>
      </c>
      <c r="BS773" t="s">
        <v>14690</v>
      </c>
      <c r="BT773" t="str">
        <f>HYPERLINK("https%3A%2F%2Fwww.webofscience.com%2Fwos%2Fwoscc%2Ffull-record%2FWOS:001127494300017","View Full Record in Web of Science")</f>
        <v>View Full Record in Web of Science</v>
      </c>
    </row>
    <row r="774" spans="1:72" x14ac:dyDescent="0.2">
      <c r="A774" t="s">
        <v>103</v>
      </c>
      <c r="B774" t="s">
        <v>14691</v>
      </c>
      <c r="C774" t="s">
        <v>74</v>
      </c>
      <c r="D774" t="s">
        <v>74</v>
      </c>
      <c r="E774" t="s">
        <v>74</v>
      </c>
      <c r="F774" t="s">
        <v>14692</v>
      </c>
      <c r="G774" t="s">
        <v>74</v>
      </c>
      <c r="H774" t="s">
        <v>74</v>
      </c>
      <c r="I774" t="s">
        <v>14693</v>
      </c>
      <c r="J774" t="s">
        <v>8457</v>
      </c>
      <c r="K774" t="s">
        <v>74</v>
      </c>
      <c r="L774" t="s">
        <v>74</v>
      </c>
      <c r="M774" t="s">
        <v>79</v>
      </c>
      <c r="N774" t="s">
        <v>108</v>
      </c>
      <c r="O774" t="s">
        <v>74</v>
      </c>
      <c r="P774" t="s">
        <v>74</v>
      </c>
      <c r="Q774" t="s">
        <v>74</v>
      </c>
      <c r="R774" t="s">
        <v>74</v>
      </c>
      <c r="S774" t="s">
        <v>74</v>
      </c>
      <c r="T774" t="s">
        <v>14694</v>
      </c>
      <c r="U774" t="s">
        <v>14695</v>
      </c>
      <c r="V774" t="s">
        <v>14696</v>
      </c>
      <c r="W774" t="s">
        <v>14697</v>
      </c>
      <c r="X774" t="s">
        <v>14698</v>
      </c>
      <c r="Y774" t="s">
        <v>14699</v>
      </c>
      <c r="Z774" t="s">
        <v>14700</v>
      </c>
      <c r="AA774" t="s">
        <v>74</v>
      </c>
      <c r="AB774" t="s">
        <v>14701</v>
      </c>
      <c r="AC774" t="s">
        <v>14702</v>
      </c>
      <c r="AD774" t="s">
        <v>14703</v>
      </c>
      <c r="AE774" t="s">
        <v>14704</v>
      </c>
      <c r="AF774" t="s">
        <v>74</v>
      </c>
      <c r="AG774">
        <v>71</v>
      </c>
      <c r="AH774">
        <v>0</v>
      </c>
      <c r="AI774">
        <v>0</v>
      </c>
      <c r="AJ774">
        <v>2</v>
      </c>
      <c r="AK774">
        <v>4</v>
      </c>
      <c r="AL774" t="s">
        <v>939</v>
      </c>
      <c r="AM774" t="s">
        <v>940</v>
      </c>
      <c r="AN774" t="s">
        <v>941</v>
      </c>
      <c r="AO774" t="s">
        <v>14705</v>
      </c>
      <c r="AP774" t="s">
        <v>8468</v>
      </c>
      <c r="AQ774" t="s">
        <v>74</v>
      </c>
      <c r="AR774" t="s">
        <v>8469</v>
      </c>
      <c r="AS774" t="s">
        <v>8470</v>
      </c>
      <c r="AT774" t="s">
        <v>14706</v>
      </c>
      <c r="AU774">
        <v>2023</v>
      </c>
      <c r="AV774">
        <v>24</v>
      </c>
      <c r="AW774">
        <v>9</v>
      </c>
      <c r="AX774" t="s">
        <v>74</v>
      </c>
      <c r="AY774" t="s">
        <v>74</v>
      </c>
      <c r="AZ774" t="s">
        <v>74</v>
      </c>
      <c r="BA774" t="s">
        <v>74</v>
      </c>
      <c r="BB774" t="s">
        <v>74</v>
      </c>
      <c r="BC774" t="s">
        <v>74</v>
      </c>
      <c r="BD774">
        <v>8083</v>
      </c>
      <c r="BE774" t="s">
        <v>14707</v>
      </c>
      <c r="BF774" t="str">
        <f>HYPERLINK("http://dx.doi.org/10.3390/ijms24098083","http://dx.doi.org/10.3390/ijms24098083")</f>
        <v>http://dx.doi.org/10.3390/ijms24098083</v>
      </c>
      <c r="BG774" t="s">
        <v>74</v>
      </c>
      <c r="BH774" t="s">
        <v>74</v>
      </c>
      <c r="BI774">
        <v>21</v>
      </c>
      <c r="BJ774" t="s">
        <v>8472</v>
      </c>
      <c r="BK774" t="s">
        <v>130</v>
      </c>
      <c r="BL774" t="s">
        <v>8473</v>
      </c>
      <c r="BM774" t="s">
        <v>14708</v>
      </c>
      <c r="BN774">
        <v>37175788</v>
      </c>
      <c r="BO774" t="s">
        <v>1728</v>
      </c>
      <c r="BP774" t="s">
        <v>74</v>
      </c>
      <c r="BQ774" t="s">
        <v>74</v>
      </c>
      <c r="BR774" t="s">
        <v>101</v>
      </c>
      <c r="BS774" t="s">
        <v>14709</v>
      </c>
      <c r="BT774" t="str">
        <f>HYPERLINK("https%3A%2F%2Fwww.webofscience.com%2Fwos%2Fwoscc%2Ffull-record%2FWOS:000987520800001","View Full Record in Web of Science")</f>
        <v>View Full Record in Web of Science</v>
      </c>
    </row>
    <row r="775" spans="1:72" x14ac:dyDescent="0.2">
      <c r="A775" t="s">
        <v>103</v>
      </c>
      <c r="B775" t="s">
        <v>14710</v>
      </c>
      <c r="C775" t="s">
        <v>74</v>
      </c>
      <c r="D775" t="s">
        <v>74</v>
      </c>
      <c r="E775" t="s">
        <v>74</v>
      </c>
      <c r="F775" t="s">
        <v>14711</v>
      </c>
      <c r="G775" t="s">
        <v>74</v>
      </c>
      <c r="H775" t="s">
        <v>74</v>
      </c>
      <c r="I775" t="s">
        <v>14712</v>
      </c>
      <c r="J775" t="s">
        <v>4686</v>
      </c>
      <c r="K775" t="s">
        <v>74</v>
      </c>
      <c r="L775" t="s">
        <v>74</v>
      </c>
      <c r="M775" t="s">
        <v>79</v>
      </c>
      <c r="N775" t="s">
        <v>108</v>
      </c>
      <c r="O775" t="s">
        <v>74</v>
      </c>
      <c r="P775" t="s">
        <v>74</v>
      </c>
      <c r="Q775" t="s">
        <v>74</v>
      </c>
      <c r="R775" t="s">
        <v>74</v>
      </c>
      <c r="S775" t="s">
        <v>74</v>
      </c>
      <c r="T775" t="s">
        <v>14713</v>
      </c>
      <c r="U775" t="s">
        <v>14714</v>
      </c>
      <c r="V775" t="s">
        <v>14715</v>
      </c>
      <c r="W775" t="s">
        <v>14716</v>
      </c>
      <c r="X775" t="s">
        <v>14717</v>
      </c>
      <c r="Y775" t="s">
        <v>14718</v>
      </c>
      <c r="Z775" t="s">
        <v>14361</v>
      </c>
      <c r="AA775" t="s">
        <v>14719</v>
      </c>
      <c r="AB775" t="s">
        <v>14720</v>
      </c>
      <c r="AC775" t="s">
        <v>74</v>
      </c>
      <c r="AD775" t="s">
        <v>74</v>
      </c>
      <c r="AE775" t="s">
        <v>74</v>
      </c>
      <c r="AF775" t="s">
        <v>74</v>
      </c>
      <c r="AG775">
        <v>30</v>
      </c>
      <c r="AH775">
        <v>11</v>
      </c>
      <c r="AI775">
        <v>11</v>
      </c>
      <c r="AJ775">
        <v>8</v>
      </c>
      <c r="AK775">
        <v>24</v>
      </c>
      <c r="AL775" t="s">
        <v>2032</v>
      </c>
      <c r="AM775" t="s">
        <v>149</v>
      </c>
      <c r="AN775" t="s">
        <v>2033</v>
      </c>
      <c r="AO775" t="s">
        <v>74</v>
      </c>
      <c r="AP775" t="s">
        <v>4694</v>
      </c>
      <c r="AQ775" t="s">
        <v>74</v>
      </c>
      <c r="AR775" t="s">
        <v>4695</v>
      </c>
      <c r="AS775" t="s">
        <v>4696</v>
      </c>
      <c r="AT775" t="s">
        <v>14721</v>
      </c>
      <c r="AU775">
        <v>2023</v>
      </c>
      <c r="AV775">
        <v>15</v>
      </c>
      <c r="AW775">
        <v>4</v>
      </c>
      <c r="AX775" t="s">
        <v>74</v>
      </c>
      <c r="AY775" t="s">
        <v>74</v>
      </c>
      <c r="AZ775" t="s">
        <v>74</v>
      </c>
      <c r="BA775" t="s">
        <v>74</v>
      </c>
      <c r="BB775" t="s">
        <v>74</v>
      </c>
      <c r="BC775" t="s">
        <v>74</v>
      </c>
      <c r="BD775" t="s">
        <v>74</v>
      </c>
      <c r="BE775" t="s">
        <v>14722</v>
      </c>
      <c r="BF775" t="str">
        <f>HYPERLINK("http://dx.doi.org/10.7759/cureus.38249","http://dx.doi.org/10.7759/cureus.38249")</f>
        <v>http://dx.doi.org/10.7759/cureus.38249</v>
      </c>
      <c r="BG775" t="s">
        <v>74</v>
      </c>
      <c r="BH775" t="s">
        <v>74</v>
      </c>
      <c r="BI775">
        <v>12</v>
      </c>
      <c r="BJ775" t="s">
        <v>3440</v>
      </c>
      <c r="BK775" t="s">
        <v>352</v>
      </c>
      <c r="BL775" t="s">
        <v>3441</v>
      </c>
      <c r="BM775" t="s">
        <v>14723</v>
      </c>
      <c r="BN775">
        <v>37122982</v>
      </c>
      <c r="BO775" t="s">
        <v>4185</v>
      </c>
      <c r="BP775" t="s">
        <v>74</v>
      </c>
      <c r="BQ775" t="s">
        <v>74</v>
      </c>
      <c r="BR775" t="s">
        <v>101</v>
      </c>
      <c r="BS775" t="s">
        <v>14724</v>
      </c>
      <c r="BT775" t="str">
        <f>HYPERLINK("https%3A%2F%2Fwww.webofscience.com%2Fwos%2Fwoscc%2Ffull-record%2FWOS:000996319100029","View Full Record in Web of Science")</f>
        <v>View Full Record in Web of Science</v>
      </c>
    </row>
    <row r="776" spans="1:72" x14ac:dyDescent="0.2">
      <c r="A776" t="s">
        <v>103</v>
      </c>
      <c r="B776" t="s">
        <v>14725</v>
      </c>
      <c r="C776" t="s">
        <v>74</v>
      </c>
      <c r="D776" t="s">
        <v>74</v>
      </c>
      <c r="E776" t="s">
        <v>74</v>
      </c>
      <c r="F776" t="s">
        <v>14726</v>
      </c>
      <c r="G776" t="s">
        <v>74</v>
      </c>
      <c r="H776" t="s">
        <v>74</v>
      </c>
      <c r="I776" t="s">
        <v>14727</v>
      </c>
      <c r="J776" t="s">
        <v>14728</v>
      </c>
      <c r="K776" t="s">
        <v>74</v>
      </c>
      <c r="L776" t="s">
        <v>74</v>
      </c>
      <c r="M776" t="s">
        <v>79</v>
      </c>
      <c r="N776" t="s">
        <v>138</v>
      </c>
      <c r="O776" t="s">
        <v>74</v>
      </c>
      <c r="P776" t="s">
        <v>74</v>
      </c>
      <c r="Q776" t="s">
        <v>74</v>
      </c>
      <c r="R776" t="s">
        <v>74</v>
      </c>
      <c r="S776" t="s">
        <v>74</v>
      </c>
      <c r="T776" t="s">
        <v>14729</v>
      </c>
      <c r="U776" t="s">
        <v>7897</v>
      </c>
      <c r="V776" t="s">
        <v>14730</v>
      </c>
      <c r="W776" t="s">
        <v>14731</v>
      </c>
      <c r="X776" t="s">
        <v>74</v>
      </c>
      <c r="Y776" t="s">
        <v>14732</v>
      </c>
      <c r="Z776" t="s">
        <v>14733</v>
      </c>
      <c r="AA776" t="s">
        <v>74</v>
      </c>
      <c r="AB776" t="s">
        <v>74</v>
      </c>
      <c r="AC776" t="s">
        <v>14734</v>
      </c>
      <c r="AD776" t="s">
        <v>14735</v>
      </c>
      <c r="AE776" t="s">
        <v>14736</v>
      </c>
      <c r="AF776" t="s">
        <v>74</v>
      </c>
      <c r="AG776">
        <v>44</v>
      </c>
      <c r="AH776">
        <v>0</v>
      </c>
      <c r="AI776">
        <v>0</v>
      </c>
      <c r="AJ776">
        <v>2</v>
      </c>
      <c r="AK776">
        <v>2</v>
      </c>
      <c r="AL776" t="s">
        <v>343</v>
      </c>
      <c r="AM776" t="s">
        <v>521</v>
      </c>
      <c r="AN776" t="s">
        <v>522</v>
      </c>
      <c r="AO776" t="s">
        <v>14737</v>
      </c>
      <c r="AP776" t="s">
        <v>14738</v>
      </c>
      <c r="AQ776" t="s">
        <v>74</v>
      </c>
      <c r="AR776" t="s">
        <v>14739</v>
      </c>
      <c r="AS776" t="s">
        <v>14740</v>
      </c>
      <c r="AT776" t="s">
        <v>14741</v>
      </c>
      <c r="AU776">
        <v>2023</v>
      </c>
      <c r="AV776" t="s">
        <v>74</v>
      </c>
      <c r="AW776" t="s">
        <v>74</v>
      </c>
      <c r="AX776" t="s">
        <v>74</v>
      </c>
      <c r="AY776" t="s">
        <v>74</v>
      </c>
      <c r="AZ776" t="s">
        <v>74</v>
      </c>
      <c r="BA776" t="s">
        <v>74</v>
      </c>
      <c r="BB776" t="s">
        <v>74</v>
      </c>
      <c r="BC776" t="s">
        <v>74</v>
      </c>
      <c r="BD776" t="s">
        <v>74</v>
      </c>
      <c r="BE776" t="s">
        <v>14742</v>
      </c>
      <c r="BF776" t="str">
        <f>HYPERLINK("http://dx.doi.org/10.1007/s10844-023-00829-6","http://dx.doi.org/10.1007/s10844-023-00829-6")</f>
        <v>http://dx.doi.org/10.1007/s10844-023-00829-6</v>
      </c>
      <c r="BG776" t="s">
        <v>74</v>
      </c>
      <c r="BH776" t="s">
        <v>157</v>
      </c>
      <c r="BI776">
        <v>19</v>
      </c>
      <c r="BJ776" t="s">
        <v>883</v>
      </c>
      <c r="BK776" t="s">
        <v>130</v>
      </c>
      <c r="BL776" t="s">
        <v>99</v>
      </c>
      <c r="BM776" t="s">
        <v>14743</v>
      </c>
      <c r="BN776" t="s">
        <v>74</v>
      </c>
      <c r="BO776" t="s">
        <v>161</v>
      </c>
      <c r="BP776" t="s">
        <v>74</v>
      </c>
      <c r="BQ776" t="s">
        <v>74</v>
      </c>
      <c r="BR776" t="s">
        <v>101</v>
      </c>
      <c r="BS776" t="s">
        <v>14744</v>
      </c>
      <c r="BT776" t="str">
        <f>HYPERLINK("https%3A%2F%2Fwww.webofscience.com%2Fwos%2Fwoscc%2Ffull-record%2FWOS:001113214700001","View Full Record in Web of Science")</f>
        <v>View Full Record in Web of Science</v>
      </c>
    </row>
    <row r="777" spans="1:72" x14ac:dyDescent="0.2">
      <c r="A777" t="s">
        <v>103</v>
      </c>
      <c r="B777" t="s">
        <v>14745</v>
      </c>
      <c r="C777" t="s">
        <v>74</v>
      </c>
      <c r="D777" t="s">
        <v>74</v>
      </c>
      <c r="E777" t="s">
        <v>74</v>
      </c>
      <c r="F777" t="s">
        <v>14746</v>
      </c>
      <c r="G777" t="s">
        <v>74</v>
      </c>
      <c r="H777" t="s">
        <v>74</v>
      </c>
      <c r="I777" t="s">
        <v>14747</v>
      </c>
      <c r="J777" t="s">
        <v>2466</v>
      </c>
      <c r="K777" t="s">
        <v>74</v>
      </c>
      <c r="L777" t="s">
        <v>74</v>
      </c>
      <c r="M777" t="s">
        <v>79</v>
      </c>
      <c r="N777" t="s">
        <v>108</v>
      </c>
      <c r="O777" t="s">
        <v>74</v>
      </c>
      <c r="P777" t="s">
        <v>74</v>
      </c>
      <c r="Q777" t="s">
        <v>74</v>
      </c>
      <c r="R777" t="s">
        <v>74</v>
      </c>
      <c r="S777" t="s">
        <v>74</v>
      </c>
      <c r="T777" t="s">
        <v>14748</v>
      </c>
      <c r="U777" t="s">
        <v>74</v>
      </c>
      <c r="V777" t="s">
        <v>14749</v>
      </c>
      <c r="W777" t="s">
        <v>14750</v>
      </c>
      <c r="X777" t="s">
        <v>14751</v>
      </c>
      <c r="Y777" t="s">
        <v>14752</v>
      </c>
      <c r="Z777" t="s">
        <v>14753</v>
      </c>
      <c r="AA777" t="s">
        <v>14754</v>
      </c>
      <c r="AB777" t="s">
        <v>14755</v>
      </c>
      <c r="AC777" t="s">
        <v>74</v>
      </c>
      <c r="AD777" t="s">
        <v>74</v>
      </c>
      <c r="AE777" t="s">
        <v>74</v>
      </c>
      <c r="AF777" t="s">
        <v>74</v>
      </c>
      <c r="AG777">
        <v>50</v>
      </c>
      <c r="AH777">
        <v>160</v>
      </c>
      <c r="AI777">
        <v>165</v>
      </c>
      <c r="AJ777">
        <v>241</v>
      </c>
      <c r="AK777">
        <v>873</v>
      </c>
      <c r="AL777" t="s">
        <v>1961</v>
      </c>
      <c r="AM777" t="s">
        <v>1962</v>
      </c>
      <c r="AN777" t="s">
        <v>1963</v>
      </c>
      <c r="AO777" t="s">
        <v>74</v>
      </c>
      <c r="AP777" t="s">
        <v>2474</v>
      </c>
      <c r="AQ777" t="s">
        <v>74</v>
      </c>
      <c r="AR777" t="s">
        <v>2475</v>
      </c>
      <c r="AS777" t="s">
        <v>2476</v>
      </c>
      <c r="AT777" t="s">
        <v>14756</v>
      </c>
      <c r="AU777">
        <v>2023</v>
      </c>
      <c r="AV777">
        <v>10</v>
      </c>
      <c r="AW777">
        <v>1</v>
      </c>
      <c r="AX777" t="s">
        <v>74</v>
      </c>
      <c r="AY777" t="s">
        <v>74</v>
      </c>
      <c r="AZ777" t="s">
        <v>74</v>
      </c>
      <c r="BA777" t="s">
        <v>74</v>
      </c>
      <c r="BB777" t="s">
        <v>74</v>
      </c>
      <c r="BC777" t="s">
        <v>74</v>
      </c>
      <c r="BD777">
        <v>15</v>
      </c>
      <c r="BE777" t="s">
        <v>14757</v>
      </c>
      <c r="BF777" t="str">
        <f>HYPERLINK("http://dx.doi.org/10.1186/s40561-023-00237-x","http://dx.doi.org/10.1186/s40561-023-00237-x")</f>
        <v>http://dx.doi.org/10.1186/s40561-023-00237-x</v>
      </c>
      <c r="BG777" t="s">
        <v>74</v>
      </c>
      <c r="BH777" t="s">
        <v>74</v>
      </c>
      <c r="BI777">
        <v>24</v>
      </c>
      <c r="BJ777" t="s">
        <v>423</v>
      </c>
      <c r="BK777" t="s">
        <v>352</v>
      </c>
      <c r="BL777" t="s">
        <v>423</v>
      </c>
      <c r="BM777" t="s">
        <v>14758</v>
      </c>
      <c r="BN777" t="s">
        <v>74</v>
      </c>
      <c r="BO777" t="s">
        <v>425</v>
      </c>
      <c r="BP777" t="s">
        <v>74</v>
      </c>
      <c r="BQ777" t="s">
        <v>74</v>
      </c>
      <c r="BR777" t="s">
        <v>101</v>
      </c>
      <c r="BS777" t="s">
        <v>14759</v>
      </c>
      <c r="BT777" t="str">
        <f>HYPERLINK("https%3A%2F%2Fwww.webofscience.com%2Fwos%2Fwoscc%2Ffull-record%2FWOS:000935268200001","View Full Record in Web of Science")</f>
        <v>View Full Record in Web of Science</v>
      </c>
    </row>
    <row r="778" spans="1:72" x14ac:dyDescent="0.2">
      <c r="A778" t="s">
        <v>103</v>
      </c>
      <c r="B778" t="s">
        <v>14760</v>
      </c>
      <c r="C778" t="s">
        <v>74</v>
      </c>
      <c r="D778" t="s">
        <v>74</v>
      </c>
      <c r="E778" t="s">
        <v>74</v>
      </c>
      <c r="F778" t="s">
        <v>14761</v>
      </c>
      <c r="G778" t="s">
        <v>74</v>
      </c>
      <c r="H778" t="s">
        <v>74</v>
      </c>
      <c r="I778" t="s">
        <v>14762</v>
      </c>
      <c r="J778" t="s">
        <v>14763</v>
      </c>
      <c r="K778" t="s">
        <v>74</v>
      </c>
      <c r="L778" t="s">
        <v>74</v>
      </c>
      <c r="M778" t="s">
        <v>79</v>
      </c>
      <c r="N778" t="s">
        <v>108</v>
      </c>
      <c r="O778" t="s">
        <v>74</v>
      </c>
      <c r="P778" t="s">
        <v>74</v>
      </c>
      <c r="Q778" t="s">
        <v>74</v>
      </c>
      <c r="R778" t="s">
        <v>74</v>
      </c>
      <c r="S778" t="s">
        <v>74</v>
      </c>
      <c r="T778" t="s">
        <v>14764</v>
      </c>
      <c r="U778" t="s">
        <v>13965</v>
      </c>
      <c r="V778" t="s">
        <v>14765</v>
      </c>
      <c r="W778" t="s">
        <v>14766</v>
      </c>
      <c r="X778" t="s">
        <v>14767</v>
      </c>
      <c r="Y778" t="s">
        <v>14768</v>
      </c>
      <c r="Z778" t="s">
        <v>14769</v>
      </c>
      <c r="AA778" t="s">
        <v>74</v>
      </c>
      <c r="AB778" t="s">
        <v>14770</v>
      </c>
      <c r="AC778" t="s">
        <v>14771</v>
      </c>
      <c r="AD778" t="s">
        <v>14772</v>
      </c>
      <c r="AE778" t="s">
        <v>14773</v>
      </c>
      <c r="AF778" t="s">
        <v>74</v>
      </c>
      <c r="AG778">
        <v>50</v>
      </c>
      <c r="AH778">
        <v>0</v>
      </c>
      <c r="AI778">
        <v>0</v>
      </c>
      <c r="AJ778">
        <v>3</v>
      </c>
      <c r="AK778">
        <v>3</v>
      </c>
      <c r="AL778" t="s">
        <v>939</v>
      </c>
      <c r="AM778" t="s">
        <v>940</v>
      </c>
      <c r="AN778" t="s">
        <v>941</v>
      </c>
      <c r="AO778" t="s">
        <v>74</v>
      </c>
      <c r="AP778" t="s">
        <v>14774</v>
      </c>
      <c r="AQ778" t="s">
        <v>74</v>
      </c>
      <c r="AR778" t="s">
        <v>14775</v>
      </c>
      <c r="AS778" t="s">
        <v>14776</v>
      </c>
      <c r="AT778" t="s">
        <v>771</v>
      </c>
      <c r="AU778">
        <v>2023</v>
      </c>
      <c r="AV778">
        <v>6</v>
      </c>
      <c r="AW778">
        <v>3</v>
      </c>
      <c r="AX778" t="s">
        <v>74</v>
      </c>
      <c r="AY778" t="s">
        <v>74</v>
      </c>
      <c r="AZ778" t="s">
        <v>74</v>
      </c>
      <c r="BA778" t="s">
        <v>74</v>
      </c>
      <c r="BB778">
        <v>907</v>
      </c>
      <c r="BC778">
        <v>919</v>
      </c>
      <c r="BD778" t="s">
        <v>74</v>
      </c>
      <c r="BE778" t="s">
        <v>14777</v>
      </c>
      <c r="BF778" t="str">
        <f>HYPERLINK("http://dx.doi.org/10.3390/stats6030056","http://dx.doi.org/10.3390/stats6030056")</f>
        <v>http://dx.doi.org/10.3390/stats6030056</v>
      </c>
      <c r="BG778" t="s">
        <v>74</v>
      </c>
      <c r="BH778" t="s">
        <v>74</v>
      </c>
      <c r="BI778">
        <v>13</v>
      </c>
      <c r="BJ778" t="s">
        <v>14778</v>
      </c>
      <c r="BK778" t="s">
        <v>352</v>
      </c>
      <c r="BL778" t="s">
        <v>5858</v>
      </c>
      <c r="BM778" t="s">
        <v>14779</v>
      </c>
      <c r="BN778" t="s">
        <v>74</v>
      </c>
      <c r="BO778" t="s">
        <v>425</v>
      </c>
      <c r="BP778" t="s">
        <v>74</v>
      </c>
      <c r="BQ778" t="s">
        <v>74</v>
      </c>
      <c r="BR778" t="s">
        <v>101</v>
      </c>
      <c r="BS778" t="s">
        <v>14780</v>
      </c>
      <c r="BT778" t="str">
        <f>HYPERLINK("https%3A%2F%2Fwww.webofscience.com%2Fwos%2Fwoscc%2Ffull-record%2FWOS:001074155000001","View Full Record in Web of Science")</f>
        <v>View Full Record in Web of Science</v>
      </c>
    </row>
    <row r="779" spans="1:72" x14ac:dyDescent="0.2">
      <c r="A779" t="s">
        <v>103</v>
      </c>
      <c r="B779" t="s">
        <v>14781</v>
      </c>
      <c r="C779" t="s">
        <v>74</v>
      </c>
      <c r="D779" t="s">
        <v>74</v>
      </c>
      <c r="E779" t="s">
        <v>74</v>
      </c>
      <c r="F779" t="s">
        <v>14782</v>
      </c>
      <c r="G779" t="s">
        <v>74</v>
      </c>
      <c r="H779" t="s">
        <v>74</v>
      </c>
      <c r="I779" t="s">
        <v>14783</v>
      </c>
      <c r="J779" t="s">
        <v>14784</v>
      </c>
      <c r="K779" t="s">
        <v>74</v>
      </c>
      <c r="L779" t="s">
        <v>74</v>
      </c>
      <c r="M779" t="s">
        <v>79</v>
      </c>
      <c r="N779" t="s">
        <v>108</v>
      </c>
      <c r="O779" t="s">
        <v>74</v>
      </c>
      <c r="P779" t="s">
        <v>74</v>
      </c>
      <c r="Q779" t="s">
        <v>74</v>
      </c>
      <c r="R779" t="s">
        <v>74</v>
      </c>
      <c r="S779" t="s">
        <v>74</v>
      </c>
      <c r="T779" t="s">
        <v>14785</v>
      </c>
      <c r="U779" t="s">
        <v>74</v>
      </c>
      <c r="V779" t="s">
        <v>14786</v>
      </c>
      <c r="W779" t="s">
        <v>14787</v>
      </c>
      <c r="X779" t="s">
        <v>14788</v>
      </c>
      <c r="Y779" t="s">
        <v>14789</v>
      </c>
      <c r="Z779" t="s">
        <v>14790</v>
      </c>
      <c r="AA779" t="s">
        <v>74</v>
      </c>
      <c r="AB779" t="s">
        <v>14791</v>
      </c>
      <c r="AC779" t="s">
        <v>74</v>
      </c>
      <c r="AD779" t="s">
        <v>74</v>
      </c>
      <c r="AE779" t="s">
        <v>74</v>
      </c>
      <c r="AF779" t="s">
        <v>74</v>
      </c>
      <c r="AG779">
        <v>25</v>
      </c>
      <c r="AH779">
        <v>17</v>
      </c>
      <c r="AI779">
        <v>17</v>
      </c>
      <c r="AJ779">
        <v>35</v>
      </c>
      <c r="AK779">
        <v>119</v>
      </c>
      <c r="AL779" t="s">
        <v>939</v>
      </c>
      <c r="AM779" t="s">
        <v>940</v>
      </c>
      <c r="AN779" t="s">
        <v>941</v>
      </c>
      <c r="AO779" t="s">
        <v>74</v>
      </c>
      <c r="AP779" t="s">
        <v>14792</v>
      </c>
      <c r="AQ779" t="s">
        <v>74</v>
      </c>
      <c r="AR779" t="s">
        <v>14793</v>
      </c>
      <c r="AS779" t="s">
        <v>14794</v>
      </c>
      <c r="AT779" t="s">
        <v>126</v>
      </c>
      <c r="AU779">
        <v>2023</v>
      </c>
      <c r="AV779">
        <v>11</v>
      </c>
      <c r="AW779">
        <v>3</v>
      </c>
      <c r="AX779" t="s">
        <v>74</v>
      </c>
      <c r="AY779" t="s">
        <v>74</v>
      </c>
      <c r="AZ779" t="s">
        <v>74</v>
      </c>
      <c r="BA779" t="s">
        <v>74</v>
      </c>
      <c r="BB779" t="s">
        <v>74</v>
      </c>
      <c r="BC779" t="s">
        <v>74</v>
      </c>
      <c r="BD779">
        <v>120</v>
      </c>
      <c r="BE779" t="s">
        <v>14795</v>
      </c>
      <c r="BF779" t="str">
        <f>HYPERLINK("http://dx.doi.org/10.3390/systems11030120","http://dx.doi.org/10.3390/systems11030120")</f>
        <v>http://dx.doi.org/10.3390/systems11030120</v>
      </c>
      <c r="BG779" t="s">
        <v>74</v>
      </c>
      <c r="BH779" t="s">
        <v>74</v>
      </c>
      <c r="BI779">
        <v>18</v>
      </c>
      <c r="BJ779" t="s">
        <v>617</v>
      </c>
      <c r="BK779" t="s">
        <v>159</v>
      </c>
      <c r="BL779" t="s">
        <v>618</v>
      </c>
      <c r="BM779" t="s">
        <v>14796</v>
      </c>
      <c r="BN779" t="s">
        <v>74</v>
      </c>
      <c r="BO779" t="s">
        <v>1071</v>
      </c>
      <c r="BP779" t="s">
        <v>1434</v>
      </c>
      <c r="BQ779" t="s">
        <v>1912</v>
      </c>
      <c r="BR779" t="s">
        <v>101</v>
      </c>
      <c r="BS779" t="s">
        <v>14797</v>
      </c>
      <c r="BT779" t="str">
        <f>HYPERLINK("https%3A%2F%2Fwww.webofscience.com%2Fwos%2Fwoscc%2Ffull-record%2FWOS:000958581600001","View Full Record in Web of Science")</f>
        <v>View Full Record in Web of Science</v>
      </c>
    </row>
    <row r="780" spans="1:72" x14ac:dyDescent="0.2">
      <c r="A780" t="s">
        <v>103</v>
      </c>
      <c r="B780" t="s">
        <v>14798</v>
      </c>
      <c r="C780" t="s">
        <v>74</v>
      </c>
      <c r="D780" t="s">
        <v>74</v>
      </c>
      <c r="E780" t="s">
        <v>74</v>
      </c>
      <c r="F780" t="s">
        <v>14799</v>
      </c>
      <c r="G780" t="s">
        <v>74</v>
      </c>
      <c r="H780" t="s">
        <v>74</v>
      </c>
      <c r="I780" t="s">
        <v>14800</v>
      </c>
      <c r="J780" t="s">
        <v>14801</v>
      </c>
      <c r="K780" t="s">
        <v>74</v>
      </c>
      <c r="L780" t="s">
        <v>74</v>
      </c>
      <c r="M780" t="s">
        <v>79</v>
      </c>
      <c r="N780" t="s">
        <v>108</v>
      </c>
      <c r="O780" t="s">
        <v>74</v>
      </c>
      <c r="P780" t="s">
        <v>74</v>
      </c>
      <c r="Q780" t="s">
        <v>74</v>
      </c>
      <c r="R780" t="s">
        <v>74</v>
      </c>
      <c r="S780" t="s">
        <v>74</v>
      </c>
      <c r="T780" t="s">
        <v>14802</v>
      </c>
      <c r="U780" t="s">
        <v>14803</v>
      </c>
      <c r="V780" t="s">
        <v>14804</v>
      </c>
      <c r="W780" t="s">
        <v>14805</v>
      </c>
      <c r="X780" t="s">
        <v>14806</v>
      </c>
      <c r="Y780" t="s">
        <v>14807</v>
      </c>
      <c r="Z780" t="s">
        <v>14808</v>
      </c>
      <c r="AA780" t="s">
        <v>14809</v>
      </c>
      <c r="AB780" t="s">
        <v>74</v>
      </c>
      <c r="AC780" t="s">
        <v>14810</v>
      </c>
      <c r="AD780" t="s">
        <v>14811</v>
      </c>
      <c r="AE780" t="s">
        <v>14812</v>
      </c>
      <c r="AF780" t="s">
        <v>74</v>
      </c>
      <c r="AG780">
        <v>44</v>
      </c>
      <c r="AH780">
        <v>0</v>
      </c>
      <c r="AI780">
        <v>0</v>
      </c>
      <c r="AJ780">
        <v>9</v>
      </c>
      <c r="AK780">
        <v>18</v>
      </c>
      <c r="AL780" t="s">
        <v>270</v>
      </c>
      <c r="AM780" t="s">
        <v>120</v>
      </c>
      <c r="AN780" t="s">
        <v>271</v>
      </c>
      <c r="AO780" t="s">
        <v>14813</v>
      </c>
      <c r="AP780" t="s">
        <v>14814</v>
      </c>
      <c r="AQ780" t="s">
        <v>74</v>
      </c>
      <c r="AR780" t="s">
        <v>14815</v>
      </c>
      <c r="AS780" t="s">
        <v>14816</v>
      </c>
      <c r="AT780" t="s">
        <v>14817</v>
      </c>
      <c r="AU780">
        <v>2023</v>
      </c>
      <c r="AV780">
        <v>389</v>
      </c>
      <c r="AW780" t="s">
        <v>74</v>
      </c>
      <c r="AX780" t="s">
        <v>74</v>
      </c>
      <c r="AY780" t="s">
        <v>74</v>
      </c>
      <c r="AZ780" t="s">
        <v>74</v>
      </c>
      <c r="BA780" t="s">
        <v>74</v>
      </c>
      <c r="BB780" t="s">
        <v>74</v>
      </c>
      <c r="BC780" t="s">
        <v>74</v>
      </c>
      <c r="BD780">
        <v>136117</v>
      </c>
      <c r="BE780" t="s">
        <v>14818</v>
      </c>
      <c r="BF780" t="str">
        <f>HYPERLINK("http://dx.doi.org/10.1016/j.jclepro.2023.136117","http://dx.doi.org/10.1016/j.jclepro.2023.136117")</f>
        <v>http://dx.doi.org/10.1016/j.jclepro.2023.136117</v>
      </c>
      <c r="BG780" t="s">
        <v>74</v>
      </c>
      <c r="BH780" t="s">
        <v>7345</v>
      </c>
      <c r="BI780">
        <v>9</v>
      </c>
      <c r="BJ780" t="s">
        <v>14819</v>
      </c>
      <c r="BK780" t="s">
        <v>130</v>
      </c>
      <c r="BL780" t="s">
        <v>14820</v>
      </c>
      <c r="BM780" t="s">
        <v>14821</v>
      </c>
      <c r="BN780" t="s">
        <v>74</v>
      </c>
      <c r="BO780" t="s">
        <v>74</v>
      </c>
      <c r="BP780" t="s">
        <v>74</v>
      </c>
      <c r="BQ780" t="s">
        <v>74</v>
      </c>
      <c r="BR780" t="s">
        <v>101</v>
      </c>
      <c r="BS780" t="s">
        <v>14822</v>
      </c>
      <c r="BT780" t="str">
        <f>HYPERLINK("https%3A%2F%2Fwww.webofscience.com%2Fwos%2Fwoscc%2Ffull-record%2FWOS:000963911400001","View Full Record in Web of Science")</f>
        <v>View Full Record in Web of Science</v>
      </c>
    </row>
    <row r="781" spans="1:72" x14ac:dyDescent="0.2">
      <c r="A781" t="s">
        <v>103</v>
      </c>
      <c r="B781" t="s">
        <v>14823</v>
      </c>
      <c r="C781" t="s">
        <v>74</v>
      </c>
      <c r="D781" t="s">
        <v>74</v>
      </c>
      <c r="E781" t="s">
        <v>74</v>
      </c>
      <c r="F781" t="s">
        <v>14824</v>
      </c>
      <c r="G781" t="s">
        <v>74</v>
      </c>
      <c r="H781" t="s">
        <v>74</v>
      </c>
      <c r="I781" t="s">
        <v>14825</v>
      </c>
      <c r="J781" t="s">
        <v>14826</v>
      </c>
      <c r="K781" t="s">
        <v>74</v>
      </c>
      <c r="L781" t="s">
        <v>74</v>
      </c>
      <c r="M781" t="s">
        <v>79</v>
      </c>
      <c r="N781" t="s">
        <v>108</v>
      </c>
      <c r="O781" t="s">
        <v>74</v>
      </c>
      <c r="P781" t="s">
        <v>74</v>
      </c>
      <c r="Q781" t="s">
        <v>74</v>
      </c>
      <c r="R781" t="s">
        <v>74</v>
      </c>
      <c r="S781" t="s">
        <v>74</v>
      </c>
      <c r="T781" t="s">
        <v>74</v>
      </c>
      <c r="U781" t="s">
        <v>74</v>
      </c>
      <c r="V781" t="s">
        <v>14827</v>
      </c>
      <c r="W781" t="s">
        <v>14828</v>
      </c>
      <c r="X781" t="s">
        <v>14829</v>
      </c>
      <c r="Y781" t="s">
        <v>14830</v>
      </c>
      <c r="Z781" t="s">
        <v>14831</v>
      </c>
      <c r="AA781" t="s">
        <v>74</v>
      </c>
      <c r="AB781" t="s">
        <v>74</v>
      </c>
      <c r="AC781" t="s">
        <v>14832</v>
      </c>
      <c r="AD781" t="s">
        <v>14833</v>
      </c>
      <c r="AE781" t="s">
        <v>14834</v>
      </c>
      <c r="AF781" t="s">
        <v>74</v>
      </c>
      <c r="AG781">
        <v>35</v>
      </c>
      <c r="AH781">
        <v>6</v>
      </c>
      <c r="AI781">
        <v>7</v>
      </c>
      <c r="AJ781">
        <v>64</v>
      </c>
      <c r="AK781">
        <v>85</v>
      </c>
      <c r="AL781" t="s">
        <v>14835</v>
      </c>
      <c r="AM781" t="s">
        <v>14836</v>
      </c>
      <c r="AN781" t="s">
        <v>14837</v>
      </c>
      <c r="AO781" t="s">
        <v>14838</v>
      </c>
      <c r="AP781" t="s">
        <v>14839</v>
      </c>
      <c r="AQ781" t="s">
        <v>74</v>
      </c>
      <c r="AR781" t="s">
        <v>14840</v>
      </c>
      <c r="AS781" t="s">
        <v>14841</v>
      </c>
      <c r="AT781" t="s">
        <v>771</v>
      </c>
      <c r="AU781">
        <v>2023</v>
      </c>
      <c r="AV781">
        <v>177</v>
      </c>
      <c r="AW781" t="s">
        <v>74</v>
      </c>
      <c r="AX781" t="s">
        <v>74</v>
      </c>
      <c r="AY781" t="s">
        <v>74</v>
      </c>
      <c r="AZ781" t="s">
        <v>74</v>
      </c>
      <c r="BA781" t="s">
        <v>74</v>
      </c>
      <c r="BB781" t="s">
        <v>74</v>
      </c>
      <c r="BC781" t="s">
        <v>74</v>
      </c>
      <c r="BD781">
        <v>105173</v>
      </c>
      <c r="BE781" t="s">
        <v>14842</v>
      </c>
      <c r="BF781" t="str">
        <f>HYPERLINK("http://dx.doi.org/10.1016/j.ijmedinf.2023.105173","http://dx.doi.org/10.1016/j.ijmedinf.2023.105173")</f>
        <v>http://dx.doi.org/10.1016/j.ijmedinf.2023.105173</v>
      </c>
      <c r="BG781" t="s">
        <v>74</v>
      </c>
      <c r="BH781" t="s">
        <v>255</v>
      </c>
      <c r="BI781">
        <v>6</v>
      </c>
      <c r="BJ781" t="s">
        <v>14843</v>
      </c>
      <c r="BK781" t="s">
        <v>130</v>
      </c>
      <c r="BL781" t="s">
        <v>14844</v>
      </c>
      <c r="BM781" t="s">
        <v>14845</v>
      </c>
      <c r="BN781">
        <v>37549499</v>
      </c>
      <c r="BO781" t="s">
        <v>74</v>
      </c>
      <c r="BP781" t="s">
        <v>74</v>
      </c>
      <c r="BQ781" t="s">
        <v>74</v>
      </c>
      <c r="BR781" t="s">
        <v>101</v>
      </c>
      <c r="BS781" t="s">
        <v>14846</v>
      </c>
      <c r="BT781" t="str">
        <f>HYPERLINK("https%3A%2F%2Fwww.webofscience.com%2Fwos%2Fwoscc%2Ffull-record%2FWOS:001055416700001","View Full Record in Web of Science")</f>
        <v>View Full Record in Web of Science</v>
      </c>
    </row>
    <row r="782" spans="1:72" x14ac:dyDescent="0.2">
      <c r="A782" t="s">
        <v>103</v>
      </c>
      <c r="B782" t="s">
        <v>14847</v>
      </c>
      <c r="C782" t="s">
        <v>74</v>
      </c>
      <c r="D782" t="s">
        <v>74</v>
      </c>
      <c r="E782" t="s">
        <v>74</v>
      </c>
      <c r="F782" t="s">
        <v>14848</v>
      </c>
      <c r="G782" t="s">
        <v>74</v>
      </c>
      <c r="H782" t="s">
        <v>74</v>
      </c>
      <c r="I782" t="s">
        <v>14849</v>
      </c>
      <c r="J782" t="s">
        <v>3761</v>
      </c>
      <c r="K782" t="s">
        <v>74</v>
      </c>
      <c r="L782" t="s">
        <v>74</v>
      </c>
      <c r="M782" t="s">
        <v>79</v>
      </c>
      <c r="N782" t="s">
        <v>108</v>
      </c>
      <c r="O782" t="s">
        <v>74</v>
      </c>
      <c r="P782" t="s">
        <v>74</v>
      </c>
      <c r="Q782" t="s">
        <v>74</v>
      </c>
      <c r="R782" t="s">
        <v>74</v>
      </c>
      <c r="S782" t="s">
        <v>74</v>
      </c>
      <c r="T782" t="s">
        <v>14850</v>
      </c>
      <c r="U782" t="s">
        <v>74</v>
      </c>
      <c r="V782" t="s">
        <v>14851</v>
      </c>
      <c r="W782" t="s">
        <v>14852</v>
      </c>
      <c r="X782" t="s">
        <v>13433</v>
      </c>
      <c r="Y782" t="s">
        <v>14853</v>
      </c>
      <c r="Z782" t="s">
        <v>14854</v>
      </c>
      <c r="AA782" t="s">
        <v>14855</v>
      </c>
      <c r="AB782" t="s">
        <v>14856</v>
      </c>
      <c r="AC782" t="s">
        <v>74</v>
      </c>
      <c r="AD782" t="s">
        <v>74</v>
      </c>
      <c r="AE782" t="s">
        <v>74</v>
      </c>
      <c r="AF782" t="s">
        <v>74</v>
      </c>
      <c r="AG782">
        <v>13</v>
      </c>
      <c r="AH782">
        <v>13</v>
      </c>
      <c r="AI782">
        <v>13</v>
      </c>
      <c r="AJ782">
        <v>20</v>
      </c>
      <c r="AK782">
        <v>46</v>
      </c>
      <c r="AL782" t="s">
        <v>1987</v>
      </c>
      <c r="AM782" t="s">
        <v>149</v>
      </c>
      <c r="AN782" t="s">
        <v>1988</v>
      </c>
      <c r="AO782" t="s">
        <v>3772</v>
      </c>
      <c r="AP782" t="s">
        <v>74</v>
      </c>
      <c r="AQ782" t="s">
        <v>74</v>
      </c>
      <c r="AR782" t="s">
        <v>3773</v>
      </c>
      <c r="AS782" t="s">
        <v>3774</v>
      </c>
      <c r="AT782" t="s">
        <v>14857</v>
      </c>
      <c r="AU782">
        <v>2023</v>
      </c>
      <c r="AV782">
        <v>19</v>
      </c>
      <c r="AW782">
        <v>1</v>
      </c>
      <c r="AX782" t="s">
        <v>74</v>
      </c>
      <c r="AY782" t="s">
        <v>74</v>
      </c>
      <c r="AZ782" t="s">
        <v>74</v>
      </c>
      <c r="BA782" t="s">
        <v>74</v>
      </c>
      <c r="BB782" t="s">
        <v>74</v>
      </c>
      <c r="BC782" t="s">
        <v>74</v>
      </c>
      <c r="BD782">
        <v>10</v>
      </c>
      <c r="BE782" t="s">
        <v>14858</v>
      </c>
      <c r="BF782" t="str">
        <f>HYPERLINK("http://dx.doi.org/10.1007/s40979-023-00131-6","http://dx.doi.org/10.1007/s40979-023-00131-6")</f>
        <v>http://dx.doi.org/10.1007/s40979-023-00131-6</v>
      </c>
      <c r="BG782" t="s">
        <v>74</v>
      </c>
      <c r="BH782" t="s">
        <v>74</v>
      </c>
      <c r="BI782">
        <v>14</v>
      </c>
      <c r="BJ782" t="s">
        <v>423</v>
      </c>
      <c r="BK782" t="s">
        <v>352</v>
      </c>
      <c r="BL782" t="s">
        <v>423</v>
      </c>
      <c r="BM782" t="s">
        <v>14859</v>
      </c>
      <c r="BN782" t="s">
        <v>74</v>
      </c>
      <c r="BO782" t="s">
        <v>1728</v>
      </c>
      <c r="BP782" t="s">
        <v>74</v>
      </c>
      <c r="BQ782" t="s">
        <v>74</v>
      </c>
      <c r="BR782" t="s">
        <v>101</v>
      </c>
      <c r="BS782" t="s">
        <v>14860</v>
      </c>
      <c r="BT782" t="str">
        <f>HYPERLINK("https%3A%2F%2Fwww.webofscience.com%2Fwos%2Fwoscc%2Ffull-record%2FWOS:000998947100001","View Full Record in Web of Science")</f>
        <v>View Full Record in Web of Science</v>
      </c>
    </row>
    <row r="783" spans="1:72" x14ac:dyDescent="0.2">
      <c r="A783" t="s">
        <v>103</v>
      </c>
      <c r="B783" t="s">
        <v>14861</v>
      </c>
      <c r="C783" t="s">
        <v>74</v>
      </c>
      <c r="D783" t="s">
        <v>74</v>
      </c>
      <c r="E783" t="s">
        <v>74</v>
      </c>
      <c r="F783" t="s">
        <v>14862</v>
      </c>
      <c r="G783" t="s">
        <v>74</v>
      </c>
      <c r="H783" t="s">
        <v>74</v>
      </c>
      <c r="I783" t="s">
        <v>14863</v>
      </c>
      <c r="J783" t="s">
        <v>1370</v>
      </c>
      <c r="K783" t="s">
        <v>74</v>
      </c>
      <c r="L783" t="s">
        <v>74</v>
      </c>
      <c r="M783" t="s">
        <v>79</v>
      </c>
      <c r="N783" t="s">
        <v>108</v>
      </c>
      <c r="O783" t="s">
        <v>74</v>
      </c>
      <c r="P783" t="s">
        <v>74</v>
      </c>
      <c r="Q783" t="s">
        <v>74</v>
      </c>
      <c r="R783" t="s">
        <v>74</v>
      </c>
      <c r="S783" t="s">
        <v>74</v>
      </c>
      <c r="T783" t="s">
        <v>14864</v>
      </c>
      <c r="U783" t="s">
        <v>74</v>
      </c>
      <c r="V783" t="s">
        <v>14865</v>
      </c>
      <c r="W783" t="s">
        <v>14866</v>
      </c>
      <c r="X783" t="s">
        <v>14867</v>
      </c>
      <c r="Y783" t="s">
        <v>14868</v>
      </c>
      <c r="Z783" t="s">
        <v>14869</v>
      </c>
      <c r="AA783" t="s">
        <v>74</v>
      </c>
      <c r="AB783" t="s">
        <v>74</v>
      </c>
      <c r="AC783" t="s">
        <v>14870</v>
      </c>
      <c r="AD783" t="s">
        <v>14867</v>
      </c>
      <c r="AE783" t="s">
        <v>14871</v>
      </c>
      <c r="AF783" t="s">
        <v>74</v>
      </c>
      <c r="AG783">
        <v>24</v>
      </c>
      <c r="AH783">
        <v>0</v>
      </c>
      <c r="AI783">
        <v>0</v>
      </c>
      <c r="AJ783">
        <v>77</v>
      </c>
      <c r="AK783">
        <v>77</v>
      </c>
      <c r="AL783" t="s">
        <v>1379</v>
      </c>
      <c r="AM783" t="s">
        <v>1380</v>
      </c>
      <c r="AN783" t="s">
        <v>1381</v>
      </c>
      <c r="AO783" t="s">
        <v>1382</v>
      </c>
      <c r="AP783" t="s">
        <v>74</v>
      </c>
      <c r="AQ783" t="s">
        <v>74</v>
      </c>
      <c r="AR783" t="s">
        <v>1370</v>
      </c>
      <c r="AS783" t="s">
        <v>1383</v>
      </c>
      <c r="AT783" t="s">
        <v>74</v>
      </c>
      <c r="AU783">
        <v>2023</v>
      </c>
      <c r="AV783">
        <v>11</v>
      </c>
      <c r="AW783" t="s">
        <v>74</v>
      </c>
      <c r="AX783" t="s">
        <v>74</v>
      </c>
      <c r="AY783" t="s">
        <v>74</v>
      </c>
      <c r="AZ783" t="s">
        <v>74</v>
      </c>
      <c r="BA783" t="s">
        <v>74</v>
      </c>
      <c r="BB783">
        <v>116695</v>
      </c>
      <c r="BC783">
        <v>116705</v>
      </c>
      <c r="BD783" t="s">
        <v>74</v>
      </c>
      <c r="BE783" t="s">
        <v>14872</v>
      </c>
      <c r="BF783" t="str">
        <f>HYPERLINK("http://dx.doi.org/10.1109/ACCESS.2023.3325741","http://dx.doi.org/10.1109/ACCESS.2023.3325741")</f>
        <v>http://dx.doi.org/10.1109/ACCESS.2023.3325741</v>
      </c>
      <c r="BG783" t="s">
        <v>74</v>
      </c>
      <c r="BH783" t="s">
        <v>74</v>
      </c>
      <c r="BI783">
        <v>11</v>
      </c>
      <c r="BJ783" t="s">
        <v>1385</v>
      </c>
      <c r="BK783" t="s">
        <v>130</v>
      </c>
      <c r="BL783" t="s">
        <v>1386</v>
      </c>
      <c r="BM783" t="s">
        <v>14873</v>
      </c>
      <c r="BN783" t="s">
        <v>74</v>
      </c>
      <c r="BO783" t="s">
        <v>425</v>
      </c>
      <c r="BP783" t="s">
        <v>74</v>
      </c>
      <c r="BQ783" t="s">
        <v>74</v>
      </c>
      <c r="BR783" t="s">
        <v>101</v>
      </c>
      <c r="BS783" t="s">
        <v>14874</v>
      </c>
      <c r="BT783" t="str">
        <f>HYPERLINK("https%3A%2F%2Fwww.webofscience.com%2Fwos%2Fwoscc%2Ffull-record%2FWOS:001096979600001","View Full Record in Web of Science")</f>
        <v>View Full Record in Web of Science</v>
      </c>
    </row>
    <row r="784" spans="1:72" x14ac:dyDescent="0.2">
      <c r="A784" t="s">
        <v>103</v>
      </c>
      <c r="B784" t="s">
        <v>14875</v>
      </c>
      <c r="C784" t="s">
        <v>74</v>
      </c>
      <c r="D784" t="s">
        <v>74</v>
      </c>
      <c r="E784" t="s">
        <v>74</v>
      </c>
      <c r="F784" t="s">
        <v>14876</v>
      </c>
      <c r="G784" t="s">
        <v>74</v>
      </c>
      <c r="H784" t="s">
        <v>74</v>
      </c>
      <c r="I784" t="s">
        <v>14877</v>
      </c>
      <c r="J784" t="s">
        <v>14878</v>
      </c>
      <c r="K784" t="s">
        <v>74</v>
      </c>
      <c r="L784" t="s">
        <v>74</v>
      </c>
      <c r="M784" t="s">
        <v>79</v>
      </c>
      <c r="N784" t="s">
        <v>108</v>
      </c>
      <c r="O784" t="s">
        <v>74</v>
      </c>
      <c r="P784" t="s">
        <v>74</v>
      </c>
      <c r="Q784" t="s">
        <v>74</v>
      </c>
      <c r="R784" t="s">
        <v>74</v>
      </c>
      <c r="S784" t="s">
        <v>74</v>
      </c>
      <c r="T784" t="s">
        <v>14879</v>
      </c>
      <c r="U784" t="s">
        <v>14880</v>
      </c>
      <c r="V784" t="s">
        <v>14881</v>
      </c>
      <c r="W784" t="s">
        <v>14882</v>
      </c>
      <c r="X784" t="s">
        <v>14883</v>
      </c>
      <c r="Y784" t="s">
        <v>14884</v>
      </c>
      <c r="Z784" t="s">
        <v>14885</v>
      </c>
      <c r="AA784" t="s">
        <v>74</v>
      </c>
      <c r="AB784" t="s">
        <v>74</v>
      </c>
      <c r="AC784" t="s">
        <v>14886</v>
      </c>
      <c r="AD784" t="s">
        <v>14887</v>
      </c>
      <c r="AE784" t="s">
        <v>14888</v>
      </c>
      <c r="AF784" t="s">
        <v>74</v>
      </c>
      <c r="AG784">
        <v>34</v>
      </c>
      <c r="AH784">
        <v>0</v>
      </c>
      <c r="AI784">
        <v>0</v>
      </c>
      <c r="AJ784">
        <v>3</v>
      </c>
      <c r="AK784">
        <v>3</v>
      </c>
      <c r="AL784" t="s">
        <v>14889</v>
      </c>
      <c r="AM784" t="s">
        <v>5726</v>
      </c>
      <c r="AN784" t="s">
        <v>14890</v>
      </c>
      <c r="AO784" t="s">
        <v>74</v>
      </c>
      <c r="AP784" t="s">
        <v>14891</v>
      </c>
      <c r="AQ784" t="s">
        <v>74</v>
      </c>
      <c r="AR784" t="s">
        <v>14892</v>
      </c>
      <c r="AS784" t="s">
        <v>14893</v>
      </c>
      <c r="AT784" t="s">
        <v>6824</v>
      </c>
      <c r="AU784">
        <v>2023</v>
      </c>
      <c r="AV784">
        <v>17</v>
      </c>
      <c r="AW784">
        <v>3</v>
      </c>
      <c r="AX784" t="s">
        <v>74</v>
      </c>
      <c r="AY784" t="s">
        <v>74</v>
      </c>
      <c r="AZ784" t="s">
        <v>74</v>
      </c>
      <c r="BA784" t="s">
        <v>74</v>
      </c>
      <c r="BB784" t="s">
        <v>74</v>
      </c>
      <c r="BC784" t="s">
        <v>74</v>
      </c>
      <c r="BD784">
        <v>36501</v>
      </c>
      <c r="BE784" t="s">
        <v>14894</v>
      </c>
      <c r="BF784" t="str">
        <f>HYPERLINK("http://dx.doi.org/10.1117/1.JRS.17.036501","http://dx.doi.org/10.1117/1.JRS.17.036501")</f>
        <v>http://dx.doi.org/10.1117/1.JRS.17.036501</v>
      </c>
      <c r="BG784" t="s">
        <v>74</v>
      </c>
      <c r="BH784" t="s">
        <v>74</v>
      </c>
      <c r="BI784">
        <v>17</v>
      </c>
      <c r="BJ784" t="s">
        <v>14895</v>
      </c>
      <c r="BK784" t="s">
        <v>130</v>
      </c>
      <c r="BL784" t="s">
        <v>14896</v>
      </c>
      <c r="BM784" t="s">
        <v>14897</v>
      </c>
      <c r="BN784" t="s">
        <v>74</v>
      </c>
      <c r="BO784" t="s">
        <v>74</v>
      </c>
      <c r="BP784" t="s">
        <v>74</v>
      </c>
      <c r="BQ784" t="s">
        <v>74</v>
      </c>
      <c r="BR784" t="s">
        <v>101</v>
      </c>
      <c r="BS784" t="s">
        <v>14898</v>
      </c>
      <c r="BT784" t="str">
        <f>HYPERLINK("https%3A%2F%2Fwww.webofscience.com%2Fwos%2Fwoscc%2Ffull-record%2FWOS:001077860300020","View Full Record in Web of Science")</f>
        <v>View Full Record in Web of Science</v>
      </c>
    </row>
    <row r="785" spans="1:72" x14ac:dyDescent="0.2">
      <c r="A785" t="s">
        <v>72</v>
      </c>
      <c r="B785" t="s">
        <v>14899</v>
      </c>
      <c r="C785" t="s">
        <v>74</v>
      </c>
      <c r="D785" t="s">
        <v>14900</v>
      </c>
      <c r="E785" t="s">
        <v>74</v>
      </c>
      <c r="F785" t="s">
        <v>14901</v>
      </c>
      <c r="G785" t="s">
        <v>74</v>
      </c>
      <c r="H785" t="s">
        <v>74</v>
      </c>
      <c r="I785" t="s">
        <v>14902</v>
      </c>
      <c r="J785" t="s">
        <v>14903</v>
      </c>
      <c r="K785" t="s">
        <v>312</v>
      </c>
      <c r="L785" t="s">
        <v>74</v>
      </c>
      <c r="M785" t="s">
        <v>79</v>
      </c>
      <c r="N785" t="s">
        <v>80</v>
      </c>
      <c r="O785" t="s">
        <v>14904</v>
      </c>
      <c r="P785" t="s">
        <v>14905</v>
      </c>
      <c r="Q785" t="s">
        <v>6017</v>
      </c>
      <c r="R785" t="s">
        <v>74</v>
      </c>
      <c r="S785" t="s">
        <v>74</v>
      </c>
      <c r="T785" t="s">
        <v>14906</v>
      </c>
      <c r="U785" t="s">
        <v>14907</v>
      </c>
      <c r="V785" t="s">
        <v>14908</v>
      </c>
      <c r="W785" t="s">
        <v>14909</v>
      </c>
      <c r="X785" t="s">
        <v>14910</v>
      </c>
      <c r="Y785" t="s">
        <v>14911</v>
      </c>
      <c r="Z785" t="s">
        <v>14912</v>
      </c>
      <c r="AA785" t="s">
        <v>74</v>
      </c>
      <c r="AB785" t="s">
        <v>14913</v>
      </c>
      <c r="AC785" t="s">
        <v>14914</v>
      </c>
      <c r="AD785" t="s">
        <v>14915</v>
      </c>
      <c r="AE785" t="s">
        <v>14916</v>
      </c>
      <c r="AF785" t="s">
        <v>74</v>
      </c>
      <c r="AG785">
        <v>29</v>
      </c>
      <c r="AH785">
        <v>1</v>
      </c>
      <c r="AI785">
        <v>1</v>
      </c>
      <c r="AJ785">
        <v>0</v>
      </c>
      <c r="AK785">
        <v>0</v>
      </c>
      <c r="AL785" t="s">
        <v>325</v>
      </c>
      <c r="AM785" t="s">
        <v>245</v>
      </c>
      <c r="AN785" t="s">
        <v>246</v>
      </c>
      <c r="AO785" t="s">
        <v>326</v>
      </c>
      <c r="AP785" t="s">
        <v>327</v>
      </c>
      <c r="AQ785" t="s">
        <v>14917</v>
      </c>
      <c r="AR785" t="s">
        <v>329</v>
      </c>
      <c r="AS785" t="s">
        <v>74</v>
      </c>
      <c r="AT785" t="s">
        <v>74</v>
      </c>
      <c r="AU785">
        <v>2023</v>
      </c>
      <c r="AV785">
        <v>14096</v>
      </c>
      <c r="AW785" t="s">
        <v>74</v>
      </c>
      <c r="AX785" t="s">
        <v>74</v>
      </c>
      <c r="AY785" t="s">
        <v>74</v>
      </c>
      <c r="AZ785" t="s">
        <v>74</v>
      </c>
      <c r="BA785" t="s">
        <v>74</v>
      </c>
      <c r="BB785">
        <v>62</v>
      </c>
      <c r="BC785">
        <v>71</v>
      </c>
      <c r="BD785" t="s">
        <v>74</v>
      </c>
      <c r="BE785" t="s">
        <v>14918</v>
      </c>
      <c r="BF785" t="str">
        <f>HYPERLINK("http://dx.doi.org/10.1007/978-3-031-44013-7_7","http://dx.doi.org/10.1007/978-3-031-44013-7_7")</f>
        <v>http://dx.doi.org/10.1007/978-3-031-44013-7_7</v>
      </c>
      <c r="BG785" t="s">
        <v>74</v>
      </c>
      <c r="BH785" t="s">
        <v>74</v>
      </c>
      <c r="BI785">
        <v>10</v>
      </c>
      <c r="BJ785" t="s">
        <v>14919</v>
      </c>
      <c r="BK785" t="s">
        <v>98</v>
      </c>
      <c r="BL785" t="s">
        <v>14920</v>
      </c>
      <c r="BM785" t="s">
        <v>14921</v>
      </c>
      <c r="BN785" t="s">
        <v>74</v>
      </c>
      <c r="BO785" t="s">
        <v>74</v>
      </c>
      <c r="BP785" t="s">
        <v>74</v>
      </c>
      <c r="BQ785" t="s">
        <v>74</v>
      </c>
      <c r="BR785" t="s">
        <v>101</v>
      </c>
      <c r="BS785" t="s">
        <v>14922</v>
      </c>
      <c r="BT785" t="str">
        <f>HYPERLINK("https%3A%2F%2Fwww.webofscience.com%2Fwos%2Fwoscc%2Ffull-record%2FWOS:001116062200007","View Full Record in Web of Science")</f>
        <v>View Full Record in Web of Science</v>
      </c>
    </row>
    <row r="786" spans="1:72" x14ac:dyDescent="0.2">
      <c r="A786" t="s">
        <v>103</v>
      </c>
      <c r="B786" t="s">
        <v>14923</v>
      </c>
      <c r="C786" t="s">
        <v>74</v>
      </c>
      <c r="D786" t="s">
        <v>74</v>
      </c>
      <c r="E786" t="s">
        <v>74</v>
      </c>
      <c r="F786" t="s">
        <v>14924</v>
      </c>
      <c r="G786" t="s">
        <v>74</v>
      </c>
      <c r="H786" t="s">
        <v>74</v>
      </c>
      <c r="I786" t="s">
        <v>14925</v>
      </c>
      <c r="J786" t="s">
        <v>8908</v>
      </c>
      <c r="K786" t="s">
        <v>74</v>
      </c>
      <c r="L786" t="s">
        <v>74</v>
      </c>
      <c r="M786" t="s">
        <v>79</v>
      </c>
      <c r="N786" t="s">
        <v>108</v>
      </c>
      <c r="O786" t="s">
        <v>74</v>
      </c>
      <c r="P786" t="s">
        <v>74</v>
      </c>
      <c r="Q786" t="s">
        <v>74</v>
      </c>
      <c r="R786" t="s">
        <v>74</v>
      </c>
      <c r="S786" t="s">
        <v>74</v>
      </c>
      <c r="T786" t="s">
        <v>14926</v>
      </c>
      <c r="U786" t="s">
        <v>14927</v>
      </c>
      <c r="V786" t="s">
        <v>14928</v>
      </c>
      <c r="W786" t="s">
        <v>14929</v>
      </c>
      <c r="X786" t="s">
        <v>14930</v>
      </c>
      <c r="Y786" t="s">
        <v>14931</v>
      </c>
      <c r="Z786" t="s">
        <v>14932</v>
      </c>
      <c r="AA786" t="s">
        <v>14933</v>
      </c>
      <c r="AB786" t="s">
        <v>14934</v>
      </c>
      <c r="AC786" t="s">
        <v>14935</v>
      </c>
      <c r="AD786" t="s">
        <v>14935</v>
      </c>
      <c r="AE786" t="s">
        <v>14936</v>
      </c>
      <c r="AF786" t="s">
        <v>74</v>
      </c>
      <c r="AG786">
        <v>42</v>
      </c>
      <c r="AH786">
        <v>0</v>
      </c>
      <c r="AI786">
        <v>0</v>
      </c>
      <c r="AJ786">
        <v>10</v>
      </c>
      <c r="AK786">
        <v>10</v>
      </c>
      <c r="AL786" t="s">
        <v>939</v>
      </c>
      <c r="AM786" t="s">
        <v>940</v>
      </c>
      <c r="AN786" t="s">
        <v>941</v>
      </c>
      <c r="AO786" t="s">
        <v>74</v>
      </c>
      <c r="AP786" t="s">
        <v>8918</v>
      </c>
      <c r="AQ786" t="s">
        <v>74</v>
      </c>
      <c r="AR786" t="s">
        <v>8919</v>
      </c>
      <c r="AS786" t="s">
        <v>8920</v>
      </c>
      <c r="AT786" t="s">
        <v>467</v>
      </c>
      <c r="AU786">
        <v>2023</v>
      </c>
      <c r="AV786">
        <v>12</v>
      </c>
      <c r="AW786">
        <v>19</v>
      </c>
      <c r="AX786" t="s">
        <v>74</v>
      </c>
      <c r="AY786" t="s">
        <v>74</v>
      </c>
      <c r="AZ786" t="s">
        <v>74</v>
      </c>
      <c r="BA786" t="s">
        <v>74</v>
      </c>
      <c r="BB786" t="s">
        <v>74</v>
      </c>
      <c r="BC786" t="s">
        <v>74</v>
      </c>
      <c r="BD786">
        <v>4088</v>
      </c>
      <c r="BE786" t="s">
        <v>14937</v>
      </c>
      <c r="BF786" t="str">
        <f>HYPERLINK("http://dx.doi.org/10.3390/electronics12194088","http://dx.doi.org/10.3390/electronics12194088")</f>
        <v>http://dx.doi.org/10.3390/electronics12194088</v>
      </c>
      <c r="BG786" t="s">
        <v>74</v>
      </c>
      <c r="BH786" t="s">
        <v>74</v>
      </c>
      <c r="BI786">
        <v>19</v>
      </c>
      <c r="BJ786" t="s">
        <v>8922</v>
      </c>
      <c r="BK786" t="s">
        <v>130</v>
      </c>
      <c r="BL786" t="s">
        <v>8923</v>
      </c>
      <c r="BM786" t="s">
        <v>14938</v>
      </c>
      <c r="BN786" t="s">
        <v>74</v>
      </c>
      <c r="BO786" t="s">
        <v>425</v>
      </c>
      <c r="BP786" t="s">
        <v>74</v>
      </c>
      <c r="BQ786" t="s">
        <v>74</v>
      </c>
      <c r="BR786" t="s">
        <v>101</v>
      </c>
      <c r="BS786" t="s">
        <v>14939</v>
      </c>
      <c r="BT786" t="str">
        <f>HYPERLINK("https%3A%2F%2Fwww.webofscience.com%2Fwos%2Fwoscc%2Ffull-record%2FWOS:001084708400001","View Full Record in Web of Science")</f>
        <v>View Full Record in Web of Science</v>
      </c>
    </row>
    <row r="787" spans="1:72" x14ac:dyDescent="0.2">
      <c r="A787" t="s">
        <v>72</v>
      </c>
      <c r="B787" t="s">
        <v>14940</v>
      </c>
      <c r="C787" t="s">
        <v>74</v>
      </c>
      <c r="D787" t="s">
        <v>14941</v>
      </c>
      <c r="E787" t="s">
        <v>74</v>
      </c>
      <c r="F787" t="s">
        <v>14942</v>
      </c>
      <c r="G787" t="s">
        <v>74</v>
      </c>
      <c r="H787" t="s">
        <v>74</v>
      </c>
      <c r="I787" t="s">
        <v>14943</v>
      </c>
      <c r="J787" t="s">
        <v>14944</v>
      </c>
      <c r="K787" t="s">
        <v>1755</v>
      </c>
      <c r="L787" t="s">
        <v>74</v>
      </c>
      <c r="M787" t="s">
        <v>79</v>
      </c>
      <c r="N787" t="s">
        <v>80</v>
      </c>
      <c r="O787" t="s">
        <v>14945</v>
      </c>
      <c r="P787" t="s">
        <v>14946</v>
      </c>
      <c r="Q787" t="s">
        <v>14947</v>
      </c>
      <c r="R787" t="s">
        <v>14948</v>
      </c>
      <c r="S787" t="s">
        <v>14949</v>
      </c>
      <c r="T787" t="s">
        <v>14950</v>
      </c>
      <c r="U787" t="s">
        <v>74</v>
      </c>
      <c r="V787" t="s">
        <v>14951</v>
      </c>
      <c r="W787" t="s">
        <v>14952</v>
      </c>
      <c r="X787" t="s">
        <v>14953</v>
      </c>
      <c r="Y787" t="s">
        <v>14954</v>
      </c>
      <c r="Z787" t="s">
        <v>74</v>
      </c>
      <c r="AA787" t="s">
        <v>74</v>
      </c>
      <c r="AB787" t="s">
        <v>74</v>
      </c>
      <c r="AC787" t="s">
        <v>14955</v>
      </c>
      <c r="AD787" t="s">
        <v>14956</v>
      </c>
      <c r="AE787" t="s">
        <v>14957</v>
      </c>
      <c r="AF787" t="s">
        <v>74</v>
      </c>
      <c r="AG787">
        <v>7</v>
      </c>
      <c r="AH787">
        <v>0</v>
      </c>
      <c r="AI787">
        <v>0</v>
      </c>
      <c r="AJ787">
        <v>0</v>
      </c>
      <c r="AK787">
        <v>0</v>
      </c>
      <c r="AL787" t="s">
        <v>1766</v>
      </c>
      <c r="AM787" t="s">
        <v>765</v>
      </c>
      <c r="AN787" t="s">
        <v>1767</v>
      </c>
      <c r="AO787" t="s">
        <v>1768</v>
      </c>
      <c r="AP787" t="s">
        <v>1769</v>
      </c>
      <c r="AQ787" t="s">
        <v>14958</v>
      </c>
      <c r="AR787" t="s">
        <v>1771</v>
      </c>
      <c r="AS787" t="s">
        <v>74</v>
      </c>
      <c r="AT787" t="s">
        <v>74</v>
      </c>
      <c r="AU787">
        <v>2023</v>
      </c>
      <c r="AV787">
        <v>379</v>
      </c>
      <c r="AW787" t="s">
        <v>74</v>
      </c>
      <c r="AX787" t="s">
        <v>74</v>
      </c>
      <c r="AY787" t="s">
        <v>74</v>
      </c>
      <c r="AZ787" t="s">
        <v>74</v>
      </c>
      <c r="BA787" t="s">
        <v>74</v>
      </c>
      <c r="BB787">
        <v>371</v>
      </c>
      <c r="BC787">
        <v>374</v>
      </c>
      <c r="BD787" t="s">
        <v>74</v>
      </c>
      <c r="BE787" t="s">
        <v>14959</v>
      </c>
      <c r="BF787" t="str">
        <f>HYPERLINK("http://dx.doi.org/10.3233/FAIA230991","http://dx.doi.org/10.3233/FAIA230991")</f>
        <v>http://dx.doi.org/10.3233/FAIA230991</v>
      </c>
      <c r="BG787" t="s">
        <v>74</v>
      </c>
      <c r="BH787" t="s">
        <v>74</v>
      </c>
      <c r="BI787">
        <v>4</v>
      </c>
      <c r="BJ787" t="s">
        <v>14960</v>
      </c>
      <c r="BK787" t="s">
        <v>180</v>
      </c>
      <c r="BL787" t="s">
        <v>14961</v>
      </c>
      <c r="BM787" t="s">
        <v>14962</v>
      </c>
      <c r="BN787" t="s">
        <v>74</v>
      </c>
      <c r="BO787" t="s">
        <v>161</v>
      </c>
      <c r="BP787" t="s">
        <v>74</v>
      </c>
      <c r="BQ787" t="s">
        <v>74</v>
      </c>
      <c r="BR787" t="s">
        <v>101</v>
      </c>
      <c r="BS787" t="s">
        <v>14963</v>
      </c>
      <c r="BT787" t="str">
        <f>HYPERLINK("https%3A%2F%2Fwww.webofscience.com%2Fwos%2Fwoscc%2Ffull-record%2FWOS:001175464100050","View Full Record in Web of Science")</f>
        <v>View Full Record in Web of Science</v>
      </c>
    </row>
    <row r="788" spans="1:72" x14ac:dyDescent="0.2">
      <c r="A788" t="s">
        <v>103</v>
      </c>
      <c r="B788" t="s">
        <v>14964</v>
      </c>
      <c r="C788" t="s">
        <v>74</v>
      </c>
      <c r="D788" t="s">
        <v>74</v>
      </c>
      <c r="E788" t="s">
        <v>74</v>
      </c>
      <c r="F788" t="s">
        <v>14965</v>
      </c>
      <c r="G788" t="s">
        <v>74</v>
      </c>
      <c r="H788" t="s">
        <v>74</v>
      </c>
      <c r="I788" t="s">
        <v>14966</v>
      </c>
      <c r="J788" t="s">
        <v>1370</v>
      </c>
      <c r="K788" t="s">
        <v>74</v>
      </c>
      <c r="L788" t="s">
        <v>74</v>
      </c>
      <c r="M788" t="s">
        <v>79</v>
      </c>
      <c r="N788" t="s">
        <v>108</v>
      </c>
      <c r="O788" t="s">
        <v>74</v>
      </c>
      <c r="P788" t="s">
        <v>74</v>
      </c>
      <c r="Q788" t="s">
        <v>74</v>
      </c>
      <c r="R788" t="s">
        <v>74</v>
      </c>
      <c r="S788" t="s">
        <v>74</v>
      </c>
      <c r="T788" t="s">
        <v>14967</v>
      </c>
      <c r="U788" t="s">
        <v>74</v>
      </c>
      <c r="V788" t="s">
        <v>14968</v>
      </c>
      <c r="W788" t="s">
        <v>14969</v>
      </c>
      <c r="X788" t="s">
        <v>14970</v>
      </c>
      <c r="Y788" t="s">
        <v>14971</v>
      </c>
      <c r="Z788" t="s">
        <v>14972</v>
      </c>
      <c r="AA788" t="s">
        <v>74</v>
      </c>
      <c r="AB788" t="s">
        <v>14973</v>
      </c>
      <c r="AC788" t="s">
        <v>14974</v>
      </c>
      <c r="AD788" t="s">
        <v>14975</v>
      </c>
      <c r="AE788" t="s">
        <v>14976</v>
      </c>
      <c r="AF788" t="s">
        <v>74</v>
      </c>
      <c r="AG788">
        <v>203</v>
      </c>
      <c r="AH788">
        <v>5</v>
      </c>
      <c r="AI788">
        <v>6</v>
      </c>
      <c r="AJ788">
        <v>34</v>
      </c>
      <c r="AK788">
        <v>43</v>
      </c>
      <c r="AL788" t="s">
        <v>1379</v>
      </c>
      <c r="AM788" t="s">
        <v>1380</v>
      </c>
      <c r="AN788" t="s">
        <v>1381</v>
      </c>
      <c r="AO788" t="s">
        <v>1382</v>
      </c>
      <c r="AP788" t="s">
        <v>74</v>
      </c>
      <c r="AQ788" t="s">
        <v>74</v>
      </c>
      <c r="AR788" t="s">
        <v>1370</v>
      </c>
      <c r="AS788" t="s">
        <v>1383</v>
      </c>
      <c r="AT788" t="s">
        <v>74</v>
      </c>
      <c r="AU788">
        <v>2023</v>
      </c>
      <c r="AV788">
        <v>11</v>
      </c>
      <c r="AW788" t="s">
        <v>74</v>
      </c>
      <c r="AX788" t="s">
        <v>74</v>
      </c>
      <c r="AY788" t="s">
        <v>74</v>
      </c>
      <c r="AZ788" t="s">
        <v>74</v>
      </c>
      <c r="BA788" t="s">
        <v>74</v>
      </c>
      <c r="BB788">
        <v>70977</v>
      </c>
      <c r="BC788">
        <v>71002</v>
      </c>
      <c r="BD788" t="s">
        <v>74</v>
      </c>
      <c r="BE788" t="s">
        <v>14977</v>
      </c>
      <c r="BF788" t="str">
        <f>HYPERLINK("http://dx.doi.org/10.1109/ACCESS.2023.3294090","http://dx.doi.org/10.1109/ACCESS.2023.3294090")</f>
        <v>http://dx.doi.org/10.1109/ACCESS.2023.3294090</v>
      </c>
      <c r="BG788" t="s">
        <v>74</v>
      </c>
      <c r="BH788" t="s">
        <v>74</v>
      </c>
      <c r="BI788">
        <v>26</v>
      </c>
      <c r="BJ788" t="s">
        <v>1385</v>
      </c>
      <c r="BK788" t="s">
        <v>130</v>
      </c>
      <c r="BL788" t="s">
        <v>1386</v>
      </c>
      <c r="BM788" t="s">
        <v>14978</v>
      </c>
      <c r="BN788" t="s">
        <v>74</v>
      </c>
      <c r="BO788" t="s">
        <v>1071</v>
      </c>
      <c r="BP788" t="s">
        <v>74</v>
      </c>
      <c r="BQ788" t="s">
        <v>74</v>
      </c>
      <c r="BR788" t="s">
        <v>101</v>
      </c>
      <c r="BS788" t="s">
        <v>14979</v>
      </c>
      <c r="BT788" t="str">
        <f>HYPERLINK("https%3A%2F%2Fwww.webofscience.com%2Fwos%2Fwoscc%2Ffull-record%2FWOS:001033493400001","View Full Record in Web of Science")</f>
        <v>View Full Record in Web of Science</v>
      </c>
    </row>
    <row r="789" spans="1:72" x14ac:dyDescent="0.2">
      <c r="A789" t="s">
        <v>72</v>
      </c>
      <c r="B789" t="s">
        <v>2570</v>
      </c>
      <c r="C789" t="s">
        <v>74</v>
      </c>
      <c r="D789" t="s">
        <v>14980</v>
      </c>
      <c r="E789" t="s">
        <v>74</v>
      </c>
      <c r="F789" t="s">
        <v>2571</v>
      </c>
      <c r="G789" t="s">
        <v>74</v>
      </c>
      <c r="H789" t="s">
        <v>74</v>
      </c>
      <c r="I789" t="s">
        <v>14981</v>
      </c>
      <c r="J789" t="s">
        <v>14982</v>
      </c>
      <c r="K789" t="s">
        <v>312</v>
      </c>
      <c r="L789" t="s">
        <v>74</v>
      </c>
      <c r="M789" t="s">
        <v>79</v>
      </c>
      <c r="N789" t="s">
        <v>80</v>
      </c>
      <c r="O789" t="s">
        <v>14983</v>
      </c>
      <c r="P789" t="s">
        <v>14984</v>
      </c>
      <c r="Q789" t="s">
        <v>13621</v>
      </c>
      <c r="R789" t="s">
        <v>74</v>
      </c>
      <c r="S789" t="s">
        <v>74</v>
      </c>
      <c r="T789" t="s">
        <v>14985</v>
      </c>
      <c r="U789" t="s">
        <v>5999</v>
      </c>
      <c r="V789" t="s">
        <v>14986</v>
      </c>
      <c r="W789" t="s">
        <v>14987</v>
      </c>
      <c r="X789" t="s">
        <v>2576</v>
      </c>
      <c r="Y789" t="s">
        <v>14988</v>
      </c>
      <c r="Z789" t="s">
        <v>2578</v>
      </c>
      <c r="AA789" t="s">
        <v>74</v>
      </c>
      <c r="AB789" t="s">
        <v>2579</v>
      </c>
      <c r="AC789" t="s">
        <v>74</v>
      </c>
      <c r="AD789" t="s">
        <v>74</v>
      </c>
      <c r="AE789" t="s">
        <v>74</v>
      </c>
      <c r="AF789" t="s">
        <v>74</v>
      </c>
      <c r="AG789">
        <v>53</v>
      </c>
      <c r="AH789">
        <v>0</v>
      </c>
      <c r="AI789">
        <v>0</v>
      </c>
      <c r="AJ789">
        <v>3</v>
      </c>
      <c r="AK789">
        <v>3</v>
      </c>
      <c r="AL789" t="s">
        <v>325</v>
      </c>
      <c r="AM789" t="s">
        <v>245</v>
      </c>
      <c r="AN789" t="s">
        <v>246</v>
      </c>
      <c r="AO789" t="s">
        <v>326</v>
      </c>
      <c r="AP789" t="s">
        <v>327</v>
      </c>
      <c r="AQ789" t="s">
        <v>14989</v>
      </c>
      <c r="AR789" t="s">
        <v>329</v>
      </c>
      <c r="AS789" t="s">
        <v>74</v>
      </c>
      <c r="AT789" t="s">
        <v>74</v>
      </c>
      <c r="AU789">
        <v>2023</v>
      </c>
      <c r="AV789">
        <v>14239</v>
      </c>
      <c r="AW789" t="s">
        <v>74</v>
      </c>
      <c r="AX789" t="s">
        <v>74</v>
      </c>
      <c r="AY789" t="s">
        <v>74</v>
      </c>
      <c r="AZ789" t="s">
        <v>74</v>
      </c>
      <c r="BA789" t="s">
        <v>74</v>
      </c>
      <c r="BB789">
        <v>3</v>
      </c>
      <c r="BC789">
        <v>17</v>
      </c>
      <c r="BD789" t="s">
        <v>74</v>
      </c>
      <c r="BE789" t="s">
        <v>14990</v>
      </c>
      <c r="BF789" t="str">
        <f>HYPERLINK("http://dx.doi.org/10.1007/978-3-031-43612-3_1","http://dx.doi.org/10.1007/978-3-031-43612-3_1")</f>
        <v>http://dx.doi.org/10.1007/978-3-031-43612-3_1</v>
      </c>
      <c r="BG789" t="s">
        <v>74</v>
      </c>
      <c r="BH789" t="s">
        <v>74</v>
      </c>
      <c r="BI789">
        <v>15</v>
      </c>
      <c r="BJ789" t="s">
        <v>14991</v>
      </c>
      <c r="BK789" t="s">
        <v>98</v>
      </c>
      <c r="BL789" t="s">
        <v>14992</v>
      </c>
      <c r="BM789" t="s">
        <v>14993</v>
      </c>
      <c r="BN789" t="s">
        <v>74</v>
      </c>
      <c r="BO789" t="s">
        <v>74</v>
      </c>
      <c r="BP789" t="s">
        <v>74</v>
      </c>
      <c r="BQ789" t="s">
        <v>74</v>
      </c>
      <c r="BR789" t="s">
        <v>101</v>
      </c>
      <c r="BS789" t="s">
        <v>14994</v>
      </c>
      <c r="BT789" t="str">
        <f>HYPERLINK("https%3A%2F%2Fwww.webofscience.com%2Fwos%2Fwoscc%2Ffull-record%2FWOS:001158863600001","View Full Record in Web of Science")</f>
        <v>View Full Record in Web of Science</v>
      </c>
    </row>
    <row r="790" spans="1:72" x14ac:dyDescent="0.2">
      <c r="A790" t="s">
        <v>103</v>
      </c>
      <c r="B790" t="s">
        <v>14995</v>
      </c>
      <c r="C790" t="s">
        <v>74</v>
      </c>
      <c r="D790" t="s">
        <v>74</v>
      </c>
      <c r="E790" t="s">
        <v>74</v>
      </c>
      <c r="F790" t="s">
        <v>14996</v>
      </c>
      <c r="G790" t="s">
        <v>74</v>
      </c>
      <c r="H790" t="s">
        <v>74</v>
      </c>
      <c r="I790" t="s">
        <v>14997</v>
      </c>
      <c r="J790" t="s">
        <v>3969</v>
      </c>
      <c r="K790" t="s">
        <v>74</v>
      </c>
      <c r="L790" t="s">
        <v>74</v>
      </c>
      <c r="M790" t="s">
        <v>79</v>
      </c>
      <c r="N790" t="s">
        <v>108</v>
      </c>
      <c r="O790" t="s">
        <v>74</v>
      </c>
      <c r="P790" t="s">
        <v>74</v>
      </c>
      <c r="Q790" t="s">
        <v>74</v>
      </c>
      <c r="R790" t="s">
        <v>74</v>
      </c>
      <c r="S790" t="s">
        <v>74</v>
      </c>
      <c r="T790" t="s">
        <v>74</v>
      </c>
      <c r="U790" t="s">
        <v>74</v>
      </c>
      <c r="V790" t="s">
        <v>14998</v>
      </c>
      <c r="W790" t="s">
        <v>14999</v>
      </c>
      <c r="X790" t="s">
        <v>4515</v>
      </c>
      <c r="Y790" t="s">
        <v>15000</v>
      </c>
      <c r="Z790" t="s">
        <v>15001</v>
      </c>
      <c r="AA790" t="s">
        <v>15002</v>
      </c>
      <c r="AB790" t="s">
        <v>15003</v>
      </c>
      <c r="AC790" t="s">
        <v>15004</v>
      </c>
      <c r="AD790" t="s">
        <v>15004</v>
      </c>
      <c r="AE790" t="s">
        <v>15004</v>
      </c>
      <c r="AF790" t="s">
        <v>74</v>
      </c>
      <c r="AG790">
        <v>34</v>
      </c>
      <c r="AH790">
        <v>0</v>
      </c>
      <c r="AI790">
        <v>0</v>
      </c>
      <c r="AJ790">
        <v>1</v>
      </c>
      <c r="AK790">
        <v>1</v>
      </c>
      <c r="AL790" t="s">
        <v>3980</v>
      </c>
      <c r="AM790" t="s">
        <v>1153</v>
      </c>
      <c r="AN790" t="s">
        <v>3981</v>
      </c>
      <c r="AO790" t="s">
        <v>74</v>
      </c>
      <c r="AP790" t="s">
        <v>3982</v>
      </c>
      <c r="AQ790" t="s">
        <v>74</v>
      </c>
      <c r="AR790" t="s">
        <v>3983</v>
      </c>
      <c r="AS790" t="s">
        <v>3984</v>
      </c>
      <c r="AT790" t="s">
        <v>15005</v>
      </c>
      <c r="AU790">
        <v>2023</v>
      </c>
      <c r="AV790">
        <v>2</v>
      </c>
      <c r="AW790">
        <v>5</v>
      </c>
      <c r="AX790" t="s">
        <v>74</v>
      </c>
      <c r="AY790" t="s">
        <v>74</v>
      </c>
      <c r="AZ790" t="s">
        <v>74</v>
      </c>
      <c r="BA790" t="s">
        <v>74</v>
      </c>
      <c r="BB790">
        <v>1380</v>
      </c>
      <c r="BC790">
        <v>1389</v>
      </c>
      <c r="BD790" t="s">
        <v>74</v>
      </c>
      <c r="BE790" t="s">
        <v>15006</v>
      </c>
      <c r="BF790" t="str">
        <f>HYPERLINK("http://dx.doi.org/10.1039/d3dd00076a","http://dx.doi.org/10.1039/d3dd00076a")</f>
        <v>http://dx.doi.org/10.1039/d3dd00076a</v>
      </c>
      <c r="BG790" t="s">
        <v>74</v>
      </c>
      <c r="BH790" t="s">
        <v>74</v>
      </c>
      <c r="BI790">
        <v>10</v>
      </c>
      <c r="BJ790" t="s">
        <v>3987</v>
      </c>
      <c r="BK790" t="s">
        <v>352</v>
      </c>
      <c r="BL790" t="s">
        <v>1995</v>
      </c>
      <c r="BM790" t="s">
        <v>15007</v>
      </c>
      <c r="BN790" t="s">
        <v>74</v>
      </c>
      <c r="BO790" t="s">
        <v>425</v>
      </c>
      <c r="BP790" t="s">
        <v>74</v>
      </c>
      <c r="BQ790" t="s">
        <v>74</v>
      </c>
      <c r="BR790" t="s">
        <v>101</v>
      </c>
      <c r="BS790" t="s">
        <v>15008</v>
      </c>
      <c r="BT790" t="str">
        <f>HYPERLINK("https%3A%2F%2Fwww.webofscience.com%2Fwos%2Fwoscc%2Ffull-record%2FWOS:001101656600001","View Full Record in Web of Science")</f>
        <v>View Full Record in Web of Science</v>
      </c>
    </row>
    <row r="791" spans="1:72" x14ac:dyDescent="0.2">
      <c r="A791" t="s">
        <v>103</v>
      </c>
      <c r="B791" t="s">
        <v>15009</v>
      </c>
      <c r="C791" t="s">
        <v>74</v>
      </c>
      <c r="D791" t="s">
        <v>74</v>
      </c>
      <c r="E791" t="s">
        <v>74</v>
      </c>
      <c r="F791" t="s">
        <v>15010</v>
      </c>
      <c r="G791" t="s">
        <v>74</v>
      </c>
      <c r="H791" t="s">
        <v>74</v>
      </c>
      <c r="I791" t="s">
        <v>15011</v>
      </c>
      <c r="J791" t="s">
        <v>4686</v>
      </c>
      <c r="K791" t="s">
        <v>74</v>
      </c>
      <c r="L791" t="s">
        <v>74</v>
      </c>
      <c r="M791" t="s">
        <v>79</v>
      </c>
      <c r="N791" t="s">
        <v>108</v>
      </c>
      <c r="O791" t="s">
        <v>74</v>
      </c>
      <c r="P791" t="s">
        <v>74</v>
      </c>
      <c r="Q791" t="s">
        <v>74</v>
      </c>
      <c r="R791" t="s">
        <v>74</v>
      </c>
      <c r="S791" t="s">
        <v>74</v>
      </c>
      <c r="T791" t="s">
        <v>15012</v>
      </c>
      <c r="U791" t="s">
        <v>74</v>
      </c>
      <c r="V791" t="s">
        <v>15013</v>
      </c>
      <c r="W791" t="s">
        <v>15014</v>
      </c>
      <c r="X791" t="s">
        <v>15015</v>
      </c>
      <c r="Y791" t="s">
        <v>15016</v>
      </c>
      <c r="Z791" t="s">
        <v>15017</v>
      </c>
      <c r="AA791" t="s">
        <v>74</v>
      </c>
      <c r="AB791" t="s">
        <v>74</v>
      </c>
      <c r="AC791" t="s">
        <v>74</v>
      </c>
      <c r="AD791" t="s">
        <v>74</v>
      </c>
      <c r="AE791" t="s">
        <v>74</v>
      </c>
      <c r="AF791" t="s">
        <v>74</v>
      </c>
      <c r="AG791">
        <v>14</v>
      </c>
      <c r="AH791">
        <v>2</v>
      </c>
      <c r="AI791">
        <v>2</v>
      </c>
      <c r="AJ791">
        <v>14</v>
      </c>
      <c r="AK791">
        <v>16</v>
      </c>
      <c r="AL791" t="s">
        <v>2032</v>
      </c>
      <c r="AM791" t="s">
        <v>149</v>
      </c>
      <c r="AN791" t="s">
        <v>2033</v>
      </c>
      <c r="AO791" t="s">
        <v>74</v>
      </c>
      <c r="AP791" t="s">
        <v>4694</v>
      </c>
      <c r="AQ791" t="s">
        <v>74</v>
      </c>
      <c r="AR791" t="s">
        <v>4695</v>
      </c>
      <c r="AS791" t="s">
        <v>4696</v>
      </c>
      <c r="AT791" t="s">
        <v>9532</v>
      </c>
      <c r="AU791">
        <v>2023</v>
      </c>
      <c r="AV791">
        <v>15</v>
      </c>
      <c r="AW791">
        <v>8</v>
      </c>
      <c r="AX791" t="s">
        <v>74</v>
      </c>
      <c r="AY791" t="s">
        <v>74</v>
      </c>
      <c r="AZ791" t="s">
        <v>74</v>
      </c>
      <c r="BA791" t="s">
        <v>74</v>
      </c>
      <c r="BB791" t="s">
        <v>74</v>
      </c>
      <c r="BC791" t="s">
        <v>74</v>
      </c>
      <c r="BD791" t="s">
        <v>74</v>
      </c>
      <c r="BE791" t="s">
        <v>15018</v>
      </c>
      <c r="BF791" t="str">
        <f>HYPERLINK("http://dx.doi.org/10.7759/cureus.43314","http://dx.doi.org/10.7759/cureus.43314")</f>
        <v>http://dx.doi.org/10.7759/cureus.43314</v>
      </c>
      <c r="BG791" t="s">
        <v>74</v>
      </c>
      <c r="BH791" t="s">
        <v>74</v>
      </c>
      <c r="BI791">
        <v>8</v>
      </c>
      <c r="BJ791" t="s">
        <v>3440</v>
      </c>
      <c r="BK791" t="s">
        <v>352</v>
      </c>
      <c r="BL791" t="s">
        <v>3441</v>
      </c>
      <c r="BM791" t="s">
        <v>15019</v>
      </c>
      <c r="BN791">
        <v>37700949</v>
      </c>
      <c r="BO791" t="s">
        <v>1728</v>
      </c>
      <c r="BP791" t="s">
        <v>74</v>
      </c>
      <c r="BQ791" t="s">
        <v>74</v>
      </c>
      <c r="BR791" t="s">
        <v>101</v>
      </c>
      <c r="BS791" t="s">
        <v>15020</v>
      </c>
      <c r="BT791" t="str">
        <f>HYPERLINK("https%3A%2F%2Fwww.webofscience.com%2Fwos%2Fwoscc%2Ffull-record%2FWOS:001054475400028","View Full Record in Web of Science")</f>
        <v>View Full Record in Web of Science</v>
      </c>
    </row>
    <row r="792" spans="1:72" x14ac:dyDescent="0.2">
      <c r="A792" t="s">
        <v>103</v>
      </c>
      <c r="B792" t="s">
        <v>15021</v>
      </c>
      <c r="C792" t="s">
        <v>74</v>
      </c>
      <c r="D792" t="s">
        <v>74</v>
      </c>
      <c r="E792" t="s">
        <v>74</v>
      </c>
      <c r="F792" t="s">
        <v>15022</v>
      </c>
      <c r="G792" t="s">
        <v>74</v>
      </c>
      <c r="H792" t="s">
        <v>74</v>
      </c>
      <c r="I792" t="s">
        <v>15023</v>
      </c>
      <c r="J792" t="s">
        <v>11786</v>
      </c>
      <c r="K792" t="s">
        <v>74</v>
      </c>
      <c r="L792" t="s">
        <v>74</v>
      </c>
      <c r="M792" t="s">
        <v>79</v>
      </c>
      <c r="N792" t="s">
        <v>108</v>
      </c>
      <c r="O792" t="s">
        <v>74</v>
      </c>
      <c r="P792" t="s">
        <v>74</v>
      </c>
      <c r="Q792" t="s">
        <v>74</v>
      </c>
      <c r="R792" t="s">
        <v>74</v>
      </c>
      <c r="S792" t="s">
        <v>74</v>
      </c>
      <c r="T792" t="s">
        <v>15024</v>
      </c>
      <c r="U792" t="s">
        <v>74</v>
      </c>
      <c r="V792" t="s">
        <v>15025</v>
      </c>
      <c r="W792" t="s">
        <v>15026</v>
      </c>
      <c r="X792" t="s">
        <v>3394</v>
      </c>
      <c r="Y792" t="s">
        <v>15027</v>
      </c>
      <c r="Z792" t="s">
        <v>15028</v>
      </c>
      <c r="AA792" t="s">
        <v>15029</v>
      </c>
      <c r="AB792" t="s">
        <v>15030</v>
      </c>
      <c r="AC792" t="s">
        <v>15031</v>
      </c>
      <c r="AD792" t="s">
        <v>15032</v>
      </c>
      <c r="AE792" t="s">
        <v>15033</v>
      </c>
      <c r="AF792" t="s">
        <v>74</v>
      </c>
      <c r="AG792">
        <v>70</v>
      </c>
      <c r="AH792">
        <v>1</v>
      </c>
      <c r="AI792">
        <v>1</v>
      </c>
      <c r="AJ792">
        <v>8</v>
      </c>
      <c r="AK792">
        <v>8</v>
      </c>
      <c r="AL792" t="s">
        <v>764</v>
      </c>
      <c r="AM792" t="s">
        <v>765</v>
      </c>
      <c r="AN792" t="s">
        <v>766</v>
      </c>
      <c r="AO792" t="s">
        <v>11799</v>
      </c>
      <c r="AP792" t="s">
        <v>11800</v>
      </c>
      <c r="AQ792" t="s">
        <v>74</v>
      </c>
      <c r="AR792" t="s">
        <v>11801</v>
      </c>
      <c r="AS792" t="s">
        <v>11802</v>
      </c>
      <c r="AT792" t="s">
        <v>527</v>
      </c>
      <c r="AU792">
        <v>2023</v>
      </c>
      <c r="AV792">
        <v>149</v>
      </c>
      <c r="AW792" t="s">
        <v>74</v>
      </c>
      <c r="AX792" t="s">
        <v>3738</v>
      </c>
      <c r="AY792" t="s">
        <v>74</v>
      </c>
      <c r="AZ792" t="s">
        <v>74</v>
      </c>
      <c r="BA792" t="s">
        <v>74</v>
      </c>
      <c r="BB792" t="s">
        <v>74</v>
      </c>
      <c r="BC792" t="s">
        <v>74</v>
      </c>
      <c r="BD792">
        <v>110993</v>
      </c>
      <c r="BE792" t="s">
        <v>15034</v>
      </c>
      <c r="BF792" t="str">
        <f>HYPERLINK("http://dx.doi.org/10.1016/j.asoc.2023.110993","http://dx.doi.org/10.1016/j.asoc.2023.110993")</f>
        <v>http://dx.doi.org/10.1016/j.asoc.2023.110993</v>
      </c>
      <c r="BG792" t="s">
        <v>74</v>
      </c>
      <c r="BH792" t="s">
        <v>157</v>
      </c>
      <c r="BI792">
        <v>15</v>
      </c>
      <c r="BJ792" t="s">
        <v>1069</v>
      </c>
      <c r="BK792" t="s">
        <v>130</v>
      </c>
      <c r="BL792" t="s">
        <v>99</v>
      </c>
      <c r="BM792" t="s">
        <v>15035</v>
      </c>
      <c r="BN792" t="s">
        <v>74</v>
      </c>
      <c r="BO792" t="s">
        <v>74</v>
      </c>
      <c r="BP792" t="s">
        <v>74</v>
      </c>
      <c r="BQ792" t="s">
        <v>74</v>
      </c>
      <c r="BR792" t="s">
        <v>101</v>
      </c>
      <c r="BS792" t="s">
        <v>15036</v>
      </c>
      <c r="BT792" t="str">
        <f>HYPERLINK("https%3A%2F%2Fwww.webofscience.com%2Fwos%2Fwoscc%2Ffull-record%2FWOS:001108842700001","View Full Record in Web of Science")</f>
        <v>View Full Record in Web of Science</v>
      </c>
    </row>
    <row r="793" spans="1:72" x14ac:dyDescent="0.2">
      <c r="A793" t="s">
        <v>103</v>
      </c>
      <c r="B793" t="s">
        <v>15037</v>
      </c>
      <c r="C793" t="s">
        <v>74</v>
      </c>
      <c r="D793" t="s">
        <v>74</v>
      </c>
      <c r="E793" t="s">
        <v>74</v>
      </c>
      <c r="F793" t="s">
        <v>15038</v>
      </c>
      <c r="G793" t="s">
        <v>74</v>
      </c>
      <c r="H793" t="s">
        <v>74</v>
      </c>
      <c r="I793" t="s">
        <v>15039</v>
      </c>
      <c r="J793" t="s">
        <v>9454</v>
      </c>
      <c r="K793" t="s">
        <v>74</v>
      </c>
      <c r="L793" t="s">
        <v>74</v>
      </c>
      <c r="M793" t="s">
        <v>79</v>
      </c>
      <c r="N793" t="s">
        <v>108</v>
      </c>
      <c r="O793" t="s">
        <v>74</v>
      </c>
      <c r="P793" t="s">
        <v>74</v>
      </c>
      <c r="Q793" t="s">
        <v>74</v>
      </c>
      <c r="R793" t="s">
        <v>74</v>
      </c>
      <c r="S793" t="s">
        <v>74</v>
      </c>
      <c r="T793" t="s">
        <v>15040</v>
      </c>
      <c r="U793" t="s">
        <v>74</v>
      </c>
      <c r="V793" t="s">
        <v>15041</v>
      </c>
      <c r="W793" t="s">
        <v>15042</v>
      </c>
      <c r="X793" t="s">
        <v>15043</v>
      </c>
      <c r="Y793" t="s">
        <v>15044</v>
      </c>
      <c r="Z793" t="s">
        <v>15045</v>
      </c>
      <c r="AA793" t="s">
        <v>15046</v>
      </c>
      <c r="AB793" t="s">
        <v>15047</v>
      </c>
      <c r="AC793" t="s">
        <v>74</v>
      </c>
      <c r="AD793" t="s">
        <v>74</v>
      </c>
      <c r="AE793" t="s">
        <v>74</v>
      </c>
      <c r="AF793" t="s">
        <v>74</v>
      </c>
      <c r="AG793">
        <v>18</v>
      </c>
      <c r="AH793">
        <v>6</v>
      </c>
      <c r="AI793">
        <v>6</v>
      </c>
      <c r="AJ793">
        <v>19</v>
      </c>
      <c r="AK793">
        <v>30</v>
      </c>
      <c r="AL793" t="s">
        <v>3202</v>
      </c>
      <c r="AM793" t="s">
        <v>120</v>
      </c>
      <c r="AN793" t="s">
        <v>3203</v>
      </c>
      <c r="AO793" t="s">
        <v>9463</v>
      </c>
      <c r="AP793" t="s">
        <v>9464</v>
      </c>
      <c r="AQ793" t="s">
        <v>74</v>
      </c>
      <c r="AR793" t="s">
        <v>9465</v>
      </c>
      <c r="AS793" t="s">
        <v>9466</v>
      </c>
      <c r="AT793" t="s">
        <v>9467</v>
      </c>
      <c r="AU793">
        <v>2023</v>
      </c>
      <c r="AV793">
        <v>99</v>
      </c>
      <c r="AW793">
        <v>1176</v>
      </c>
      <c r="AX793" t="s">
        <v>74</v>
      </c>
      <c r="AY793" t="s">
        <v>74</v>
      </c>
      <c r="AZ793" t="s">
        <v>74</v>
      </c>
      <c r="BA793" t="s">
        <v>74</v>
      </c>
      <c r="BB793">
        <v>1110</v>
      </c>
      <c r="BC793">
        <v>1114</v>
      </c>
      <c r="BD793" t="s">
        <v>74</v>
      </c>
      <c r="BE793" t="s">
        <v>15048</v>
      </c>
      <c r="BF793" t="str">
        <f>HYPERLINK("http://dx.doi.org/10.1093/postmj/qgad053","http://dx.doi.org/10.1093/postmj/qgad053")</f>
        <v>http://dx.doi.org/10.1093/postmj/qgad053</v>
      </c>
      <c r="BG793" t="s">
        <v>74</v>
      </c>
      <c r="BH793" t="s">
        <v>229</v>
      </c>
      <c r="BI793">
        <v>5</v>
      </c>
      <c r="BJ793" t="s">
        <v>3440</v>
      </c>
      <c r="BK793" t="s">
        <v>130</v>
      </c>
      <c r="BL793" t="s">
        <v>3441</v>
      </c>
      <c r="BM793" t="s">
        <v>9469</v>
      </c>
      <c r="BN793">
        <v>37410674</v>
      </c>
      <c r="BO793" t="s">
        <v>74</v>
      </c>
      <c r="BP793" t="s">
        <v>74</v>
      </c>
      <c r="BQ793" t="s">
        <v>74</v>
      </c>
      <c r="BR793" t="s">
        <v>101</v>
      </c>
      <c r="BS793" t="s">
        <v>15049</v>
      </c>
      <c r="BT793" t="str">
        <f>HYPERLINK("https%3A%2F%2Fwww.webofscience.com%2Fwos%2Fwoscc%2Ffull-record%2FWOS:001022984800001","View Full Record in Web of Science")</f>
        <v>View Full Record in Web of Science</v>
      </c>
    </row>
    <row r="794" spans="1:72" x14ac:dyDescent="0.2">
      <c r="A794" t="s">
        <v>103</v>
      </c>
      <c r="B794" t="s">
        <v>15050</v>
      </c>
      <c r="C794" t="s">
        <v>74</v>
      </c>
      <c r="D794" t="s">
        <v>74</v>
      </c>
      <c r="E794" t="s">
        <v>74</v>
      </c>
      <c r="F794" t="s">
        <v>15051</v>
      </c>
      <c r="G794" t="s">
        <v>74</v>
      </c>
      <c r="H794" t="s">
        <v>74</v>
      </c>
      <c r="I794" t="s">
        <v>15052</v>
      </c>
      <c r="J794" t="s">
        <v>107</v>
      </c>
      <c r="K794" t="s">
        <v>74</v>
      </c>
      <c r="L794" t="s">
        <v>74</v>
      </c>
      <c r="M794" t="s">
        <v>79</v>
      </c>
      <c r="N794" t="s">
        <v>108</v>
      </c>
      <c r="O794" t="s">
        <v>74</v>
      </c>
      <c r="P794" t="s">
        <v>74</v>
      </c>
      <c r="Q794" t="s">
        <v>74</v>
      </c>
      <c r="R794" t="s">
        <v>74</v>
      </c>
      <c r="S794" t="s">
        <v>74</v>
      </c>
      <c r="T794" t="s">
        <v>15053</v>
      </c>
      <c r="U794" t="s">
        <v>74</v>
      </c>
      <c r="V794" t="s">
        <v>15054</v>
      </c>
      <c r="W794" t="s">
        <v>15055</v>
      </c>
      <c r="X794" t="s">
        <v>15056</v>
      </c>
      <c r="Y794" t="s">
        <v>15057</v>
      </c>
      <c r="Z794" t="s">
        <v>15058</v>
      </c>
      <c r="AA794" t="s">
        <v>74</v>
      </c>
      <c r="AB794" t="s">
        <v>74</v>
      </c>
      <c r="AC794" t="s">
        <v>15059</v>
      </c>
      <c r="AD794" t="s">
        <v>15060</v>
      </c>
      <c r="AE794" t="s">
        <v>15061</v>
      </c>
      <c r="AF794" t="s">
        <v>74</v>
      </c>
      <c r="AG794">
        <v>36</v>
      </c>
      <c r="AH794">
        <v>0</v>
      </c>
      <c r="AI794">
        <v>0</v>
      </c>
      <c r="AJ794">
        <v>3</v>
      </c>
      <c r="AK794">
        <v>14</v>
      </c>
      <c r="AL794" t="s">
        <v>119</v>
      </c>
      <c r="AM794" t="s">
        <v>120</v>
      </c>
      <c r="AN794" t="s">
        <v>121</v>
      </c>
      <c r="AO794" t="s">
        <v>122</v>
      </c>
      <c r="AP794" t="s">
        <v>123</v>
      </c>
      <c r="AQ794" t="s">
        <v>74</v>
      </c>
      <c r="AR794" t="s">
        <v>124</v>
      </c>
      <c r="AS794" t="s">
        <v>125</v>
      </c>
      <c r="AT794" t="s">
        <v>2582</v>
      </c>
      <c r="AU794">
        <v>2023</v>
      </c>
      <c r="AV794">
        <v>122</v>
      </c>
      <c r="AW794" t="s">
        <v>74</v>
      </c>
      <c r="AX794" t="s">
        <v>74</v>
      </c>
      <c r="AY794" t="s">
        <v>74</v>
      </c>
      <c r="AZ794" t="s">
        <v>74</v>
      </c>
      <c r="BA794" t="s">
        <v>74</v>
      </c>
      <c r="BB794" t="s">
        <v>74</v>
      </c>
      <c r="BC794" t="s">
        <v>74</v>
      </c>
      <c r="BD794">
        <v>106094</v>
      </c>
      <c r="BE794" t="s">
        <v>15062</v>
      </c>
      <c r="BF794" t="str">
        <f>HYPERLINK("http://dx.doi.org/10.1016/j.engappai.2023.106094","http://dx.doi.org/10.1016/j.engappai.2023.106094")</f>
        <v>http://dx.doi.org/10.1016/j.engappai.2023.106094</v>
      </c>
      <c r="BG794" t="s">
        <v>74</v>
      </c>
      <c r="BH794" t="s">
        <v>1431</v>
      </c>
      <c r="BI794">
        <v>10</v>
      </c>
      <c r="BJ794" t="s">
        <v>129</v>
      </c>
      <c r="BK794" t="s">
        <v>130</v>
      </c>
      <c r="BL794" t="s">
        <v>131</v>
      </c>
      <c r="BM794" t="s">
        <v>15063</v>
      </c>
      <c r="BN794" t="s">
        <v>74</v>
      </c>
      <c r="BO794" t="s">
        <v>74</v>
      </c>
      <c r="BP794" t="s">
        <v>74</v>
      </c>
      <c r="BQ794" t="s">
        <v>74</v>
      </c>
      <c r="BR794" t="s">
        <v>101</v>
      </c>
      <c r="BS794" t="s">
        <v>15064</v>
      </c>
      <c r="BT794" t="str">
        <f>HYPERLINK("https%3A%2F%2Fwww.webofscience.com%2Fwos%2Fwoscc%2Ffull-record%2FWOS:000952594200001","View Full Record in Web of Science")</f>
        <v>View Full Record in Web of Science</v>
      </c>
    </row>
    <row r="795" spans="1:72" x14ac:dyDescent="0.2">
      <c r="A795" t="s">
        <v>103</v>
      </c>
      <c r="B795" t="s">
        <v>15065</v>
      </c>
      <c r="C795" t="s">
        <v>74</v>
      </c>
      <c r="D795" t="s">
        <v>74</v>
      </c>
      <c r="E795" t="s">
        <v>74</v>
      </c>
      <c r="F795" t="s">
        <v>15066</v>
      </c>
      <c r="G795" t="s">
        <v>74</v>
      </c>
      <c r="H795" t="s">
        <v>74</v>
      </c>
      <c r="I795" t="s">
        <v>15067</v>
      </c>
      <c r="J795" t="s">
        <v>15068</v>
      </c>
      <c r="K795" t="s">
        <v>74</v>
      </c>
      <c r="L795" t="s">
        <v>74</v>
      </c>
      <c r="M795" t="s">
        <v>79</v>
      </c>
      <c r="N795" t="s">
        <v>108</v>
      </c>
      <c r="O795" t="s">
        <v>74</v>
      </c>
      <c r="P795" t="s">
        <v>74</v>
      </c>
      <c r="Q795" t="s">
        <v>74</v>
      </c>
      <c r="R795" t="s">
        <v>74</v>
      </c>
      <c r="S795" t="s">
        <v>74</v>
      </c>
      <c r="T795" t="s">
        <v>15069</v>
      </c>
      <c r="U795" t="s">
        <v>15070</v>
      </c>
      <c r="V795" t="s">
        <v>15071</v>
      </c>
      <c r="W795" t="s">
        <v>15072</v>
      </c>
      <c r="X795" t="s">
        <v>15073</v>
      </c>
      <c r="Y795" t="s">
        <v>15074</v>
      </c>
      <c r="Z795" t="s">
        <v>15075</v>
      </c>
      <c r="AA795" t="s">
        <v>74</v>
      </c>
      <c r="AB795" t="s">
        <v>15076</v>
      </c>
      <c r="AC795" t="s">
        <v>15077</v>
      </c>
      <c r="AD795" t="s">
        <v>15078</v>
      </c>
      <c r="AE795" t="s">
        <v>15079</v>
      </c>
      <c r="AF795" t="s">
        <v>74</v>
      </c>
      <c r="AG795">
        <v>144</v>
      </c>
      <c r="AH795">
        <v>0</v>
      </c>
      <c r="AI795">
        <v>0</v>
      </c>
      <c r="AJ795">
        <v>7</v>
      </c>
      <c r="AK795">
        <v>7</v>
      </c>
      <c r="AL795" t="s">
        <v>15080</v>
      </c>
      <c r="AM795" t="s">
        <v>13481</v>
      </c>
      <c r="AN795" t="s">
        <v>15081</v>
      </c>
      <c r="AO795" t="s">
        <v>15082</v>
      </c>
      <c r="AP795" t="s">
        <v>15083</v>
      </c>
      <c r="AQ795" t="s">
        <v>74</v>
      </c>
      <c r="AR795" t="s">
        <v>15084</v>
      </c>
      <c r="AS795" t="s">
        <v>15085</v>
      </c>
      <c r="AT795" t="s">
        <v>467</v>
      </c>
      <c r="AU795">
        <v>2023</v>
      </c>
      <c r="AV795">
        <v>40</v>
      </c>
      <c r="AW795">
        <v>4</v>
      </c>
      <c r="AX795" t="s">
        <v>74</v>
      </c>
      <c r="AY795" t="s">
        <v>74</v>
      </c>
      <c r="AZ795" t="s">
        <v>74</v>
      </c>
      <c r="BA795" t="s">
        <v>74</v>
      </c>
      <c r="BB795" t="s">
        <v>74</v>
      </c>
      <c r="BC795" t="s">
        <v>74</v>
      </c>
      <c r="BD795">
        <v>101881</v>
      </c>
      <c r="BE795" t="s">
        <v>15086</v>
      </c>
      <c r="BF795" t="str">
        <f>HYPERLINK("http://dx.doi.org/10.1016/j.giq.2023.101881","http://dx.doi.org/10.1016/j.giq.2023.101881")</f>
        <v>http://dx.doi.org/10.1016/j.giq.2023.101881</v>
      </c>
      <c r="BG795" t="s">
        <v>74</v>
      </c>
      <c r="BH795" t="s">
        <v>157</v>
      </c>
      <c r="BI795">
        <v>16</v>
      </c>
      <c r="BJ795" t="s">
        <v>1016</v>
      </c>
      <c r="BK795" t="s">
        <v>159</v>
      </c>
      <c r="BL795" t="s">
        <v>1016</v>
      </c>
      <c r="BM795" t="s">
        <v>15087</v>
      </c>
      <c r="BN795" t="s">
        <v>74</v>
      </c>
      <c r="BO795" t="s">
        <v>646</v>
      </c>
      <c r="BP795" t="s">
        <v>74</v>
      </c>
      <c r="BQ795" t="s">
        <v>74</v>
      </c>
      <c r="BR795" t="s">
        <v>101</v>
      </c>
      <c r="BS795" t="s">
        <v>15088</v>
      </c>
      <c r="BT795" t="str">
        <f>HYPERLINK("https%3A%2F%2Fwww.webofscience.com%2Fwos%2Fwoscc%2Ffull-record%2FWOS:001111724600001","View Full Record in Web of Science")</f>
        <v>View Full Record in Web of Science</v>
      </c>
    </row>
    <row r="796" spans="1:72" x14ac:dyDescent="0.2">
      <c r="A796" t="s">
        <v>103</v>
      </c>
      <c r="B796" t="s">
        <v>15089</v>
      </c>
      <c r="C796" t="s">
        <v>74</v>
      </c>
      <c r="D796" t="s">
        <v>74</v>
      </c>
      <c r="E796" t="s">
        <v>74</v>
      </c>
      <c r="F796" t="s">
        <v>15090</v>
      </c>
      <c r="G796" t="s">
        <v>74</v>
      </c>
      <c r="H796" t="s">
        <v>74</v>
      </c>
      <c r="I796" t="s">
        <v>15091</v>
      </c>
      <c r="J796" t="s">
        <v>15092</v>
      </c>
      <c r="K796" t="s">
        <v>74</v>
      </c>
      <c r="L796" t="s">
        <v>74</v>
      </c>
      <c r="M796" t="s">
        <v>79</v>
      </c>
      <c r="N796" t="s">
        <v>108</v>
      </c>
      <c r="O796" t="s">
        <v>74</v>
      </c>
      <c r="P796" t="s">
        <v>74</v>
      </c>
      <c r="Q796" t="s">
        <v>74</v>
      </c>
      <c r="R796" t="s">
        <v>74</v>
      </c>
      <c r="S796" t="s">
        <v>74</v>
      </c>
      <c r="T796" t="s">
        <v>15093</v>
      </c>
      <c r="U796" t="s">
        <v>15094</v>
      </c>
      <c r="V796" t="s">
        <v>15095</v>
      </c>
      <c r="W796" t="s">
        <v>15096</v>
      </c>
      <c r="X796" t="s">
        <v>15097</v>
      </c>
      <c r="Y796" t="s">
        <v>15098</v>
      </c>
      <c r="Z796" t="s">
        <v>15099</v>
      </c>
      <c r="AA796" t="s">
        <v>74</v>
      </c>
      <c r="AB796" t="s">
        <v>15100</v>
      </c>
      <c r="AC796" t="s">
        <v>15101</v>
      </c>
      <c r="AD796" t="s">
        <v>3400</v>
      </c>
      <c r="AE796" t="s">
        <v>15102</v>
      </c>
      <c r="AF796" t="s">
        <v>74</v>
      </c>
      <c r="AG796">
        <v>63</v>
      </c>
      <c r="AH796">
        <v>0</v>
      </c>
      <c r="AI796">
        <v>0</v>
      </c>
      <c r="AJ796">
        <v>14</v>
      </c>
      <c r="AK796">
        <v>22</v>
      </c>
      <c r="AL796" t="s">
        <v>270</v>
      </c>
      <c r="AM796" t="s">
        <v>1424</v>
      </c>
      <c r="AN796" t="s">
        <v>1425</v>
      </c>
      <c r="AO796" t="s">
        <v>15103</v>
      </c>
      <c r="AP796" t="s">
        <v>15104</v>
      </c>
      <c r="AQ796" t="s">
        <v>74</v>
      </c>
      <c r="AR796" t="s">
        <v>15105</v>
      </c>
      <c r="AS796" t="s">
        <v>15106</v>
      </c>
      <c r="AT796" t="s">
        <v>771</v>
      </c>
      <c r="AU796">
        <v>2023</v>
      </c>
      <c r="AV796">
        <v>86</v>
      </c>
      <c r="AW796" t="s">
        <v>74</v>
      </c>
      <c r="AX796" t="s">
        <v>3738</v>
      </c>
      <c r="AY796" t="s">
        <v>74</v>
      </c>
      <c r="AZ796" t="s">
        <v>74</v>
      </c>
      <c r="BA796" t="s">
        <v>74</v>
      </c>
      <c r="BB796" t="s">
        <v>74</v>
      </c>
      <c r="BC796" t="s">
        <v>74</v>
      </c>
      <c r="BD796">
        <v>105150</v>
      </c>
      <c r="BE796" t="s">
        <v>15107</v>
      </c>
      <c r="BF796" t="str">
        <f>HYPERLINK("http://dx.doi.org/10.1016/j.bspc.2023.105150","http://dx.doi.org/10.1016/j.bspc.2023.105150")</f>
        <v>http://dx.doi.org/10.1016/j.bspc.2023.105150</v>
      </c>
      <c r="BG796" t="s">
        <v>74</v>
      </c>
      <c r="BH796" t="s">
        <v>1910</v>
      </c>
      <c r="BI796">
        <v>10</v>
      </c>
      <c r="BJ796" t="s">
        <v>4718</v>
      </c>
      <c r="BK796" t="s">
        <v>130</v>
      </c>
      <c r="BL796" t="s">
        <v>2823</v>
      </c>
      <c r="BM796" t="s">
        <v>15108</v>
      </c>
      <c r="BN796" t="s">
        <v>74</v>
      </c>
      <c r="BO796" t="s">
        <v>74</v>
      </c>
      <c r="BP796" t="s">
        <v>74</v>
      </c>
      <c r="BQ796" t="s">
        <v>74</v>
      </c>
      <c r="BR796" t="s">
        <v>101</v>
      </c>
      <c r="BS796" t="s">
        <v>15109</v>
      </c>
      <c r="BT796" t="str">
        <f>HYPERLINK("https%3A%2F%2Fwww.webofscience.com%2Fwos%2Fwoscc%2Ffull-record%2FWOS:001030131600001","View Full Record in Web of Science")</f>
        <v>View Full Record in Web of Science</v>
      </c>
    </row>
    <row r="797" spans="1:72" x14ac:dyDescent="0.2">
      <c r="A797" t="s">
        <v>103</v>
      </c>
      <c r="B797" t="s">
        <v>15110</v>
      </c>
      <c r="C797" t="s">
        <v>74</v>
      </c>
      <c r="D797" t="s">
        <v>74</v>
      </c>
      <c r="E797" t="s">
        <v>74</v>
      </c>
      <c r="F797" t="s">
        <v>15111</v>
      </c>
      <c r="G797" t="s">
        <v>74</v>
      </c>
      <c r="H797" t="s">
        <v>74</v>
      </c>
      <c r="I797" t="s">
        <v>15112</v>
      </c>
      <c r="J797" t="s">
        <v>7461</v>
      </c>
      <c r="K797" t="s">
        <v>74</v>
      </c>
      <c r="L797" t="s">
        <v>74</v>
      </c>
      <c r="M797" t="s">
        <v>79</v>
      </c>
      <c r="N797" t="s">
        <v>108</v>
      </c>
      <c r="O797" t="s">
        <v>74</v>
      </c>
      <c r="P797" t="s">
        <v>74</v>
      </c>
      <c r="Q797" t="s">
        <v>74</v>
      </c>
      <c r="R797" t="s">
        <v>74</v>
      </c>
      <c r="S797" t="s">
        <v>74</v>
      </c>
      <c r="T797" t="s">
        <v>15113</v>
      </c>
      <c r="U797" t="s">
        <v>74</v>
      </c>
      <c r="V797" t="s">
        <v>15114</v>
      </c>
      <c r="W797" t="s">
        <v>15115</v>
      </c>
      <c r="X797" t="s">
        <v>15116</v>
      </c>
      <c r="Y797" t="s">
        <v>15117</v>
      </c>
      <c r="Z797" t="s">
        <v>15118</v>
      </c>
      <c r="AA797" t="s">
        <v>15119</v>
      </c>
      <c r="AB797" t="s">
        <v>15120</v>
      </c>
      <c r="AC797" t="s">
        <v>15121</v>
      </c>
      <c r="AD797" t="s">
        <v>15122</v>
      </c>
      <c r="AE797" t="s">
        <v>15123</v>
      </c>
      <c r="AF797" t="s">
        <v>74</v>
      </c>
      <c r="AG797">
        <v>59</v>
      </c>
      <c r="AH797">
        <v>1</v>
      </c>
      <c r="AI797">
        <v>1</v>
      </c>
      <c r="AJ797">
        <v>7</v>
      </c>
      <c r="AK797">
        <v>7</v>
      </c>
      <c r="AL797" t="s">
        <v>939</v>
      </c>
      <c r="AM797" t="s">
        <v>940</v>
      </c>
      <c r="AN797" t="s">
        <v>941</v>
      </c>
      <c r="AO797" t="s">
        <v>74</v>
      </c>
      <c r="AP797" t="s">
        <v>7471</v>
      </c>
      <c r="AQ797" t="s">
        <v>74</v>
      </c>
      <c r="AR797" t="s">
        <v>7472</v>
      </c>
      <c r="AS797" t="s">
        <v>7473</v>
      </c>
      <c r="AT797" t="s">
        <v>467</v>
      </c>
      <c r="AU797">
        <v>2023</v>
      </c>
      <c r="AV797">
        <v>23</v>
      </c>
      <c r="AW797">
        <v>19</v>
      </c>
      <c r="AX797" t="s">
        <v>74</v>
      </c>
      <c r="AY797" t="s">
        <v>74</v>
      </c>
      <c r="AZ797" t="s">
        <v>74</v>
      </c>
      <c r="BA797" t="s">
        <v>74</v>
      </c>
      <c r="BB797" t="s">
        <v>74</v>
      </c>
      <c r="BC797" t="s">
        <v>74</v>
      </c>
      <c r="BD797">
        <v>8158</v>
      </c>
      <c r="BE797" t="s">
        <v>15124</v>
      </c>
      <c r="BF797" t="str">
        <f>HYPERLINK("http://dx.doi.org/10.3390/s23198158","http://dx.doi.org/10.3390/s23198158")</f>
        <v>http://dx.doi.org/10.3390/s23198158</v>
      </c>
      <c r="BG797" t="s">
        <v>74</v>
      </c>
      <c r="BH797" t="s">
        <v>74</v>
      </c>
      <c r="BI797">
        <v>20</v>
      </c>
      <c r="BJ797" t="s">
        <v>7475</v>
      </c>
      <c r="BK797" t="s">
        <v>130</v>
      </c>
      <c r="BL797" t="s">
        <v>7476</v>
      </c>
      <c r="BM797" t="s">
        <v>15125</v>
      </c>
      <c r="BN797">
        <v>37836988</v>
      </c>
      <c r="BO797" t="s">
        <v>4185</v>
      </c>
      <c r="BP797" t="s">
        <v>74</v>
      </c>
      <c r="BQ797" t="s">
        <v>74</v>
      </c>
      <c r="BR797" t="s">
        <v>101</v>
      </c>
      <c r="BS797" t="s">
        <v>15126</v>
      </c>
      <c r="BT797" t="str">
        <f>HYPERLINK("https%3A%2F%2Fwww.webofscience.com%2Fwos%2Fwoscc%2Ffull-record%2FWOS:001097424600001","View Full Record in Web of Science")</f>
        <v>View Full Record in Web of Science</v>
      </c>
    </row>
    <row r="798" spans="1:72" x14ac:dyDescent="0.2">
      <c r="A798" t="s">
        <v>72</v>
      </c>
      <c r="B798" t="s">
        <v>15127</v>
      </c>
      <c r="C798" t="s">
        <v>74</v>
      </c>
      <c r="D798" t="s">
        <v>15128</v>
      </c>
      <c r="E798" t="s">
        <v>74</v>
      </c>
      <c r="F798" t="s">
        <v>15129</v>
      </c>
      <c r="G798" t="s">
        <v>74</v>
      </c>
      <c r="H798" t="s">
        <v>74</v>
      </c>
      <c r="I798" t="s">
        <v>15130</v>
      </c>
      <c r="J798" t="s">
        <v>15131</v>
      </c>
      <c r="K798" t="s">
        <v>15132</v>
      </c>
      <c r="L798" t="s">
        <v>74</v>
      </c>
      <c r="M798" t="s">
        <v>79</v>
      </c>
      <c r="N798" t="s">
        <v>80</v>
      </c>
      <c r="O798" t="s">
        <v>15133</v>
      </c>
      <c r="P798" t="s">
        <v>15134</v>
      </c>
      <c r="Q798" t="s">
        <v>15135</v>
      </c>
      <c r="R798" t="s">
        <v>15136</v>
      </c>
      <c r="S798" t="s">
        <v>15137</v>
      </c>
      <c r="T798" t="s">
        <v>15138</v>
      </c>
      <c r="U798" t="s">
        <v>74</v>
      </c>
      <c r="V798" t="s">
        <v>15139</v>
      </c>
      <c r="W798" t="s">
        <v>15140</v>
      </c>
      <c r="X798" t="s">
        <v>15141</v>
      </c>
      <c r="Y798" t="s">
        <v>15142</v>
      </c>
      <c r="Z798" t="s">
        <v>74</v>
      </c>
      <c r="AA798" t="s">
        <v>74</v>
      </c>
      <c r="AB798" t="s">
        <v>74</v>
      </c>
      <c r="AC798" t="s">
        <v>15143</v>
      </c>
      <c r="AD798" t="s">
        <v>15144</v>
      </c>
      <c r="AE798" t="s">
        <v>15145</v>
      </c>
      <c r="AF798" t="s">
        <v>74</v>
      </c>
      <c r="AG798">
        <v>8</v>
      </c>
      <c r="AH798">
        <v>0</v>
      </c>
      <c r="AI798">
        <v>0</v>
      </c>
      <c r="AJ798">
        <v>1</v>
      </c>
      <c r="AK798">
        <v>1</v>
      </c>
      <c r="AL798" t="s">
        <v>1766</v>
      </c>
      <c r="AM798" t="s">
        <v>765</v>
      </c>
      <c r="AN798" t="s">
        <v>1767</v>
      </c>
      <c r="AO798" t="s">
        <v>15146</v>
      </c>
      <c r="AP798" t="s">
        <v>15147</v>
      </c>
      <c r="AQ798" t="s">
        <v>15148</v>
      </c>
      <c r="AR798" t="s">
        <v>15149</v>
      </c>
      <c r="AS798" t="s">
        <v>74</v>
      </c>
      <c r="AT798" t="s">
        <v>74</v>
      </c>
      <c r="AU798">
        <v>2023</v>
      </c>
      <c r="AV798">
        <v>302</v>
      </c>
      <c r="AW798" t="s">
        <v>74</v>
      </c>
      <c r="AX798" t="s">
        <v>74</v>
      </c>
      <c r="AY798" t="s">
        <v>74</v>
      </c>
      <c r="AZ798" t="s">
        <v>74</v>
      </c>
      <c r="BA798" t="s">
        <v>74</v>
      </c>
      <c r="BB798">
        <v>927</v>
      </c>
      <c r="BC798">
        <v>931</v>
      </c>
      <c r="BD798" t="s">
        <v>74</v>
      </c>
      <c r="BE798" t="s">
        <v>15150</v>
      </c>
      <c r="BF798" t="str">
        <f>HYPERLINK("http://dx.doi.org/10.3233/SHTI230311","http://dx.doi.org/10.3233/SHTI230311")</f>
        <v>http://dx.doi.org/10.3233/SHTI230311</v>
      </c>
      <c r="BG798" t="s">
        <v>74</v>
      </c>
      <c r="BH798" t="s">
        <v>74</v>
      </c>
      <c r="BI798">
        <v>5</v>
      </c>
      <c r="BJ798" t="s">
        <v>15151</v>
      </c>
      <c r="BK798" t="s">
        <v>98</v>
      </c>
      <c r="BL798" t="s">
        <v>15152</v>
      </c>
      <c r="BM798" t="s">
        <v>15153</v>
      </c>
      <c r="BN798">
        <v>37203538</v>
      </c>
      <c r="BO798" t="s">
        <v>161</v>
      </c>
      <c r="BP798" t="s">
        <v>74</v>
      </c>
      <c r="BQ798" t="s">
        <v>74</v>
      </c>
      <c r="BR798" t="s">
        <v>101</v>
      </c>
      <c r="BS798" t="s">
        <v>15154</v>
      </c>
      <c r="BT798" t="str">
        <f>HYPERLINK("https%3A%2F%2Fwww.webofscience.com%2Fwos%2Fwoscc%2Ffull-record%2FWOS:001071432900247","View Full Record in Web of Science")</f>
        <v>View Full Record in Web of Science</v>
      </c>
    </row>
    <row r="799" spans="1:72" x14ac:dyDescent="0.2">
      <c r="A799" t="s">
        <v>72</v>
      </c>
      <c r="B799" t="s">
        <v>15155</v>
      </c>
      <c r="C799" t="s">
        <v>74</v>
      </c>
      <c r="D799" t="s">
        <v>74</v>
      </c>
      <c r="E799" t="s">
        <v>75</v>
      </c>
      <c r="F799" t="s">
        <v>15156</v>
      </c>
      <c r="G799" t="s">
        <v>74</v>
      </c>
      <c r="H799" t="s">
        <v>74</v>
      </c>
      <c r="I799" t="s">
        <v>15157</v>
      </c>
      <c r="J799" t="s">
        <v>1264</v>
      </c>
      <c r="K799" t="s">
        <v>74</v>
      </c>
      <c r="L799" t="s">
        <v>74</v>
      </c>
      <c r="M799" t="s">
        <v>79</v>
      </c>
      <c r="N799" t="s">
        <v>80</v>
      </c>
      <c r="O799" t="s">
        <v>1265</v>
      </c>
      <c r="P799" t="s">
        <v>290</v>
      </c>
      <c r="Q799" t="s">
        <v>1266</v>
      </c>
      <c r="R799" t="s">
        <v>1267</v>
      </c>
      <c r="S799" t="s">
        <v>74</v>
      </c>
      <c r="T799" t="s">
        <v>15158</v>
      </c>
      <c r="U799" t="s">
        <v>74</v>
      </c>
      <c r="V799" t="s">
        <v>15159</v>
      </c>
      <c r="W799" t="s">
        <v>15160</v>
      </c>
      <c r="X799" t="s">
        <v>15161</v>
      </c>
      <c r="Y799" t="s">
        <v>15162</v>
      </c>
      <c r="Z799" t="s">
        <v>15163</v>
      </c>
      <c r="AA799" t="s">
        <v>74</v>
      </c>
      <c r="AB799" t="s">
        <v>74</v>
      </c>
      <c r="AC799" t="s">
        <v>15164</v>
      </c>
      <c r="AD799" t="s">
        <v>15165</v>
      </c>
      <c r="AE799" t="s">
        <v>15166</v>
      </c>
      <c r="AF799" t="s">
        <v>74</v>
      </c>
      <c r="AG799">
        <v>23</v>
      </c>
      <c r="AH799">
        <v>0</v>
      </c>
      <c r="AI799">
        <v>0</v>
      </c>
      <c r="AJ799">
        <v>0</v>
      </c>
      <c r="AK799">
        <v>0</v>
      </c>
      <c r="AL799" t="s">
        <v>92</v>
      </c>
      <c r="AM799" t="s">
        <v>93</v>
      </c>
      <c r="AN799" t="s">
        <v>94</v>
      </c>
      <c r="AO799" t="s">
        <v>74</v>
      </c>
      <c r="AP799" t="s">
        <v>74</v>
      </c>
      <c r="AQ799" t="s">
        <v>1278</v>
      </c>
      <c r="AR799" t="s">
        <v>74</v>
      </c>
      <c r="AS799" t="s">
        <v>74</v>
      </c>
      <c r="AT799" t="s">
        <v>74</v>
      </c>
      <c r="AU799">
        <v>2023</v>
      </c>
      <c r="AV799" t="s">
        <v>74</v>
      </c>
      <c r="AW799" t="s">
        <v>74</v>
      </c>
      <c r="AX799" t="s">
        <v>74</v>
      </c>
      <c r="AY799" t="s">
        <v>74</v>
      </c>
      <c r="AZ799" t="s">
        <v>74</v>
      </c>
      <c r="BA799" t="s">
        <v>74</v>
      </c>
      <c r="BB799">
        <v>646</v>
      </c>
      <c r="BC799">
        <v>654</v>
      </c>
      <c r="BD799" t="s">
        <v>74</v>
      </c>
      <c r="BE799" t="s">
        <v>15167</v>
      </c>
      <c r="BF799" t="str">
        <f>HYPERLINK("http://dx.doi.org/10.1145/3604237.3626853","http://dx.doi.org/10.1145/3604237.3626853")</f>
        <v>http://dx.doi.org/10.1145/3604237.3626853</v>
      </c>
      <c r="BG799" t="s">
        <v>74</v>
      </c>
      <c r="BH799" t="s">
        <v>74</v>
      </c>
      <c r="BI799">
        <v>9</v>
      </c>
      <c r="BJ799" t="s">
        <v>1280</v>
      </c>
      <c r="BK799" t="s">
        <v>180</v>
      </c>
      <c r="BL799" t="s">
        <v>1281</v>
      </c>
      <c r="BM799" t="s">
        <v>1282</v>
      </c>
      <c r="BN799" t="s">
        <v>74</v>
      </c>
      <c r="BO799" t="s">
        <v>161</v>
      </c>
      <c r="BP799" t="s">
        <v>74</v>
      </c>
      <c r="BQ799" t="s">
        <v>74</v>
      </c>
      <c r="BR799" t="s">
        <v>101</v>
      </c>
      <c r="BS799" t="s">
        <v>15168</v>
      </c>
      <c r="BT799" t="str">
        <f>HYPERLINK("https%3A%2F%2Fwww.webofscience.com%2Fwos%2Fwoscc%2Ffull-record%2FWOS:001124982700075","View Full Record in Web of Science")</f>
        <v>View Full Record in Web of Science</v>
      </c>
    </row>
    <row r="800" spans="1:72" x14ac:dyDescent="0.2">
      <c r="A800" t="s">
        <v>103</v>
      </c>
      <c r="B800" t="s">
        <v>15169</v>
      </c>
      <c r="C800" t="s">
        <v>74</v>
      </c>
      <c r="D800" t="s">
        <v>74</v>
      </c>
      <c r="E800" t="s">
        <v>74</v>
      </c>
      <c r="F800" t="s">
        <v>15170</v>
      </c>
      <c r="G800" t="s">
        <v>74</v>
      </c>
      <c r="H800" t="s">
        <v>74</v>
      </c>
      <c r="I800" t="s">
        <v>15171</v>
      </c>
      <c r="J800" t="s">
        <v>15172</v>
      </c>
      <c r="K800" t="s">
        <v>74</v>
      </c>
      <c r="L800" t="s">
        <v>74</v>
      </c>
      <c r="M800" t="s">
        <v>79</v>
      </c>
      <c r="N800" t="s">
        <v>108</v>
      </c>
      <c r="O800" t="s">
        <v>74</v>
      </c>
      <c r="P800" t="s">
        <v>74</v>
      </c>
      <c r="Q800" t="s">
        <v>74</v>
      </c>
      <c r="R800" t="s">
        <v>74</v>
      </c>
      <c r="S800" t="s">
        <v>74</v>
      </c>
      <c r="T800" t="s">
        <v>15173</v>
      </c>
      <c r="U800" t="s">
        <v>15174</v>
      </c>
      <c r="V800" t="s">
        <v>15175</v>
      </c>
      <c r="W800" t="s">
        <v>15176</v>
      </c>
      <c r="X800" t="s">
        <v>15177</v>
      </c>
      <c r="Y800" t="s">
        <v>15178</v>
      </c>
      <c r="Z800" t="s">
        <v>15179</v>
      </c>
      <c r="AA800" t="s">
        <v>15180</v>
      </c>
      <c r="AB800" t="s">
        <v>15181</v>
      </c>
      <c r="AC800" t="s">
        <v>15182</v>
      </c>
      <c r="AD800" t="s">
        <v>15182</v>
      </c>
      <c r="AE800" t="s">
        <v>15182</v>
      </c>
      <c r="AF800" t="s">
        <v>74</v>
      </c>
      <c r="AG800">
        <v>77</v>
      </c>
      <c r="AH800">
        <v>2</v>
      </c>
      <c r="AI800">
        <v>2</v>
      </c>
      <c r="AJ800">
        <v>3</v>
      </c>
      <c r="AK800">
        <v>3</v>
      </c>
      <c r="AL800" t="s">
        <v>2492</v>
      </c>
      <c r="AM800" t="s">
        <v>461</v>
      </c>
      <c r="AN800" t="s">
        <v>2493</v>
      </c>
      <c r="AO800" t="s">
        <v>74</v>
      </c>
      <c r="AP800" t="s">
        <v>15183</v>
      </c>
      <c r="AQ800" t="s">
        <v>74</v>
      </c>
      <c r="AR800" t="s">
        <v>15184</v>
      </c>
      <c r="AS800" t="s">
        <v>15185</v>
      </c>
      <c r="AT800" t="s">
        <v>15186</v>
      </c>
      <c r="AU800">
        <v>2023</v>
      </c>
      <c r="AV800">
        <v>10</v>
      </c>
      <c r="AW800" t="s">
        <v>74</v>
      </c>
      <c r="AX800" t="s">
        <v>74</v>
      </c>
      <c r="AY800" t="s">
        <v>74</v>
      </c>
      <c r="AZ800" t="s">
        <v>74</v>
      </c>
      <c r="BA800" t="s">
        <v>74</v>
      </c>
      <c r="BB800" t="s">
        <v>74</v>
      </c>
      <c r="BC800" t="s">
        <v>74</v>
      </c>
      <c r="BD800">
        <v>1249247</v>
      </c>
      <c r="BE800" t="s">
        <v>15187</v>
      </c>
      <c r="BF800" t="str">
        <f>HYPERLINK("http://dx.doi.org/10.3389/fmolb.2023.1249247","http://dx.doi.org/10.3389/fmolb.2023.1249247")</f>
        <v>http://dx.doi.org/10.3389/fmolb.2023.1249247</v>
      </c>
      <c r="BG800" t="s">
        <v>74</v>
      </c>
      <c r="BH800" t="s">
        <v>74</v>
      </c>
      <c r="BI800">
        <v>20</v>
      </c>
      <c r="BJ800" t="s">
        <v>12474</v>
      </c>
      <c r="BK800" t="s">
        <v>130</v>
      </c>
      <c r="BL800" t="s">
        <v>12474</v>
      </c>
      <c r="BM800" t="s">
        <v>15188</v>
      </c>
      <c r="BN800">
        <v>37842638</v>
      </c>
      <c r="BO800" t="s">
        <v>1728</v>
      </c>
      <c r="BP800" t="s">
        <v>74</v>
      </c>
      <c r="BQ800" t="s">
        <v>74</v>
      </c>
      <c r="BR800" t="s">
        <v>101</v>
      </c>
      <c r="BS800" t="s">
        <v>15189</v>
      </c>
      <c r="BT800" t="str">
        <f>HYPERLINK("https%3A%2F%2Fwww.webofscience.com%2Fwos%2Fwoscc%2Ffull-record%2FWOS:001083375200001","View Full Record in Web of Science")</f>
        <v>View Full Record in Web of Science</v>
      </c>
    </row>
    <row r="801" spans="1:72" x14ac:dyDescent="0.2">
      <c r="A801" t="s">
        <v>103</v>
      </c>
      <c r="B801" t="s">
        <v>15190</v>
      </c>
      <c r="C801" t="s">
        <v>74</v>
      </c>
      <c r="D801" t="s">
        <v>74</v>
      </c>
      <c r="E801" t="s">
        <v>74</v>
      </c>
      <c r="F801" t="s">
        <v>15191</v>
      </c>
      <c r="G801" t="s">
        <v>74</v>
      </c>
      <c r="H801" t="s">
        <v>74</v>
      </c>
      <c r="I801" t="s">
        <v>15192</v>
      </c>
      <c r="J801" t="s">
        <v>15193</v>
      </c>
      <c r="K801" t="s">
        <v>74</v>
      </c>
      <c r="L801" t="s">
        <v>74</v>
      </c>
      <c r="M801" t="s">
        <v>79</v>
      </c>
      <c r="N801" t="s">
        <v>108</v>
      </c>
      <c r="O801" t="s">
        <v>74</v>
      </c>
      <c r="P801" t="s">
        <v>74</v>
      </c>
      <c r="Q801" t="s">
        <v>74</v>
      </c>
      <c r="R801" t="s">
        <v>74</v>
      </c>
      <c r="S801" t="s">
        <v>74</v>
      </c>
      <c r="T801" t="s">
        <v>15194</v>
      </c>
      <c r="U801" t="s">
        <v>15195</v>
      </c>
      <c r="V801" t="s">
        <v>15196</v>
      </c>
      <c r="W801" t="s">
        <v>15197</v>
      </c>
      <c r="X801" t="s">
        <v>15198</v>
      </c>
      <c r="Y801" t="s">
        <v>15199</v>
      </c>
      <c r="Z801" t="s">
        <v>15200</v>
      </c>
      <c r="AA801" t="s">
        <v>15201</v>
      </c>
      <c r="AB801" t="s">
        <v>15202</v>
      </c>
      <c r="AC801" t="s">
        <v>74</v>
      </c>
      <c r="AD801" t="s">
        <v>74</v>
      </c>
      <c r="AE801" t="s">
        <v>74</v>
      </c>
      <c r="AF801" t="s">
        <v>74</v>
      </c>
      <c r="AG801">
        <v>27</v>
      </c>
      <c r="AH801">
        <v>11</v>
      </c>
      <c r="AI801">
        <v>12</v>
      </c>
      <c r="AJ801">
        <v>39</v>
      </c>
      <c r="AK801">
        <v>70</v>
      </c>
      <c r="AL801" t="s">
        <v>2492</v>
      </c>
      <c r="AM801" t="s">
        <v>461</v>
      </c>
      <c r="AN801" t="s">
        <v>2493</v>
      </c>
      <c r="AO801" t="s">
        <v>74</v>
      </c>
      <c r="AP801" t="s">
        <v>15203</v>
      </c>
      <c r="AQ801" t="s">
        <v>74</v>
      </c>
      <c r="AR801" t="s">
        <v>15204</v>
      </c>
      <c r="AS801" t="s">
        <v>15205</v>
      </c>
      <c r="AT801" t="s">
        <v>15206</v>
      </c>
      <c r="AU801">
        <v>2023</v>
      </c>
      <c r="AV801">
        <v>6</v>
      </c>
      <c r="AW801" t="s">
        <v>74</v>
      </c>
      <c r="AX801" t="s">
        <v>74</v>
      </c>
      <c r="AY801" t="s">
        <v>74</v>
      </c>
      <c r="AZ801" t="s">
        <v>74</v>
      </c>
      <c r="BA801" t="s">
        <v>74</v>
      </c>
      <c r="BB801" t="s">
        <v>74</v>
      </c>
      <c r="BC801" t="s">
        <v>74</v>
      </c>
      <c r="BD801">
        <v>1199350</v>
      </c>
      <c r="BE801" t="s">
        <v>15207</v>
      </c>
      <c r="BF801" t="str">
        <f>HYPERLINK("http://dx.doi.org/10.3389/frai.2023.1199350","http://dx.doi.org/10.3389/frai.2023.1199350")</f>
        <v>http://dx.doi.org/10.3389/frai.2023.1199350</v>
      </c>
      <c r="BG801" t="s">
        <v>74</v>
      </c>
      <c r="BH801" t="s">
        <v>74</v>
      </c>
      <c r="BI801">
        <v>13</v>
      </c>
      <c r="BJ801" t="s">
        <v>883</v>
      </c>
      <c r="BK801" t="s">
        <v>352</v>
      </c>
      <c r="BL801" t="s">
        <v>99</v>
      </c>
      <c r="BM801" t="s">
        <v>15208</v>
      </c>
      <c r="BN801">
        <v>37293238</v>
      </c>
      <c r="BO801" t="s">
        <v>4185</v>
      </c>
      <c r="BP801" t="s">
        <v>74</v>
      </c>
      <c r="BQ801" t="s">
        <v>74</v>
      </c>
      <c r="BR801" t="s">
        <v>101</v>
      </c>
      <c r="BS801" t="s">
        <v>15209</v>
      </c>
      <c r="BT801" t="str">
        <f>HYPERLINK("https%3A%2F%2Fwww.webofscience.com%2Fwos%2Fwoscc%2Ffull-record%2FWOS:001003069300001","View Full Record in Web of Science")</f>
        <v>View Full Record in Web of Science</v>
      </c>
    </row>
    <row r="802" spans="1:72" x14ac:dyDescent="0.2">
      <c r="A802" t="s">
        <v>72</v>
      </c>
      <c r="B802" t="s">
        <v>15210</v>
      </c>
      <c r="C802" t="s">
        <v>74</v>
      </c>
      <c r="D802" t="s">
        <v>74</v>
      </c>
      <c r="E802" t="s">
        <v>284</v>
      </c>
      <c r="F802" t="s">
        <v>15211</v>
      </c>
      <c r="G802" t="s">
        <v>74</v>
      </c>
      <c r="H802" t="s">
        <v>74</v>
      </c>
      <c r="I802" t="s">
        <v>15212</v>
      </c>
      <c r="J802" t="s">
        <v>15213</v>
      </c>
      <c r="K802" t="s">
        <v>15214</v>
      </c>
      <c r="L802" t="s">
        <v>74</v>
      </c>
      <c r="M802" t="s">
        <v>79</v>
      </c>
      <c r="N802" t="s">
        <v>80</v>
      </c>
      <c r="O802" t="s">
        <v>15215</v>
      </c>
      <c r="P802" t="s">
        <v>15216</v>
      </c>
      <c r="Q802" t="s">
        <v>5126</v>
      </c>
      <c r="R802" t="s">
        <v>284</v>
      </c>
      <c r="S802" t="s">
        <v>74</v>
      </c>
      <c r="T802" t="s">
        <v>15217</v>
      </c>
      <c r="U802" t="s">
        <v>74</v>
      </c>
      <c r="V802" t="s">
        <v>15218</v>
      </c>
      <c r="W802" t="s">
        <v>15219</v>
      </c>
      <c r="X802" t="s">
        <v>15220</v>
      </c>
      <c r="Y802" t="s">
        <v>15221</v>
      </c>
      <c r="Z802" t="s">
        <v>15222</v>
      </c>
      <c r="AA802" t="s">
        <v>15223</v>
      </c>
      <c r="AB802" t="s">
        <v>74</v>
      </c>
      <c r="AC802" t="s">
        <v>15224</v>
      </c>
      <c r="AD802" t="s">
        <v>15225</v>
      </c>
      <c r="AE802" t="s">
        <v>15226</v>
      </c>
      <c r="AF802" t="s">
        <v>74</v>
      </c>
      <c r="AG802">
        <v>25</v>
      </c>
      <c r="AH802">
        <v>0</v>
      </c>
      <c r="AI802">
        <v>0</v>
      </c>
      <c r="AJ802">
        <v>0</v>
      </c>
      <c r="AK802">
        <v>0</v>
      </c>
      <c r="AL802" t="s">
        <v>284</v>
      </c>
      <c r="AM802" t="s">
        <v>93</v>
      </c>
      <c r="AN802" t="s">
        <v>299</v>
      </c>
      <c r="AO802" t="s">
        <v>15227</v>
      </c>
      <c r="AP802" t="s">
        <v>74</v>
      </c>
      <c r="AQ802" t="s">
        <v>15228</v>
      </c>
      <c r="AR802" t="s">
        <v>15229</v>
      </c>
      <c r="AS802" t="s">
        <v>74</v>
      </c>
      <c r="AT802" t="s">
        <v>74</v>
      </c>
      <c r="AU802">
        <v>2023</v>
      </c>
      <c r="AV802" t="s">
        <v>74</v>
      </c>
      <c r="AW802" t="s">
        <v>74</v>
      </c>
      <c r="AX802" t="s">
        <v>74</v>
      </c>
      <c r="AY802" t="s">
        <v>74</v>
      </c>
      <c r="AZ802" t="s">
        <v>74</v>
      </c>
      <c r="BA802" t="s">
        <v>74</v>
      </c>
      <c r="BB802" t="s">
        <v>74</v>
      </c>
      <c r="BC802" t="s">
        <v>74</v>
      </c>
      <c r="BD802" t="s">
        <v>74</v>
      </c>
      <c r="BE802" t="s">
        <v>15230</v>
      </c>
      <c r="BF802" t="str">
        <f>HYPERLINK("http://dx.doi.org/10.1109/SEGAH57547.2023.10253798","http://dx.doi.org/10.1109/SEGAH57547.2023.10253798")</f>
        <v>http://dx.doi.org/10.1109/SEGAH57547.2023.10253798</v>
      </c>
      <c r="BG802" t="s">
        <v>74</v>
      </c>
      <c r="BH802" t="s">
        <v>74</v>
      </c>
      <c r="BI802">
        <v>8</v>
      </c>
      <c r="BJ802" t="s">
        <v>15231</v>
      </c>
      <c r="BK802" t="s">
        <v>98</v>
      </c>
      <c r="BL802" t="s">
        <v>906</v>
      </c>
      <c r="BM802" t="s">
        <v>15232</v>
      </c>
      <c r="BN802" t="s">
        <v>74</v>
      </c>
      <c r="BO802" t="s">
        <v>74</v>
      </c>
      <c r="BP802" t="s">
        <v>74</v>
      </c>
      <c r="BQ802" t="s">
        <v>74</v>
      </c>
      <c r="BR802" t="s">
        <v>101</v>
      </c>
      <c r="BS802" t="s">
        <v>15233</v>
      </c>
      <c r="BT802" t="str">
        <f>HYPERLINK("https%3A%2F%2Fwww.webofscience.com%2Fwos%2Fwoscc%2Ffull-record%2FWOS:001073633800041","View Full Record in Web of Science")</f>
        <v>View Full Record in Web of Science</v>
      </c>
    </row>
    <row r="803" spans="1:72" x14ac:dyDescent="0.2">
      <c r="A803" t="s">
        <v>103</v>
      </c>
      <c r="B803" t="s">
        <v>15234</v>
      </c>
      <c r="C803" t="s">
        <v>74</v>
      </c>
      <c r="D803" t="s">
        <v>74</v>
      </c>
      <c r="E803" t="s">
        <v>74</v>
      </c>
      <c r="F803" t="s">
        <v>15235</v>
      </c>
      <c r="G803" t="s">
        <v>74</v>
      </c>
      <c r="H803" t="s">
        <v>74</v>
      </c>
      <c r="I803" t="s">
        <v>15236</v>
      </c>
      <c r="J803" t="s">
        <v>15237</v>
      </c>
      <c r="K803" t="s">
        <v>74</v>
      </c>
      <c r="L803" t="s">
        <v>74</v>
      </c>
      <c r="M803" t="s">
        <v>79</v>
      </c>
      <c r="N803" t="s">
        <v>138</v>
      </c>
      <c r="O803" t="s">
        <v>74</v>
      </c>
      <c r="P803" t="s">
        <v>74</v>
      </c>
      <c r="Q803" t="s">
        <v>74</v>
      </c>
      <c r="R803" t="s">
        <v>74</v>
      </c>
      <c r="S803" t="s">
        <v>74</v>
      </c>
      <c r="T803" t="s">
        <v>15238</v>
      </c>
      <c r="U803" t="s">
        <v>15239</v>
      </c>
      <c r="V803" t="s">
        <v>15240</v>
      </c>
      <c r="W803" t="s">
        <v>15241</v>
      </c>
      <c r="X803" t="s">
        <v>15242</v>
      </c>
      <c r="Y803" t="s">
        <v>15243</v>
      </c>
      <c r="Z803" t="s">
        <v>15244</v>
      </c>
      <c r="AA803" t="s">
        <v>74</v>
      </c>
      <c r="AB803" t="s">
        <v>74</v>
      </c>
      <c r="AC803" t="s">
        <v>15245</v>
      </c>
      <c r="AD803" t="s">
        <v>15245</v>
      </c>
      <c r="AE803" t="s">
        <v>15246</v>
      </c>
      <c r="AF803" t="s">
        <v>74</v>
      </c>
      <c r="AG803">
        <v>43</v>
      </c>
      <c r="AH803">
        <v>0</v>
      </c>
      <c r="AI803">
        <v>0</v>
      </c>
      <c r="AJ803">
        <v>2</v>
      </c>
      <c r="AK803">
        <v>2</v>
      </c>
      <c r="AL803" t="s">
        <v>3165</v>
      </c>
      <c r="AM803" t="s">
        <v>3166</v>
      </c>
      <c r="AN803" t="s">
        <v>3167</v>
      </c>
      <c r="AO803" t="s">
        <v>15247</v>
      </c>
      <c r="AP803" t="s">
        <v>15248</v>
      </c>
      <c r="AQ803" t="s">
        <v>74</v>
      </c>
      <c r="AR803" t="s">
        <v>15249</v>
      </c>
      <c r="AS803" t="s">
        <v>15250</v>
      </c>
      <c r="AT803" t="s">
        <v>15251</v>
      </c>
      <c r="AU803">
        <v>2023</v>
      </c>
      <c r="AV803" t="s">
        <v>74</v>
      </c>
      <c r="AW803" t="s">
        <v>74</v>
      </c>
      <c r="AX803" t="s">
        <v>74</v>
      </c>
      <c r="AY803" t="s">
        <v>74</v>
      </c>
      <c r="AZ803" t="s">
        <v>74</v>
      </c>
      <c r="BA803" t="s">
        <v>74</v>
      </c>
      <c r="BB803" t="s">
        <v>74</v>
      </c>
      <c r="BC803" t="s">
        <v>74</v>
      </c>
      <c r="BD803" t="s">
        <v>74</v>
      </c>
      <c r="BE803" t="s">
        <v>15252</v>
      </c>
      <c r="BF803" t="str">
        <f>HYPERLINK("http://dx.doi.org/10.1111/coin.12619","http://dx.doi.org/10.1111/coin.12619")</f>
        <v>http://dx.doi.org/10.1111/coin.12619</v>
      </c>
      <c r="BG803" t="s">
        <v>74</v>
      </c>
      <c r="BH803" t="s">
        <v>128</v>
      </c>
      <c r="BI803">
        <v>20</v>
      </c>
      <c r="BJ803" t="s">
        <v>304</v>
      </c>
      <c r="BK803" t="s">
        <v>130</v>
      </c>
      <c r="BL803" t="s">
        <v>99</v>
      </c>
      <c r="BM803" t="s">
        <v>15253</v>
      </c>
      <c r="BN803" t="s">
        <v>74</v>
      </c>
      <c r="BO803" t="s">
        <v>74</v>
      </c>
      <c r="BP803" t="s">
        <v>74</v>
      </c>
      <c r="BQ803" t="s">
        <v>74</v>
      </c>
      <c r="BR803" t="s">
        <v>101</v>
      </c>
      <c r="BS803" t="s">
        <v>15254</v>
      </c>
      <c r="BT803" t="str">
        <f>HYPERLINK("https%3A%2F%2Fwww.webofscience.com%2Fwos%2Fwoscc%2Ffull-record%2FWOS:001126458000001","View Full Record in Web of Science")</f>
        <v>View Full Record in Web of Science</v>
      </c>
    </row>
    <row r="804" spans="1:72" x14ac:dyDescent="0.2">
      <c r="A804" t="s">
        <v>103</v>
      </c>
      <c r="B804" t="s">
        <v>15255</v>
      </c>
      <c r="C804" t="s">
        <v>74</v>
      </c>
      <c r="D804" t="s">
        <v>74</v>
      </c>
      <c r="E804" t="s">
        <v>74</v>
      </c>
      <c r="F804" t="s">
        <v>15256</v>
      </c>
      <c r="G804" t="s">
        <v>74</v>
      </c>
      <c r="H804" t="s">
        <v>74</v>
      </c>
      <c r="I804" t="s">
        <v>15257</v>
      </c>
      <c r="J804" t="s">
        <v>10310</v>
      </c>
      <c r="K804" t="s">
        <v>74</v>
      </c>
      <c r="L804" t="s">
        <v>74</v>
      </c>
      <c r="M804" t="s">
        <v>79</v>
      </c>
      <c r="N804" t="s">
        <v>108</v>
      </c>
      <c r="O804" t="s">
        <v>74</v>
      </c>
      <c r="P804" t="s">
        <v>74</v>
      </c>
      <c r="Q804" t="s">
        <v>74</v>
      </c>
      <c r="R804" t="s">
        <v>74</v>
      </c>
      <c r="S804" t="s">
        <v>74</v>
      </c>
      <c r="T804" t="s">
        <v>15258</v>
      </c>
      <c r="U804" t="s">
        <v>74</v>
      </c>
      <c r="V804" t="s">
        <v>15259</v>
      </c>
      <c r="W804" t="s">
        <v>15260</v>
      </c>
      <c r="X804" t="s">
        <v>15261</v>
      </c>
      <c r="Y804" t="s">
        <v>15262</v>
      </c>
      <c r="Z804" t="s">
        <v>15263</v>
      </c>
      <c r="AA804" t="s">
        <v>15264</v>
      </c>
      <c r="AB804" t="s">
        <v>15265</v>
      </c>
      <c r="AC804" t="s">
        <v>74</v>
      </c>
      <c r="AD804" t="s">
        <v>74</v>
      </c>
      <c r="AE804" t="s">
        <v>74</v>
      </c>
      <c r="AF804" t="s">
        <v>74</v>
      </c>
      <c r="AG804">
        <v>52</v>
      </c>
      <c r="AH804">
        <v>0</v>
      </c>
      <c r="AI804">
        <v>0</v>
      </c>
      <c r="AJ804">
        <v>15</v>
      </c>
      <c r="AK804">
        <v>15</v>
      </c>
      <c r="AL804" t="s">
        <v>2492</v>
      </c>
      <c r="AM804" t="s">
        <v>461</v>
      </c>
      <c r="AN804" t="s">
        <v>2493</v>
      </c>
      <c r="AO804" t="s">
        <v>74</v>
      </c>
      <c r="AP804" t="s">
        <v>10317</v>
      </c>
      <c r="AQ804" t="s">
        <v>74</v>
      </c>
      <c r="AR804" t="s">
        <v>10318</v>
      </c>
      <c r="AS804" t="s">
        <v>10319</v>
      </c>
      <c r="AT804" t="s">
        <v>9955</v>
      </c>
      <c r="AU804">
        <v>2023</v>
      </c>
      <c r="AV804">
        <v>10</v>
      </c>
      <c r="AW804" t="s">
        <v>74</v>
      </c>
      <c r="AX804" t="s">
        <v>74</v>
      </c>
      <c r="AY804" t="s">
        <v>74</v>
      </c>
      <c r="AZ804" t="s">
        <v>74</v>
      </c>
      <c r="BA804" t="s">
        <v>74</v>
      </c>
      <c r="BB804" t="s">
        <v>74</v>
      </c>
      <c r="BC804" t="s">
        <v>74</v>
      </c>
      <c r="BD804">
        <v>1296615</v>
      </c>
      <c r="BE804" t="s">
        <v>15266</v>
      </c>
      <c r="BF804" t="str">
        <f>HYPERLINK("http://dx.doi.org/10.3389/fmed.2023.1296615","http://dx.doi.org/10.3389/fmed.2023.1296615")</f>
        <v>http://dx.doi.org/10.3389/fmed.2023.1296615</v>
      </c>
      <c r="BG804" t="s">
        <v>74</v>
      </c>
      <c r="BH804" t="s">
        <v>74</v>
      </c>
      <c r="BI804">
        <v>11</v>
      </c>
      <c r="BJ804" t="s">
        <v>3440</v>
      </c>
      <c r="BK804" t="s">
        <v>130</v>
      </c>
      <c r="BL804" t="s">
        <v>3441</v>
      </c>
      <c r="BM804" t="s">
        <v>15267</v>
      </c>
      <c r="BN804">
        <v>38155661</v>
      </c>
      <c r="BO804" t="s">
        <v>4185</v>
      </c>
      <c r="BP804" t="s">
        <v>74</v>
      </c>
      <c r="BQ804" t="s">
        <v>74</v>
      </c>
      <c r="BR804" t="s">
        <v>101</v>
      </c>
      <c r="BS804" t="s">
        <v>15268</v>
      </c>
      <c r="BT804" t="str">
        <f>HYPERLINK("https%3A%2F%2Fwww.webofscience.com%2Fwos%2Fwoscc%2Ffull-record%2FWOS:001130296800001","View Full Record in Web of Science")</f>
        <v>View Full Record in Web of Science</v>
      </c>
    </row>
    <row r="805" spans="1:72" x14ac:dyDescent="0.2">
      <c r="A805" t="s">
        <v>103</v>
      </c>
      <c r="B805" t="s">
        <v>15269</v>
      </c>
      <c r="C805" t="s">
        <v>74</v>
      </c>
      <c r="D805" t="s">
        <v>74</v>
      </c>
      <c r="E805" t="s">
        <v>74</v>
      </c>
      <c r="F805" t="s">
        <v>15270</v>
      </c>
      <c r="G805" t="s">
        <v>74</v>
      </c>
      <c r="H805" t="s">
        <v>74</v>
      </c>
      <c r="I805" t="s">
        <v>15271</v>
      </c>
      <c r="J805" t="s">
        <v>4204</v>
      </c>
      <c r="K805" t="s">
        <v>74</v>
      </c>
      <c r="L805" t="s">
        <v>74</v>
      </c>
      <c r="M805" t="s">
        <v>79</v>
      </c>
      <c r="N805" t="s">
        <v>108</v>
      </c>
      <c r="O805" t="s">
        <v>74</v>
      </c>
      <c r="P805" t="s">
        <v>74</v>
      </c>
      <c r="Q805" t="s">
        <v>74</v>
      </c>
      <c r="R805" t="s">
        <v>74</v>
      </c>
      <c r="S805" t="s">
        <v>74</v>
      </c>
      <c r="T805" t="s">
        <v>15272</v>
      </c>
      <c r="U805" t="s">
        <v>74</v>
      </c>
      <c r="V805" t="s">
        <v>15273</v>
      </c>
      <c r="W805" t="s">
        <v>15274</v>
      </c>
      <c r="X805" t="s">
        <v>15275</v>
      </c>
      <c r="Y805" t="s">
        <v>15276</v>
      </c>
      <c r="Z805" t="s">
        <v>15277</v>
      </c>
      <c r="AA805" t="s">
        <v>74</v>
      </c>
      <c r="AB805" t="s">
        <v>74</v>
      </c>
      <c r="AC805" t="s">
        <v>74</v>
      </c>
      <c r="AD805" t="s">
        <v>74</v>
      </c>
      <c r="AE805" t="s">
        <v>74</v>
      </c>
      <c r="AF805" t="s">
        <v>74</v>
      </c>
      <c r="AG805">
        <v>11</v>
      </c>
      <c r="AH805">
        <v>0</v>
      </c>
      <c r="AI805">
        <v>0</v>
      </c>
      <c r="AJ805">
        <v>0</v>
      </c>
      <c r="AK805">
        <v>0</v>
      </c>
      <c r="AL805" t="s">
        <v>4213</v>
      </c>
      <c r="AM805" t="s">
        <v>4214</v>
      </c>
      <c r="AN805" t="s">
        <v>4215</v>
      </c>
      <c r="AO805" t="s">
        <v>4216</v>
      </c>
      <c r="AP805" t="s">
        <v>4217</v>
      </c>
      <c r="AQ805" t="s">
        <v>74</v>
      </c>
      <c r="AR805" t="s">
        <v>4218</v>
      </c>
      <c r="AS805" t="s">
        <v>4219</v>
      </c>
      <c r="AT805" t="s">
        <v>74</v>
      </c>
      <c r="AU805">
        <v>2023</v>
      </c>
      <c r="AV805">
        <v>17</v>
      </c>
      <c r="AW805">
        <v>3</v>
      </c>
      <c r="AX805" t="s">
        <v>74</v>
      </c>
      <c r="AY805" t="s">
        <v>74</v>
      </c>
      <c r="AZ805" t="s">
        <v>74</v>
      </c>
      <c r="BA805" t="s">
        <v>74</v>
      </c>
      <c r="BB805" t="s">
        <v>74</v>
      </c>
      <c r="BC805" t="s">
        <v>74</v>
      </c>
      <c r="BD805" t="s">
        <v>74</v>
      </c>
      <c r="BE805" t="s">
        <v>15278</v>
      </c>
      <c r="BF805" t="str">
        <f>HYPERLINK("http://dx.doi.org/10.5614/itbj.ict.res.appl.2023.17.3.6","http://dx.doi.org/10.5614/itbj.ict.res.appl.2023.17.3.6")</f>
        <v>http://dx.doi.org/10.5614/itbj.ict.res.appl.2023.17.3.6</v>
      </c>
      <c r="BG805" t="s">
        <v>74</v>
      </c>
      <c r="BH805" t="s">
        <v>74</v>
      </c>
      <c r="BI805">
        <v>11</v>
      </c>
      <c r="BJ805" t="s">
        <v>230</v>
      </c>
      <c r="BK805" t="s">
        <v>352</v>
      </c>
      <c r="BL805" t="s">
        <v>99</v>
      </c>
      <c r="BM805" t="s">
        <v>15279</v>
      </c>
      <c r="BN805" t="s">
        <v>74</v>
      </c>
      <c r="BO805" t="s">
        <v>425</v>
      </c>
      <c r="BP805" t="s">
        <v>74</v>
      </c>
      <c r="BQ805" t="s">
        <v>74</v>
      </c>
      <c r="BR805" t="s">
        <v>101</v>
      </c>
      <c r="BS805" t="s">
        <v>15280</v>
      </c>
      <c r="BT805" t="str">
        <f>HYPERLINK("https%3A%2F%2Fwww.webofscience.com%2Fwos%2Fwoscc%2Ffull-record%2FWOS:001156141300005","View Full Record in Web of Science")</f>
        <v>View Full Record in Web of Science</v>
      </c>
    </row>
    <row r="806" spans="1:72" x14ac:dyDescent="0.2">
      <c r="A806" t="s">
        <v>103</v>
      </c>
      <c r="B806" t="s">
        <v>15281</v>
      </c>
      <c r="C806" t="s">
        <v>74</v>
      </c>
      <c r="D806" t="s">
        <v>74</v>
      </c>
      <c r="E806" t="s">
        <v>74</v>
      </c>
      <c r="F806" t="s">
        <v>15282</v>
      </c>
      <c r="G806" t="s">
        <v>74</v>
      </c>
      <c r="H806" t="s">
        <v>74</v>
      </c>
      <c r="I806" t="s">
        <v>15283</v>
      </c>
      <c r="J806" t="s">
        <v>107</v>
      </c>
      <c r="K806" t="s">
        <v>74</v>
      </c>
      <c r="L806" t="s">
        <v>74</v>
      </c>
      <c r="M806" t="s">
        <v>79</v>
      </c>
      <c r="N806" t="s">
        <v>108</v>
      </c>
      <c r="O806" t="s">
        <v>74</v>
      </c>
      <c r="P806" t="s">
        <v>74</v>
      </c>
      <c r="Q806" t="s">
        <v>74</v>
      </c>
      <c r="R806" t="s">
        <v>74</v>
      </c>
      <c r="S806" t="s">
        <v>74</v>
      </c>
      <c r="T806" t="s">
        <v>15284</v>
      </c>
      <c r="U806" t="s">
        <v>15285</v>
      </c>
      <c r="V806" t="s">
        <v>15286</v>
      </c>
      <c r="W806" t="s">
        <v>15287</v>
      </c>
      <c r="X806" t="s">
        <v>655</v>
      </c>
      <c r="Y806" t="s">
        <v>15288</v>
      </c>
      <c r="Z806" t="s">
        <v>15289</v>
      </c>
      <c r="AA806" t="s">
        <v>15290</v>
      </c>
      <c r="AB806" t="s">
        <v>15291</v>
      </c>
      <c r="AC806" t="s">
        <v>15292</v>
      </c>
      <c r="AD806" t="s">
        <v>15293</v>
      </c>
      <c r="AE806" t="s">
        <v>15294</v>
      </c>
      <c r="AF806" t="s">
        <v>74</v>
      </c>
      <c r="AG806">
        <v>45</v>
      </c>
      <c r="AH806">
        <v>0</v>
      </c>
      <c r="AI806">
        <v>0</v>
      </c>
      <c r="AJ806">
        <v>15</v>
      </c>
      <c r="AK806">
        <v>15</v>
      </c>
      <c r="AL806" t="s">
        <v>119</v>
      </c>
      <c r="AM806" t="s">
        <v>120</v>
      </c>
      <c r="AN806" t="s">
        <v>121</v>
      </c>
      <c r="AO806" t="s">
        <v>122</v>
      </c>
      <c r="AP806" t="s">
        <v>123</v>
      </c>
      <c r="AQ806" t="s">
        <v>74</v>
      </c>
      <c r="AR806" t="s">
        <v>124</v>
      </c>
      <c r="AS806" t="s">
        <v>125</v>
      </c>
      <c r="AT806" t="s">
        <v>276</v>
      </c>
      <c r="AU806">
        <v>2023</v>
      </c>
      <c r="AV806">
        <v>126</v>
      </c>
      <c r="AW806" t="s">
        <v>74</v>
      </c>
      <c r="AX806" t="s">
        <v>72</v>
      </c>
      <c r="AY806" t="s">
        <v>74</v>
      </c>
      <c r="AZ806" t="s">
        <v>74</v>
      </c>
      <c r="BA806" t="s">
        <v>74</v>
      </c>
      <c r="BB806" t="s">
        <v>74</v>
      </c>
      <c r="BC806" t="s">
        <v>74</v>
      </c>
      <c r="BD806">
        <v>107027</v>
      </c>
      <c r="BE806" t="s">
        <v>15295</v>
      </c>
      <c r="BF806" t="str">
        <f>HYPERLINK("http://dx.doi.org/10.1016/j.engappai.2023.107027","http://dx.doi.org/10.1016/j.engappai.2023.107027")</f>
        <v>http://dx.doi.org/10.1016/j.engappai.2023.107027</v>
      </c>
      <c r="BG806" t="s">
        <v>74</v>
      </c>
      <c r="BH806" t="s">
        <v>255</v>
      </c>
      <c r="BI806">
        <v>8</v>
      </c>
      <c r="BJ806" t="s">
        <v>129</v>
      </c>
      <c r="BK806" t="s">
        <v>130</v>
      </c>
      <c r="BL806" t="s">
        <v>131</v>
      </c>
      <c r="BM806" t="s">
        <v>15296</v>
      </c>
      <c r="BN806" t="s">
        <v>74</v>
      </c>
      <c r="BO806" t="s">
        <v>74</v>
      </c>
      <c r="BP806" t="s">
        <v>74</v>
      </c>
      <c r="BQ806" t="s">
        <v>74</v>
      </c>
      <c r="BR806" t="s">
        <v>101</v>
      </c>
      <c r="BS806" t="s">
        <v>15297</v>
      </c>
      <c r="BT806" t="str">
        <f>HYPERLINK("https%3A%2F%2Fwww.webofscience.com%2Fwos%2Fwoscc%2Ffull-record%2FWOS:001067219100001","View Full Record in Web of Science")</f>
        <v>View Full Record in Web of Science</v>
      </c>
    </row>
    <row r="807" spans="1:72" x14ac:dyDescent="0.2">
      <c r="A807" t="s">
        <v>103</v>
      </c>
      <c r="B807" t="s">
        <v>15298</v>
      </c>
      <c r="C807" t="s">
        <v>74</v>
      </c>
      <c r="D807" t="s">
        <v>74</v>
      </c>
      <c r="E807" t="s">
        <v>74</v>
      </c>
      <c r="F807" t="s">
        <v>15299</v>
      </c>
      <c r="G807" t="s">
        <v>74</v>
      </c>
      <c r="H807" t="s">
        <v>74</v>
      </c>
      <c r="I807" t="s">
        <v>15300</v>
      </c>
      <c r="J807" t="s">
        <v>5864</v>
      </c>
      <c r="K807" t="s">
        <v>74</v>
      </c>
      <c r="L807" t="s">
        <v>74</v>
      </c>
      <c r="M807" t="s">
        <v>79</v>
      </c>
      <c r="N807" t="s">
        <v>108</v>
      </c>
      <c r="O807" t="s">
        <v>74</v>
      </c>
      <c r="P807" t="s">
        <v>74</v>
      </c>
      <c r="Q807" t="s">
        <v>74</v>
      </c>
      <c r="R807" t="s">
        <v>74</v>
      </c>
      <c r="S807" t="s">
        <v>74</v>
      </c>
      <c r="T807" t="s">
        <v>15301</v>
      </c>
      <c r="U807" t="s">
        <v>74</v>
      </c>
      <c r="V807" t="s">
        <v>15302</v>
      </c>
      <c r="W807" t="s">
        <v>15303</v>
      </c>
      <c r="X807" t="s">
        <v>15304</v>
      </c>
      <c r="Y807" t="s">
        <v>15305</v>
      </c>
      <c r="Z807" t="s">
        <v>15306</v>
      </c>
      <c r="AA807" t="s">
        <v>74</v>
      </c>
      <c r="AB807" t="s">
        <v>15307</v>
      </c>
      <c r="AC807" t="s">
        <v>15308</v>
      </c>
      <c r="AD807" t="s">
        <v>15309</v>
      </c>
      <c r="AE807" t="s">
        <v>15310</v>
      </c>
      <c r="AF807" t="s">
        <v>74</v>
      </c>
      <c r="AG807">
        <v>59</v>
      </c>
      <c r="AH807">
        <v>1</v>
      </c>
      <c r="AI807">
        <v>1</v>
      </c>
      <c r="AJ807">
        <v>4</v>
      </c>
      <c r="AK807">
        <v>4</v>
      </c>
      <c r="AL807" t="s">
        <v>343</v>
      </c>
      <c r="AM807" t="s">
        <v>521</v>
      </c>
      <c r="AN807" t="s">
        <v>522</v>
      </c>
      <c r="AO807" t="s">
        <v>5877</v>
      </c>
      <c r="AP807" t="s">
        <v>5878</v>
      </c>
      <c r="AQ807" t="s">
        <v>74</v>
      </c>
      <c r="AR807" t="s">
        <v>5879</v>
      </c>
      <c r="AS807" t="s">
        <v>5880</v>
      </c>
      <c r="AT807" t="s">
        <v>276</v>
      </c>
      <c r="AU807">
        <v>2023</v>
      </c>
      <c r="AV807">
        <v>53</v>
      </c>
      <c r="AW807">
        <v>22</v>
      </c>
      <c r="AX807" t="s">
        <v>74</v>
      </c>
      <c r="AY807" t="s">
        <v>74</v>
      </c>
      <c r="AZ807" t="s">
        <v>74</v>
      </c>
      <c r="BA807" t="s">
        <v>74</v>
      </c>
      <c r="BB807">
        <v>27001</v>
      </c>
      <c r="BC807">
        <v>27026</v>
      </c>
      <c r="BD807" t="s">
        <v>74</v>
      </c>
      <c r="BE807" t="s">
        <v>15311</v>
      </c>
      <c r="BF807" t="str">
        <f>HYPERLINK("http://dx.doi.org/10.1007/s10489-023-04807-x","http://dx.doi.org/10.1007/s10489-023-04807-x")</f>
        <v>http://dx.doi.org/10.1007/s10489-023-04807-x</v>
      </c>
      <c r="BG807" t="s">
        <v>74</v>
      </c>
      <c r="BH807" t="s">
        <v>255</v>
      </c>
      <c r="BI807">
        <v>26</v>
      </c>
      <c r="BJ807" t="s">
        <v>304</v>
      </c>
      <c r="BK807" t="s">
        <v>130</v>
      </c>
      <c r="BL807" t="s">
        <v>99</v>
      </c>
      <c r="BM807" t="s">
        <v>15312</v>
      </c>
      <c r="BN807" t="s">
        <v>74</v>
      </c>
      <c r="BO807" t="s">
        <v>161</v>
      </c>
      <c r="BP807" t="s">
        <v>74</v>
      </c>
      <c r="BQ807" t="s">
        <v>74</v>
      </c>
      <c r="BR807" t="s">
        <v>101</v>
      </c>
      <c r="BS807" t="s">
        <v>15313</v>
      </c>
      <c r="BT807" t="str">
        <f>HYPERLINK("https%3A%2F%2Fwww.webofscience.com%2Fwos%2Fwoscc%2Ffull-record%2FWOS:001062465600007","View Full Record in Web of Science")</f>
        <v>View Full Record in Web of Science</v>
      </c>
    </row>
    <row r="808" spans="1:72" x14ac:dyDescent="0.2">
      <c r="A808" t="s">
        <v>72</v>
      </c>
      <c r="B808" t="s">
        <v>15314</v>
      </c>
      <c r="C808" t="s">
        <v>74</v>
      </c>
      <c r="D808" t="s">
        <v>15315</v>
      </c>
      <c r="E808" t="s">
        <v>74</v>
      </c>
      <c r="F808" t="s">
        <v>15316</v>
      </c>
      <c r="G808" t="s">
        <v>74</v>
      </c>
      <c r="H808" t="s">
        <v>74</v>
      </c>
      <c r="I808" t="s">
        <v>15317</v>
      </c>
      <c r="J808" t="s">
        <v>15318</v>
      </c>
      <c r="K808" t="s">
        <v>74</v>
      </c>
      <c r="L808" t="s">
        <v>74</v>
      </c>
      <c r="M808" t="s">
        <v>79</v>
      </c>
      <c r="N808" t="s">
        <v>80</v>
      </c>
      <c r="O808" t="s">
        <v>15319</v>
      </c>
      <c r="P808" t="s">
        <v>15320</v>
      </c>
      <c r="Q808" t="s">
        <v>15321</v>
      </c>
      <c r="R808" t="s">
        <v>15322</v>
      </c>
      <c r="S808" t="s">
        <v>15323</v>
      </c>
      <c r="T808" t="s">
        <v>15324</v>
      </c>
      <c r="U808" t="s">
        <v>74</v>
      </c>
      <c r="V808" t="s">
        <v>15325</v>
      </c>
      <c r="W808" t="s">
        <v>15326</v>
      </c>
      <c r="X808" t="s">
        <v>1054</v>
      </c>
      <c r="Y808" t="s">
        <v>15327</v>
      </c>
      <c r="Z808" t="s">
        <v>15328</v>
      </c>
      <c r="AA808" t="s">
        <v>15329</v>
      </c>
      <c r="AB808" t="s">
        <v>15330</v>
      </c>
      <c r="AC808" t="s">
        <v>15331</v>
      </c>
      <c r="AD808" t="s">
        <v>15332</v>
      </c>
      <c r="AE808" t="s">
        <v>15333</v>
      </c>
      <c r="AF808" t="s">
        <v>74</v>
      </c>
      <c r="AG808">
        <v>8</v>
      </c>
      <c r="AH808">
        <v>0</v>
      </c>
      <c r="AI808">
        <v>0</v>
      </c>
      <c r="AJ808">
        <v>0</v>
      </c>
      <c r="AK808">
        <v>0</v>
      </c>
      <c r="AL808" t="s">
        <v>92</v>
      </c>
      <c r="AM808" t="s">
        <v>93</v>
      </c>
      <c r="AN808" t="s">
        <v>94</v>
      </c>
      <c r="AO808" t="s">
        <v>74</v>
      </c>
      <c r="AP808" t="s">
        <v>74</v>
      </c>
      <c r="AQ808" t="s">
        <v>15334</v>
      </c>
      <c r="AR808" t="s">
        <v>74</v>
      </c>
      <c r="AS808" t="s">
        <v>74</v>
      </c>
      <c r="AT808" t="s">
        <v>74</v>
      </c>
      <c r="AU808">
        <v>2023</v>
      </c>
      <c r="AV808" t="s">
        <v>74</v>
      </c>
      <c r="AW808" t="s">
        <v>74</v>
      </c>
      <c r="AX808" t="s">
        <v>74</v>
      </c>
      <c r="AY808" t="s">
        <v>74</v>
      </c>
      <c r="AZ808" t="s">
        <v>74</v>
      </c>
      <c r="BA808" t="s">
        <v>74</v>
      </c>
      <c r="BB808" t="s">
        <v>74</v>
      </c>
      <c r="BC808" t="s">
        <v>74</v>
      </c>
      <c r="BD808">
        <v>12</v>
      </c>
      <c r="BE808" t="s">
        <v>15335</v>
      </c>
      <c r="BF808" t="str">
        <f>HYPERLINK("http://dx.doi.org/10.1145/3612783.3612796","http://dx.doi.org/10.1145/3612783.3612796")</f>
        <v>http://dx.doi.org/10.1145/3612783.3612796</v>
      </c>
      <c r="BG808" t="s">
        <v>74</v>
      </c>
      <c r="BH808" t="s">
        <v>74</v>
      </c>
      <c r="BI808">
        <v>9</v>
      </c>
      <c r="BJ808" t="s">
        <v>1408</v>
      </c>
      <c r="BK808" t="s">
        <v>98</v>
      </c>
      <c r="BL808" t="s">
        <v>99</v>
      </c>
      <c r="BM808" t="s">
        <v>15336</v>
      </c>
      <c r="BN808" t="s">
        <v>74</v>
      </c>
      <c r="BO808" t="s">
        <v>74</v>
      </c>
      <c r="BP808" t="s">
        <v>74</v>
      </c>
      <c r="BQ808" t="s">
        <v>74</v>
      </c>
      <c r="BR808" t="s">
        <v>101</v>
      </c>
      <c r="BS808" t="s">
        <v>15337</v>
      </c>
      <c r="BT808" t="str">
        <f>HYPERLINK("https%3A%2F%2Fwww.webofscience.com%2Fwos%2Fwoscc%2Ffull-record%2FWOS:001156726000012","View Full Record in Web of Science")</f>
        <v>View Full Record in Web of Science</v>
      </c>
    </row>
    <row r="809" spans="1:72" x14ac:dyDescent="0.2">
      <c r="A809" t="s">
        <v>103</v>
      </c>
      <c r="B809" t="s">
        <v>15338</v>
      </c>
      <c r="C809" t="s">
        <v>74</v>
      </c>
      <c r="D809" t="s">
        <v>74</v>
      </c>
      <c r="E809" t="s">
        <v>74</v>
      </c>
      <c r="F809" t="s">
        <v>15339</v>
      </c>
      <c r="G809" t="s">
        <v>74</v>
      </c>
      <c r="H809" t="s">
        <v>74</v>
      </c>
      <c r="I809" t="s">
        <v>15340</v>
      </c>
      <c r="J809" t="s">
        <v>8457</v>
      </c>
      <c r="K809" t="s">
        <v>74</v>
      </c>
      <c r="L809" t="s">
        <v>74</v>
      </c>
      <c r="M809" t="s">
        <v>79</v>
      </c>
      <c r="N809" t="s">
        <v>108</v>
      </c>
      <c r="O809" t="s">
        <v>74</v>
      </c>
      <c r="P809" t="s">
        <v>74</v>
      </c>
      <c r="Q809" t="s">
        <v>74</v>
      </c>
      <c r="R809" t="s">
        <v>74</v>
      </c>
      <c r="S809" t="s">
        <v>74</v>
      </c>
      <c r="T809" t="s">
        <v>15341</v>
      </c>
      <c r="U809" t="s">
        <v>74</v>
      </c>
      <c r="V809" t="s">
        <v>15342</v>
      </c>
      <c r="W809" t="s">
        <v>15343</v>
      </c>
      <c r="X809" t="s">
        <v>15344</v>
      </c>
      <c r="Y809" t="s">
        <v>15345</v>
      </c>
      <c r="Z809" t="s">
        <v>15346</v>
      </c>
      <c r="AA809" t="s">
        <v>15347</v>
      </c>
      <c r="AB809" t="s">
        <v>15348</v>
      </c>
      <c r="AC809" t="s">
        <v>15349</v>
      </c>
      <c r="AD809" t="s">
        <v>15350</v>
      </c>
      <c r="AE809" t="s">
        <v>15351</v>
      </c>
      <c r="AF809" t="s">
        <v>74</v>
      </c>
      <c r="AG809">
        <v>51</v>
      </c>
      <c r="AH809">
        <v>1</v>
      </c>
      <c r="AI809">
        <v>1</v>
      </c>
      <c r="AJ809">
        <v>12</v>
      </c>
      <c r="AK809">
        <v>25</v>
      </c>
      <c r="AL809" t="s">
        <v>939</v>
      </c>
      <c r="AM809" t="s">
        <v>940</v>
      </c>
      <c r="AN809" t="s">
        <v>941</v>
      </c>
      <c r="AO809" t="s">
        <v>74</v>
      </c>
      <c r="AP809" t="s">
        <v>8468</v>
      </c>
      <c r="AQ809" t="s">
        <v>74</v>
      </c>
      <c r="AR809" t="s">
        <v>8469</v>
      </c>
      <c r="AS809" t="s">
        <v>8470</v>
      </c>
      <c r="AT809" t="s">
        <v>445</v>
      </c>
      <c r="AU809">
        <v>2023</v>
      </c>
      <c r="AV809">
        <v>24</v>
      </c>
      <c r="AW809">
        <v>7</v>
      </c>
      <c r="AX809" t="s">
        <v>74</v>
      </c>
      <c r="AY809" t="s">
        <v>74</v>
      </c>
      <c r="AZ809" t="s">
        <v>74</v>
      </c>
      <c r="BA809" t="s">
        <v>74</v>
      </c>
      <c r="BB809" t="s">
        <v>74</v>
      </c>
      <c r="BC809" t="s">
        <v>74</v>
      </c>
      <c r="BD809">
        <v>6788</v>
      </c>
      <c r="BE809" t="s">
        <v>15352</v>
      </c>
      <c r="BF809" t="str">
        <f>HYPERLINK("http://dx.doi.org/10.3390/ijms24076788","http://dx.doi.org/10.3390/ijms24076788")</f>
        <v>http://dx.doi.org/10.3390/ijms24076788</v>
      </c>
      <c r="BG809" t="s">
        <v>74</v>
      </c>
      <c r="BH809" t="s">
        <v>74</v>
      </c>
      <c r="BI809">
        <v>12</v>
      </c>
      <c r="BJ809" t="s">
        <v>8472</v>
      </c>
      <c r="BK809" t="s">
        <v>130</v>
      </c>
      <c r="BL809" t="s">
        <v>8473</v>
      </c>
      <c r="BM809" t="s">
        <v>15353</v>
      </c>
      <c r="BN809">
        <v>37047760</v>
      </c>
      <c r="BO809" t="s">
        <v>4185</v>
      </c>
      <c r="BP809" t="s">
        <v>74</v>
      </c>
      <c r="BQ809" t="s">
        <v>74</v>
      </c>
      <c r="BR809" t="s">
        <v>101</v>
      </c>
      <c r="BS809" t="s">
        <v>15354</v>
      </c>
      <c r="BT809" t="str">
        <f>HYPERLINK("https%3A%2F%2Fwww.webofscience.com%2Fwos%2Fwoscc%2Ffull-record%2FWOS:000969689800001","View Full Record in Web of Science")</f>
        <v>View Full Record in Web of Science</v>
      </c>
    </row>
    <row r="810" spans="1:72" x14ac:dyDescent="0.2">
      <c r="A810" t="s">
        <v>72</v>
      </c>
      <c r="B810" t="s">
        <v>15355</v>
      </c>
      <c r="C810" t="s">
        <v>74</v>
      </c>
      <c r="D810" t="s">
        <v>74</v>
      </c>
      <c r="E810" t="s">
        <v>284</v>
      </c>
      <c r="F810" t="s">
        <v>15356</v>
      </c>
      <c r="G810" t="s">
        <v>74</v>
      </c>
      <c r="H810" t="s">
        <v>74</v>
      </c>
      <c r="I810" t="s">
        <v>15357</v>
      </c>
      <c r="J810" t="s">
        <v>15358</v>
      </c>
      <c r="K810" t="s">
        <v>15359</v>
      </c>
      <c r="L810" t="s">
        <v>74</v>
      </c>
      <c r="M810" t="s">
        <v>79</v>
      </c>
      <c r="N810" t="s">
        <v>80</v>
      </c>
      <c r="O810" t="s">
        <v>15360</v>
      </c>
      <c r="P810" t="s">
        <v>1221</v>
      </c>
      <c r="Q810" t="s">
        <v>15361</v>
      </c>
      <c r="R810" t="s">
        <v>15362</v>
      </c>
      <c r="S810" t="s">
        <v>74</v>
      </c>
      <c r="T810" t="s">
        <v>15363</v>
      </c>
      <c r="U810" t="s">
        <v>74</v>
      </c>
      <c r="V810" t="s">
        <v>15364</v>
      </c>
      <c r="W810" t="s">
        <v>15365</v>
      </c>
      <c r="X810" t="s">
        <v>15366</v>
      </c>
      <c r="Y810" t="s">
        <v>15367</v>
      </c>
      <c r="Z810" t="s">
        <v>15368</v>
      </c>
      <c r="AA810" t="s">
        <v>74</v>
      </c>
      <c r="AB810" t="s">
        <v>74</v>
      </c>
      <c r="AC810" t="s">
        <v>15369</v>
      </c>
      <c r="AD810" t="s">
        <v>15370</v>
      </c>
      <c r="AE810" t="s">
        <v>15371</v>
      </c>
      <c r="AF810" t="s">
        <v>74</v>
      </c>
      <c r="AG810">
        <v>20</v>
      </c>
      <c r="AH810">
        <v>0</v>
      </c>
      <c r="AI810">
        <v>0</v>
      </c>
      <c r="AJ810">
        <v>3</v>
      </c>
      <c r="AK810">
        <v>3</v>
      </c>
      <c r="AL810" t="s">
        <v>284</v>
      </c>
      <c r="AM810" t="s">
        <v>93</v>
      </c>
      <c r="AN810" t="s">
        <v>299</v>
      </c>
      <c r="AO810" t="s">
        <v>15372</v>
      </c>
      <c r="AP810" t="s">
        <v>74</v>
      </c>
      <c r="AQ810" t="s">
        <v>15373</v>
      </c>
      <c r="AR810" t="s">
        <v>15374</v>
      </c>
      <c r="AS810" t="s">
        <v>74</v>
      </c>
      <c r="AT810" t="s">
        <v>74</v>
      </c>
      <c r="AU810">
        <v>2023</v>
      </c>
      <c r="AV810" t="s">
        <v>74</v>
      </c>
      <c r="AW810" t="s">
        <v>74</v>
      </c>
      <c r="AX810" t="s">
        <v>74</v>
      </c>
      <c r="AY810" t="s">
        <v>74</v>
      </c>
      <c r="AZ810" t="s">
        <v>74</v>
      </c>
      <c r="BA810" t="s">
        <v>74</v>
      </c>
      <c r="BB810">
        <v>444</v>
      </c>
      <c r="BC810">
        <v>449</v>
      </c>
      <c r="BD810" t="s">
        <v>74</v>
      </c>
      <c r="BE810" t="s">
        <v>15375</v>
      </c>
      <c r="BF810" t="str">
        <f>HYPERLINK("http://dx.doi.org/10.1109/ICME55011.2023.00083","http://dx.doi.org/10.1109/ICME55011.2023.00083")</f>
        <v>http://dx.doi.org/10.1109/ICME55011.2023.00083</v>
      </c>
      <c r="BG810" t="s">
        <v>74</v>
      </c>
      <c r="BH810" t="s">
        <v>74</v>
      </c>
      <c r="BI810">
        <v>6</v>
      </c>
      <c r="BJ810" t="s">
        <v>6374</v>
      </c>
      <c r="BK810" t="s">
        <v>98</v>
      </c>
      <c r="BL810" t="s">
        <v>99</v>
      </c>
      <c r="BM810" t="s">
        <v>15376</v>
      </c>
      <c r="BN810" t="s">
        <v>74</v>
      </c>
      <c r="BO810" t="s">
        <v>74</v>
      </c>
      <c r="BP810" t="s">
        <v>74</v>
      </c>
      <c r="BQ810" t="s">
        <v>74</v>
      </c>
      <c r="BR810" t="s">
        <v>101</v>
      </c>
      <c r="BS810" t="s">
        <v>15377</v>
      </c>
      <c r="BT810" t="str">
        <f>HYPERLINK("https%3A%2F%2Fwww.webofscience.com%2Fwos%2Fwoscc%2Ffull-record%2FWOS:001062707300074","View Full Record in Web of Science")</f>
        <v>View Full Record in Web of Science</v>
      </c>
    </row>
    <row r="811" spans="1:72" x14ac:dyDescent="0.2">
      <c r="A811" t="s">
        <v>103</v>
      </c>
      <c r="B811" t="s">
        <v>15378</v>
      </c>
      <c r="C811" t="s">
        <v>74</v>
      </c>
      <c r="D811" t="s">
        <v>74</v>
      </c>
      <c r="E811" t="s">
        <v>74</v>
      </c>
      <c r="F811" t="s">
        <v>15379</v>
      </c>
      <c r="G811" t="s">
        <v>74</v>
      </c>
      <c r="H811" t="s">
        <v>74</v>
      </c>
      <c r="I811" t="s">
        <v>15380</v>
      </c>
      <c r="J811" t="s">
        <v>15381</v>
      </c>
      <c r="K811" t="s">
        <v>74</v>
      </c>
      <c r="L811" t="s">
        <v>74</v>
      </c>
      <c r="M811" t="s">
        <v>79</v>
      </c>
      <c r="N811" t="s">
        <v>108</v>
      </c>
      <c r="O811" t="s">
        <v>74</v>
      </c>
      <c r="P811" t="s">
        <v>74</v>
      </c>
      <c r="Q811" t="s">
        <v>74</v>
      </c>
      <c r="R811" t="s">
        <v>74</v>
      </c>
      <c r="S811" t="s">
        <v>74</v>
      </c>
      <c r="T811" t="s">
        <v>15382</v>
      </c>
      <c r="U811" t="s">
        <v>15383</v>
      </c>
      <c r="V811" t="s">
        <v>15384</v>
      </c>
      <c r="W811" t="s">
        <v>15385</v>
      </c>
      <c r="X811" t="s">
        <v>15386</v>
      </c>
      <c r="Y811" t="s">
        <v>15387</v>
      </c>
      <c r="Z811" t="s">
        <v>15388</v>
      </c>
      <c r="AA811" t="s">
        <v>15389</v>
      </c>
      <c r="AB811" t="s">
        <v>15390</v>
      </c>
      <c r="AC811" t="s">
        <v>15391</v>
      </c>
      <c r="AD811" t="s">
        <v>15392</v>
      </c>
      <c r="AE811" t="s">
        <v>15393</v>
      </c>
      <c r="AF811" t="s">
        <v>74</v>
      </c>
      <c r="AG811">
        <v>30</v>
      </c>
      <c r="AH811">
        <v>0</v>
      </c>
      <c r="AI811">
        <v>0</v>
      </c>
      <c r="AJ811">
        <v>14</v>
      </c>
      <c r="AK811">
        <v>18</v>
      </c>
      <c r="AL811" t="s">
        <v>1379</v>
      </c>
      <c r="AM811" t="s">
        <v>1380</v>
      </c>
      <c r="AN811" t="s">
        <v>1381</v>
      </c>
      <c r="AO811" t="s">
        <v>15394</v>
      </c>
      <c r="AP811" t="s">
        <v>15395</v>
      </c>
      <c r="AQ811" t="s">
        <v>74</v>
      </c>
      <c r="AR811" t="s">
        <v>15396</v>
      </c>
      <c r="AS811" t="s">
        <v>15397</v>
      </c>
      <c r="AT811" t="s">
        <v>15398</v>
      </c>
      <c r="AU811">
        <v>2023</v>
      </c>
      <c r="AV811">
        <v>23</v>
      </c>
      <c r="AW811">
        <v>12</v>
      </c>
      <c r="AX811" t="s">
        <v>74</v>
      </c>
      <c r="AY811" t="s">
        <v>74</v>
      </c>
      <c r="AZ811" t="s">
        <v>74</v>
      </c>
      <c r="BA811" t="s">
        <v>74</v>
      </c>
      <c r="BB811">
        <v>13539</v>
      </c>
      <c r="BC811">
        <v>13547</v>
      </c>
      <c r="BD811" t="s">
        <v>74</v>
      </c>
      <c r="BE811" t="s">
        <v>15399</v>
      </c>
      <c r="BF811" t="str">
        <f>HYPERLINK("http://dx.doi.org/10.1109/JSEN.2023.3273464","http://dx.doi.org/10.1109/JSEN.2023.3273464")</f>
        <v>http://dx.doi.org/10.1109/JSEN.2023.3273464</v>
      </c>
      <c r="BG811" t="s">
        <v>74</v>
      </c>
      <c r="BH811" t="s">
        <v>74</v>
      </c>
      <c r="BI811">
        <v>9</v>
      </c>
      <c r="BJ811" t="s">
        <v>15400</v>
      </c>
      <c r="BK811" t="s">
        <v>130</v>
      </c>
      <c r="BL811" t="s">
        <v>15401</v>
      </c>
      <c r="BM811" t="s">
        <v>15402</v>
      </c>
      <c r="BN811" t="s">
        <v>74</v>
      </c>
      <c r="BO811" t="s">
        <v>74</v>
      </c>
      <c r="BP811" t="s">
        <v>74</v>
      </c>
      <c r="BQ811" t="s">
        <v>74</v>
      </c>
      <c r="BR811" t="s">
        <v>101</v>
      </c>
      <c r="BS811" t="s">
        <v>15403</v>
      </c>
      <c r="BT811" t="str">
        <f>HYPERLINK("https%3A%2F%2Fwww.webofscience.com%2Fwos%2Fwoscc%2Ffull-record%2FWOS:001014626700111","View Full Record in Web of Science")</f>
        <v>View Full Record in Web of Science</v>
      </c>
    </row>
    <row r="812" spans="1:72" x14ac:dyDescent="0.2">
      <c r="A812" t="s">
        <v>103</v>
      </c>
      <c r="B812" t="s">
        <v>15404</v>
      </c>
      <c r="C812" t="s">
        <v>74</v>
      </c>
      <c r="D812" t="s">
        <v>74</v>
      </c>
      <c r="E812" t="s">
        <v>74</v>
      </c>
      <c r="F812" t="s">
        <v>15405</v>
      </c>
      <c r="G812" t="s">
        <v>74</v>
      </c>
      <c r="H812" t="s">
        <v>74</v>
      </c>
      <c r="I812" t="s">
        <v>15406</v>
      </c>
      <c r="J812" t="s">
        <v>2636</v>
      </c>
      <c r="K812" t="s">
        <v>74</v>
      </c>
      <c r="L812" t="s">
        <v>74</v>
      </c>
      <c r="M812" t="s">
        <v>79</v>
      </c>
      <c r="N812" t="s">
        <v>138</v>
      </c>
      <c r="O812" t="s">
        <v>74</v>
      </c>
      <c r="P812" t="s">
        <v>74</v>
      </c>
      <c r="Q812" t="s">
        <v>74</v>
      </c>
      <c r="R812" t="s">
        <v>74</v>
      </c>
      <c r="S812" t="s">
        <v>74</v>
      </c>
      <c r="T812" t="s">
        <v>15407</v>
      </c>
      <c r="U812" t="s">
        <v>15408</v>
      </c>
      <c r="V812" t="s">
        <v>15409</v>
      </c>
      <c r="W812" t="s">
        <v>15410</v>
      </c>
      <c r="X812" t="s">
        <v>11684</v>
      </c>
      <c r="Y812" t="s">
        <v>15411</v>
      </c>
      <c r="Z812" t="s">
        <v>15412</v>
      </c>
      <c r="AA812" t="s">
        <v>74</v>
      </c>
      <c r="AB812" t="s">
        <v>15413</v>
      </c>
      <c r="AC812" t="s">
        <v>74</v>
      </c>
      <c r="AD812" t="s">
        <v>74</v>
      </c>
      <c r="AE812" t="s">
        <v>74</v>
      </c>
      <c r="AF812" t="s">
        <v>74</v>
      </c>
      <c r="AG812">
        <v>79</v>
      </c>
      <c r="AH812">
        <v>2</v>
      </c>
      <c r="AI812">
        <v>2</v>
      </c>
      <c r="AJ812">
        <v>78</v>
      </c>
      <c r="AK812">
        <v>78</v>
      </c>
      <c r="AL812" t="s">
        <v>737</v>
      </c>
      <c r="AM812" t="s">
        <v>738</v>
      </c>
      <c r="AN812" t="s">
        <v>739</v>
      </c>
      <c r="AO812" t="s">
        <v>2642</v>
      </c>
      <c r="AP812" t="s">
        <v>2643</v>
      </c>
      <c r="AQ812" t="s">
        <v>74</v>
      </c>
      <c r="AR812" t="s">
        <v>2644</v>
      </c>
      <c r="AS812" t="s">
        <v>2645</v>
      </c>
      <c r="AT812" t="s">
        <v>15414</v>
      </c>
      <c r="AU812">
        <v>2023</v>
      </c>
      <c r="AV812" t="s">
        <v>74</v>
      </c>
      <c r="AW812" t="s">
        <v>74</v>
      </c>
      <c r="AX812" t="s">
        <v>74</v>
      </c>
      <c r="AY812" t="s">
        <v>74</v>
      </c>
      <c r="AZ812" t="s">
        <v>74</v>
      </c>
      <c r="BA812" t="s">
        <v>74</v>
      </c>
      <c r="BB812" t="s">
        <v>74</v>
      </c>
      <c r="BC812" t="s">
        <v>74</v>
      </c>
      <c r="BD812" t="s">
        <v>74</v>
      </c>
      <c r="BE812" t="s">
        <v>15415</v>
      </c>
      <c r="BF812" t="str">
        <f>HYPERLINK("http://dx.doi.org/10.1080/14626268.2023.2248103","http://dx.doi.org/10.1080/14626268.2023.2248103")</f>
        <v>http://dx.doi.org/10.1080/14626268.2023.2248103</v>
      </c>
      <c r="BG812" t="s">
        <v>74</v>
      </c>
      <c r="BH812" t="s">
        <v>255</v>
      </c>
      <c r="BI812">
        <v>19</v>
      </c>
      <c r="BJ812" t="s">
        <v>2648</v>
      </c>
      <c r="BK812" t="s">
        <v>2649</v>
      </c>
      <c r="BL812" t="s">
        <v>2648</v>
      </c>
      <c r="BM812" t="s">
        <v>15416</v>
      </c>
      <c r="BN812" t="s">
        <v>74</v>
      </c>
      <c r="BO812" t="s">
        <v>74</v>
      </c>
      <c r="BP812" t="s">
        <v>74</v>
      </c>
      <c r="BQ812" t="s">
        <v>74</v>
      </c>
      <c r="BR812" t="s">
        <v>101</v>
      </c>
      <c r="BS812" t="s">
        <v>15417</v>
      </c>
      <c r="BT812" t="str">
        <f>HYPERLINK("https%3A%2F%2Fwww.webofscience.com%2Fwos%2Fwoscc%2Ffull-record%2FWOS:001093280700001","View Full Record in Web of Science")</f>
        <v>View Full Record in Web of Science</v>
      </c>
    </row>
    <row r="813" spans="1:72" x14ac:dyDescent="0.2">
      <c r="A813" t="s">
        <v>72</v>
      </c>
      <c r="B813" t="s">
        <v>15418</v>
      </c>
      <c r="C813" t="s">
        <v>74</v>
      </c>
      <c r="D813" t="s">
        <v>381</v>
      </c>
      <c r="E813" t="s">
        <v>74</v>
      </c>
      <c r="F813" t="s">
        <v>15419</v>
      </c>
      <c r="G813" t="s">
        <v>74</v>
      </c>
      <c r="H813" t="s">
        <v>74</v>
      </c>
      <c r="I813" t="s">
        <v>15420</v>
      </c>
      <c r="J813" t="s">
        <v>384</v>
      </c>
      <c r="K813" t="s">
        <v>74</v>
      </c>
      <c r="L813" t="s">
        <v>74</v>
      </c>
      <c r="M813" t="s">
        <v>79</v>
      </c>
      <c r="N813" t="s">
        <v>80</v>
      </c>
      <c r="O813" t="s">
        <v>385</v>
      </c>
      <c r="P813" t="s">
        <v>386</v>
      </c>
      <c r="Q813" t="s">
        <v>387</v>
      </c>
      <c r="R813" t="s">
        <v>388</v>
      </c>
      <c r="S813" t="s">
        <v>389</v>
      </c>
      <c r="T813" t="s">
        <v>15421</v>
      </c>
      <c r="U813" t="s">
        <v>74</v>
      </c>
      <c r="V813" t="s">
        <v>15422</v>
      </c>
      <c r="W813" t="s">
        <v>15423</v>
      </c>
      <c r="X813" t="s">
        <v>15424</v>
      </c>
      <c r="Y813" t="s">
        <v>15425</v>
      </c>
      <c r="Z813" t="s">
        <v>15426</v>
      </c>
      <c r="AA813" t="s">
        <v>74</v>
      </c>
      <c r="AB813" t="s">
        <v>74</v>
      </c>
      <c r="AC813" t="s">
        <v>15427</v>
      </c>
      <c r="AD813" t="s">
        <v>15428</v>
      </c>
      <c r="AE813" t="s">
        <v>15429</v>
      </c>
      <c r="AF813" t="s">
        <v>74</v>
      </c>
      <c r="AG813">
        <v>19</v>
      </c>
      <c r="AH813">
        <v>0</v>
      </c>
      <c r="AI813">
        <v>0</v>
      </c>
      <c r="AJ813">
        <v>0</v>
      </c>
      <c r="AK813">
        <v>0</v>
      </c>
      <c r="AL813" t="s">
        <v>92</v>
      </c>
      <c r="AM813" t="s">
        <v>93</v>
      </c>
      <c r="AN813" t="s">
        <v>94</v>
      </c>
      <c r="AO813" t="s">
        <v>74</v>
      </c>
      <c r="AP813" t="s">
        <v>74</v>
      </c>
      <c r="AQ813" t="s">
        <v>398</v>
      </c>
      <c r="AR813" t="s">
        <v>74</v>
      </c>
      <c r="AS813" t="s">
        <v>74</v>
      </c>
      <c r="AT813" t="s">
        <v>74</v>
      </c>
      <c r="AU813">
        <v>2023</v>
      </c>
      <c r="AV813" t="s">
        <v>74</v>
      </c>
      <c r="AW813" t="s">
        <v>74</v>
      </c>
      <c r="AX813" t="s">
        <v>74</v>
      </c>
      <c r="AY813" t="s">
        <v>74</v>
      </c>
      <c r="AZ813" t="s">
        <v>74</v>
      </c>
      <c r="BA813" t="s">
        <v>74</v>
      </c>
      <c r="BB813">
        <v>313</v>
      </c>
      <c r="BC813">
        <v>315</v>
      </c>
      <c r="BD813" t="s">
        <v>74</v>
      </c>
      <c r="BE813" t="s">
        <v>15430</v>
      </c>
      <c r="BF813" t="str">
        <f>HYPERLINK("http://dx.doi.org/10.1145/3628096.3629079","http://dx.doi.org/10.1145/3628096.3629079")</f>
        <v>http://dx.doi.org/10.1145/3628096.3629079</v>
      </c>
      <c r="BG813" t="s">
        <v>74</v>
      </c>
      <c r="BH813" t="s">
        <v>74</v>
      </c>
      <c r="BI813">
        <v>3</v>
      </c>
      <c r="BJ813" t="s">
        <v>400</v>
      </c>
      <c r="BK813" t="s">
        <v>98</v>
      </c>
      <c r="BL813" t="s">
        <v>99</v>
      </c>
      <c r="BM813" t="s">
        <v>401</v>
      </c>
      <c r="BN813" t="s">
        <v>74</v>
      </c>
      <c r="BO813" t="s">
        <v>74</v>
      </c>
      <c r="BP813" t="s">
        <v>74</v>
      </c>
      <c r="BQ813" t="s">
        <v>74</v>
      </c>
      <c r="BR813" t="s">
        <v>101</v>
      </c>
      <c r="BS813" t="s">
        <v>15431</v>
      </c>
      <c r="BT813" t="str">
        <f>HYPERLINK("https%3A%2F%2Fwww.webofscience.com%2Fwos%2Fwoscc%2Ffull-record%2FWOS:001159802500053","View Full Record in Web of Science")</f>
        <v>View Full Record in Web of Science</v>
      </c>
    </row>
    <row r="814" spans="1:72" x14ac:dyDescent="0.2">
      <c r="A814" t="s">
        <v>103</v>
      </c>
      <c r="B814" t="s">
        <v>15432</v>
      </c>
      <c r="C814" t="s">
        <v>74</v>
      </c>
      <c r="D814" t="s">
        <v>74</v>
      </c>
      <c r="E814" t="s">
        <v>74</v>
      </c>
      <c r="F814" t="s">
        <v>15433</v>
      </c>
      <c r="G814" t="s">
        <v>74</v>
      </c>
      <c r="H814" t="s">
        <v>74</v>
      </c>
      <c r="I814" t="s">
        <v>15434</v>
      </c>
      <c r="J814" t="s">
        <v>4167</v>
      </c>
      <c r="K814" t="s">
        <v>74</v>
      </c>
      <c r="L814" t="s">
        <v>74</v>
      </c>
      <c r="M814" t="s">
        <v>79</v>
      </c>
      <c r="N814" t="s">
        <v>108</v>
      </c>
      <c r="O814" t="s">
        <v>74</v>
      </c>
      <c r="P814" t="s">
        <v>74</v>
      </c>
      <c r="Q814" t="s">
        <v>74</v>
      </c>
      <c r="R814" t="s">
        <v>74</v>
      </c>
      <c r="S814" t="s">
        <v>74</v>
      </c>
      <c r="T814" t="s">
        <v>15435</v>
      </c>
      <c r="U814" t="s">
        <v>74</v>
      </c>
      <c r="V814" t="s">
        <v>15436</v>
      </c>
      <c r="W814" t="s">
        <v>15437</v>
      </c>
      <c r="X814" t="s">
        <v>15438</v>
      </c>
      <c r="Y814" t="s">
        <v>15439</v>
      </c>
      <c r="Z814" t="s">
        <v>15440</v>
      </c>
      <c r="AA814" t="s">
        <v>74</v>
      </c>
      <c r="AB814" t="s">
        <v>15441</v>
      </c>
      <c r="AC814" t="s">
        <v>74</v>
      </c>
      <c r="AD814" t="s">
        <v>74</v>
      </c>
      <c r="AE814" t="s">
        <v>74</v>
      </c>
      <c r="AF814" t="s">
        <v>74</v>
      </c>
      <c r="AG814">
        <v>26</v>
      </c>
      <c r="AH814">
        <v>27</v>
      </c>
      <c r="AI814">
        <v>28</v>
      </c>
      <c r="AJ814">
        <v>54</v>
      </c>
      <c r="AK814">
        <v>64</v>
      </c>
      <c r="AL814" t="s">
        <v>4176</v>
      </c>
      <c r="AM814" t="s">
        <v>4177</v>
      </c>
      <c r="AN814" t="s">
        <v>4178</v>
      </c>
      <c r="AO814" t="s">
        <v>4179</v>
      </c>
      <c r="AP814" t="s">
        <v>74</v>
      </c>
      <c r="AQ814" t="s">
        <v>74</v>
      </c>
      <c r="AR814" t="s">
        <v>4180</v>
      </c>
      <c r="AS814" t="s">
        <v>4181</v>
      </c>
      <c r="AT814" t="s">
        <v>74</v>
      </c>
      <c r="AU814">
        <v>2023</v>
      </c>
      <c r="AV814">
        <v>9</v>
      </c>
      <c r="AW814" t="s">
        <v>74</v>
      </c>
      <c r="AX814" t="s">
        <v>74</v>
      </c>
      <c r="AY814" t="s">
        <v>74</v>
      </c>
      <c r="AZ814" t="s">
        <v>74</v>
      </c>
      <c r="BA814" t="s">
        <v>74</v>
      </c>
      <c r="BB814" t="s">
        <v>74</v>
      </c>
      <c r="BC814" t="s">
        <v>74</v>
      </c>
      <c r="BD814" t="s">
        <v>15442</v>
      </c>
      <c r="BE814" t="s">
        <v>15443</v>
      </c>
      <c r="BF814" t="str">
        <f>HYPERLINK("http://dx.doi.org/10.2196/48002","http://dx.doi.org/10.2196/48002")</f>
        <v>http://dx.doi.org/10.2196/48002</v>
      </c>
      <c r="BG814" t="s">
        <v>74</v>
      </c>
      <c r="BH814" t="s">
        <v>74</v>
      </c>
      <c r="BI814">
        <v>6</v>
      </c>
      <c r="BJ814" t="s">
        <v>3308</v>
      </c>
      <c r="BK814" t="s">
        <v>352</v>
      </c>
      <c r="BL814" t="s">
        <v>423</v>
      </c>
      <c r="BM814" t="s">
        <v>15444</v>
      </c>
      <c r="BN814">
        <v>37384388</v>
      </c>
      <c r="BO814" t="s">
        <v>4185</v>
      </c>
      <c r="BP814" t="s">
        <v>74</v>
      </c>
      <c r="BQ814" t="s">
        <v>74</v>
      </c>
      <c r="BR814" t="s">
        <v>101</v>
      </c>
      <c r="BS814" t="s">
        <v>15445</v>
      </c>
      <c r="BT814" t="str">
        <f>HYPERLINK("https%3A%2F%2Fwww.webofscience.com%2Fwos%2Fwoscc%2Ffull-record%2FWOS:001029158600002","View Full Record in Web of Science")</f>
        <v>View Full Record in Web of Science</v>
      </c>
    </row>
    <row r="815" spans="1:72" x14ac:dyDescent="0.2">
      <c r="A815" t="s">
        <v>103</v>
      </c>
      <c r="B815" t="s">
        <v>15446</v>
      </c>
      <c r="C815" t="s">
        <v>74</v>
      </c>
      <c r="D815" t="s">
        <v>74</v>
      </c>
      <c r="E815" t="s">
        <v>74</v>
      </c>
      <c r="F815" t="s">
        <v>15447</v>
      </c>
      <c r="G815" t="s">
        <v>74</v>
      </c>
      <c r="H815" t="s">
        <v>74</v>
      </c>
      <c r="I815" t="s">
        <v>15448</v>
      </c>
      <c r="J815" t="s">
        <v>3969</v>
      </c>
      <c r="K815" t="s">
        <v>74</v>
      </c>
      <c r="L815" t="s">
        <v>74</v>
      </c>
      <c r="M815" t="s">
        <v>79</v>
      </c>
      <c r="N815" t="s">
        <v>108</v>
      </c>
      <c r="O815" t="s">
        <v>74</v>
      </c>
      <c r="P815" t="s">
        <v>74</v>
      </c>
      <c r="Q815" t="s">
        <v>74</v>
      </c>
      <c r="R815" t="s">
        <v>74</v>
      </c>
      <c r="S815" t="s">
        <v>74</v>
      </c>
      <c r="T815" t="s">
        <v>74</v>
      </c>
      <c r="U815" t="s">
        <v>15449</v>
      </c>
      <c r="V815" t="s">
        <v>15450</v>
      </c>
      <c r="W815" t="s">
        <v>15451</v>
      </c>
      <c r="X815" t="s">
        <v>15452</v>
      </c>
      <c r="Y815" t="s">
        <v>15453</v>
      </c>
      <c r="Z815" t="s">
        <v>15454</v>
      </c>
      <c r="AA815" t="s">
        <v>74</v>
      </c>
      <c r="AB815" t="s">
        <v>15455</v>
      </c>
      <c r="AC815" t="s">
        <v>74</v>
      </c>
      <c r="AD815" t="s">
        <v>74</v>
      </c>
      <c r="AE815" t="s">
        <v>74</v>
      </c>
      <c r="AF815" t="s">
        <v>74</v>
      </c>
      <c r="AG815">
        <v>66</v>
      </c>
      <c r="AH815">
        <v>6</v>
      </c>
      <c r="AI815">
        <v>6</v>
      </c>
      <c r="AJ815">
        <v>3</v>
      </c>
      <c r="AK815">
        <v>3</v>
      </c>
      <c r="AL815" t="s">
        <v>3980</v>
      </c>
      <c r="AM815" t="s">
        <v>1153</v>
      </c>
      <c r="AN815" t="s">
        <v>3981</v>
      </c>
      <c r="AO815" t="s">
        <v>74</v>
      </c>
      <c r="AP815" t="s">
        <v>3982</v>
      </c>
      <c r="AQ815" t="s">
        <v>74</v>
      </c>
      <c r="AR815" t="s">
        <v>3983</v>
      </c>
      <c r="AS815" t="s">
        <v>3984</v>
      </c>
      <c r="AT815" t="s">
        <v>14397</v>
      </c>
      <c r="AU815">
        <v>2023</v>
      </c>
      <c r="AV815">
        <v>2</v>
      </c>
      <c r="AW815">
        <v>2</v>
      </c>
      <c r="AX815" t="s">
        <v>74</v>
      </c>
      <c r="AY815" t="s">
        <v>74</v>
      </c>
      <c r="AZ815" t="s">
        <v>74</v>
      </c>
      <c r="BA815" t="s">
        <v>74</v>
      </c>
      <c r="BB815">
        <v>392</v>
      </c>
      <c r="BC815">
        <v>408</v>
      </c>
      <c r="BD815" t="s">
        <v>74</v>
      </c>
      <c r="BE815" t="s">
        <v>15456</v>
      </c>
      <c r="BF815" t="str">
        <f>HYPERLINK("http://dx.doi.org/10.1039/d2dd00115b","http://dx.doi.org/10.1039/d2dd00115b")</f>
        <v>http://dx.doi.org/10.1039/d2dd00115b</v>
      </c>
      <c r="BG815" t="s">
        <v>74</v>
      </c>
      <c r="BH815" t="s">
        <v>74</v>
      </c>
      <c r="BI815">
        <v>17</v>
      </c>
      <c r="BJ815" t="s">
        <v>3987</v>
      </c>
      <c r="BK815" t="s">
        <v>352</v>
      </c>
      <c r="BL815" t="s">
        <v>1995</v>
      </c>
      <c r="BM815" t="s">
        <v>15457</v>
      </c>
      <c r="BN815" t="s">
        <v>74</v>
      </c>
      <c r="BO815" t="s">
        <v>425</v>
      </c>
      <c r="BP815" t="s">
        <v>74</v>
      </c>
      <c r="BQ815" t="s">
        <v>74</v>
      </c>
      <c r="BR815" t="s">
        <v>101</v>
      </c>
      <c r="BS815" t="s">
        <v>15458</v>
      </c>
      <c r="BT815" t="str">
        <f>HYPERLINK("https%3A%2F%2Fwww.webofscience.com%2Fwos%2Fwoscc%2Ffull-record%2FWOS:001101467800001","View Full Record in Web of Science")</f>
        <v>View Full Record in Web of Science</v>
      </c>
    </row>
    <row r="816" spans="1:72" x14ac:dyDescent="0.2">
      <c r="A816" t="s">
        <v>72</v>
      </c>
      <c r="B816" t="s">
        <v>15459</v>
      </c>
      <c r="C816" t="s">
        <v>74</v>
      </c>
      <c r="D816" t="s">
        <v>74</v>
      </c>
      <c r="E816" t="s">
        <v>75</v>
      </c>
      <c r="F816" t="s">
        <v>15460</v>
      </c>
      <c r="G816" t="s">
        <v>74</v>
      </c>
      <c r="H816" t="s">
        <v>74</v>
      </c>
      <c r="I816" t="s">
        <v>15461</v>
      </c>
      <c r="J816" t="s">
        <v>78</v>
      </c>
      <c r="K816" t="s">
        <v>74</v>
      </c>
      <c r="L816" t="s">
        <v>74</v>
      </c>
      <c r="M816" t="s">
        <v>79</v>
      </c>
      <c r="N816" t="s">
        <v>80</v>
      </c>
      <c r="O816" t="s">
        <v>81</v>
      </c>
      <c r="P816" t="s">
        <v>82</v>
      </c>
      <c r="Q816" t="s">
        <v>83</v>
      </c>
      <c r="R816" t="s">
        <v>84</v>
      </c>
      <c r="S816" t="s">
        <v>74</v>
      </c>
      <c r="T816" t="s">
        <v>15462</v>
      </c>
      <c r="U816" t="s">
        <v>74</v>
      </c>
      <c r="V816" t="s">
        <v>15463</v>
      </c>
      <c r="W816" t="s">
        <v>15464</v>
      </c>
      <c r="X816" t="s">
        <v>15465</v>
      </c>
      <c r="Y816" t="s">
        <v>15466</v>
      </c>
      <c r="Z816" t="s">
        <v>15467</v>
      </c>
      <c r="AA816" t="s">
        <v>74</v>
      </c>
      <c r="AB816" t="s">
        <v>74</v>
      </c>
      <c r="AC816" t="s">
        <v>74</v>
      </c>
      <c r="AD816" t="s">
        <v>74</v>
      </c>
      <c r="AE816" t="s">
        <v>74</v>
      </c>
      <c r="AF816" t="s">
        <v>74</v>
      </c>
      <c r="AG816">
        <v>2</v>
      </c>
      <c r="AH816">
        <v>0</v>
      </c>
      <c r="AI816">
        <v>0</v>
      </c>
      <c r="AJ816">
        <v>2</v>
      </c>
      <c r="AK816">
        <v>2</v>
      </c>
      <c r="AL816" t="s">
        <v>92</v>
      </c>
      <c r="AM816" t="s">
        <v>93</v>
      </c>
      <c r="AN816" t="s">
        <v>94</v>
      </c>
      <c r="AO816" t="s">
        <v>74</v>
      </c>
      <c r="AP816" t="s">
        <v>74</v>
      </c>
      <c r="AQ816" t="s">
        <v>95</v>
      </c>
      <c r="AR816" t="s">
        <v>74</v>
      </c>
      <c r="AS816" t="s">
        <v>74</v>
      </c>
      <c r="AT816" t="s">
        <v>74</v>
      </c>
      <c r="AU816">
        <v>2023</v>
      </c>
      <c r="AV816" t="s">
        <v>74</v>
      </c>
      <c r="AW816" t="s">
        <v>74</v>
      </c>
      <c r="AX816" t="s">
        <v>74</v>
      </c>
      <c r="AY816" t="s">
        <v>74</v>
      </c>
      <c r="AZ816" t="s">
        <v>74</v>
      </c>
      <c r="BA816" t="s">
        <v>74</v>
      </c>
      <c r="BB816" t="s">
        <v>74</v>
      </c>
      <c r="BC816" t="s">
        <v>74</v>
      </c>
      <c r="BD816">
        <v>115</v>
      </c>
      <c r="BE816" t="s">
        <v>15468</v>
      </c>
      <c r="BF816" t="str">
        <f>HYPERLINK("http://dx.doi.org/10.1145/3586182.3625115","http://dx.doi.org/10.1145/3586182.3625115")</f>
        <v>http://dx.doi.org/10.1145/3586182.3625115</v>
      </c>
      <c r="BG816" t="s">
        <v>74</v>
      </c>
      <c r="BH816" t="s">
        <v>74</v>
      </c>
      <c r="BI816">
        <v>3</v>
      </c>
      <c r="BJ816" t="s">
        <v>97</v>
      </c>
      <c r="BK816" t="s">
        <v>98</v>
      </c>
      <c r="BL816" t="s">
        <v>99</v>
      </c>
      <c r="BM816" t="s">
        <v>100</v>
      </c>
      <c r="BN816" t="s">
        <v>74</v>
      </c>
      <c r="BO816" t="s">
        <v>74</v>
      </c>
      <c r="BP816" t="s">
        <v>74</v>
      </c>
      <c r="BQ816" t="s">
        <v>74</v>
      </c>
      <c r="BR816" t="s">
        <v>101</v>
      </c>
      <c r="BS816" t="s">
        <v>15469</v>
      </c>
      <c r="BT816" t="str">
        <f>HYPERLINK("https%3A%2F%2Fwww.webofscience.com%2Fwos%2Fwoscc%2Ffull-record%2FWOS:001125107000114","View Full Record in Web of Science")</f>
        <v>View Full Record in Web of Science</v>
      </c>
    </row>
    <row r="817" spans="1:72" x14ac:dyDescent="0.2">
      <c r="A817" t="s">
        <v>103</v>
      </c>
      <c r="B817" t="s">
        <v>15470</v>
      </c>
      <c r="C817" t="s">
        <v>74</v>
      </c>
      <c r="D817" t="s">
        <v>74</v>
      </c>
      <c r="E817" t="s">
        <v>74</v>
      </c>
      <c r="F817" t="s">
        <v>15471</v>
      </c>
      <c r="G817" t="s">
        <v>74</v>
      </c>
      <c r="H817" t="s">
        <v>74</v>
      </c>
      <c r="I817" t="s">
        <v>15472</v>
      </c>
      <c r="J817" t="s">
        <v>4686</v>
      </c>
      <c r="K817" t="s">
        <v>74</v>
      </c>
      <c r="L817" t="s">
        <v>74</v>
      </c>
      <c r="M817" t="s">
        <v>79</v>
      </c>
      <c r="N817" t="s">
        <v>108</v>
      </c>
      <c r="O817" t="s">
        <v>74</v>
      </c>
      <c r="P817" t="s">
        <v>74</v>
      </c>
      <c r="Q817" t="s">
        <v>74</v>
      </c>
      <c r="R817" t="s">
        <v>74</v>
      </c>
      <c r="S817" t="s">
        <v>74</v>
      </c>
      <c r="T817" t="s">
        <v>15473</v>
      </c>
      <c r="U817" t="s">
        <v>74</v>
      </c>
      <c r="V817" t="s">
        <v>15474</v>
      </c>
      <c r="W817" t="s">
        <v>15475</v>
      </c>
      <c r="X817" t="s">
        <v>15476</v>
      </c>
      <c r="Y817" t="s">
        <v>15477</v>
      </c>
      <c r="Z817" t="s">
        <v>15478</v>
      </c>
      <c r="AA817" t="s">
        <v>15479</v>
      </c>
      <c r="AB817" t="s">
        <v>15480</v>
      </c>
      <c r="AC817" t="s">
        <v>74</v>
      </c>
      <c r="AD817" t="s">
        <v>74</v>
      </c>
      <c r="AE817" t="s">
        <v>74</v>
      </c>
      <c r="AF817" t="s">
        <v>74</v>
      </c>
      <c r="AG817">
        <v>5</v>
      </c>
      <c r="AH817">
        <v>0</v>
      </c>
      <c r="AI817">
        <v>0</v>
      </c>
      <c r="AJ817">
        <v>0</v>
      </c>
      <c r="AK817">
        <v>0</v>
      </c>
      <c r="AL817" t="s">
        <v>2032</v>
      </c>
      <c r="AM817" t="s">
        <v>149</v>
      </c>
      <c r="AN817" t="s">
        <v>2033</v>
      </c>
      <c r="AO817" t="s">
        <v>74</v>
      </c>
      <c r="AP817" t="s">
        <v>4694</v>
      </c>
      <c r="AQ817" t="s">
        <v>74</v>
      </c>
      <c r="AR817" t="s">
        <v>4695</v>
      </c>
      <c r="AS817" t="s">
        <v>4696</v>
      </c>
      <c r="AT817" t="s">
        <v>14295</v>
      </c>
      <c r="AU817">
        <v>2023</v>
      </c>
      <c r="AV817">
        <v>15</v>
      </c>
      <c r="AW817">
        <v>9</v>
      </c>
      <c r="AX817" t="s">
        <v>74</v>
      </c>
      <c r="AY817" t="s">
        <v>74</v>
      </c>
      <c r="AZ817" t="s">
        <v>74</v>
      </c>
      <c r="BA817" t="s">
        <v>74</v>
      </c>
      <c r="BB817" t="s">
        <v>74</v>
      </c>
      <c r="BC817" t="s">
        <v>74</v>
      </c>
      <c r="BD817" t="s">
        <v>15481</v>
      </c>
      <c r="BE817" t="s">
        <v>15482</v>
      </c>
      <c r="BF817" t="str">
        <f>HYPERLINK("http://dx.doi.org/10.7759/cureus.45931","http://dx.doi.org/10.7759/cureus.45931")</f>
        <v>http://dx.doi.org/10.7759/cureus.45931</v>
      </c>
      <c r="BG817" t="s">
        <v>74</v>
      </c>
      <c r="BH817" t="s">
        <v>74</v>
      </c>
      <c r="BI817">
        <v>2</v>
      </c>
      <c r="BJ817" t="s">
        <v>3440</v>
      </c>
      <c r="BK817" t="s">
        <v>352</v>
      </c>
      <c r="BL817" t="s">
        <v>3441</v>
      </c>
      <c r="BM817" t="s">
        <v>15483</v>
      </c>
      <c r="BN817">
        <v>37885558</v>
      </c>
      <c r="BO817" t="s">
        <v>1728</v>
      </c>
      <c r="BP817" t="s">
        <v>74</v>
      </c>
      <c r="BQ817" t="s">
        <v>74</v>
      </c>
      <c r="BR817" t="s">
        <v>101</v>
      </c>
      <c r="BS817" t="s">
        <v>15484</v>
      </c>
      <c r="BT817" t="str">
        <f>HYPERLINK("https%3A%2F%2Fwww.webofscience.com%2Fwos%2Fwoscc%2Ffull-record%2FWOS:001106814100039","View Full Record in Web of Science")</f>
        <v>View Full Record in Web of Science</v>
      </c>
    </row>
    <row r="818" spans="1:72" x14ac:dyDescent="0.2">
      <c r="A818" t="s">
        <v>103</v>
      </c>
      <c r="B818" t="s">
        <v>15485</v>
      </c>
      <c r="C818" t="s">
        <v>74</v>
      </c>
      <c r="D818" t="s">
        <v>74</v>
      </c>
      <c r="E818" t="s">
        <v>74</v>
      </c>
      <c r="F818" t="s">
        <v>15486</v>
      </c>
      <c r="G818" t="s">
        <v>74</v>
      </c>
      <c r="H818" t="s">
        <v>74</v>
      </c>
      <c r="I818" t="s">
        <v>15487</v>
      </c>
      <c r="J818" t="s">
        <v>15488</v>
      </c>
      <c r="K818" t="s">
        <v>74</v>
      </c>
      <c r="L818" t="s">
        <v>74</v>
      </c>
      <c r="M818" t="s">
        <v>79</v>
      </c>
      <c r="N818" t="s">
        <v>108</v>
      </c>
      <c r="O818" t="s">
        <v>74</v>
      </c>
      <c r="P818" t="s">
        <v>74</v>
      </c>
      <c r="Q818" t="s">
        <v>74</v>
      </c>
      <c r="R818" t="s">
        <v>74</v>
      </c>
      <c r="S818" t="s">
        <v>74</v>
      </c>
      <c r="T818" t="s">
        <v>15489</v>
      </c>
      <c r="U818" t="s">
        <v>15490</v>
      </c>
      <c r="V818" t="s">
        <v>15491</v>
      </c>
      <c r="W818" t="s">
        <v>15492</v>
      </c>
      <c r="X818" t="s">
        <v>15493</v>
      </c>
      <c r="Y818" t="s">
        <v>15494</v>
      </c>
      <c r="Z818" t="s">
        <v>15495</v>
      </c>
      <c r="AA818" t="s">
        <v>15496</v>
      </c>
      <c r="AB818" t="s">
        <v>15497</v>
      </c>
      <c r="AC818" t="s">
        <v>15498</v>
      </c>
      <c r="AD818" t="s">
        <v>15499</v>
      </c>
      <c r="AE818" t="s">
        <v>15500</v>
      </c>
      <c r="AF818" t="s">
        <v>74</v>
      </c>
      <c r="AG818">
        <v>60</v>
      </c>
      <c r="AH818">
        <v>0</v>
      </c>
      <c r="AI818">
        <v>0</v>
      </c>
      <c r="AJ818">
        <v>7</v>
      </c>
      <c r="AK818">
        <v>7</v>
      </c>
      <c r="AL818" t="s">
        <v>270</v>
      </c>
      <c r="AM818" t="s">
        <v>1424</v>
      </c>
      <c r="AN818" t="s">
        <v>1425</v>
      </c>
      <c r="AO818" t="s">
        <v>15501</v>
      </c>
      <c r="AP818" t="s">
        <v>15502</v>
      </c>
      <c r="AQ818" t="s">
        <v>74</v>
      </c>
      <c r="AR818" t="s">
        <v>15503</v>
      </c>
      <c r="AS818" t="s">
        <v>15504</v>
      </c>
      <c r="AT818" t="s">
        <v>126</v>
      </c>
      <c r="AU818">
        <v>2024</v>
      </c>
      <c r="AV818">
        <v>196</v>
      </c>
      <c r="AW818" t="s">
        <v>74</v>
      </c>
      <c r="AX818" t="s">
        <v>74</v>
      </c>
      <c r="AY818" t="s">
        <v>74</v>
      </c>
      <c r="AZ818" t="s">
        <v>74</v>
      </c>
      <c r="BA818" t="s">
        <v>74</v>
      </c>
      <c r="BB818" t="s">
        <v>74</v>
      </c>
      <c r="BC818" t="s">
        <v>74</v>
      </c>
      <c r="BD818">
        <v>111475</v>
      </c>
      <c r="BE818" t="s">
        <v>15505</v>
      </c>
      <c r="BF818" t="str">
        <f>HYPERLINK("http://dx.doi.org/10.1016/j.tws.2023.111475","http://dx.doi.org/10.1016/j.tws.2023.111475")</f>
        <v>http://dx.doi.org/10.1016/j.tws.2023.111475</v>
      </c>
      <c r="BG818" t="s">
        <v>74</v>
      </c>
      <c r="BH818" t="s">
        <v>128</v>
      </c>
      <c r="BI818">
        <v>19</v>
      </c>
      <c r="BJ818" t="s">
        <v>15506</v>
      </c>
      <c r="BK818" t="s">
        <v>130</v>
      </c>
      <c r="BL818" t="s">
        <v>15507</v>
      </c>
      <c r="BM818" t="s">
        <v>15508</v>
      </c>
      <c r="BN818" t="s">
        <v>74</v>
      </c>
      <c r="BO818" t="s">
        <v>74</v>
      </c>
      <c r="BP818" t="s">
        <v>74</v>
      </c>
      <c r="BQ818" t="s">
        <v>74</v>
      </c>
      <c r="BR818" t="s">
        <v>101</v>
      </c>
      <c r="BS818" t="s">
        <v>15509</v>
      </c>
      <c r="BT818" t="str">
        <f>HYPERLINK("https%3A%2F%2Fwww.webofscience.com%2Fwos%2Fwoscc%2Ffull-record%2FWOS:001140871500001","View Full Record in Web of Science")</f>
        <v>View Full Record in Web of Science</v>
      </c>
    </row>
    <row r="819" spans="1:72" x14ac:dyDescent="0.2">
      <c r="A819" t="s">
        <v>103</v>
      </c>
      <c r="B819" t="s">
        <v>15510</v>
      </c>
      <c r="C819" t="s">
        <v>74</v>
      </c>
      <c r="D819" t="s">
        <v>74</v>
      </c>
      <c r="E819" t="s">
        <v>74</v>
      </c>
      <c r="F819" t="s">
        <v>15511</v>
      </c>
      <c r="G819" t="s">
        <v>74</v>
      </c>
      <c r="H819" t="s">
        <v>74</v>
      </c>
      <c r="I819" t="s">
        <v>15512</v>
      </c>
      <c r="J819" t="s">
        <v>11742</v>
      </c>
      <c r="K819" t="s">
        <v>74</v>
      </c>
      <c r="L819" t="s">
        <v>74</v>
      </c>
      <c r="M819" t="s">
        <v>79</v>
      </c>
      <c r="N819" t="s">
        <v>108</v>
      </c>
      <c r="O819" t="s">
        <v>74</v>
      </c>
      <c r="P819" t="s">
        <v>74</v>
      </c>
      <c r="Q819" t="s">
        <v>74</v>
      </c>
      <c r="R819" t="s">
        <v>74</v>
      </c>
      <c r="S819" t="s">
        <v>74</v>
      </c>
      <c r="T819" t="s">
        <v>74</v>
      </c>
      <c r="U819" t="s">
        <v>15513</v>
      </c>
      <c r="V819" t="s">
        <v>15514</v>
      </c>
      <c r="W819" t="s">
        <v>15515</v>
      </c>
      <c r="X819" t="s">
        <v>15516</v>
      </c>
      <c r="Y819" t="s">
        <v>15517</v>
      </c>
      <c r="Z819" t="s">
        <v>15518</v>
      </c>
      <c r="AA819" t="s">
        <v>15519</v>
      </c>
      <c r="AB819" t="s">
        <v>15520</v>
      </c>
      <c r="AC819" t="s">
        <v>15521</v>
      </c>
      <c r="AD819" t="s">
        <v>8105</v>
      </c>
      <c r="AE819" t="s">
        <v>15522</v>
      </c>
      <c r="AF819" t="s">
        <v>74</v>
      </c>
      <c r="AG819">
        <v>71</v>
      </c>
      <c r="AH819">
        <v>7</v>
      </c>
      <c r="AI819">
        <v>7</v>
      </c>
      <c r="AJ819">
        <v>8</v>
      </c>
      <c r="AK819">
        <v>17</v>
      </c>
      <c r="AL819" t="s">
        <v>11754</v>
      </c>
      <c r="AM819" t="s">
        <v>11755</v>
      </c>
      <c r="AN819" t="s">
        <v>11756</v>
      </c>
      <c r="AO819" t="s">
        <v>11757</v>
      </c>
      <c r="AP819" t="s">
        <v>74</v>
      </c>
      <c r="AQ819" t="s">
        <v>74</v>
      </c>
      <c r="AR819" t="s">
        <v>11742</v>
      </c>
      <c r="AS819" t="s">
        <v>11758</v>
      </c>
      <c r="AT819" t="s">
        <v>15523</v>
      </c>
      <c r="AU819">
        <v>2023</v>
      </c>
      <c r="AV819">
        <v>18</v>
      </c>
      <c r="AW819">
        <v>1</v>
      </c>
      <c r="AX819" t="s">
        <v>74</v>
      </c>
      <c r="AY819" t="s">
        <v>74</v>
      </c>
      <c r="AZ819" t="s">
        <v>74</v>
      </c>
      <c r="BA819" t="s">
        <v>74</v>
      </c>
      <c r="BB819" t="s">
        <v>74</v>
      </c>
      <c r="BC819" t="s">
        <v>74</v>
      </c>
      <c r="BD819" t="s">
        <v>15524</v>
      </c>
      <c r="BE819" t="s">
        <v>15525</v>
      </c>
      <c r="BF819" t="str">
        <f>HYPERLINK("http://dx.doi.org/10.1371/journal.pone.0279088","http://dx.doi.org/10.1371/journal.pone.0279088")</f>
        <v>http://dx.doi.org/10.1371/journal.pone.0279088</v>
      </c>
      <c r="BG819" t="s">
        <v>74</v>
      </c>
      <c r="BH819" t="s">
        <v>74</v>
      </c>
      <c r="BI819">
        <v>19</v>
      </c>
      <c r="BJ819" t="s">
        <v>5686</v>
      </c>
      <c r="BK819" t="s">
        <v>130</v>
      </c>
      <c r="BL819" t="s">
        <v>5687</v>
      </c>
      <c r="BM819" t="s">
        <v>15526</v>
      </c>
      <c r="BN819">
        <v>36630325</v>
      </c>
      <c r="BO819" t="s">
        <v>1728</v>
      </c>
      <c r="BP819" t="s">
        <v>74</v>
      </c>
      <c r="BQ819" t="s">
        <v>74</v>
      </c>
      <c r="BR819" t="s">
        <v>101</v>
      </c>
      <c r="BS819" t="s">
        <v>15527</v>
      </c>
      <c r="BT819" t="str">
        <f>HYPERLINK("https%3A%2F%2Fwww.webofscience.com%2Fwos%2Fwoscc%2Ffull-record%2FWOS:001036077600029","View Full Record in Web of Science")</f>
        <v>View Full Record in Web of Science</v>
      </c>
    </row>
    <row r="820" spans="1:72" x14ac:dyDescent="0.2">
      <c r="A820" t="s">
        <v>103</v>
      </c>
      <c r="B820" t="s">
        <v>15528</v>
      </c>
      <c r="C820" t="s">
        <v>74</v>
      </c>
      <c r="D820" t="s">
        <v>74</v>
      </c>
      <c r="E820" t="s">
        <v>74</v>
      </c>
      <c r="F820" t="s">
        <v>15529</v>
      </c>
      <c r="G820" t="s">
        <v>74</v>
      </c>
      <c r="H820" t="s">
        <v>74</v>
      </c>
      <c r="I820" t="s">
        <v>15530</v>
      </c>
      <c r="J820" t="s">
        <v>2433</v>
      </c>
      <c r="K820" t="s">
        <v>74</v>
      </c>
      <c r="L820" t="s">
        <v>74</v>
      </c>
      <c r="M820" t="s">
        <v>79</v>
      </c>
      <c r="N820" t="s">
        <v>108</v>
      </c>
      <c r="O820" t="s">
        <v>74</v>
      </c>
      <c r="P820" t="s">
        <v>74</v>
      </c>
      <c r="Q820" t="s">
        <v>74</v>
      </c>
      <c r="R820" t="s">
        <v>74</v>
      </c>
      <c r="S820" t="s">
        <v>74</v>
      </c>
      <c r="T820" t="s">
        <v>15531</v>
      </c>
      <c r="U820" t="s">
        <v>74</v>
      </c>
      <c r="V820" t="s">
        <v>15532</v>
      </c>
      <c r="W820" t="s">
        <v>15533</v>
      </c>
      <c r="X820" t="s">
        <v>15534</v>
      </c>
      <c r="Y820" t="s">
        <v>15535</v>
      </c>
      <c r="Z820" t="s">
        <v>15536</v>
      </c>
      <c r="AA820" t="s">
        <v>74</v>
      </c>
      <c r="AB820" t="s">
        <v>15537</v>
      </c>
      <c r="AC820" t="s">
        <v>15538</v>
      </c>
      <c r="AD820" t="s">
        <v>15539</v>
      </c>
      <c r="AE820" t="s">
        <v>15540</v>
      </c>
      <c r="AF820" t="s">
        <v>74</v>
      </c>
      <c r="AG820">
        <v>76</v>
      </c>
      <c r="AH820">
        <v>2</v>
      </c>
      <c r="AI820">
        <v>2</v>
      </c>
      <c r="AJ820">
        <v>13</v>
      </c>
      <c r="AK820">
        <v>26</v>
      </c>
      <c r="AL820" t="s">
        <v>939</v>
      </c>
      <c r="AM820" t="s">
        <v>940</v>
      </c>
      <c r="AN820" t="s">
        <v>941</v>
      </c>
      <c r="AO820" t="s">
        <v>74</v>
      </c>
      <c r="AP820" t="s">
        <v>2444</v>
      </c>
      <c r="AQ820" t="s">
        <v>74</v>
      </c>
      <c r="AR820" t="s">
        <v>2445</v>
      </c>
      <c r="AS820" t="s">
        <v>2446</v>
      </c>
      <c r="AT820" t="s">
        <v>15541</v>
      </c>
      <c r="AU820">
        <v>2023</v>
      </c>
      <c r="AV820">
        <v>13</v>
      </c>
      <c r="AW820">
        <v>10</v>
      </c>
      <c r="AX820" t="s">
        <v>74</v>
      </c>
      <c r="AY820" t="s">
        <v>74</v>
      </c>
      <c r="AZ820" t="s">
        <v>74</v>
      </c>
      <c r="BA820" t="s">
        <v>74</v>
      </c>
      <c r="BB820" t="s">
        <v>74</v>
      </c>
      <c r="BC820" t="s">
        <v>74</v>
      </c>
      <c r="BD820">
        <v>6119</v>
      </c>
      <c r="BE820" t="s">
        <v>15542</v>
      </c>
      <c r="BF820" t="str">
        <f>HYPERLINK("http://dx.doi.org/10.3390/app13106119","http://dx.doi.org/10.3390/app13106119")</f>
        <v>http://dx.doi.org/10.3390/app13106119</v>
      </c>
      <c r="BG820" t="s">
        <v>74</v>
      </c>
      <c r="BH820" t="s">
        <v>74</v>
      </c>
      <c r="BI820">
        <v>28</v>
      </c>
      <c r="BJ820" t="s">
        <v>2448</v>
      </c>
      <c r="BK820" t="s">
        <v>130</v>
      </c>
      <c r="BL820" t="s">
        <v>2449</v>
      </c>
      <c r="BM820" t="s">
        <v>15543</v>
      </c>
      <c r="BN820" t="s">
        <v>74</v>
      </c>
      <c r="BO820" t="s">
        <v>425</v>
      </c>
      <c r="BP820" t="s">
        <v>74</v>
      </c>
      <c r="BQ820" t="s">
        <v>74</v>
      </c>
      <c r="BR820" t="s">
        <v>101</v>
      </c>
      <c r="BS820" t="s">
        <v>15544</v>
      </c>
      <c r="BT820" t="str">
        <f>HYPERLINK("https%3A%2F%2Fwww.webofscience.com%2Fwos%2Fwoscc%2Ffull-record%2FWOS:000995571000001","View Full Record in Web of Science")</f>
        <v>View Full Record in Web of Science</v>
      </c>
    </row>
    <row r="821" spans="1:72" x14ac:dyDescent="0.2">
      <c r="A821" t="s">
        <v>72</v>
      </c>
      <c r="B821" t="s">
        <v>15545</v>
      </c>
      <c r="C821" t="s">
        <v>74</v>
      </c>
      <c r="D821" t="s">
        <v>74</v>
      </c>
      <c r="E821" t="s">
        <v>75</v>
      </c>
      <c r="F821" t="s">
        <v>15546</v>
      </c>
      <c r="G821" t="s">
        <v>74</v>
      </c>
      <c r="H821" t="s">
        <v>74</v>
      </c>
      <c r="I821" t="s">
        <v>15547</v>
      </c>
      <c r="J821" t="s">
        <v>11855</v>
      </c>
      <c r="K821" t="s">
        <v>74</v>
      </c>
      <c r="L821" t="s">
        <v>74</v>
      </c>
      <c r="M821" t="s">
        <v>79</v>
      </c>
      <c r="N821" t="s">
        <v>80</v>
      </c>
      <c r="O821" t="s">
        <v>11856</v>
      </c>
      <c r="P821" t="s">
        <v>11857</v>
      </c>
      <c r="Q821" t="s">
        <v>11858</v>
      </c>
      <c r="R821" t="s">
        <v>11859</v>
      </c>
      <c r="S821" t="s">
        <v>74</v>
      </c>
      <c r="T821" t="s">
        <v>74</v>
      </c>
      <c r="U821" t="s">
        <v>74</v>
      </c>
      <c r="V821" t="s">
        <v>15548</v>
      </c>
      <c r="W821" t="s">
        <v>15549</v>
      </c>
      <c r="X821" t="s">
        <v>8965</v>
      </c>
      <c r="Y821" t="s">
        <v>15550</v>
      </c>
      <c r="Z821" t="s">
        <v>15551</v>
      </c>
      <c r="AA821" t="s">
        <v>74</v>
      </c>
      <c r="AB821" t="s">
        <v>15552</v>
      </c>
      <c r="AC821" t="s">
        <v>74</v>
      </c>
      <c r="AD821" t="s">
        <v>74</v>
      </c>
      <c r="AE821" t="s">
        <v>74</v>
      </c>
      <c r="AF821" t="s">
        <v>74</v>
      </c>
      <c r="AG821">
        <v>42</v>
      </c>
      <c r="AH821">
        <v>0</v>
      </c>
      <c r="AI821">
        <v>0</v>
      </c>
      <c r="AJ821">
        <v>2</v>
      </c>
      <c r="AK821">
        <v>2</v>
      </c>
      <c r="AL821" t="s">
        <v>92</v>
      </c>
      <c r="AM821" t="s">
        <v>93</v>
      </c>
      <c r="AN821" t="s">
        <v>94</v>
      </c>
      <c r="AO821" t="s">
        <v>74</v>
      </c>
      <c r="AP821" t="s">
        <v>74</v>
      </c>
      <c r="AQ821" t="s">
        <v>11869</v>
      </c>
      <c r="AR821" t="s">
        <v>74</v>
      </c>
      <c r="AS821" t="s">
        <v>74</v>
      </c>
      <c r="AT821" t="s">
        <v>74</v>
      </c>
      <c r="AU821">
        <v>2023</v>
      </c>
      <c r="AV821" t="s">
        <v>74</v>
      </c>
      <c r="AW821" t="s">
        <v>74</v>
      </c>
      <c r="AX821" t="s">
        <v>74</v>
      </c>
      <c r="AY821" t="s">
        <v>74</v>
      </c>
      <c r="AZ821" t="s">
        <v>74</v>
      </c>
      <c r="BA821" t="s">
        <v>74</v>
      </c>
      <c r="BB821">
        <v>11</v>
      </c>
      <c r="BC821">
        <v>20</v>
      </c>
      <c r="BD821" t="s">
        <v>74</v>
      </c>
      <c r="BE821" t="s">
        <v>15553</v>
      </c>
      <c r="BF821" t="str">
        <f>HYPERLINK("http://dx.doi.org/10.1145/3624918.3625336","http://dx.doi.org/10.1145/3624918.3625336")</f>
        <v>http://dx.doi.org/10.1145/3624918.3625336</v>
      </c>
      <c r="BG821" t="s">
        <v>74</v>
      </c>
      <c r="BH821" t="s">
        <v>74</v>
      </c>
      <c r="BI821">
        <v>10</v>
      </c>
      <c r="BJ821" t="s">
        <v>9511</v>
      </c>
      <c r="BK821" t="s">
        <v>98</v>
      </c>
      <c r="BL821" t="s">
        <v>99</v>
      </c>
      <c r="BM821" t="s">
        <v>11871</v>
      </c>
      <c r="BN821" t="s">
        <v>74</v>
      </c>
      <c r="BO821" t="s">
        <v>646</v>
      </c>
      <c r="BP821" t="s">
        <v>74</v>
      </c>
      <c r="BQ821" t="s">
        <v>74</v>
      </c>
      <c r="BR821" t="s">
        <v>101</v>
      </c>
      <c r="BS821" t="s">
        <v>15554</v>
      </c>
      <c r="BT821" t="str">
        <f>HYPERLINK("https%3A%2F%2Fwww.webofscience.com%2Fwos%2Fwoscc%2Ffull-record%2FWOS:001122582700002","View Full Record in Web of Science")</f>
        <v>View Full Record in Web of Science</v>
      </c>
    </row>
    <row r="822" spans="1:72" x14ac:dyDescent="0.2">
      <c r="A822" t="s">
        <v>72</v>
      </c>
      <c r="B822" t="s">
        <v>15555</v>
      </c>
      <c r="C822" t="s">
        <v>74</v>
      </c>
      <c r="D822" t="s">
        <v>74</v>
      </c>
      <c r="E822" t="s">
        <v>284</v>
      </c>
      <c r="F822" t="s">
        <v>15556</v>
      </c>
      <c r="G822" t="s">
        <v>74</v>
      </c>
      <c r="H822" t="s">
        <v>74</v>
      </c>
      <c r="I822" t="s">
        <v>15557</v>
      </c>
      <c r="J822" t="s">
        <v>15558</v>
      </c>
      <c r="K822" t="s">
        <v>15559</v>
      </c>
      <c r="L822" t="s">
        <v>74</v>
      </c>
      <c r="M822" t="s">
        <v>79</v>
      </c>
      <c r="N822" t="s">
        <v>80</v>
      </c>
      <c r="O822" t="s">
        <v>15560</v>
      </c>
      <c r="P822" t="s">
        <v>15561</v>
      </c>
      <c r="Q822" t="s">
        <v>15562</v>
      </c>
      <c r="R822" t="s">
        <v>15563</v>
      </c>
      <c r="S822" t="s">
        <v>74</v>
      </c>
      <c r="T822" t="s">
        <v>15564</v>
      </c>
      <c r="U822" t="s">
        <v>74</v>
      </c>
      <c r="V822" t="s">
        <v>15565</v>
      </c>
      <c r="W822" t="s">
        <v>15566</v>
      </c>
      <c r="X822" t="s">
        <v>15567</v>
      </c>
      <c r="Y822" t="s">
        <v>15568</v>
      </c>
      <c r="Z822" t="s">
        <v>15569</v>
      </c>
      <c r="AA822" t="s">
        <v>74</v>
      </c>
      <c r="AB822" t="s">
        <v>74</v>
      </c>
      <c r="AC822" t="s">
        <v>15570</v>
      </c>
      <c r="AD822" t="s">
        <v>15570</v>
      </c>
      <c r="AE822" t="s">
        <v>15571</v>
      </c>
      <c r="AF822" t="s">
        <v>74</v>
      </c>
      <c r="AG822">
        <v>27</v>
      </c>
      <c r="AH822">
        <v>0</v>
      </c>
      <c r="AI822">
        <v>0</v>
      </c>
      <c r="AJ822">
        <v>0</v>
      </c>
      <c r="AK822">
        <v>0</v>
      </c>
      <c r="AL822" t="s">
        <v>284</v>
      </c>
      <c r="AM822" t="s">
        <v>93</v>
      </c>
      <c r="AN822" t="s">
        <v>299</v>
      </c>
      <c r="AO822" t="s">
        <v>15572</v>
      </c>
      <c r="AP822" t="s">
        <v>74</v>
      </c>
      <c r="AQ822" t="s">
        <v>15573</v>
      </c>
      <c r="AR822" t="s">
        <v>15574</v>
      </c>
      <c r="AS822" t="s">
        <v>74</v>
      </c>
      <c r="AT822" t="s">
        <v>74</v>
      </c>
      <c r="AU822">
        <v>2023</v>
      </c>
      <c r="AV822" t="s">
        <v>74</v>
      </c>
      <c r="AW822" t="s">
        <v>74</v>
      </c>
      <c r="AX822" t="s">
        <v>74</v>
      </c>
      <c r="AY822" t="s">
        <v>74</v>
      </c>
      <c r="AZ822" t="s">
        <v>74</v>
      </c>
      <c r="BA822" t="s">
        <v>74</v>
      </c>
      <c r="BB822" t="s">
        <v>74</v>
      </c>
      <c r="BC822" t="s">
        <v>74</v>
      </c>
      <c r="BD822" t="s">
        <v>74</v>
      </c>
      <c r="BE822" t="s">
        <v>15575</v>
      </c>
      <c r="BF822" t="str">
        <f>HYPERLINK("http://dx.doi.org/10.1109/WIFS58808.2023.10374911","http://dx.doi.org/10.1109/WIFS58808.2023.10374911")</f>
        <v>http://dx.doi.org/10.1109/WIFS58808.2023.10374911</v>
      </c>
      <c r="BG822" t="s">
        <v>74</v>
      </c>
      <c r="BH822" t="s">
        <v>74</v>
      </c>
      <c r="BI822">
        <v>6</v>
      </c>
      <c r="BJ822" t="s">
        <v>15576</v>
      </c>
      <c r="BK822" t="s">
        <v>98</v>
      </c>
      <c r="BL822" t="s">
        <v>906</v>
      </c>
      <c r="BM822" t="s">
        <v>15577</v>
      </c>
      <c r="BN822" t="s">
        <v>74</v>
      </c>
      <c r="BO822" t="s">
        <v>646</v>
      </c>
      <c r="BP822" t="s">
        <v>74</v>
      </c>
      <c r="BQ822" t="s">
        <v>74</v>
      </c>
      <c r="BR822" t="s">
        <v>101</v>
      </c>
      <c r="BS822" t="s">
        <v>15578</v>
      </c>
      <c r="BT822" t="str">
        <f>HYPERLINK("https%3A%2F%2Fwww.webofscience.com%2Fwos%2Fwoscc%2Ffull-record%2FWOS:001156967300022","View Full Record in Web of Science")</f>
        <v>View Full Record in Web of Science</v>
      </c>
    </row>
    <row r="823" spans="1:72" x14ac:dyDescent="0.2">
      <c r="A823" t="s">
        <v>103</v>
      </c>
      <c r="B823" t="s">
        <v>15579</v>
      </c>
      <c r="C823" t="s">
        <v>74</v>
      </c>
      <c r="D823" t="s">
        <v>74</v>
      </c>
      <c r="E823" t="s">
        <v>74</v>
      </c>
      <c r="F823" t="s">
        <v>15580</v>
      </c>
      <c r="G823" t="s">
        <v>74</v>
      </c>
      <c r="H823" t="s">
        <v>74</v>
      </c>
      <c r="I823" t="s">
        <v>15581</v>
      </c>
      <c r="J823" t="s">
        <v>15582</v>
      </c>
      <c r="K823" t="s">
        <v>74</v>
      </c>
      <c r="L823" t="s">
        <v>74</v>
      </c>
      <c r="M823" t="s">
        <v>79</v>
      </c>
      <c r="N823" t="s">
        <v>108</v>
      </c>
      <c r="O823" t="s">
        <v>74</v>
      </c>
      <c r="P823" t="s">
        <v>74</v>
      </c>
      <c r="Q823" t="s">
        <v>74</v>
      </c>
      <c r="R823" t="s">
        <v>74</v>
      </c>
      <c r="S823" t="s">
        <v>74</v>
      </c>
      <c r="T823" t="s">
        <v>15583</v>
      </c>
      <c r="U823" t="s">
        <v>74</v>
      </c>
      <c r="V823" t="s">
        <v>15584</v>
      </c>
      <c r="W823" t="s">
        <v>15585</v>
      </c>
      <c r="X823" t="s">
        <v>15586</v>
      </c>
      <c r="Y823" t="s">
        <v>15587</v>
      </c>
      <c r="Z823" t="s">
        <v>15588</v>
      </c>
      <c r="AA823" t="s">
        <v>15589</v>
      </c>
      <c r="AB823" t="s">
        <v>15590</v>
      </c>
      <c r="AC823" t="s">
        <v>74</v>
      </c>
      <c r="AD823" t="s">
        <v>74</v>
      </c>
      <c r="AE823" t="s">
        <v>74</v>
      </c>
      <c r="AF823" t="s">
        <v>74</v>
      </c>
      <c r="AG823">
        <v>34</v>
      </c>
      <c r="AH823">
        <v>1</v>
      </c>
      <c r="AI823">
        <v>1</v>
      </c>
      <c r="AJ823">
        <v>15</v>
      </c>
      <c r="AK823">
        <v>15</v>
      </c>
      <c r="AL823" t="s">
        <v>14835</v>
      </c>
      <c r="AM823" t="s">
        <v>14836</v>
      </c>
      <c r="AN823" t="s">
        <v>14837</v>
      </c>
      <c r="AO823" t="s">
        <v>15591</v>
      </c>
      <c r="AP823" t="s">
        <v>15592</v>
      </c>
      <c r="AQ823" t="s">
        <v>74</v>
      </c>
      <c r="AR823" t="s">
        <v>15593</v>
      </c>
      <c r="AS823" t="s">
        <v>15594</v>
      </c>
      <c r="AT823" t="s">
        <v>527</v>
      </c>
      <c r="AU823">
        <v>2023</v>
      </c>
      <c r="AV823">
        <v>242</v>
      </c>
      <c r="AW823" t="s">
        <v>74</v>
      </c>
      <c r="AX823" t="s">
        <v>74</v>
      </c>
      <c r="AY823" t="s">
        <v>74</v>
      </c>
      <c r="AZ823" t="s">
        <v>74</v>
      </c>
      <c r="BA823" t="s">
        <v>74</v>
      </c>
      <c r="BB823" t="s">
        <v>74</v>
      </c>
      <c r="BC823" t="s">
        <v>74</v>
      </c>
      <c r="BD823">
        <v>107832</v>
      </c>
      <c r="BE823" t="s">
        <v>15595</v>
      </c>
      <c r="BF823" t="str">
        <f>HYPERLINK("http://dx.doi.org/10.1016/j.cmpb.2023.107832","http://dx.doi.org/10.1016/j.cmpb.2023.107832")</f>
        <v>http://dx.doi.org/10.1016/j.cmpb.2023.107832</v>
      </c>
      <c r="BG823" t="s">
        <v>74</v>
      </c>
      <c r="BH823" t="s">
        <v>278</v>
      </c>
      <c r="BI823">
        <v>7</v>
      </c>
      <c r="BJ823" t="s">
        <v>15596</v>
      </c>
      <c r="BK823" t="s">
        <v>130</v>
      </c>
      <c r="BL823" t="s">
        <v>6455</v>
      </c>
      <c r="BM823" t="s">
        <v>15597</v>
      </c>
      <c r="BN823">
        <v>37778140</v>
      </c>
      <c r="BO823" t="s">
        <v>74</v>
      </c>
      <c r="BP823" t="s">
        <v>74</v>
      </c>
      <c r="BQ823" t="s">
        <v>74</v>
      </c>
      <c r="BR823" t="s">
        <v>101</v>
      </c>
      <c r="BS823" t="s">
        <v>15598</v>
      </c>
      <c r="BT823" t="str">
        <f>HYPERLINK("https%3A%2F%2Fwww.webofscience.com%2Fwos%2Fwoscc%2Ffull-record%2FWOS:001096149000001","View Full Record in Web of Science")</f>
        <v>View Full Record in Web of Science</v>
      </c>
    </row>
    <row r="824" spans="1:72" x14ac:dyDescent="0.2">
      <c r="A824" t="s">
        <v>103</v>
      </c>
      <c r="B824" t="s">
        <v>15599</v>
      </c>
      <c r="C824" t="s">
        <v>74</v>
      </c>
      <c r="D824" t="s">
        <v>74</v>
      </c>
      <c r="E824" t="s">
        <v>74</v>
      </c>
      <c r="F824" t="s">
        <v>15600</v>
      </c>
      <c r="G824" t="s">
        <v>74</v>
      </c>
      <c r="H824" t="s">
        <v>74</v>
      </c>
      <c r="I824" t="s">
        <v>15601</v>
      </c>
      <c r="J824" t="s">
        <v>7461</v>
      </c>
      <c r="K824" t="s">
        <v>74</v>
      </c>
      <c r="L824" t="s">
        <v>74</v>
      </c>
      <c r="M824" t="s">
        <v>79</v>
      </c>
      <c r="N824" t="s">
        <v>108</v>
      </c>
      <c r="O824" t="s">
        <v>74</v>
      </c>
      <c r="P824" t="s">
        <v>74</v>
      </c>
      <c r="Q824" t="s">
        <v>74</v>
      </c>
      <c r="R824" t="s">
        <v>74</v>
      </c>
      <c r="S824" t="s">
        <v>74</v>
      </c>
      <c r="T824" t="s">
        <v>15602</v>
      </c>
      <c r="U824" t="s">
        <v>74</v>
      </c>
      <c r="V824" t="s">
        <v>15603</v>
      </c>
      <c r="W824" t="s">
        <v>15604</v>
      </c>
      <c r="X824" t="s">
        <v>15605</v>
      </c>
      <c r="Y824" t="s">
        <v>15606</v>
      </c>
      <c r="Z824" t="s">
        <v>15607</v>
      </c>
      <c r="AA824" t="s">
        <v>15608</v>
      </c>
      <c r="AB824" t="s">
        <v>15609</v>
      </c>
      <c r="AC824" t="s">
        <v>74</v>
      </c>
      <c r="AD824" t="s">
        <v>74</v>
      </c>
      <c r="AE824" t="s">
        <v>74</v>
      </c>
      <c r="AF824" t="s">
        <v>74</v>
      </c>
      <c r="AG824">
        <v>42</v>
      </c>
      <c r="AH824">
        <v>0</v>
      </c>
      <c r="AI824">
        <v>0</v>
      </c>
      <c r="AJ824">
        <v>13</v>
      </c>
      <c r="AK824">
        <v>13</v>
      </c>
      <c r="AL824" t="s">
        <v>939</v>
      </c>
      <c r="AM824" t="s">
        <v>940</v>
      </c>
      <c r="AN824" t="s">
        <v>941</v>
      </c>
      <c r="AO824" t="s">
        <v>74</v>
      </c>
      <c r="AP824" t="s">
        <v>7471</v>
      </c>
      <c r="AQ824" t="s">
        <v>74</v>
      </c>
      <c r="AR824" t="s">
        <v>7472</v>
      </c>
      <c r="AS824" t="s">
        <v>7473</v>
      </c>
      <c r="AT824" t="s">
        <v>467</v>
      </c>
      <c r="AU824">
        <v>2023</v>
      </c>
      <c r="AV824">
        <v>23</v>
      </c>
      <c r="AW824">
        <v>19</v>
      </c>
      <c r="AX824" t="s">
        <v>74</v>
      </c>
      <c r="AY824" t="s">
        <v>74</v>
      </c>
      <c r="AZ824" t="s">
        <v>74</v>
      </c>
      <c r="BA824" t="s">
        <v>74</v>
      </c>
      <c r="BB824" t="s">
        <v>74</v>
      </c>
      <c r="BC824" t="s">
        <v>74</v>
      </c>
      <c r="BD824">
        <v>8328</v>
      </c>
      <c r="BE824" t="s">
        <v>15610</v>
      </c>
      <c r="BF824" t="str">
        <f>HYPERLINK("http://dx.doi.org/10.3390/s23198328","http://dx.doi.org/10.3390/s23198328")</f>
        <v>http://dx.doi.org/10.3390/s23198328</v>
      </c>
      <c r="BG824" t="s">
        <v>74</v>
      </c>
      <c r="BH824" t="s">
        <v>74</v>
      </c>
      <c r="BI824">
        <v>13</v>
      </c>
      <c r="BJ824" t="s">
        <v>7475</v>
      </c>
      <c r="BK824" t="s">
        <v>130</v>
      </c>
      <c r="BL824" t="s">
        <v>7476</v>
      </c>
      <c r="BM824" t="s">
        <v>15611</v>
      </c>
      <c r="BN824">
        <v>37837158</v>
      </c>
      <c r="BO824" t="s">
        <v>4185</v>
      </c>
      <c r="BP824" t="s">
        <v>74</v>
      </c>
      <c r="BQ824" t="s">
        <v>74</v>
      </c>
      <c r="BR824" t="s">
        <v>101</v>
      </c>
      <c r="BS824" t="s">
        <v>15612</v>
      </c>
      <c r="BT824" t="str">
        <f>HYPERLINK("https%3A%2F%2Fwww.webofscience.com%2Fwos%2Fwoscc%2Ffull-record%2FWOS:001086814600001","View Full Record in Web of Science")</f>
        <v>View Full Record in Web of Science</v>
      </c>
    </row>
    <row r="825" spans="1:72" x14ac:dyDescent="0.2">
      <c r="A825" t="s">
        <v>72</v>
      </c>
      <c r="B825" t="s">
        <v>15613</v>
      </c>
      <c r="C825" t="s">
        <v>74</v>
      </c>
      <c r="D825" t="s">
        <v>74</v>
      </c>
      <c r="E825" t="s">
        <v>284</v>
      </c>
      <c r="F825" t="s">
        <v>15614</v>
      </c>
      <c r="G825" t="s">
        <v>74</v>
      </c>
      <c r="H825" t="s">
        <v>74</v>
      </c>
      <c r="I825" t="s">
        <v>15615</v>
      </c>
      <c r="J825" t="s">
        <v>15616</v>
      </c>
      <c r="K825" t="s">
        <v>15617</v>
      </c>
      <c r="L825" t="s">
        <v>74</v>
      </c>
      <c r="M825" t="s">
        <v>79</v>
      </c>
      <c r="N825" t="s">
        <v>80</v>
      </c>
      <c r="O825" t="s">
        <v>15618</v>
      </c>
      <c r="P825" t="s">
        <v>15619</v>
      </c>
      <c r="Q825" t="s">
        <v>15620</v>
      </c>
      <c r="R825" t="s">
        <v>15621</v>
      </c>
      <c r="S825" t="s">
        <v>74</v>
      </c>
      <c r="T825" t="s">
        <v>15622</v>
      </c>
      <c r="U825" t="s">
        <v>14496</v>
      </c>
      <c r="V825" t="s">
        <v>15623</v>
      </c>
      <c r="W825" t="s">
        <v>15624</v>
      </c>
      <c r="X825" t="s">
        <v>15625</v>
      </c>
      <c r="Y825" t="s">
        <v>15626</v>
      </c>
      <c r="Z825" t="s">
        <v>15627</v>
      </c>
      <c r="AA825" t="s">
        <v>74</v>
      </c>
      <c r="AB825" t="s">
        <v>74</v>
      </c>
      <c r="AC825" t="s">
        <v>15628</v>
      </c>
      <c r="AD825" t="s">
        <v>15628</v>
      </c>
      <c r="AE825" t="s">
        <v>15629</v>
      </c>
      <c r="AF825" t="s">
        <v>74</v>
      </c>
      <c r="AG825">
        <v>39</v>
      </c>
      <c r="AH825">
        <v>0</v>
      </c>
      <c r="AI825">
        <v>0</v>
      </c>
      <c r="AJ825">
        <v>1</v>
      </c>
      <c r="AK825">
        <v>1</v>
      </c>
      <c r="AL825" t="s">
        <v>284</v>
      </c>
      <c r="AM825" t="s">
        <v>93</v>
      </c>
      <c r="AN825" t="s">
        <v>299</v>
      </c>
      <c r="AO825" t="s">
        <v>15630</v>
      </c>
      <c r="AP825" t="s">
        <v>74</v>
      </c>
      <c r="AQ825" t="s">
        <v>15631</v>
      </c>
      <c r="AR825" t="s">
        <v>15632</v>
      </c>
      <c r="AS825" t="s">
        <v>74</v>
      </c>
      <c r="AT825" t="s">
        <v>74</v>
      </c>
      <c r="AU825">
        <v>2023</v>
      </c>
      <c r="AV825" t="s">
        <v>74</v>
      </c>
      <c r="AW825" t="s">
        <v>74</v>
      </c>
      <c r="AX825" t="s">
        <v>74</v>
      </c>
      <c r="AY825" t="s">
        <v>74</v>
      </c>
      <c r="AZ825" t="s">
        <v>74</v>
      </c>
      <c r="BA825" t="s">
        <v>74</v>
      </c>
      <c r="BB825" t="s">
        <v>74</v>
      </c>
      <c r="BC825" t="s">
        <v>74</v>
      </c>
      <c r="BD825" t="s">
        <v>74</v>
      </c>
      <c r="BE825" t="s">
        <v>15633</v>
      </c>
      <c r="BF825" t="str">
        <f>HYPERLINK("http://dx.doi.org/10.1109/IJCNN54540.2023.10191089","http://dx.doi.org/10.1109/IJCNN54540.2023.10191089")</f>
        <v>http://dx.doi.org/10.1109/IJCNN54540.2023.10191089</v>
      </c>
      <c r="BG825" t="s">
        <v>74</v>
      </c>
      <c r="BH825" t="s">
        <v>74</v>
      </c>
      <c r="BI825">
        <v>8</v>
      </c>
      <c r="BJ825" t="s">
        <v>15634</v>
      </c>
      <c r="BK825" t="s">
        <v>98</v>
      </c>
      <c r="BL825" t="s">
        <v>906</v>
      </c>
      <c r="BM825" t="s">
        <v>15635</v>
      </c>
      <c r="BN825" t="s">
        <v>74</v>
      </c>
      <c r="BO825" t="s">
        <v>74</v>
      </c>
      <c r="BP825" t="s">
        <v>74</v>
      </c>
      <c r="BQ825" t="s">
        <v>74</v>
      </c>
      <c r="BR825" t="s">
        <v>101</v>
      </c>
      <c r="BS825" t="s">
        <v>15636</v>
      </c>
      <c r="BT825" t="str">
        <f>HYPERLINK("https%3A%2F%2Fwww.webofscience.com%2Fwos%2Fwoscc%2Ffull-record%2FWOS:001046198700055","View Full Record in Web of Science")</f>
        <v>View Full Record in Web of Science</v>
      </c>
    </row>
    <row r="826" spans="1:72" x14ac:dyDescent="0.2">
      <c r="A826" t="s">
        <v>103</v>
      </c>
      <c r="B826" t="s">
        <v>15637</v>
      </c>
      <c r="C826" t="s">
        <v>74</v>
      </c>
      <c r="D826" t="s">
        <v>74</v>
      </c>
      <c r="E826" t="s">
        <v>74</v>
      </c>
      <c r="F826" t="s">
        <v>15638</v>
      </c>
      <c r="G826" t="s">
        <v>74</v>
      </c>
      <c r="H826" t="s">
        <v>74</v>
      </c>
      <c r="I826" t="s">
        <v>15639</v>
      </c>
      <c r="J826" t="s">
        <v>15640</v>
      </c>
      <c r="K826" t="s">
        <v>74</v>
      </c>
      <c r="L826" t="s">
        <v>74</v>
      </c>
      <c r="M826" t="s">
        <v>79</v>
      </c>
      <c r="N826" t="s">
        <v>108</v>
      </c>
      <c r="O826" t="s">
        <v>74</v>
      </c>
      <c r="P826" t="s">
        <v>74</v>
      </c>
      <c r="Q826" t="s">
        <v>74</v>
      </c>
      <c r="R826" t="s">
        <v>74</v>
      </c>
      <c r="S826" t="s">
        <v>74</v>
      </c>
      <c r="T826" t="s">
        <v>15641</v>
      </c>
      <c r="U826" t="s">
        <v>15642</v>
      </c>
      <c r="V826" t="s">
        <v>15643</v>
      </c>
      <c r="W826" t="s">
        <v>15644</v>
      </c>
      <c r="X826" t="s">
        <v>15645</v>
      </c>
      <c r="Y826" t="s">
        <v>15646</v>
      </c>
      <c r="Z826" t="s">
        <v>15647</v>
      </c>
      <c r="AA826" t="s">
        <v>15648</v>
      </c>
      <c r="AB826" t="s">
        <v>15649</v>
      </c>
      <c r="AC826" t="s">
        <v>74</v>
      </c>
      <c r="AD826" t="s">
        <v>74</v>
      </c>
      <c r="AE826" t="s">
        <v>74</v>
      </c>
      <c r="AF826" t="s">
        <v>74</v>
      </c>
      <c r="AG826">
        <v>154</v>
      </c>
      <c r="AH826">
        <v>4</v>
      </c>
      <c r="AI826">
        <v>4</v>
      </c>
      <c r="AJ826">
        <v>56</v>
      </c>
      <c r="AK826">
        <v>65</v>
      </c>
      <c r="AL826" t="s">
        <v>270</v>
      </c>
      <c r="AM826" t="s">
        <v>120</v>
      </c>
      <c r="AN826" t="s">
        <v>271</v>
      </c>
      <c r="AO826" t="s">
        <v>74</v>
      </c>
      <c r="AP826" t="s">
        <v>15650</v>
      </c>
      <c r="AQ826" t="s">
        <v>74</v>
      </c>
      <c r="AR826" t="s">
        <v>15651</v>
      </c>
      <c r="AS826" t="s">
        <v>15652</v>
      </c>
      <c r="AT826" t="s">
        <v>615</v>
      </c>
      <c r="AU826">
        <v>2023</v>
      </c>
      <c r="AV826">
        <v>44</v>
      </c>
      <c r="AW826" t="s">
        <v>74</v>
      </c>
      <c r="AX826" t="s">
        <v>74</v>
      </c>
      <c r="AY826" t="s">
        <v>74</v>
      </c>
      <c r="AZ826" t="s">
        <v>74</v>
      </c>
      <c r="BA826" t="s">
        <v>74</v>
      </c>
      <c r="BB826">
        <v>164</v>
      </c>
      <c r="BC826">
        <v>180</v>
      </c>
      <c r="BD826" t="s">
        <v>74</v>
      </c>
      <c r="BE826" t="s">
        <v>15653</v>
      </c>
      <c r="BF826" t="str">
        <f>HYPERLINK("http://dx.doi.org/10.1016/j.ece.2023.05.005","http://dx.doi.org/10.1016/j.ece.2023.05.005")</f>
        <v>http://dx.doi.org/10.1016/j.ece.2023.05.005</v>
      </c>
      <c r="BG826" t="s">
        <v>74</v>
      </c>
      <c r="BH826" t="s">
        <v>1910</v>
      </c>
      <c r="BI826">
        <v>17</v>
      </c>
      <c r="BJ826" t="s">
        <v>15654</v>
      </c>
      <c r="BK826" t="s">
        <v>130</v>
      </c>
      <c r="BL826" t="s">
        <v>15655</v>
      </c>
      <c r="BM826" t="s">
        <v>15656</v>
      </c>
      <c r="BN826" t="s">
        <v>74</v>
      </c>
      <c r="BO826" t="s">
        <v>646</v>
      </c>
      <c r="BP826" t="s">
        <v>74</v>
      </c>
      <c r="BQ826" t="s">
        <v>74</v>
      </c>
      <c r="BR826" t="s">
        <v>101</v>
      </c>
      <c r="BS826" t="s">
        <v>15657</v>
      </c>
      <c r="BT826" t="str">
        <f>HYPERLINK("https%3A%2F%2Fwww.webofscience.com%2Fwos%2Fwoscc%2Ffull-record%2FWOS:001054630400001","View Full Record in Web of Science")</f>
        <v>View Full Record in Web of Science</v>
      </c>
    </row>
    <row r="827" spans="1:72" x14ac:dyDescent="0.2">
      <c r="A827" t="s">
        <v>103</v>
      </c>
      <c r="B827" t="s">
        <v>15658</v>
      </c>
      <c r="C827" t="s">
        <v>74</v>
      </c>
      <c r="D827" t="s">
        <v>74</v>
      </c>
      <c r="E827" t="s">
        <v>74</v>
      </c>
      <c r="F827" t="s">
        <v>15659</v>
      </c>
      <c r="G827" t="s">
        <v>74</v>
      </c>
      <c r="H827" t="s">
        <v>74</v>
      </c>
      <c r="I827" t="s">
        <v>15660</v>
      </c>
      <c r="J827" t="s">
        <v>15661</v>
      </c>
      <c r="K827" t="s">
        <v>74</v>
      </c>
      <c r="L827" t="s">
        <v>74</v>
      </c>
      <c r="M827" t="s">
        <v>79</v>
      </c>
      <c r="N827" t="s">
        <v>108</v>
      </c>
      <c r="O827" t="s">
        <v>74</v>
      </c>
      <c r="P827" t="s">
        <v>74</v>
      </c>
      <c r="Q827" t="s">
        <v>74</v>
      </c>
      <c r="R827" t="s">
        <v>74</v>
      </c>
      <c r="S827" t="s">
        <v>74</v>
      </c>
      <c r="T827" t="s">
        <v>15662</v>
      </c>
      <c r="U827" t="s">
        <v>15663</v>
      </c>
      <c r="V827" t="s">
        <v>15664</v>
      </c>
      <c r="W827" t="s">
        <v>15665</v>
      </c>
      <c r="X827" t="s">
        <v>15666</v>
      </c>
      <c r="Y827" t="s">
        <v>15667</v>
      </c>
      <c r="Z827" t="s">
        <v>15668</v>
      </c>
      <c r="AA827" t="s">
        <v>15669</v>
      </c>
      <c r="AB827" t="s">
        <v>15670</v>
      </c>
      <c r="AC827" t="s">
        <v>15671</v>
      </c>
      <c r="AD827" t="s">
        <v>15672</v>
      </c>
      <c r="AE827" t="s">
        <v>15673</v>
      </c>
      <c r="AF827" t="s">
        <v>74</v>
      </c>
      <c r="AG827">
        <v>59</v>
      </c>
      <c r="AH827">
        <v>1</v>
      </c>
      <c r="AI827">
        <v>1</v>
      </c>
      <c r="AJ827">
        <v>10</v>
      </c>
      <c r="AK827">
        <v>13</v>
      </c>
      <c r="AL827" t="s">
        <v>92</v>
      </c>
      <c r="AM827" t="s">
        <v>93</v>
      </c>
      <c r="AN827" t="s">
        <v>3186</v>
      </c>
      <c r="AO827" t="s">
        <v>15674</v>
      </c>
      <c r="AP827" t="s">
        <v>15675</v>
      </c>
      <c r="AQ827" t="s">
        <v>74</v>
      </c>
      <c r="AR827" t="s">
        <v>15676</v>
      </c>
      <c r="AS827" t="s">
        <v>15677</v>
      </c>
      <c r="AT827" t="s">
        <v>126</v>
      </c>
      <c r="AU827">
        <v>2023</v>
      </c>
      <c r="AV827">
        <v>9</v>
      </c>
      <c r="AW827">
        <v>1</v>
      </c>
      <c r="AX827" t="s">
        <v>74</v>
      </c>
      <c r="AY827" t="s">
        <v>74</v>
      </c>
      <c r="AZ827" t="s">
        <v>253</v>
      </c>
      <c r="BA827" t="s">
        <v>74</v>
      </c>
      <c r="BB827" t="s">
        <v>74</v>
      </c>
      <c r="BC827" t="s">
        <v>74</v>
      </c>
      <c r="BD827">
        <v>2</v>
      </c>
      <c r="BE827" t="s">
        <v>15678</v>
      </c>
      <c r="BF827" t="str">
        <f>HYPERLINK("http://dx.doi.org/10.1145/3524302","http://dx.doi.org/10.1145/3524302")</f>
        <v>http://dx.doi.org/10.1145/3524302</v>
      </c>
      <c r="BG827" t="s">
        <v>74</v>
      </c>
      <c r="BH827" t="s">
        <v>74</v>
      </c>
      <c r="BI827">
        <v>24</v>
      </c>
      <c r="BJ827" t="s">
        <v>15679</v>
      </c>
      <c r="BK827" t="s">
        <v>352</v>
      </c>
      <c r="BL827" t="s">
        <v>15679</v>
      </c>
      <c r="BM827" t="s">
        <v>15680</v>
      </c>
      <c r="BN827" t="s">
        <v>74</v>
      </c>
      <c r="BO827" t="s">
        <v>3481</v>
      </c>
      <c r="BP827" t="s">
        <v>74</v>
      </c>
      <c r="BQ827" t="s">
        <v>74</v>
      </c>
      <c r="BR827" t="s">
        <v>101</v>
      </c>
      <c r="BS827" t="s">
        <v>15681</v>
      </c>
      <c r="BT827" t="str">
        <f>HYPERLINK("https%3A%2F%2Fwww.webofscience.com%2Fwos%2Fwoscc%2Ffull-record%2FWOS:000998971200002","View Full Record in Web of Science")</f>
        <v>View Full Record in Web of Science</v>
      </c>
    </row>
    <row r="828" spans="1:72" x14ac:dyDescent="0.2">
      <c r="A828" t="s">
        <v>103</v>
      </c>
      <c r="B828" t="s">
        <v>15682</v>
      </c>
      <c r="C828" t="s">
        <v>74</v>
      </c>
      <c r="D828" t="s">
        <v>74</v>
      </c>
      <c r="E828" t="s">
        <v>74</v>
      </c>
      <c r="F828" t="s">
        <v>15683</v>
      </c>
      <c r="G828" t="s">
        <v>74</v>
      </c>
      <c r="H828" t="s">
        <v>74</v>
      </c>
      <c r="I828" t="s">
        <v>15684</v>
      </c>
      <c r="J828" t="s">
        <v>6056</v>
      </c>
      <c r="K828" t="s">
        <v>74</v>
      </c>
      <c r="L828" t="s">
        <v>74</v>
      </c>
      <c r="M828" t="s">
        <v>79</v>
      </c>
      <c r="N828" t="s">
        <v>108</v>
      </c>
      <c r="O828" t="s">
        <v>74</v>
      </c>
      <c r="P828" t="s">
        <v>74</v>
      </c>
      <c r="Q828" t="s">
        <v>74</v>
      </c>
      <c r="R828" t="s">
        <v>74</v>
      </c>
      <c r="S828" t="s">
        <v>74</v>
      </c>
      <c r="T828" t="s">
        <v>15685</v>
      </c>
      <c r="U828" t="s">
        <v>74</v>
      </c>
      <c r="V828" t="s">
        <v>15686</v>
      </c>
      <c r="W828" t="s">
        <v>15687</v>
      </c>
      <c r="X828" t="s">
        <v>15688</v>
      </c>
      <c r="Y828" t="s">
        <v>15689</v>
      </c>
      <c r="Z828" t="s">
        <v>15690</v>
      </c>
      <c r="AA828" t="s">
        <v>15691</v>
      </c>
      <c r="AB828" t="s">
        <v>15692</v>
      </c>
      <c r="AC828" t="s">
        <v>15693</v>
      </c>
      <c r="AD828" t="s">
        <v>15694</v>
      </c>
      <c r="AE828" t="s">
        <v>15695</v>
      </c>
      <c r="AF828" t="s">
        <v>74</v>
      </c>
      <c r="AG828">
        <v>16</v>
      </c>
      <c r="AH828">
        <v>37</v>
      </c>
      <c r="AI828">
        <v>37</v>
      </c>
      <c r="AJ828">
        <v>122</v>
      </c>
      <c r="AK828">
        <v>138</v>
      </c>
      <c r="AL828" t="s">
        <v>4176</v>
      </c>
      <c r="AM828" t="s">
        <v>4177</v>
      </c>
      <c r="AN828" t="s">
        <v>4178</v>
      </c>
      <c r="AO828" t="s">
        <v>6067</v>
      </c>
      <c r="AP828" t="s">
        <v>74</v>
      </c>
      <c r="AQ828" t="s">
        <v>74</v>
      </c>
      <c r="AR828" t="s">
        <v>6068</v>
      </c>
      <c r="AS828" t="s">
        <v>6069</v>
      </c>
      <c r="AT828" t="s">
        <v>3875</v>
      </c>
      <c r="AU828">
        <v>2023</v>
      </c>
      <c r="AV828">
        <v>25</v>
      </c>
      <c r="AW828" t="s">
        <v>74</v>
      </c>
      <c r="AX828" t="s">
        <v>74</v>
      </c>
      <c r="AY828" t="s">
        <v>74</v>
      </c>
      <c r="AZ828" t="s">
        <v>74</v>
      </c>
      <c r="BA828" t="s">
        <v>74</v>
      </c>
      <c r="BB828" t="s">
        <v>74</v>
      </c>
      <c r="BC828" t="s">
        <v>74</v>
      </c>
      <c r="BD828" t="s">
        <v>15696</v>
      </c>
      <c r="BE828" t="s">
        <v>15697</v>
      </c>
      <c r="BF828" t="str">
        <f>HYPERLINK("http://dx.doi.org/10.2196/46924","http://dx.doi.org/10.2196/46924")</f>
        <v>http://dx.doi.org/10.2196/46924</v>
      </c>
      <c r="BG828" t="s">
        <v>74</v>
      </c>
      <c r="BH828" t="s">
        <v>74</v>
      </c>
      <c r="BI828">
        <v>8</v>
      </c>
      <c r="BJ828" t="s">
        <v>4947</v>
      </c>
      <c r="BK828" t="s">
        <v>130</v>
      </c>
      <c r="BL828" t="s">
        <v>4947</v>
      </c>
      <c r="BM828" t="s">
        <v>15698</v>
      </c>
      <c r="BN828">
        <v>37256685</v>
      </c>
      <c r="BO828" t="s">
        <v>4185</v>
      </c>
      <c r="BP828" t="s">
        <v>1434</v>
      </c>
      <c r="BQ828" t="s">
        <v>1912</v>
      </c>
      <c r="BR828" t="s">
        <v>101</v>
      </c>
      <c r="BS828" t="s">
        <v>15699</v>
      </c>
      <c r="BT828" t="str">
        <f>HYPERLINK("https%3A%2F%2Fwww.webofscience.com%2Fwos%2Fwoscc%2Ffull-record%2FWOS:001022158000003","View Full Record in Web of Science")</f>
        <v>View Full Record in Web of Science</v>
      </c>
    </row>
    <row r="829" spans="1:72" x14ac:dyDescent="0.2">
      <c r="A829" t="s">
        <v>103</v>
      </c>
      <c r="B829" t="s">
        <v>15700</v>
      </c>
      <c r="C829" t="s">
        <v>74</v>
      </c>
      <c r="D829" t="s">
        <v>74</v>
      </c>
      <c r="E829" t="s">
        <v>74</v>
      </c>
      <c r="F829" t="s">
        <v>15701</v>
      </c>
      <c r="G829" t="s">
        <v>74</v>
      </c>
      <c r="H829" t="s">
        <v>74</v>
      </c>
      <c r="I829" t="s">
        <v>15702</v>
      </c>
      <c r="J829" t="s">
        <v>4167</v>
      </c>
      <c r="K829" t="s">
        <v>74</v>
      </c>
      <c r="L829" t="s">
        <v>74</v>
      </c>
      <c r="M829" t="s">
        <v>79</v>
      </c>
      <c r="N829" t="s">
        <v>108</v>
      </c>
      <c r="O829" t="s">
        <v>74</v>
      </c>
      <c r="P829" t="s">
        <v>74</v>
      </c>
      <c r="Q829" t="s">
        <v>74</v>
      </c>
      <c r="R829" t="s">
        <v>74</v>
      </c>
      <c r="S829" t="s">
        <v>74</v>
      </c>
      <c r="T829" t="s">
        <v>15703</v>
      </c>
      <c r="U829" t="s">
        <v>74</v>
      </c>
      <c r="V829" t="s">
        <v>15704</v>
      </c>
      <c r="W829" t="s">
        <v>15705</v>
      </c>
      <c r="X829" t="s">
        <v>15706</v>
      </c>
      <c r="Y829" t="s">
        <v>15707</v>
      </c>
      <c r="Z829" t="s">
        <v>15708</v>
      </c>
      <c r="AA829" t="s">
        <v>15709</v>
      </c>
      <c r="AB829" t="s">
        <v>15710</v>
      </c>
      <c r="AC829" t="s">
        <v>74</v>
      </c>
      <c r="AD829" t="s">
        <v>74</v>
      </c>
      <c r="AE829" t="s">
        <v>74</v>
      </c>
      <c r="AF829" t="s">
        <v>74</v>
      </c>
      <c r="AG829">
        <v>26</v>
      </c>
      <c r="AH829">
        <v>2</v>
      </c>
      <c r="AI829">
        <v>2</v>
      </c>
      <c r="AJ829">
        <v>19</v>
      </c>
      <c r="AK829">
        <v>19</v>
      </c>
      <c r="AL829" t="s">
        <v>4176</v>
      </c>
      <c r="AM829" t="s">
        <v>4177</v>
      </c>
      <c r="AN829" t="s">
        <v>4178</v>
      </c>
      <c r="AO829" t="s">
        <v>4179</v>
      </c>
      <c r="AP829" t="s">
        <v>74</v>
      </c>
      <c r="AQ829" t="s">
        <v>74</v>
      </c>
      <c r="AR829" t="s">
        <v>4180</v>
      </c>
      <c r="AS829" t="s">
        <v>4181</v>
      </c>
      <c r="AT829" t="s">
        <v>74</v>
      </c>
      <c r="AU829">
        <v>2023</v>
      </c>
      <c r="AV829">
        <v>9</v>
      </c>
      <c r="AW829" t="s">
        <v>74</v>
      </c>
      <c r="AX829" t="s">
        <v>74</v>
      </c>
      <c r="AY829" t="s">
        <v>74</v>
      </c>
      <c r="AZ829" t="s">
        <v>74</v>
      </c>
      <c r="BA829" t="s">
        <v>74</v>
      </c>
      <c r="BB829" t="s">
        <v>74</v>
      </c>
      <c r="BC829" t="s">
        <v>74</v>
      </c>
      <c r="BD829" t="s">
        <v>15711</v>
      </c>
      <c r="BE829" t="s">
        <v>15712</v>
      </c>
      <c r="BF829" t="str">
        <f>HYPERLINK("http://dx.doi.org/10.2196/48452","http://dx.doi.org/10.2196/48452")</f>
        <v>http://dx.doi.org/10.2196/48452</v>
      </c>
      <c r="BG829" t="s">
        <v>74</v>
      </c>
      <c r="BH829" t="s">
        <v>74</v>
      </c>
      <c r="BI829">
        <v>12</v>
      </c>
      <c r="BJ829" t="s">
        <v>3308</v>
      </c>
      <c r="BK829" t="s">
        <v>352</v>
      </c>
      <c r="BL829" t="s">
        <v>423</v>
      </c>
      <c r="BM829" t="s">
        <v>15713</v>
      </c>
      <c r="BN829">
        <v>37837968</v>
      </c>
      <c r="BO829" t="s">
        <v>1728</v>
      </c>
      <c r="BP829" t="s">
        <v>74</v>
      </c>
      <c r="BQ829" t="s">
        <v>74</v>
      </c>
      <c r="BR829" t="s">
        <v>101</v>
      </c>
      <c r="BS829" t="s">
        <v>15714</v>
      </c>
      <c r="BT829" t="str">
        <f>HYPERLINK("https%3A%2F%2Fwww.webofscience.com%2Fwos%2Fwoscc%2Ffull-record%2FWOS:001104479100001","View Full Record in Web of Science")</f>
        <v>View Full Record in Web of Science</v>
      </c>
    </row>
    <row r="830" spans="1:72" x14ac:dyDescent="0.2">
      <c r="A830" t="s">
        <v>103</v>
      </c>
      <c r="B830" t="s">
        <v>15715</v>
      </c>
      <c r="C830" t="s">
        <v>74</v>
      </c>
      <c r="D830" t="s">
        <v>74</v>
      </c>
      <c r="E830" t="s">
        <v>74</v>
      </c>
      <c r="F830" t="s">
        <v>15716</v>
      </c>
      <c r="G830" t="s">
        <v>74</v>
      </c>
      <c r="H830" t="s">
        <v>74</v>
      </c>
      <c r="I830" t="s">
        <v>15717</v>
      </c>
      <c r="J830" t="s">
        <v>4686</v>
      </c>
      <c r="K830" t="s">
        <v>74</v>
      </c>
      <c r="L830" t="s">
        <v>74</v>
      </c>
      <c r="M830" t="s">
        <v>79</v>
      </c>
      <c r="N830" t="s">
        <v>108</v>
      </c>
      <c r="O830" t="s">
        <v>74</v>
      </c>
      <c r="P830" t="s">
        <v>74</v>
      </c>
      <c r="Q830" t="s">
        <v>74</v>
      </c>
      <c r="R830" t="s">
        <v>74</v>
      </c>
      <c r="S830" t="s">
        <v>74</v>
      </c>
      <c r="T830" t="s">
        <v>15718</v>
      </c>
      <c r="U830" t="s">
        <v>74</v>
      </c>
      <c r="V830" t="s">
        <v>15719</v>
      </c>
      <c r="W830" t="s">
        <v>15720</v>
      </c>
      <c r="X830" t="s">
        <v>15721</v>
      </c>
      <c r="Y830" t="s">
        <v>15722</v>
      </c>
      <c r="Z830" t="s">
        <v>15723</v>
      </c>
      <c r="AA830" t="s">
        <v>74</v>
      </c>
      <c r="AB830" t="s">
        <v>74</v>
      </c>
      <c r="AC830" t="s">
        <v>74</v>
      </c>
      <c r="AD830" t="s">
        <v>74</v>
      </c>
      <c r="AE830" t="s">
        <v>74</v>
      </c>
      <c r="AF830" t="s">
        <v>74</v>
      </c>
      <c r="AG830">
        <v>23</v>
      </c>
      <c r="AH830">
        <v>2</v>
      </c>
      <c r="AI830">
        <v>2</v>
      </c>
      <c r="AJ830">
        <v>5</v>
      </c>
      <c r="AK830">
        <v>5</v>
      </c>
      <c r="AL830" t="s">
        <v>2032</v>
      </c>
      <c r="AM830" t="s">
        <v>149</v>
      </c>
      <c r="AN830" t="s">
        <v>2033</v>
      </c>
      <c r="AO830" t="s">
        <v>74</v>
      </c>
      <c r="AP830" t="s">
        <v>4694</v>
      </c>
      <c r="AQ830" t="s">
        <v>74</v>
      </c>
      <c r="AR830" t="s">
        <v>4695</v>
      </c>
      <c r="AS830" t="s">
        <v>4696</v>
      </c>
      <c r="AT830" t="s">
        <v>15724</v>
      </c>
      <c r="AU830">
        <v>2023</v>
      </c>
      <c r="AV830">
        <v>15</v>
      </c>
      <c r="AW830">
        <v>11</v>
      </c>
      <c r="AX830" t="s">
        <v>74</v>
      </c>
      <c r="AY830" t="s">
        <v>74</v>
      </c>
      <c r="AZ830" t="s">
        <v>74</v>
      </c>
      <c r="BA830" t="s">
        <v>74</v>
      </c>
      <c r="BB830" t="s">
        <v>74</v>
      </c>
      <c r="BC830" t="s">
        <v>74</v>
      </c>
      <c r="BD830" t="s">
        <v>15725</v>
      </c>
      <c r="BE830" t="s">
        <v>15726</v>
      </c>
      <c r="BF830" t="str">
        <f>HYPERLINK("http://dx.doi.org/10.7759/cureus.48788","http://dx.doi.org/10.7759/cureus.48788")</f>
        <v>http://dx.doi.org/10.7759/cureus.48788</v>
      </c>
      <c r="BG830" t="s">
        <v>74</v>
      </c>
      <c r="BH830" t="s">
        <v>74</v>
      </c>
      <c r="BI830">
        <v>8</v>
      </c>
      <c r="BJ830" t="s">
        <v>3440</v>
      </c>
      <c r="BK830" t="s">
        <v>352</v>
      </c>
      <c r="BL830" t="s">
        <v>3441</v>
      </c>
      <c r="BM830" t="s">
        <v>15727</v>
      </c>
      <c r="BN830">
        <v>38098921</v>
      </c>
      <c r="BO830" t="s">
        <v>4185</v>
      </c>
      <c r="BP830" t="s">
        <v>74</v>
      </c>
      <c r="BQ830" t="s">
        <v>74</v>
      </c>
      <c r="BR830" t="s">
        <v>101</v>
      </c>
      <c r="BS830" t="s">
        <v>15728</v>
      </c>
      <c r="BT830" t="str">
        <f>HYPERLINK("https%3A%2F%2Fwww.webofscience.com%2Fwos%2Fwoscc%2Ffull-record%2FWOS:001109604800025","View Full Record in Web of Science")</f>
        <v>View Full Record in Web of Science</v>
      </c>
    </row>
    <row r="831" spans="1:72" x14ac:dyDescent="0.2">
      <c r="A831" t="s">
        <v>103</v>
      </c>
      <c r="B831" t="s">
        <v>15729</v>
      </c>
      <c r="C831" t="s">
        <v>74</v>
      </c>
      <c r="D831" t="s">
        <v>74</v>
      </c>
      <c r="E831" t="s">
        <v>74</v>
      </c>
      <c r="F831" t="s">
        <v>15730</v>
      </c>
      <c r="G831" t="s">
        <v>74</v>
      </c>
      <c r="H831" t="s">
        <v>74</v>
      </c>
      <c r="I831" t="s">
        <v>15731</v>
      </c>
      <c r="J831" t="s">
        <v>1370</v>
      </c>
      <c r="K831" t="s">
        <v>74</v>
      </c>
      <c r="L831" t="s">
        <v>74</v>
      </c>
      <c r="M831" t="s">
        <v>79</v>
      </c>
      <c r="N831" t="s">
        <v>108</v>
      </c>
      <c r="O831" t="s">
        <v>74</v>
      </c>
      <c r="P831" t="s">
        <v>74</v>
      </c>
      <c r="Q831" t="s">
        <v>74</v>
      </c>
      <c r="R831" t="s">
        <v>74</v>
      </c>
      <c r="S831" t="s">
        <v>74</v>
      </c>
      <c r="T831" t="s">
        <v>15732</v>
      </c>
      <c r="U831" t="s">
        <v>15733</v>
      </c>
      <c r="V831" t="s">
        <v>15734</v>
      </c>
      <c r="W831" t="s">
        <v>15735</v>
      </c>
      <c r="X831" t="s">
        <v>15736</v>
      </c>
      <c r="Y831" t="s">
        <v>15737</v>
      </c>
      <c r="Z831" t="s">
        <v>15738</v>
      </c>
      <c r="AA831" t="s">
        <v>74</v>
      </c>
      <c r="AB831" t="s">
        <v>15739</v>
      </c>
      <c r="AC831" t="s">
        <v>15740</v>
      </c>
      <c r="AD831" t="s">
        <v>15741</v>
      </c>
      <c r="AE831" t="s">
        <v>15742</v>
      </c>
      <c r="AF831" t="s">
        <v>74</v>
      </c>
      <c r="AG831">
        <v>55</v>
      </c>
      <c r="AH831">
        <v>0</v>
      </c>
      <c r="AI831">
        <v>0</v>
      </c>
      <c r="AJ831">
        <v>1</v>
      </c>
      <c r="AK831">
        <v>4</v>
      </c>
      <c r="AL831" t="s">
        <v>1379</v>
      </c>
      <c r="AM831" t="s">
        <v>1380</v>
      </c>
      <c r="AN831" t="s">
        <v>1381</v>
      </c>
      <c r="AO831" t="s">
        <v>1382</v>
      </c>
      <c r="AP831" t="s">
        <v>74</v>
      </c>
      <c r="AQ831" t="s">
        <v>74</v>
      </c>
      <c r="AR831" t="s">
        <v>1370</v>
      </c>
      <c r="AS831" t="s">
        <v>1383</v>
      </c>
      <c r="AT831" t="s">
        <v>74</v>
      </c>
      <c r="AU831">
        <v>2023</v>
      </c>
      <c r="AV831">
        <v>11</v>
      </c>
      <c r="AW831" t="s">
        <v>74</v>
      </c>
      <c r="AX831" t="s">
        <v>74</v>
      </c>
      <c r="AY831" t="s">
        <v>74</v>
      </c>
      <c r="AZ831" t="s">
        <v>74</v>
      </c>
      <c r="BA831" t="s">
        <v>74</v>
      </c>
      <c r="BB831">
        <v>86335</v>
      </c>
      <c r="BC831">
        <v>86350</v>
      </c>
      <c r="BD831" t="s">
        <v>74</v>
      </c>
      <c r="BE831" t="s">
        <v>15743</v>
      </c>
      <c r="BF831" t="str">
        <f>HYPERLINK("http://dx.doi.org/10.1109/ACCESS.2023.3301568","http://dx.doi.org/10.1109/ACCESS.2023.3301568")</f>
        <v>http://dx.doi.org/10.1109/ACCESS.2023.3301568</v>
      </c>
      <c r="BG831" t="s">
        <v>74</v>
      </c>
      <c r="BH831" t="s">
        <v>74</v>
      </c>
      <c r="BI831">
        <v>16</v>
      </c>
      <c r="BJ831" t="s">
        <v>1385</v>
      </c>
      <c r="BK831" t="s">
        <v>130</v>
      </c>
      <c r="BL831" t="s">
        <v>1386</v>
      </c>
      <c r="BM831" t="s">
        <v>15744</v>
      </c>
      <c r="BN831" t="s">
        <v>74</v>
      </c>
      <c r="BO831" t="s">
        <v>425</v>
      </c>
      <c r="BP831" t="s">
        <v>74</v>
      </c>
      <c r="BQ831" t="s">
        <v>74</v>
      </c>
      <c r="BR831" t="s">
        <v>101</v>
      </c>
      <c r="BS831" t="s">
        <v>15745</v>
      </c>
      <c r="BT831" t="str">
        <f>HYPERLINK("https%3A%2F%2Fwww.webofscience.com%2Fwos%2Fwoscc%2Ffull-record%2FWOS:001051674800001","View Full Record in Web of Science")</f>
        <v>View Full Record in Web of Science</v>
      </c>
    </row>
    <row r="832" spans="1:72" x14ac:dyDescent="0.2">
      <c r="A832" t="s">
        <v>72</v>
      </c>
      <c r="B832" t="s">
        <v>15746</v>
      </c>
      <c r="C832" t="s">
        <v>74</v>
      </c>
      <c r="D832" t="s">
        <v>15747</v>
      </c>
      <c r="E832" t="s">
        <v>74</v>
      </c>
      <c r="F832" t="s">
        <v>15748</v>
      </c>
      <c r="G832" t="s">
        <v>74</v>
      </c>
      <c r="H832" t="s">
        <v>74</v>
      </c>
      <c r="I832" t="s">
        <v>15749</v>
      </c>
      <c r="J832" t="s">
        <v>15750</v>
      </c>
      <c r="K832" t="s">
        <v>312</v>
      </c>
      <c r="L832" t="s">
        <v>74</v>
      </c>
      <c r="M832" t="s">
        <v>79</v>
      </c>
      <c r="N832" t="s">
        <v>80</v>
      </c>
      <c r="O832" t="s">
        <v>6015</v>
      </c>
      <c r="P832" t="s">
        <v>6016</v>
      </c>
      <c r="Q832" t="s">
        <v>6017</v>
      </c>
      <c r="R832" t="s">
        <v>74</v>
      </c>
      <c r="S832" t="s">
        <v>74</v>
      </c>
      <c r="T832" t="s">
        <v>15751</v>
      </c>
      <c r="U832" t="s">
        <v>74</v>
      </c>
      <c r="V832" t="s">
        <v>15752</v>
      </c>
      <c r="W832" t="s">
        <v>15753</v>
      </c>
      <c r="X832" t="s">
        <v>15754</v>
      </c>
      <c r="Y832" t="s">
        <v>15755</v>
      </c>
      <c r="Z832" t="s">
        <v>15756</v>
      </c>
      <c r="AA832" t="s">
        <v>74</v>
      </c>
      <c r="AB832" t="s">
        <v>74</v>
      </c>
      <c r="AC832" t="s">
        <v>15757</v>
      </c>
      <c r="AD832" t="s">
        <v>15758</v>
      </c>
      <c r="AE832" t="s">
        <v>15759</v>
      </c>
      <c r="AF832" t="s">
        <v>74</v>
      </c>
      <c r="AG832">
        <v>33</v>
      </c>
      <c r="AH832">
        <v>0</v>
      </c>
      <c r="AI832">
        <v>0</v>
      </c>
      <c r="AJ832">
        <v>0</v>
      </c>
      <c r="AK832">
        <v>0</v>
      </c>
      <c r="AL832" t="s">
        <v>325</v>
      </c>
      <c r="AM832" t="s">
        <v>245</v>
      </c>
      <c r="AN832" t="s">
        <v>246</v>
      </c>
      <c r="AO832" t="s">
        <v>326</v>
      </c>
      <c r="AP832" t="s">
        <v>327</v>
      </c>
      <c r="AQ832" t="s">
        <v>15760</v>
      </c>
      <c r="AR832" t="s">
        <v>329</v>
      </c>
      <c r="AS832" t="s">
        <v>74</v>
      </c>
      <c r="AT832" t="s">
        <v>74</v>
      </c>
      <c r="AU832">
        <v>2023</v>
      </c>
      <c r="AV832">
        <v>14220</v>
      </c>
      <c r="AW832" t="s">
        <v>74</v>
      </c>
      <c r="AX832" t="s">
        <v>74</v>
      </c>
      <c r="AY832" t="s">
        <v>74</v>
      </c>
      <c r="AZ832" t="s">
        <v>74</v>
      </c>
      <c r="BA832" t="s">
        <v>74</v>
      </c>
      <c r="BB832">
        <v>67</v>
      </c>
      <c r="BC832">
        <v>76</v>
      </c>
      <c r="BD832" t="s">
        <v>74</v>
      </c>
      <c r="BE832" t="s">
        <v>15761</v>
      </c>
      <c r="BF832" t="str">
        <f>HYPERLINK("http://dx.doi.org/10.1007/978-3-031-43907-0_7","http://dx.doi.org/10.1007/978-3-031-43907-0_7")</f>
        <v>http://dx.doi.org/10.1007/978-3-031-43907-0_7</v>
      </c>
      <c r="BG832" t="s">
        <v>74</v>
      </c>
      <c r="BH832" t="s">
        <v>74</v>
      </c>
      <c r="BI832">
        <v>10</v>
      </c>
      <c r="BJ832" t="s">
        <v>6029</v>
      </c>
      <c r="BK832" t="s">
        <v>98</v>
      </c>
      <c r="BL832" t="s">
        <v>6030</v>
      </c>
      <c r="BM832" t="s">
        <v>15762</v>
      </c>
      <c r="BN832" t="s">
        <v>74</v>
      </c>
      <c r="BO832" t="s">
        <v>646</v>
      </c>
      <c r="BP832" t="s">
        <v>74</v>
      </c>
      <c r="BQ832" t="s">
        <v>74</v>
      </c>
      <c r="BR832" t="s">
        <v>101</v>
      </c>
      <c r="BS832" t="s">
        <v>15763</v>
      </c>
      <c r="BT832" t="str">
        <f>HYPERLINK("https%3A%2F%2Fwww.webofscience.com%2Fwos%2Fwoscc%2Ffull-record%2FWOS:001109628700007","View Full Record in Web of Science")</f>
        <v>View Full Record in Web of Science</v>
      </c>
    </row>
    <row r="833" spans="1:72" x14ac:dyDescent="0.2">
      <c r="A833" t="s">
        <v>103</v>
      </c>
      <c r="B833" t="s">
        <v>2976</v>
      </c>
      <c r="C833" t="s">
        <v>74</v>
      </c>
      <c r="D833" t="s">
        <v>74</v>
      </c>
      <c r="E833" t="s">
        <v>74</v>
      </c>
      <c r="F833" t="s">
        <v>2977</v>
      </c>
      <c r="G833" t="s">
        <v>74</v>
      </c>
      <c r="H833" t="s">
        <v>74</v>
      </c>
      <c r="I833" t="s">
        <v>15764</v>
      </c>
      <c r="J833" t="s">
        <v>12999</v>
      </c>
      <c r="K833" t="s">
        <v>74</v>
      </c>
      <c r="L833" t="s">
        <v>74</v>
      </c>
      <c r="M833" t="s">
        <v>79</v>
      </c>
      <c r="N833" t="s">
        <v>108</v>
      </c>
      <c r="O833" t="s">
        <v>74</v>
      </c>
      <c r="P833" t="s">
        <v>74</v>
      </c>
      <c r="Q833" t="s">
        <v>74</v>
      </c>
      <c r="R833" t="s">
        <v>74</v>
      </c>
      <c r="S833" t="s">
        <v>74</v>
      </c>
      <c r="T833" t="s">
        <v>15765</v>
      </c>
      <c r="U833" t="s">
        <v>15766</v>
      </c>
      <c r="V833" t="s">
        <v>15767</v>
      </c>
      <c r="W833" t="s">
        <v>15768</v>
      </c>
      <c r="X833" t="s">
        <v>2984</v>
      </c>
      <c r="Y833" t="s">
        <v>15769</v>
      </c>
      <c r="Z833" t="s">
        <v>2986</v>
      </c>
      <c r="AA833" t="s">
        <v>74</v>
      </c>
      <c r="AB833" t="s">
        <v>2987</v>
      </c>
      <c r="AC833" t="s">
        <v>74</v>
      </c>
      <c r="AD833" t="s">
        <v>74</v>
      </c>
      <c r="AE833" t="s">
        <v>74</v>
      </c>
      <c r="AF833" t="s">
        <v>74</v>
      </c>
      <c r="AG833">
        <v>125</v>
      </c>
      <c r="AH833">
        <v>2</v>
      </c>
      <c r="AI833">
        <v>2</v>
      </c>
      <c r="AJ833">
        <v>13</v>
      </c>
      <c r="AK833">
        <v>14</v>
      </c>
      <c r="AL833" t="s">
        <v>939</v>
      </c>
      <c r="AM833" t="s">
        <v>940</v>
      </c>
      <c r="AN833" t="s">
        <v>941</v>
      </c>
      <c r="AO833" t="s">
        <v>13011</v>
      </c>
      <c r="AP833" t="s">
        <v>74</v>
      </c>
      <c r="AQ833" t="s">
        <v>74</v>
      </c>
      <c r="AR833" t="s">
        <v>13012</v>
      </c>
      <c r="AS833" t="s">
        <v>13013</v>
      </c>
      <c r="AT833" t="s">
        <v>791</v>
      </c>
      <c r="AU833">
        <v>2023</v>
      </c>
      <c r="AV833">
        <v>6</v>
      </c>
      <c r="AW833">
        <v>8</v>
      </c>
      <c r="AX833" t="s">
        <v>74</v>
      </c>
      <c r="AY833" t="s">
        <v>74</v>
      </c>
      <c r="AZ833" t="s">
        <v>74</v>
      </c>
      <c r="BA833" t="s">
        <v>74</v>
      </c>
      <c r="BB833">
        <v>5732</v>
      </c>
      <c r="BC833">
        <v>5749</v>
      </c>
      <c r="BD833" t="s">
        <v>74</v>
      </c>
      <c r="BE833" t="s">
        <v>15770</v>
      </c>
      <c r="BF833" t="str">
        <f>HYPERLINK("http://dx.doi.org/10.3390/heritage6080302","http://dx.doi.org/10.3390/heritage6080302")</f>
        <v>http://dx.doi.org/10.3390/heritage6080302</v>
      </c>
      <c r="BG833" t="s">
        <v>74</v>
      </c>
      <c r="BH833" t="s">
        <v>74</v>
      </c>
      <c r="BI833">
        <v>18</v>
      </c>
      <c r="BJ833" t="s">
        <v>13016</v>
      </c>
      <c r="BK833" t="s">
        <v>352</v>
      </c>
      <c r="BL833" t="s">
        <v>13017</v>
      </c>
      <c r="BM833" t="s">
        <v>15771</v>
      </c>
      <c r="BN833" t="s">
        <v>74</v>
      </c>
      <c r="BO833" t="s">
        <v>1071</v>
      </c>
      <c r="BP833" t="s">
        <v>74</v>
      </c>
      <c r="BQ833" t="s">
        <v>74</v>
      </c>
      <c r="BR833" t="s">
        <v>101</v>
      </c>
      <c r="BS833" t="s">
        <v>15772</v>
      </c>
      <c r="BT833" t="str">
        <f>HYPERLINK("https%3A%2F%2Fwww.webofscience.com%2Fwos%2Fwoscc%2Ffull-record%2FWOS:001054545300001","View Full Record in Web of Science")</f>
        <v>View Full Record in Web of Science</v>
      </c>
    </row>
    <row r="834" spans="1:72" x14ac:dyDescent="0.2">
      <c r="A834" t="s">
        <v>103</v>
      </c>
      <c r="B834" t="s">
        <v>15773</v>
      </c>
      <c r="C834" t="s">
        <v>74</v>
      </c>
      <c r="D834" t="s">
        <v>74</v>
      </c>
      <c r="E834" t="s">
        <v>74</v>
      </c>
      <c r="F834" t="s">
        <v>15774</v>
      </c>
      <c r="G834" t="s">
        <v>74</v>
      </c>
      <c r="H834" t="s">
        <v>74</v>
      </c>
      <c r="I834" t="s">
        <v>15775</v>
      </c>
      <c r="J834" t="s">
        <v>15776</v>
      </c>
      <c r="K834" t="s">
        <v>74</v>
      </c>
      <c r="L834" t="s">
        <v>74</v>
      </c>
      <c r="M834" t="s">
        <v>79</v>
      </c>
      <c r="N834" t="s">
        <v>108</v>
      </c>
      <c r="O834" t="s">
        <v>74</v>
      </c>
      <c r="P834" t="s">
        <v>74</v>
      </c>
      <c r="Q834" t="s">
        <v>74</v>
      </c>
      <c r="R834" t="s">
        <v>74</v>
      </c>
      <c r="S834" t="s">
        <v>74</v>
      </c>
      <c r="T834" t="s">
        <v>15777</v>
      </c>
      <c r="U834" t="s">
        <v>74</v>
      </c>
      <c r="V834" t="s">
        <v>15778</v>
      </c>
      <c r="W834" t="s">
        <v>15779</v>
      </c>
      <c r="X834" t="s">
        <v>15780</v>
      </c>
      <c r="Y834" t="s">
        <v>15781</v>
      </c>
      <c r="Z834" t="s">
        <v>15782</v>
      </c>
      <c r="AA834" t="s">
        <v>74</v>
      </c>
      <c r="AB834" t="s">
        <v>74</v>
      </c>
      <c r="AC834" t="s">
        <v>15783</v>
      </c>
      <c r="AD834" t="s">
        <v>14010</v>
      </c>
      <c r="AE834" t="s">
        <v>15784</v>
      </c>
      <c r="AF834" t="s">
        <v>74</v>
      </c>
      <c r="AG834">
        <v>1</v>
      </c>
      <c r="AH834">
        <v>1</v>
      </c>
      <c r="AI834">
        <v>1</v>
      </c>
      <c r="AJ834">
        <v>3</v>
      </c>
      <c r="AK834">
        <v>5</v>
      </c>
      <c r="AL834" t="s">
        <v>15785</v>
      </c>
      <c r="AM834" t="s">
        <v>15786</v>
      </c>
      <c r="AN834" t="s">
        <v>15787</v>
      </c>
      <c r="AO834" t="s">
        <v>74</v>
      </c>
      <c r="AP834" t="s">
        <v>15788</v>
      </c>
      <c r="AQ834" t="s">
        <v>74</v>
      </c>
      <c r="AR834" t="s">
        <v>15789</v>
      </c>
      <c r="AS834" t="s">
        <v>15790</v>
      </c>
      <c r="AT834" t="s">
        <v>9007</v>
      </c>
      <c r="AU834">
        <v>2023</v>
      </c>
      <c r="AV834">
        <v>17</v>
      </c>
      <c r="AW834" t="s">
        <v>74</v>
      </c>
      <c r="AX834" t="s">
        <v>74</v>
      </c>
      <c r="AY834">
        <v>1</v>
      </c>
      <c r="AZ834" t="s">
        <v>74</v>
      </c>
      <c r="BA834" t="s">
        <v>74</v>
      </c>
      <c r="BB834" t="s">
        <v>15791</v>
      </c>
      <c r="BC834" t="s">
        <v>15792</v>
      </c>
      <c r="BD834" t="s">
        <v>74</v>
      </c>
      <c r="BE834" t="s">
        <v>15793</v>
      </c>
      <c r="BF834" t="str">
        <f>HYPERLINK("http://dx.doi.org/10.14444/8507","http://dx.doi.org/10.14444/8507")</f>
        <v>http://dx.doi.org/10.14444/8507</v>
      </c>
      <c r="BG834" t="s">
        <v>74</v>
      </c>
      <c r="BH834" t="s">
        <v>74</v>
      </c>
      <c r="BI834">
        <v>8</v>
      </c>
      <c r="BJ834" t="s">
        <v>13208</v>
      </c>
      <c r="BK834" t="s">
        <v>352</v>
      </c>
      <c r="BL834" t="s">
        <v>13208</v>
      </c>
      <c r="BM834" t="s">
        <v>15794</v>
      </c>
      <c r="BN834">
        <v>37291063</v>
      </c>
      <c r="BO834" t="s">
        <v>425</v>
      </c>
      <c r="BP834" t="s">
        <v>74</v>
      </c>
      <c r="BQ834" t="s">
        <v>74</v>
      </c>
      <c r="BR834" t="s">
        <v>101</v>
      </c>
      <c r="BS834" t="s">
        <v>15795</v>
      </c>
      <c r="BT834" t="str">
        <f>HYPERLINK("https%3A%2F%2Fwww.webofscience.com%2Fwos%2Fwoscc%2Ffull-record%2FWOS:001024632300005","View Full Record in Web of Science")</f>
        <v>View Full Record in Web of Science</v>
      </c>
    </row>
    <row r="835" spans="1:72" x14ac:dyDescent="0.2">
      <c r="A835" t="s">
        <v>103</v>
      </c>
      <c r="B835" t="s">
        <v>15796</v>
      </c>
      <c r="C835" t="s">
        <v>74</v>
      </c>
      <c r="D835" t="s">
        <v>74</v>
      </c>
      <c r="E835" t="s">
        <v>74</v>
      </c>
      <c r="F835" t="s">
        <v>15797</v>
      </c>
      <c r="G835" t="s">
        <v>74</v>
      </c>
      <c r="H835" t="s">
        <v>74</v>
      </c>
      <c r="I835" t="s">
        <v>15798</v>
      </c>
      <c r="J835" t="s">
        <v>4686</v>
      </c>
      <c r="K835" t="s">
        <v>74</v>
      </c>
      <c r="L835" t="s">
        <v>74</v>
      </c>
      <c r="M835" t="s">
        <v>79</v>
      </c>
      <c r="N835" t="s">
        <v>108</v>
      </c>
      <c r="O835" t="s">
        <v>74</v>
      </c>
      <c r="P835" t="s">
        <v>74</v>
      </c>
      <c r="Q835" t="s">
        <v>74</v>
      </c>
      <c r="R835" t="s">
        <v>74</v>
      </c>
      <c r="S835" t="s">
        <v>74</v>
      </c>
      <c r="T835" t="s">
        <v>15799</v>
      </c>
      <c r="U835" t="s">
        <v>15800</v>
      </c>
      <c r="V835" t="s">
        <v>15801</v>
      </c>
      <c r="W835" t="s">
        <v>15802</v>
      </c>
      <c r="X835" t="s">
        <v>15803</v>
      </c>
      <c r="Y835" t="s">
        <v>15804</v>
      </c>
      <c r="Z835" t="s">
        <v>15805</v>
      </c>
      <c r="AA835" t="s">
        <v>15806</v>
      </c>
      <c r="AB835" t="s">
        <v>15807</v>
      </c>
      <c r="AC835" t="s">
        <v>15808</v>
      </c>
      <c r="AD835" t="s">
        <v>15809</v>
      </c>
      <c r="AE835" t="s">
        <v>15810</v>
      </c>
      <c r="AF835" t="s">
        <v>74</v>
      </c>
      <c r="AG835">
        <v>18</v>
      </c>
      <c r="AH835">
        <v>7</v>
      </c>
      <c r="AI835">
        <v>7</v>
      </c>
      <c r="AJ835">
        <v>17</v>
      </c>
      <c r="AK835">
        <v>21</v>
      </c>
      <c r="AL835" t="s">
        <v>2032</v>
      </c>
      <c r="AM835" t="s">
        <v>149</v>
      </c>
      <c r="AN835" t="s">
        <v>2033</v>
      </c>
      <c r="AO835" t="s">
        <v>74</v>
      </c>
      <c r="AP835" t="s">
        <v>4694</v>
      </c>
      <c r="AQ835" t="s">
        <v>74</v>
      </c>
      <c r="AR835" t="s">
        <v>4695</v>
      </c>
      <c r="AS835" t="s">
        <v>4696</v>
      </c>
      <c r="AT835" t="s">
        <v>15811</v>
      </c>
      <c r="AU835">
        <v>2023</v>
      </c>
      <c r="AV835">
        <v>15</v>
      </c>
      <c r="AW835">
        <v>7</v>
      </c>
      <c r="AX835" t="s">
        <v>74</v>
      </c>
      <c r="AY835" t="s">
        <v>74</v>
      </c>
      <c r="AZ835" t="s">
        <v>74</v>
      </c>
      <c r="BA835" t="s">
        <v>74</v>
      </c>
      <c r="BB835" t="s">
        <v>74</v>
      </c>
      <c r="BC835" t="s">
        <v>74</v>
      </c>
      <c r="BD835" t="s">
        <v>15812</v>
      </c>
      <c r="BE835" t="s">
        <v>15813</v>
      </c>
      <c r="BF835" t="str">
        <f>HYPERLINK("http://dx.doi.org/10.7759/cureus.42214","http://dx.doi.org/10.7759/cureus.42214")</f>
        <v>http://dx.doi.org/10.7759/cureus.42214</v>
      </c>
      <c r="BG835" t="s">
        <v>74</v>
      </c>
      <c r="BH835" t="s">
        <v>74</v>
      </c>
      <c r="BI835">
        <v>9</v>
      </c>
      <c r="BJ835" t="s">
        <v>3440</v>
      </c>
      <c r="BK835" t="s">
        <v>352</v>
      </c>
      <c r="BL835" t="s">
        <v>3441</v>
      </c>
      <c r="BM835" t="s">
        <v>15814</v>
      </c>
      <c r="BN835">
        <v>37484787</v>
      </c>
      <c r="BO835" t="s">
        <v>1728</v>
      </c>
      <c r="BP835" t="s">
        <v>74</v>
      </c>
      <c r="BQ835" t="s">
        <v>74</v>
      </c>
      <c r="BR835" t="s">
        <v>101</v>
      </c>
      <c r="BS835" t="s">
        <v>15815</v>
      </c>
      <c r="BT835" t="str">
        <f>HYPERLINK("https%3A%2F%2Fwww.webofscience.com%2Fwos%2Fwoscc%2Ffull-record%2FWOS:001047751100017","View Full Record in Web of Science")</f>
        <v>View Full Record in Web of Science</v>
      </c>
    </row>
    <row r="836" spans="1:72" x14ac:dyDescent="0.2">
      <c r="A836" t="s">
        <v>103</v>
      </c>
      <c r="B836" t="s">
        <v>15816</v>
      </c>
      <c r="C836" t="s">
        <v>74</v>
      </c>
      <c r="D836" t="s">
        <v>74</v>
      </c>
      <c r="E836" t="s">
        <v>74</v>
      </c>
      <c r="F836" t="s">
        <v>15817</v>
      </c>
      <c r="G836" t="s">
        <v>74</v>
      </c>
      <c r="H836" t="s">
        <v>74</v>
      </c>
      <c r="I836" t="s">
        <v>15818</v>
      </c>
      <c r="J836" t="s">
        <v>15819</v>
      </c>
      <c r="K836" t="s">
        <v>74</v>
      </c>
      <c r="L836" t="s">
        <v>74</v>
      </c>
      <c r="M836" t="s">
        <v>79</v>
      </c>
      <c r="N836" t="s">
        <v>108</v>
      </c>
      <c r="O836" t="s">
        <v>74</v>
      </c>
      <c r="P836" t="s">
        <v>74</v>
      </c>
      <c r="Q836" t="s">
        <v>74</v>
      </c>
      <c r="R836" t="s">
        <v>74</v>
      </c>
      <c r="S836" t="s">
        <v>74</v>
      </c>
      <c r="T836" t="s">
        <v>74</v>
      </c>
      <c r="U836" t="s">
        <v>74</v>
      </c>
      <c r="V836" t="s">
        <v>15820</v>
      </c>
      <c r="W836" t="s">
        <v>15821</v>
      </c>
      <c r="X836" t="s">
        <v>15822</v>
      </c>
      <c r="Y836" t="s">
        <v>15823</v>
      </c>
      <c r="Z836" t="s">
        <v>15824</v>
      </c>
      <c r="AA836" t="s">
        <v>74</v>
      </c>
      <c r="AB836" t="s">
        <v>74</v>
      </c>
      <c r="AC836" t="s">
        <v>74</v>
      </c>
      <c r="AD836" t="s">
        <v>74</v>
      </c>
      <c r="AE836" t="s">
        <v>74</v>
      </c>
      <c r="AF836" t="s">
        <v>74</v>
      </c>
      <c r="AG836">
        <v>42</v>
      </c>
      <c r="AH836">
        <v>1</v>
      </c>
      <c r="AI836">
        <v>1</v>
      </c>
      <c r="AJ836">
        <v>1</v>
      </c>
      <c r="AK836">
        <v>1</v>
      </c>
      <c r="AL836" t="s">
        <v>1880</v>
      </c>
      <c r="AM836" t="s">
        <v>369</v>
      </c>
      <c r="AN836" t="s">
        <v>1881</v>
      </c>
      <c r="AO836" t="s">
        <v>74</v>
      </c>
      <c r="AP836" t="s">
        <v>15825</v>
      </c>
      <c r="AQ836" t="s">
        <v>74</v>
      </c>
      <c r="AR836" t="s">
        <v>15826</v>
      </c>
      <c r="AS836" t="s">
        <v>15827</v>
      </c>
      <c r="AT836" t="s">
        <v>15828</v>
      </c>
      <c r="AU836">
        <v>2023</v>
      </c>
      <c r="AV836">
        <v>10</v>
      </c>
      <c r="AW836">
        <v>1</v>
      </c>
      <c r="AX836" t="s">
        <v>74</v>
      </c>
      <c r="AY836" t="s">
        <v>74</v>
      </c>
      <c r="AZ836" t="s">
        <v>74</v>
      </c>
      <c r="BA836" t="s">
        <v>74</v>
      </c>
      <c r="BB836" t="s">
        <v>74</v>
      </c>
      <c r="BC836" t="s">
        <v>74</v>
      </c>
      <c r="BD836">
        <v>586</v>
      </c>
      <c r="BE836" t="s">
        <v>15829</v>
      </c>
      <c r="BF836" t="str">
        <f>HYPERLINK("http://dx.doi.org/10.1038/s41597-023-02487-3","http://dx.doi.org/10.1038/s41597-023-02487-3")</f>
        <v>http://dx.doi.org/10.1038/s41597-023-02487-3</v>
      </c>
      <c r="BG836" t="s">
        <v>74</v>
      </c>
      <c r="BH836" t="s">
        <v>74</v>
      </c>
      <c r="BI836">
        <v>16</v>
      </c>
      <c r="BJ836" t="s">
        <v>5686</v>
      </c>
      <c r="BK836" t="s">
        <v>130</v>
      </c>
      <c r="BL836" t="s">
        <v>5687</v>
      </c>
      <c r="BM836" t="s">
        <v>15830</v>
      </c>
      <c r="BN836">
        <v>37673893</v>
      </c>
      <c r="BO836" t="s">
        <v>4337</v>
      </c>
      <c r="BP836" t="s">
        <v>74</v>
      </c>
      <c r="BQ836" t="s">
        <v>74</v>
      </c>
      <c r="BR836" t="s">
        <v>101</v>
      </c>
      <c r="BS836" t="s">
        <v>15831</v>
      </c>
      <c r="BT836" t="str">
        <f>HYPERLINK("https%3A%2F%2Fwww.webofscience.com%2Fwos%2Fwoscc%2Ffull-record%2FWOS:001063157000004","View Full Record in Web of Science")</f>
        <v>View Full Record in Web of Science</v>
      </c>
    </row>
    <row r="837" spans="1:72" x14ac:dyDescent="0.2">
      <c r="A837" t="s">
        <v>103</v>
      </c>
      <c r="B837" t="s">
        <v>15832</v>
      </c>
      <c r="C837" t="s">
        <v>74</v>
      </c>
      <c r="D837" t="s">
        <v>74</v>
      </c>
      <c r="E837" t="s">
        <v>74</v>
      </c>
      <c r="F837" t="s">
        <v>15833</v>
      </c>
      <c r="G837" t="s">
        <v>74</v>
      </c>
      <c r="H837" t="s">
        <v>74</v>
      </c>
      <c r="I837" t="s">
        <v>15834</v>
      </c>
      <c r="J837" t="s">
        <v>4686</v>
      </c>
      <c r="K837" t="s">
        <v>74</v>
      </c>
      <c r="L837" t="s">
        <v>74</v>
      </c>
      <c r="M837" t="s">
        <v>79</v>
      </c>
      <c r="N837" t="s">
        <v>108</v>
      </c>
      <c r="O837" t="s">
        <v>74</v>
      </c>
      <c r="P837" t="s">
        <v>74</v>
      </c>
      <c r="Q837" t="s">
        <v>74</v>
      </c>
      <c r="R837" t="s">
        <v>74</v>
      </c>
      <c r="S837" t="s">
        <v>74</v>
      </c>
      <c r="T837" t="s">
        <v>15835</v>
      </c>
      <c r="U837" t="s">
        <v>74</v>
      </c>
      <c r="V837" t="s">
        <v>15836</v>
      </c>
      <c r="W837" t="s">
        <v>15837</v>
      </c>
      <c r="X837" t="s">
        <v>15838</v>
      </c>
      <c r="Y837" t="s">
        <v>15839</v>
      </c>
      <c r="Z837" t="s">
        <v>15840</v>
      </c>
      <c r="AA837" t="s">
        <v>15841</v>
      </c>
      <c r="AB837" t="s">
        <v>15842</v>
      </c>
      <c r="AC837" t="s">
        <v>74</v>
      </c>
      <c r="AD837" t="s">
        <v>74</v>
      </c>
      <c r="AE837" t="s">
        <v>74</v>
      </c>
      <c r="AF837" t="s">
        <v>74</v>
      </c>
      <c r="AG837">
        <v>15</v>
      </c>
      <c r="AH837">
        <v>3</v>
      </c>
      <c r="AI837">
        <v>3</v>
      </c>
      <c r="AJ837">
        <v>9</v>
      </c>
      <c r="AK837">
        <v>12</v>
      </c>
      <c r="AL837" t="s">
        <v>2032</v>
      </c>
      <c r="AM837" t="s">
        <v>149</v>
      </c>
      <c r="AN837" t="s">
        <v>2033</v>
      </c>
      <c r="AO837" t="s">
        <v>74</v>
      </c>
      <c r="AP837" t="s">
        <v>4694</v>
      </c>
      <c r="AQ837" t="s">
        <v>74</v>
      </c>
      <c r="AR837" t="s">
        <v>4695</v>
      </c>
      <c r="AS837" t="s">
        <v>4696</v>
      </c>
      <c r="AT837" t="s">
        <v>15843</v>
      </c>
      <c r="AU837">
        <v>2023</v>
      </c>
      <c r="AV837">
        <v>15</v>
      </c>
      <c r="AW837">
        <v>7</v>
      </c>
      <c r="AX837" t="s">
        <v>74</v>
      </c>
      <c r="AY837" t="s">
        <v>74</v>
      </c>
      <c r="AZ837" t="s">
        <v>74</v>
      </c>
      <c r="BA837" t="s">
        <v>74</v>
      </c>
      <c r="BB837" t="s">
        <v>74</v>
      </c>
      <c r="BC837" t="s">
        <v>74</v>
      </c>
      <c r="BD837" t="s">
        <v>15844</v>
      </c>
      <c r="BE837" t="s">
        <v>15845</v>
      </c>
      <c r="BF837" t="str">
        <f>HYPERLINK("http://dx.doi.org/10.7759/cureus.41916","http://dx.doi.org/10.7759/cureus.41916")</f>
        <v>http://dx.doi.org/10.7759/cureus.41916</v>
      </c>
      <c r="BG837" t="s">
        <v>74</v>
      </c>
      <c r="BH837" t="s">
        <v>74</v>
      </c>
      <c r="BI837">
        <v>9</v>
      </c>
      <c r="BJ837" t="s">
        <v>3440</v>
      </c>
      <c r="BK837" t="s">
        <v>352</v>
      </c>
      <c r="BL837" t="s">
        <v>3441</v>
      </c>
      <c r="BM837" t="s">
        <v>15846</v>
      </c>
      <c r="BN837">
        <v>37457604</v>
      </c>
      <c r="BO837" t="s">
        <v>4185</v>
      </c>
      <c r="BP837" t="s">
        <v>74</v>
      </c>
      <c r="BQ837" t="s">
        <v>74</v>
      </c>
      <c r="BR837" t="s">
        <v>101</v>
      </c>
      <c r="BS837" t="s">
        <v>15847</v>
      </c>
      <c r="BT837" t="str">
        <f>HYPERLINK("https%3A%2F%2Fwww.webofscience.com%2Fwos%2Fwoscc%2Ffull-record%2FWOS:001053897100021","View Full Record in Web of Science")</f>
        <v>View Full Record in Web of Science</v>
      </c>
    </row>
    <row r="838" spans="1:72" x14ac:dyDescent="0.2">
      <c r="A838" t="s">
        <v>103</v>
      </c>
      <c r="B838" t="s">
        <v>15848</v>
      </c>
      <c r="C838" t="s">
        <v>74</v>
      </c>
      <c r="D838" t="s">
        <v>74</v>
      </c>
      <c r="E838" t="s">
        <v>74</v>
      </c>
      <c r="F838" t="s">
        <v>15849</v>
      </c>
      <c r="G838" t="s">
        <v>74</v>
      </c>
      <c r="H838" t="s">
        <v>74</v>
      </c>
      <c r="I838" t="s">
        <v>15850</v>
      </c>
      <c r="J838" t="s">
        <v>15851</v>
      </c>
      <c r="K838" t="s">
        <v>74</v>
      </c>
      <c r="L838" t="s">
        <v>74</v>
      </c>
      <c r="M838" t="s">
        <v>79</v>
      </c>
      <c r="N838" t="s">
        <v>108</v>
      </c>
      <c r="O838" t="s">
        <v>74</v>
      </c>
      <c r="P838" t="s">
        <v>74</v>
      </c>
      <c r="Q838" t="s">
        <v>74</v>
      </c>
      <c r="R838" t="s">
        <v>74</v>
      </c>
      <c r="S838" t="s">
        <v>74</v>
      </c>
      <c r="T838" t="s">
        <v>15852</v>
      </c>
      <c r="U838" t="s">
        <v>74</v>
      </c>
      <c r="V838" t="s">
        <v>15853</v>
      </c>
      <c r="W838" t="s">
        <v>15854</v>
      </c>
      <c r="X838" t="s">
        <v>15855</v>
      </c>
      <c r="Y838" t="s">
        <v>15856</v>
      </c>
      <c r="Z838" t="s">
        <v>15857</v>
      </c>
      <c r="AA838" t="s">
        <v>15858</v>
      </c>
      <c r="AB838" t="s">
        <v>74</v>
      </c>
      <c r="AC838" t="s">
        <v>15859</v>
      </c>
      <c r="AD838" t="s">
        <v>15860</v>
      </c>
      <c r="AE838" t="s">
        <v>15861</v>
      </c>
      <c r="AF838" t="s">
        <v>74</v>
      </c>
      <c r="AG838">
        <v>17</v>
      </c>
      <c r="AH838">
        <v>0</v>
      </c>
      <c r="AI838">
        <v>0</v>
      </c>
      <c r="AJ838">
        <v>14</v>
      </c>
      <c r="AK838">
        <v>14</v>
      </c>
      <c r="AL838" t="s">
        <v>15862</v>
      </c>
      <c r="AM838" t="s">
        <v>15863</v>
      </c>
      <c r="AN838" t="s">
        <v>15864</v>
      </c>
      <c r="AO838" t="s">
        <v>15865</v>
      </c>
      <c r="AP838" t="s">
        <v>15866</v>
      </c>
      <c r="AQ838" t="s">
        <v>74</v>
      </c>
      <c r="AR838" t="s">
        <v>15867</v>
      </c>
      <c r="AS838" t="s">
        <v>15868</v>
      </c>
      <c r="AT838" t="s">
        <v>771</v>
      </c>
      <c r="AU838">
        <v>2023</v>
      </c>
      <c r="AV838" t="s">
        <v>15869</v>
      </c>
      <c r="AW838">
        <v>9</v>
      </c>
      <c r="AX838" t="s">
        <v>74</v>
      </c>
      <c r="AY838" t="s">
        <v>74</v>
      </c>
      <c r="AZ838" t="s">
        <v>74</v>
      </c>
      <c r="BA838" t="s">
        <v>74</v>
      </c>
      <c r="BB838">
        <v>1615</v>
      </c>
      <c r="BC838">
        <v>1619</v>
      </c>
      <c r="BD838" t="s">
        <v>74</v>
      </c>
      <c r="BE838" t="s">
        <v>15870</v>
      </c>
      <c r="BF838" t="str">
        <f>HYPERLINK("http://dx.doi.org/10.1587/transinf.2022EDL8106","http://dx.doi.org/10.1587/transinf.2022EDL8106")</f>
        <v>http://dx.doi.org/10.1587/transinf.2022EDL8106</v>
      </c>
      <c r="BG838" t="s">
        <v>74</v>
      </c>
      <c r="BH838" t="s">
        <v>74</v>
      </c>
      <c r="BI838">
        <v>5</v>
      </c>
      <c r="BJ838" t="s">
        <v>12316</v>
      </c>
      <c r="BK838" t="s">
        <v>130</v>
      </c>
      <c r="BL838" t="s">
        <v>99</v>
      </c>
      <c r="BM838" t="s">
        <v>15871</v>
      </c>
      <c r="BN838" t="s">
        <v>74</v>
      </c>
      <c r="BO838" t="s">
        <v>425</v>
      </c>
      <c r="BP838" t="s">
        <v>74</v>
      </c>
      <c r="BQ838" t="s">
        <v>74</v>
      </c>
      <c r="BR838" t="s">
        <v>101</v>
      </c>
      <c r="BS838" t="s">
        <v>15872</v>
      </c>
      <c r="BT838" t="str">
        <f>HYPERLINK("https%3A%2F%2Fwww.webofscience.com%2Fwos%2Fwoscc%2Ffull-record%2FWOS:001065284900032","View Full Record in Web of Science")</f>
        <v>View Full Record in Web of Science</v>
      </c>
    </row>
    <row r="839" spans="1:72" x14ac:dyDescent="0.2">
      <c r="A839" t="s">
        <v>72</v>
      </c>
      <c r="B839" t="s">
        <v>15873</v>
      </c>
      <c r="C839" t="s">
        <v>74</v>
      </c>
      <c r="D839" t="s">
        <v>15874</v>
      </c>
      <c r="E839" t="s">
        <v>74</v>
      </c>
      <c r="F839" t="s">
        <v>15875</v>
      </c>
      <c r="G839" t="s">
        <v>74</v>
      </c>
      <c r="H839" t="s">
        <v>74</v>
      </c>
      <c r="I839" t="s">
        <v>15876</v>
      </c>
      <c r="J839" t="s">
        <v>15877</v>
      </c>
      <c r="K839" t="s">
        <v>312</v>
      </c>
      <c r="L839" t="s">
        <v>74</v>
      </c>
      <c r="M839" t="s">
        <v>79</v>
      </c>
      <c r="N839" t="s">
        <v>80</v>
      </c>
      <c r="O839" t="s">
        <v>15878</v>
      </c>
      <c r="P839" t="s">
        <v>15879</v>
      </c>
      <c r="Q839" t="s">
        <v>15880</v>
      </c>
      <c r="R839" t="s">
        <v>74</v>
      </c>
      <c r="S839" t="s">
        <v>74</v>
      </c>
      <c r="T839" t="s">
        <v>15881</v>
      </c>
      <c r="U839" t="s">
        <v>74</v>
      </c>
      <c r="V839" t="s">
        <v>15882</v>
      </c>
      <c r="W839" t="s">
        <v>15883</v>
      </c>
      <c r="X839" t="s">
        <v>15884</v>
      </c>
      <c r="Y839" t="s">
        <v>15885</v>
      </c>
      <c r="Z839" t="s">
        <v>15886</v>
      </c>
      <c r="AA839" t="s">
        <v>74</v>
      </c>
      <c r="AB839" t="s">
        <v>74</v>
      </c>
      <c r="AC839" t="s">
        <v>15887</v>
      </c>
      <c r="AD839" t="s">
        <v>15888</v>
      </c>
      <c r="AE839" t="s">
        <v>15889</v>
      </c>
      <c r="AF839" t="s">
        <v>74</v>
      </c>
      <c r="AG839">
        <v>30</v>
      </c>
      <c r="AH839">
        <v>0</v>
      </c>
      <c r="AI839">
        <v>0</v>
      </c>
      <c r="AJ839">
        <v>0</v>
      </c>
      <c r="AK839">
        <v>0</v>
      </c>
      <c r="AL839" t="s">
        <v>325</v>
      </c>
      <c r="AM839" t="s">
        <v>245</v>
      </c>
      <c r="AN839" t="s">
        <v>246</v>
      </c>
      <c r="AO839" t="s">
        <v>326</v>
      </c>
      <c r="AP839" t="s">
        <v>327</v>
      </c>
      <c r="AQ839" t="s">
        <v>15890</v>
      </c>
      <c r="AR839" t="s">
        <v>329</v>
      </c>
      <c r="AS839" t="s">
        <v>74</v>
      </c>
      <c r="AT839" t="s">
        <v>74</v>
      </c>
      <c r="AU839">
        <v>2023</v>
      </c>
      <c r="AV839">
        <v>14184</v>
      </c>
      <c r="AW839" t="s">
        <v>74</v>
      </c>
      <c r="AX839" t="s">
        <v>74</v>
      </c>
      <c r="AY839" t="s">
        <v>74</v>
      </c>
      <c r="AZ839" t="s">
        <v>74</v>
      </c>
      <c r="BA839" t="s">
        <v>74</v>
      </c>
      <c r="BB839">
        <v>165</v>
      </c>
      <c r="BC839">
        <v>174</v>
      </c>
      <c r="BD839" t="s">
        <v>74</v>
      </c>
      <c r="BE839" t="s">
        <v>15891</v>
      </c>
      <c r="BF839" t="str">
        <f>HYPERLINK("http://dx.doi.org/10.1007/978-3-031-44237-7_16","http://dx.doi.org/10.1007/978-3-031-44237-7_16")</f>
        <v>http://dx.doi.org/10.1007/978-3-031-44237-7_16</v>
      </c>
      <c r="BG839" t="s">
        <v>74</v>
      </c>
      <c r="BH839" t="s">
        <v>74</v>
      </c>
      <c r="BI839">
        <v>10</v>
      </c>
      <c r="BJ839" t="s">
        <v>11095</v>
      </c>
      <c r="BK839" t="s">
        <v>98</v>
      </c>
      <c r="BL839" t="s">
        <v>2179</v>
      </c>
      <c r="BM839" t="s">
        <v>15892</v>
      </c>
      <c r="BN839" t="s">
        <v>74</v>
      </c>
      <c r="BO839" t="s">
        <v>74</v>
      </c>
      <c r="BP839" t="s">
        <v>74</v>
      </c>
      <c r="BQ839" t="s">
        <v>74</v>
      </c>
      <c r="BR839" t="s">
        <v>101</v>
      </c>
      <c r="BS839" t="s">
        <v>15893</v>
      </c>
      <c r="BT839" t="str">
        <f>HYPERLINK("https%3A%2F%2Fwww.webofscience.com%2Fwos%2Fwoscc%2Ffull-record%2FWOS:001157329400016","View Full Record in Web of Science")</f>
        <v>View Full Record in Web of Science</v>
      </c>
    </row>
    <row r="840" spans="1:72" x14ac:dyDescent="0.2">
      <c r="A840" t="s">
        <v>103</v>
      </c>
      <c r="B840" t="s">
        <v>15894</v>
      </c>
      <c r="C840" t="s">
        <v>74</v>
      </c>
      <c r="D840" t="s">
        <v>74</v>
      </c>
      <c r="E840" t="s">
        <v>74</v>
      </c>
      <c r="F840" t="s">
        <v>15895</v>
      </c>
      <c r="G840" t="s">
        <v>74</v>
      </c>
      <c r="H840" t="s">
        <v>74</v>
      </c>
      <c r="I840" t="s">
        <v>15896</v>
      </c>
      <c r="J840" t="s">
        <v>15897</v>
      </c>
      <c r="K840" t="s">
        <v>74</v>
      </c>
      <c r="L840" t="s">
        <v>74</v>
      </c>
      <c r="M840" t="s">
        <v>79</v>
      </c>
      <c r="N840" t="s">
        <v>108</v>
      </c>
      <c r="O840" t="s">
        <v>74</v>
      </c>
      <c r="P840" t="s">
        <v>74</v>
      </c>
      <c r="Q840" t="s">
        <v>74</v>
      </c>
      <c r="R840" t="s">
        <v>74</v>
      </c>
      <c r="S840" t="s">
        <v>74</v>
      </c>
      <c r="T840" t="s">
        <v>15898</v>
      </c>
      <c r="U840" t="s">
        <v>11896</v>
      </c>
      <c r="V840" t="s">
        <v>15899</v>
      </c>
      <c r="W840" t="s">
        <v>15900</v>
      </c>
      <c r="X840" t="s">
        <v>15901</v>
      </c>
      <c r="Y840" t="s">
        <v>15902</v>
      </c>
      <c r="Z840" t="s">
        <v>15903</v>
      </c>
      <c r="AA840" t="s">
        <v>15904</v>
      </c>
      <c r="AB840" t="s">
        <v>15905</v>
      </c>
      <c r="AC840" t="s">
        <v>15906</v>
      </c>
      <c r="AD840" t="s">
        <v>15907</v>
      </c>
      <c r="AE840" t="s">
        <v>15908</v>
      </c>
      <c r="AF840" t="s">
        <v>74</v>
      </c>
      <c r="AG840">
        <v>50</v>
      </c>
      <c r="AH840">
        <v>4</v>
      </c>
      <c r="AI840">
        <v>4</v>
      </c>
      <c r="AJ840">
        <v>5</v>
      </c>
      <c r="AK840">
        <v>5</v>
      </c>
      <c r="AL840" t="s">
        <v>2010</v>
      </c>
      <c r="AM840" t="s">
        <v>93</v>
      </c>
      <c r="AN840" t="s">
        <v>2011</v>
      </c>
      <c r="AO840" t="s">
        <v>15909</v>
      </c>
      <c r="AP840" t="s">
        <v>15910</v>
      </c>
      <c r="AQ840" t="s">
        <v>74</v>
      </c>
      <c r="AR840" t="s">
        <v>15911</v>
      </c>
      <c r="AS840" t="s">
        <v>15912</v>
      </c>
      <c r="AT840" t="s">
        <v>2016</v>
      </c>
      <c r="AU840">
        <v>2024</v>
      </c>
      <c r="AV840">
        <v>655</v>
      </c>
      <c r="AW840" t="s">
        <v>74</v>
      </c>
      <c r="AX840" t="s">
        <v>74</v>
      </c>
      <c r="AY840" t="s">
        <v>74</v>
      </c>
      <c r="AZ840" t="s">
        <v>74</v>
      </c>
      <c r="BA840" t="s">
        <v>74</v>
      </c>
      <c r="BB840" t="s">
        <v>74</v>
      </c>
      <c r="BC840" t="s">
        <v>74</v>
      </c>
      <c r="BD840">
        <v>119898</v>
      </c>
      <c r="BE840" t="s">
        <v>15913</v>
      </c>
      <c r="BF840" t="str">
        <f>HYPERLINK("http://dx.doi.org/10.1016/j.ins.2023.119898","http://dx.doi.org/10.1016/j.ins.2023.119898")</f>
        <v>http://dx.doi.org/10.1016/j.ins.2023.119898</v>
      </c>
      <c r="BG840" t="s">
        <v>74</v>
      </c>
      <c r="BH840" t="s">
        <v>157</v>
      </c>
      <c r="BI840">
        <v>24</v>
      </c>
      <c r="BJ840" t="s">
        <v>230</v>
      </c>
      <c r="BK840" t="s">
        <v>130</v>
      </c>
      <c r="BL840" t="s">
        <v>99</v>
      </c>
      <c r="BM840" t="s">
        <v>15914</v>
      </c>
      <c r="BN840" t="s">
        <v>74</v>
      </c>
      <c r="BO840" t="s">
        <v>161</v>
      </c>
      <c r="BP840" t="s">
        <v>74</v>
      </c>
      <c r="BQ840" t="s">
        <v>74</v>
      </c>
      <c r="BR840" t="s">
        <v>101</v>
      </c>
      <c r="BS840" t="s">
        <v>15915</v>
      </c>
      <c r="BT840" t="str">
        <f>HYPERLINK("https%3A%2F%2Fwww.webofscience.com%2Fwos%2Fwoscc%2Ffull-record%2FWOS:001162048100001","View Full Record in Web of Science")</f>
        <v>View Full Record in Web of Science</v>
      </c>
    </row>
    <row r="841" spans="1:72" x14ac:dyDescent="0.2">
      <c r="A841" t="s">
        <v>103</v>
      </c>
      <c r="B841" t="s">
        <v>15916</v>
      </c>
      <c r="C841" t="s">
        <v>74</v>
      </c>
      <c r="D841" t="s">
        <v>74</v>
      </c>
      <c r="E841" t="s">
        <v>74</v>
      </c>
      <c r="F841" t="s">
        <v>15917</v>
      </c>
      <c r="G841" t="s">
        <v>74</v>
      </c>
      <c r="H841" t="s">
        <v>74</v>
      </c>
      <c r="I841" t="s">
        <v>15918</v>
      </c>
      <c r="J841" t="s">
        <v>15851</v>
      </c>
      <c r="K841" t="s">
        <v>74</v>
      </c>
      <c r="L841" t="s">
        <v>74</v>
      </c>
      <c r="M841" t="s">
        <v>79</v>
      </c>
      <c r="N841" t="s">
        <v>108</v>
      </c>
      <c r="O841" t="s">
        <v>74</v>
      </c>
      <c r="P841" t="s">
        <v>74</v>
      </c>
      <c r="Q841" t="s">
        <v>74</v>
      </c>
      <c r="R841" t="s">
        <v>74</v>
      </c>
      <c r="S841" t="s">
        <v>74</v>
      </c>
      <c r="T841" t="s">
        <v>15919</v>
      </c>
      <c r="U841" t="s">
        <v>74</v>
      </c>
      <c r="V841" t="s">
        <v>15920</v>
      </c>
      <c r="W841" t="s">
        <v>15921</v>
      </c>
      <c r="X841" t="s">
        <v>15922</v>
      </c>
      <c r="Y841" t="s">
        <v>15923</v>
      </c>
      <c r="Z841" t="s">
        <v>15924</v>
      </c>
      <c r="AA841" t="s">
        <v>15925</v>
      </c>
      <c r="AB841" t="s">
        <v>74</v>
      </c>
      <c r="AC841" t="s">
        <v>15926</v>
      </c>
      <c r="AD841" t="s">
        <v>15927</v>
      </c>
      <c r="AE841" t="s">
        <v>15928</v>
      </c>
      <c r="AF841" t="s">
        <v>74</v>
      </c>
      <c r="AG841">
        <v>25</v>
      </c>
      <c r="AH841">
        <v>0</v>
      </c>
      <c r="AI841">
        <v>0</v>
      </c>
      <c r="AJ841">
        <v>6</v>
      </c>
      <c r="AK841">
        <v>7</v>
      </c>
      <c r="AL841" t="s">
        <v>15862</v>
      </c>
      <c r="AM841" t="s">
        <v>15863</v>
      </c>
      <c r="AN841" t="s">
        <v>15864</v>
      </c>
      <c r="AO841" t="s">
        <v>15865</v>
      </c>
      <c r="AP841" t="s">
        <v>15866</v>
      </c>
      <c r="AQ841" t="s">
        <v>74</v>
      </c>
      <c r="AR841" t="s">
        <v>15867</v>
      </c>
      <c r="AS841" t="s">
        <v>15868</v>
      </c>
      <c r="AT841" t="s">
        <v>4461</v>
      </c>
      <c r="AU841">
        <v>2023</v>
      </c>
      <c r="AV841" t="s">
        <v>15869</v>
      </c>
      <c r="AW841">
        <v>5</v>
      </c>
      <c r="AX841" t="s">
        <v>74</v>
      </c>
      <c r="AY841" t="s">
        <v>74</v>
      </c>
      <c r="AZ841" t="s">
        <v>74</v>
      </c>
      <c r="BA841" t="s">
        <v>74</v>
      </c>
      <c r="BB841">
        <v>804</v>
      </c>
      <c r="BC841">
        <v>812</v>
      </c>
      <c r="BD841" t="s">
        <v>74</v>
      </c>
      <c r="BE841" t="s">
        <v>15929</v>
      </c>
      <c r="BF841" t="str">
        <f>HYPERLINK("http://dx.doi.org/10.1587/transinf.2022DLP0058","http://dx.doi.org/10.1587/transinf.2022DLP0058")</f>
        <v>http://dx.doi.org/10.1587/transinf.2022DLP0058</v>
      </c>
      <c r="BG841" t="s">
        <v>74</v>
      </c>
      <c r="BH841" t="s">
        <v>74</v>
      </c>
      <c r="BI841">
        <v>9</v>
      </c>
      <c r="BJ841" t="s">
        <v>12316</v>
      </c>
      <c r="BK841" t="s">
        <v>130</v>
      </c>
      <c r="BL841" t="s">
        <v>99</v>
      </c>
      <c r="BM841" t="s">
        <v>15930</v>
      </c>
      <c r="BN841" t="s">
        <v>74</v>
      </c>
      <c r="BO841" t="s">
        <v>425</v>
      </c>
      <c r="BP841" t="s">
        <v>74</v>
      </c>
      <c r="BQ841" t="s">
        <v>74</v>
      </c>
      <c r="BR841" t="s">
        <v>101</v>
      </c>
      <c r="BS841" t="s">
        <v>15931</v>
      </c>
      <c r="BT841" t="str">
        <f>HYPERLINK("https%3A%2F%2Fwww.webofscience.com%2Fwos%2Fwoscc%2Ffull-record%2FWOS:000985526700023","View Full Record in Web of Science")</f>
        <v>View Full Record in Web of Science</v>
      </c>
    </row>
    <row r="842" spans="1:72" x14ac:dyDescent="0.2">
      <c r="A842" t="s">
        <v>72</v>
      </c>
      <c r="B842" t="s">
        <v>15932</v>
      </c>
      <c r="C842" t="s">
        <v>74</v>
      </c>
      <c r="D842" t="s">
        <v>74</v>
      </c>
      <c r="E842" t="s">
        <v>75</v>
      </c>
      <c r="F842" t="s">
        <v>15933</v>
      </c>
      <c r="G842" t="s">
        <v>74</v>
      </c>
      <c r="H842" t="s">
        <v>74</v>
      </c>
      <c r="I842" t="s">
        <v>15934</v>
      </c>
      <c r="J842" t="s">
        <v>15935</v>
      </c>
      <c r="K842" t="s">
        <v>74</v>
      </c>
      <c r="L842" t="s">
        <v>74</v>
      </c>
      <c r="M842" t="s">
        <v>79</v>
      </c>
      <c r="N842" t="s">
        <v>80</v>
      </c>
      <c r="O842" t="s">
        <v>15936</v>
      </c>
      <c r="P842" t="s">
        <v>15937</v>
      </c>
      <c r="Q842" t="s">
        <v>15938</v>
      </c>
      <c r="R842" t="s">
        <v>15939</v>
      </c>
      <c r="S842" t="s">
        <v>74</v>
      </c>
      <c r="T842" t="s">
        <v>15940</v>
      </c>
      <c r="U842" t="s">
        <v>15941</v>
      </c>
      <c r="V842" t="s">
        <v>15942</v>
      </c>
      <c r="W842" t="s">
        <v>15943</v>
      </c>
      <c r="X842" t="s">
        <v>15944</v>
      </c>
      <c r="Y842" t="s">
        <v>15945</v>
      </c>
      <c r="Z842" t="s">
        <v>15946</v>
      </c>
      <c r="AA842" t="s">
        <v>74</v>
      </c>
      <c r="AB842" t="s">
        <v>15947</v>
      </c>
      <c r="AC842" t="s">
        <v>15948</v>
      </c>
      <c r="AD842" t="s">
        <v>15949</v>
      </c>
      <c r="AE842" t="s">
        <v>15950</v>
      </c>
      <c r="AF842" t="s">
        <v>74</v>
      </c>
      <c r="AG842">
        <v>22</v>
      </c>
      <c r="AH842">
        <v>0</v>
      </c>
      <c r="AI842">
        <v>0</v>
      </c>
      <c r="AJ842">
        <v>1</v>
      </c>
      <c r="AK842">
        <v>1</v>
      </c>
      <c r="AL842" t="s">
        <v>92</v>
      </c>
      <c r="AM842" t="s">
        <v>93</v>
      </c>
      <c r="AN842" t="s">
        <v>94</v>
      </c>
      <c r="AO842" t="s">
        <v>74</v>
      </c>
      <c r="AP842" t="s">
        <v>74</v>
      </c>
      <c r="AQ842" t="s">
        <v>15951</v>
      </c>
      <c r="AR842" t="s">
        <v>74</v>
      </c>
      <c r="AS842" t="s">
        <v>74</v>
      </c>
      <c r="AT842" t="s">
        <v>74</v>
      </c>
      <c r="AU842">
        <v>2023</v>
      </c>
      <c r="AV842" t="s">
        <v>74</v>
      </c>
      <c r="AW842" t="s">
        <v>74</v>
      </c>
      <c r="AX842" t="s">
        <v>74</v>
      </c>
      <c r="AY842" t="s">
        <v>74</v>
      </c>
      <c r="AZ842" t="s">
        <v>74</v>
      </c>
      <c r="BA842" t="s">
        <v>74</v>
      </c>
      <c r="BB842">
        <v>575</v>
      </c>
      <c r="BC842">
        <v>584</v>
      </c>
      <c r="BD842" t="s">
        <v>74</v>
      </c>
      <c r="BE842" t="s">
        <v>15952</v>
      </c>
      <c r="BF842" t="str">
        <f>HYPERLINK("http://dx.doi.org/10.1145/3555776.3578618","http://dx.doi.org/10.1145/3555776.3578618")</f>
        <v>http://dx.doi.org/10.1145/3555776.3578618</v>
      </c>
      <c r="BG842" t="s">
        <v>74</v>
      </c>
      <c r="BH842" t="s">
        <v>74</v>
      </c>
      <c r="BI842">
        <v>10</v>
      </c>
      <c r="BJ842" t="s">
        <v>2104</v>
      </c>
      <c r="BK842" t="s">
        <v>98</v>
      </c>
      <c r="BL842" t="s">
        <v>99</v>
      </c>
      <c r="BM842" t="s">
        <v>15953</v>
      </c>
      <c r="BN842" t="s">
        <v>74</v>
      </c>
      <c r="BO842" t="s">
        <v>74</v>
      </c>
      <c r="BP842" t="s">
        <v>74</v>
      </c>
      <c r="BQ842" t="s">
        <v>74</v>
      </c>
      <c r="BR842" t="s">
        <v>101</v>
      </c>
      <c r="BS842" t="s">
        <v>15954</v>
      </c>
      <c r="BT842" t="str">
        <f>HYPERLINK("https%3A%2F%2Fwww.webofscience.com%2Fwos%2Fwoscc%2Ffull-record%2FWOS:001124308100082","View Full Record in Web of Science")</f>
        <v>View Full Record in Web of Science</v>
      </c>
    </row>
    <row r="843" spans="1:72" x14ac:dyDescent="0.2">
      <c r="A843" t="s">
        <v>103</v>
      </c>
      <c r="B843" t="s">
        <v>15955</v>
      </c>
      <c r="C843" t="s">
        <v>74</v>
      </c>
      <c r="D843" t="s">
        <v>74</v>
      </c>
      <c r="E843" t="s">
        <v>74</v>
      </c>
      <c r="F843" t="s">
        <v>15956</v>
      </c>
      <c r="G843" t="s">
        <v>74</v>
      </c>
      <c r="H843" t="s">
        <v>74</v>
      </c>
      <c r="I843" t="s">
        <v>15957</v>
      </c>
      <c r="J843" t="s">
        <v>13637</v>
      </c>
      <c r="K843" t="s">
        <v>74</v>
      </c>
      <c r="L843" t="s">
        <v>74</v>
      </c>
      <c r="M843" t="s">
        <v>79</v>
      </c>
      <c r="N843" t="s">
        <v>108</v>
      </c>
      <c r="O843" t="s">
        <v>74</v>
      </c>
      <c r="P843" t="s">
        <v>74</v>
      </c>
      <c r="Q843" t="s">
        <v>74</v>
      </c>
      <c r="R843" t="s">
        <v>74</v>
      </c>
      <c r="S843" t="s">
        <v>74</v>
      </c>
      <c r="T843" t="s">
        <v>15958</v>
      </c>
      <c r="U843" t="s">
        <v>74</v>
      </c>
      <c r="V843" t="s">
        <v>15959</v>
      </c>
      <c r="W843" t="s">
        <v>15960</v>
      </c>
      <c r="X843" t="s">
        <v>15961</v>
      </c>
      <c r="Y843" t="s">
        <v>15962</v>
      </c>
      <c r="Z843" t="s">
        <v>15963</v>
      </c>
      <c r="AA843" t="s">
        <v>15964</v>
      </c>
      <c r="AB843" t="s">
        <v>15965</v>
      </c>
      <c r="AC843" t="s">
        <v>15966</v>
      </c>
      <c r="AD843" t="s">
        <v>15967</v>
      </c>
      <c r="AE843" t="s">
        <v>15968</v>
      </c>
      <c r="AF843" t="s">
        <v>74</v>
      </c>
      <c r="AG843">
        <v>47</v>
      </c>
      <c r="AH843">
        <v>1</v>
      </c>
      <c r="AI843">
        <v>1</v>
      </c>
      <c r="AJ843">
        <v>46</v>
      </c>
      <c r="AK843">
        <v>46</v>
      </c>
      <c r="AL843" t="s">
        <v>1129</v>
      </c>
      <c r="AM843" t="s">
        <v>120</v>
      </c>
      <c r="AN843" t="s">
        <v>1130</v>
      </c>
      <c r="AO843" t="s">
        <v>13646</v>
      </c>
      <c r="AP843" t="s">
        <v>13647</v>
      </c>
      <c r="AQ843" t="s">
        <v>74</v>
      </c>
      <c r="AR843" t="s">
        <v>13648</v>
      </c>
      <c r="AS843" t="s">
        <v>13649</v>
      </c>
      <c r="AT843" t="s">
        <v>527</v>
      </c>
      <c r="AU843">
        <v>2023</v>
      </c>
      <c r="AV843">
        <v>135</v>
      </c>
      <c r="AW843" t="s">
        <v>74</v>
      </c>
      <c r="AX843" t="s">
        <v>74</v>
      </c>
      <c r="AY843" t="s">
        <v>74</v>
      </c>
      <c r="AZ843" t="s">
        <v>74</v>
      </c>
      <c r="BA843" t="s">
        <v>74</v>
      </c>
      <c r="BB843" t="s">
        <v>74</v>
      </c>
      <c r="BC843" t="s">
        <v>74</v>
      </c>
      <c r="BD843">
        <v>103476</v>
      </c>
      <c r="BE843" t="s">
        <v>15969</v>
      </c>
      <c r="BF843" t="str">
        <f>HYPERLINK("http://dx.doi.org/10.1016/j.cose.2023.103476","http://dx.doi.org/10.1016/j.cose.2023.103476")</f>
        <v>http://dx.doi.org/10.1016/j.cose.2023.103476</v>
      </c>
      <c r="BG843" t="s">
        <v>74</v>
      </c>
      <c r="BH843" t="s">
        <v>278</v>
      </c>
      <c r="BI843">
        <v>10</v>
      </c>
      <c r="BJ843" t="s">
        <v>230</v>
      </c>
      <c r="BK843" t="s">
        <v>130</v>
      </c>
      <c r="BL843" t="s">
        <v>99</v>
      </c>
      <c r="BM843" t="s">
        <v>15970</v>
      </c>
      <c r="BN843" t="s">
        <v>74</v>
      </c>
      <c r="BO843" t="s">
        <v>74</v>
      </c>
      <c r="BP843" t="s">
        <v>74</v>
      </c>
      <c r="BQ843" t="s">
        <v>74</v>
      </c>
      <c r="BR843" t="s">
        <v>101</v>
      </c>
      <c r="BS843" t="s">
        <v>15971</v>
      </c>
      <c r="BT843" t="str">
        <f>HYPERLINK("https%3A%2F%2Fwww.webofscience.com%2Fwos%2Fwoscc%2Ffull-record%2FWOS:001083140000001","View Full Record in Web of Science")</f>
        <v>View Full Record in Web of Science</v>
      </c>
    </row>
    <row r="844" spans="1:72" x14ac:dyDescent="0.2">
      <c r="A844" t="s">
        <v>103</v>
      </c>
      <c r="B844" t="s">
        <v>15972</v>
      </c>
      <c r="C844" t="s">
        <v>74</v>
      </c>
      <c r="D844" t="s">
        <v>74</v>
      </c>
      <c r="E844" t="s">
        <v>74</v>
      </c>
      <c r="F844" t="s">
        <v>15973</v>
      </c>
      <c r="G844" t="s">
        <v>74</v>
      </c>
      <c r="H844" t="s">
        <v>74</v>
      </c>
      <c r="I844" t="s">
        <v>15974</v>
      </c>
      <c r="J844" t="s">
        <v>15975</v>
      </c>
      <c r="K844" t="s">
        <v>74</v>
      </c>
      <c r="L844" t="s">
        <v>74</v>
      </c>
      <c r="M844" t="s">
        <v>79</v>
      </c>
      <c r="N844" t="s">
        <v>108</v>
      </c>
      <c r="O844" t="s">
        <v>74</v>
      </c>
      <c r="P844" t="s">
        <v>74</v>
      </c>
      <c r="Q844" t="s">
        <v>74</v>
      </c>
      <c r="R844" t="s">
        <v>74</v>
      </c>
      <c r="S844" t="s">
        <v>74</v>
      </c>
      <c r="T844" t="s">
        <v>15976</v>
      </c>
      <c r="U844" t="s">
        <v>15977</v>
      </c>
      <c r="V844" t="s">
        <v>15978</v>
      </c>
      <c r="W844" t="s">
        <v>15979</v>
      </c>
      <c r="X844" t="s">
        <v>15980</v>
      </c>
      <c r="Y844" t="s">
        <v>15981</v>
      </c>
      <c r="Z844" t="s">
        <v>15982</v>
      </c>
      <c r="AA844" t="s">
        <v>15983</v>
      </c>
      <c r="AB844" t="s">
        <v>15984</v>
      </c>
      <c r="AC844" t="s">
        <v>15985</v>
      </c>
      <c r="AD844" t="s">
        <v>15985</v>
      </c>
      <c r="AE844" t="s">
        <v>15986</v>
      </c>
      <c r="AF844" t="s">
        <v>74</v>
      </c>
      <c r="AG844">
        <v>64</v>
      </c>
      <c r="AH844">
        <v>2</v>
      </c>
      <c r="AI844">
        <v>2</v>
      </c>
      <c r="AJ844">
        <v>3</v>
      </c>
      <c r="AK844">
        <v>10</v>
      </c>
      <c r="AL844" t="s">
        <v>1379</v>
      </c>
      <c r="AM844" t="s">
        <v>1380</v>
      </c>
      <c r="AN844" t="s">
        <v>1381</v>
      </c>
      <c r="AO844" t="s">
        <v>15987</v>
      </c>
      <c r="AP844" t="s">
        <v>74</v>
      </c>
      <c r="AQ844" t="s">
        <v>74</v>
      </c>
      <c r="AR844" t="s">
        <v>15988</v>
      </c>
      <c r="AS844" t="s">
        <v>15989</v>
      </c>
      <c r="AT844" t="s">
        <v>126</v>
      </c>
      <c r="AU844">
        <v>2023</v>
      </c>
      <c r="AV844">
        <v>20</v>
      </c>
      <c r="AW844">
        <v>1</v>
      </c>
      <c r="AX844" t="s">
        <v>74</v>
      </c>
      <c r="AY844" t="s">
        <v>74</v>
      </c>
      <c r="AZ844" t="s">
        <v>74</v>
      </c>
      <c r="BA844" t="s">
        <v>74</v>
      </c>
      <c r="BB844">
        <v>276</v>
      </c>
      <c r="BC844">
        <v>291</v>
      </c>
      <c r="BD844" t="s">
        <v>74</v>
      </c>
      <c r="BE844" t="s">
        <v>15990</v>
      </c>
      <c r="BF844" t="str">
        <f>HYPERLINK("http://dx.doi.org/10.1109/TNSM.2022.3199886","http://dx.doi.org/10.1109/TNSM.2022.3199886")</f>
        <v>http://dx.doi.org/10.1109/TNSM.2022.3199886</v>
      </c>
      <c r="BG844" t="s">
        <v>74</v>
      </c>
      <c r="BH844" t="s">
        <v>74</v>
      </c>
      <c r="BI844">
        <v>16</v>
      </c>
      <c r="BJ844" t="s">
        <v>230</v>
      </c>
      <c r="BK844" t="s">
        <v>130</v>
      </c>
      <c r="BL844" t="s">
        <v>99</v>
      </c>
      <c r="BM844" t="s">
        <v>15991</v>
      </c>
      <c r="BN844" t="s">
        <v>74</v>
      </c>
      <c r="BO844" t="s">
        <v>646</v>
      </c>
      <c r="BP844" t="s">
        <v>74</v>
      </c>
      <c r="BQ844" t="s">
        <v>74</v>
      </c>
      <c r="BR844" t="s">
        <v>101</v>
      </c>
      <c r="BS844" t="s">
        <v>15992</v>
      </c>
      <c r="BT844" t="str">
        <f>HYPERLINK("https%3A%2F%2Fwww.webofscience.com%2Fwos%2Fwoscc%2Ffull-record%2FWOS:000965474500001","View Full Record in Web of Science")</f>
        <v>View Full Record in Web of Science</v>
      </c>
    </row>
    <row r="845" spans="1:72" x14ac:dyDescent="0.2">
      <c r="A845" t="s">
        <v>103</v>
      </c>
      <c r="B845" t="s">
        <v>15993</v>
      </c>
      <c r="C845" t="s">
        <v>74</v>
      </c>
      <c r="D845" t="s">
        <v>74</v>
      </c>
      <c r="E845" t="s">
        <v>74</v>
      </c>
      <c r="F845" t="s">
        <v>15994</v>
      </c>
      <c r="G845" t="s">
        <v>74</v>
      </c>
      <c r="H845" t="s">
        <v>74</v>
      </c>
      <c r="I845" t="s">
        <v>15995</v>
      </c>
      <c r="J845" t="s">
        <v>3829</v>
      </c>
      <c r="K845" t="s">
        <v>74</v>
      </c>
      <c r="L845" t="s">
        <v>74</v>
      </c>
      <c r="M845" t="s">
        <v>79</v>
      </c>
      <c r="N845" t="s">
        <v>108</v>
      </c>
      <c r="O845" t="s">
        <v>74</v>
      </c>
      <c r="P845" t="s">
        <v>74</v>
      </c>
      <c r="Q845" t="s">
        <v>74</v>
      </c>
      <c r="R845" t="s">
        <v>74</v>
      </c>
      <c r="S845" t="s">
        <v>74</v>
      </c>
      <c r="T845" t="s">
        <v>74</v>
      </c>
      <c r="U845" t="s">
        <v>15996</v>
      </c>
      <c r="V845" t="s">
        <v>15997</v>
      </c>
      <c r="W845" t="s">
        <v>15998</v>
      </c>
      <c r="X845" t="s">
        <v>15999</v>
      </c>
      <c r="Y845" t="s">
        <v>16000</v>
      </c>
      <c r="Z845" t="s">
        <v>16001</v>
      </c>
      <c r="AA845" t="s">
        <v>16002</v>
      </c>
      <c r="AB845" t="s">
        <v>16003</v>
      </c>
      <c r="AC845" t="s">
        <v>16004</v>
      </c>
      <c r="AD845" t="s">
        <v>16005</v>
      </c>
      <c r="AE845" t="s">
        <v>16006</v>
      </c>
      <c r="AF845" t="s">
        <v>74</v>
      </c>
      <c r="AG845">
        <v>64</v>
      </c>
      <c r="AH845">
        <v>1</v>
      </c>
      <c r="AI845">
        <v>1</v>
      </c>
      <c r="AJ845">
        <v>3</v>
      </c>
      <c r="AK845">
        <v>7</v>
      </c>
      <c r="AL845" t="s">
        <v>343</v>
      </c>
      <c r="AM845" t="s">
        <v>93</v>
      </c>
      <c r="AN845" t="s">
        <v>344</v>
      </c>
      <c r="AO845" t="s">
        <v>3840</v>
      </c>
      <c r="AP845" t="s">
        <v>3841</v>
      </c>
      <c r="AQ845" t="s">
        <v>74</v>
      </c>
      <c r="AR845" t="s">
        <v>3842</v>
      </c>
      <c r="AS845" t="s">
        <v>3843</v>
      </c>
      <c r="AT845" t="s">
        <v>126</v>
      </c>
      <c r="AU845">
        <v>2023</v>
      </c>
      <c r="AV845">
        <v>58</v>
      </c>
      <c r="AW845">
        <v>11</v>
      </c>
      <c r="AX845" t="s">
        <v>74</v>
      </c>
      <c r="AY845" t="s">
        <v>74</v>
      </c>
      <c r="AZ845" t="s">
        <v>74</v>
      </c>
      <c r="BA845" t="s">
        <v>74</v>
      </c>
      <c r="BB845">
        <v>4780</v>
      </c>
      <c r="BC845">
        <v>4794</v>
      </c>
      <c r="BD845" t="s">
        <v>74</v>
      </c>
      <c r="BE845" t="s">
        <v>16007</v>
      </c>
      <c r="BF845" t="str">
        <f>HYPERLINK("http://dx.doi.org/10.1007/s10853-023-08315-8","http://dx.doi.org/10.1007/s10853-023-08315-8")</f>
        <v>http://dx.doi.org/10.1007/s10853-023-08315-8</v>
      </c>
      <c r="BG845" t="s">
        <v>74</v>
      </c>
      <c r="BH845" t="s">
        <v>1431</v>
      </c>
      <c r="BI845">
        <v>15</v>
      </c>
      <c r="BJ845" t="s">
        <v>3846</v>
      </c>
      <c r="BK845" t="s">
        <v>130</v>
      </c>
      <c r="BL845" t="s">
        <v>3847</v>
      </c>
      <c r="BM845" t="s">
        <v>16008</v>
      </c>
      <c r="BN845" t="s">
        <v>74</v>
      </c>
      <c r="BO845" t="s">
        <v>74</v>
      </c>
      <c r="BP845" t="s">
        <v>74</v>
      </c>
      <c r="BQ845" t="s">
        <v>74</v>
      </c>
      <c r="BR845" t="s">
        <v>101</v>
      </c>
      <c r="BS845" t="s">
        <v>16009</v>
      </c>
      <c r="BT845" t="str">
        <f>HYPERLINK("https%3A%2F%2Fwww.webofscience.com%2Fwos%2Fwoscc%2Ffull-record%2FWOS:000946186600002","View Full Record in Web of Science")</f>
        <v>View Full Record in Web of Science</v>
      </c>
    </row>
    <row r="846" spans="1:72" x14ac:dyDescent="0.2">
      <c r="A846" t="s">
        <v>103</v>
      </c>
      <c r="B846" t="s">
        <v>16010</v>
      </c>
      <c r="C846" t="s">
        <v>74</v>
      </c>
      <c r="D846" t="s">
        <v>74</v>
      </c>
      <c r="E846" t="s">
        <v>74</v>
      </c>
      <c r="F846" t="s">
        <v>16011</v>
      </c>
      <c r="G846" t="s">
        <v>74</v>
      </c>
      <c r="H846" t="s">
        <v>74</v>
      </c>
      <c r="I846" t="s">
        <v>16012</v>
      </c>
      <c r="J846" t="s">
        <v>16013</v>
      </c>
      <c r="K846" t="s">
        <v>74</v>
      </c>
      <c r="L846" t="s">
        <v>74</v>
      </c>
      <c r="M846" t="s">
        <v>79</v>
      </c>
      <c r="N846" t="s">
        <v>108</v>
      </c>
      <c r="O846" t="s">
        <v>74</v>
      </c>
      <c r="P846" t="s">
        <v>74</v>
      </c>
      <c r="Q846" t="s">
        <v>74</v>
      </c>
      <c r="R846" t="s">
        <v>74</v>
      </c>
      <c r="S846" t="s">
        <v>74</v>
      </c>
      <c r="T846" t="s">
        <v>16014</v>
      </c>
      <c r="U846" t="s">
        <v>16015</v>
      </c>
      <c r="V846" t="s">
        <v>16016</v>
      </c>
      <c r="W846" t="s">
        <v>16017</v>
      </c>
      <c r="X846" t="s">
        <v>16018</v>
      </c>
      <c r="Y846" t="s">
        <v>16019</v>
      </c>
      <c r="Z846" t="s">
        <v>16020</v>
      </c>
      <c r="AA846" t="s">
        <v>16021</v>
      </c>
      <c r="AB846" t="s">
        <v>16022</v>
      </c>
      <c r="AC846" t="s">
        <v>16023</v>
      </c>
      <c r="AD846" t="s">
        <v>16023</v>
      </c>
      <c r="AE846" t="s">
        <v>16024</v>
      </c>
      <c r="AF846" t="s">
        <v>74</v>
      </c>
      <c r="AG846">
        <v>95</v>
      </c>
      <c r="AH846">
        <v>0</v>
      </c>
      <c r="AI846">
        <v>0</v>
      </c>
      <c r="AJ846">
        <v>20</v>
      </c>
      <c r="AK846">
        <v>20</v>
      </c>
      <c r="AL846" t="s">
        <v>2377</v>
      </c>
      <c r="AM846" t="s">
        <v>738</v>
      </c>
      <c r="AN846" t="s">
        <v>2378</v>
      </c>
      <c r="AO846" t="s">
        <v>16025</v>
      </c>
      <c r="AP846" t="s">
        <v>16026</v>
      </c>
      <c r="AQ846" t="s">
        <v>74</v>
      </c>
      <c r="AR846" t="s">
        <v>16027</v>
      </c>
      <c r="AS846" t="s">
        <v>16028</v>
      </c>
      <c r="AT846" t="s">
        <v>16029</v>
      </c>
      <c r="AU846">
        <v>2023</v>
      </c>
      <c r="AV846">
        <v>37</v>
      </c>
      <c r="AW846">
        <v>12</v>
      </c>
      <c r="AX846" t="s">
        <v>74</v>
      </c>
      <c r="AY846" t="s">
        <v>74</v>
      </c>
      <c r="AZ846" t="s">
        <v>253</v>
      </c>
      <c r="BA846" t="s">
        <v>74</v>
      </c>
      <c r="BB846">
        <v>2538</v>
      </c>
      <c r="BC846">
        <v>2574</v>
      </c>
      <c r="BD846" t="s">
        <v>74</v>
      </c>
      <c r="BE846" t="s">
        <v>16030</v>
      </c>
      <c r="BF846" t="str">
        <f>HYPERLINK("http://dx.doi.org/10.1080/13658816.2023.2262550","http://dx.doi.org/10.1080/13658816.2023.2262550")</f>
        <v>http://dx.doi.org/10.1080/13658816.2023.2262550</v>
      </c>
      <c r="BG846" t="s">
        <v>74</v>
      </c>
      <c r="BH846" t="s">
        <v>1886</v>
      </c>
      <c r="BI846">
        <v>37</v>
      </c>
      <c r="BJ846" t="s">
        <v>16031</v>
      </c>
      <c r="BK846" t="s">
        <v>947</v>
      </c>
      <c r="BL846" t="s">
        <v>16032</v>
      </c>
      <c r="BM846" t="s">
        <v>16033</v>
      </c>
      <c r="BN846" t="s">
        <v>74</v>
      </c>
      <c r="BO846" t="s">
        <v>4199</v>
      </c>
      <c r="BP846" t="s">
        <v>74</v>
      </c>
      <c r="BQ846" t="s">
        <v>74</v>
      </c>
      <c r="BR846" t="s">
        <v>101</v>
      </c>
      <c r="BS846" t="s">
        <v>16034</v>
      </c>
      <c r="BT846" t="str">
        <f>HYPERLINK("https%3A%2F%2Fwww.webofscience.com%2Fwos%2Fwoscc%2Ffull-record%2FWOS:001119353800001","View Full Record in Web of Science")</f>
        <v>View Full Record in Web of Science</v>
      </c>
    </row>
    <row r="847" spans="1:72" x14ac:dyDescent="0.2">
      <c r="A847" t="s">
        <v>103</v>
      </c>
      <c r="B847" t="s">
        <v>16035</v>
      </c>
      <c r="C847" t="s">
        <v>74</v>
      </c>
      <c r="D847" t="s">
        <v>74</v>
      </c>
      <c r="E847" t="s">
        <v>74</v>
      </c>
      <c r="F847" t="s">
        <v>16036</v>
      </c>
      <c r="G847" t="s">
        <v>74</v>
      </c>
      <c r="H847" t="s">
        <v>74</v>
      </c>
      <c r="I847" t="s">
        <v>16037</v>
      </c>
      <c r="J847" t="s">
        <v>16038</v>
      </c>
      <c r="K847" t="s">
        <v>74</v>
      </c>
      <c r="L847" t="s">
        <v>74</v>
      </c>
      <c r="M847" t="s">
        <v>79</v>
      </c>
      <c r="N847" t="s">
        <v>108</v>
      </c>
      <c r="O847" t="s">
        <v>74</v>
      </c>
      <c r="P847" t="s">
        <v>74</v>
      </c>
      <c r="Q847" t="s">
        <v>74</v>
      </c>
      <c r="R847" t="s">
        <v>74</v>
      </c>
      <c r="S847" t="s">
        <v>74</v>
      </c>
      <c r="T847" t="s">
        <v>16039</v>
      </c>
      <c r="U847" t="s">
        <v>74</v>
      </c>
      <c r="V847" t="s">
        <v>16040</v>
      </c>
      <c r="W847" t="s">
        <v>16041</v>
      </c>
      <c r="X847" t="s">
        <v>16042</v>
      </c>
      <c r="Y847" t="s">
        <v>16043</v>
      </c>
      <c r="Z847" t="s">
        <v>16044</v>
      </c>
      <c r="AA847" t="s">
        <v>74</v>
      </c>
      <c r="AB847" t="s">
        <v>74</v>
      </c>
      <c r="AC847" t="s">
        <v>74</v>
      </c>
      <c r="AD847" t="s">
        <v>74</v>
      </c>
      <c r="AE847" t="s">
        <v>74</v>
      </c>
      <c r="AF847" t="s">
        <v>74</v>
      </c>
      <c r="AG847">
        <v>30</v>
      </c>
      <c r="AH847">
        <v>3</v>
      </c>
      <c r="AI847">
        <v>4</v>
      </c>
      <c r="AJ847">
        <v>71</v>
      </c>
      <c r="AK847">
        <v>90</v>
      </c>
      <c r="AL847" t="s">
        <v>737</v>
      </c>
      <c r="AM847" t="s">
        <v>738</v>
      </c>
      <c r="AN847" t="s">
        <v>739</v>
      </c>
      <c r="AO847" t="s">
        <v>74</v>
      </c>
      <c r="AP847" t="s">
        <v>16045</v>
      </c>
      <c r="AQ847" t="s">
        <v>74</v>
      </c>
      <c r="AR847" t="s">
        <v>16046</v>
      </c>
      <c r="AS847" t="s">
        <v>16047</v>
      </c>
      <c r="AT847" t="s">
        <v>16048</v>
      </c>
      <c r="AU847">
        <v>2023</v>
      </c>
      <c r="AV847">
        <v>31</v>
      </c>
      <c r="AW847">
        <v>2</v>
      </c>
      <c r="AX847" t="s">
        <v>74</v>
      </c>
      <c r="AY847" t="s">
        <v>74</v>
      </c>
      <c r="AZ847" t="s">
        <v>74</v>
      </c>
      <c r="BA847" t="s">
        <v>74</v>
      </c>
      <c r="BB847">
        <v>128</v>
      </c>
      <c r="BC847">
        <v>133</v>
      </c>
      <c r="BD847" t="s">
        <v>74</v>
      </c>
      <c r="BE847" t="s">
        <v>16049</v>
      </c>
      <c r="BF847" t="str">
        <f>HYPERLINK("http://dx.doi.org/10.1080/26939169.2023.2223609","http://dx.doi.org/10.1080/26939169.2023.2223609")</f>
        <v>http://dx.doi.org/10.1080/26939169.2023.2223609</v>
      </c>
      <c r="BG847" t="s">
        <v>74</v>
      </c>
      <c r="BH847" t="s">
        <v>229</v>
      </c>
      <c r="BI847">
        <v>6</v>
      </c>
      <c r="BJ847" t="s">
        <v>3308</v>
      </c>
      <c r="BK847" t="s">
        <v>352</v>
      </c>
      <c r="BL847" t="s">
        <v>423</v>
      </c>
      <c r="BM847" t="s">
        <v>16050</v>
      </c>
      <c r="BN847" t="s">
        <v>74</v>
      </c>
      <c r="BO847" t="s">
        <v>425</v>
      </c>
      <c r="BP847" t="s">
        <v>74</v>
      </c>
      <c r="BQ847" t="s">
        <v>74</v>
      </c>
      <c r="BR847" t="s">
        <v>101</v>
      </c>
      <c r="BS847" t="s">
        <v>16051</v>
      </c>
      <c r="BT847" t="str">
        <f>HYPERLINK("https%3A%2F%2Fwww.webofscience.com%2Fwos%2Fwoscc%2Ffull-record%2FWOS:001025535500001","View Full Record in Web of Science")</f>
        <v>View Full Record in Web of Science</v>
      </c>
    </row>
    <row r="848" spans="1:72" x14ac:dyDescent="0.2">
      <c r="A848" t="s">
        <v>72</v>
      </c>
      <c r="B848" t="s">
        <v>16052</v>
      </c>
      <c r="C848" t="s">
        <v>74</v>
      </c>
      <c r="D848" t="s">
        <v>16053</v>
      </c>
      <c r="E848" t="s">
        <v>74</v>
      </c>
      <c r="F848" t="s">
        <v>16054</v>
      </c>
      <c r="G848" t="s">
        <v>74</v>
      </c>
      <c r="H848" t="s">
        <v>74</v>
      </c>
      <c r="I848" t="s">
        <v>16055</v>
      </c>
      <c r="J848" t="s">
        <v>16056</v>
      </c>
      <c r="K848" t="s">
        <v>74</v>
      </c>
      <c r="L848" t="s">
        <v>74</v>
      </c>
      <c r="M848" t="s">
        <v>79</v>
      </c>
      <c r="N848" t="s">
        <v>80</v>
      </c>
      <c r="O848" t="s">
        <v>16057</v>
      </c>
      <c r="P848" t="s">
        <v>16058</v>
      </c>
      <c r="Q848" t="s">
        <v>83</v>
      </c>
      <c r="R848" t="s">
        <v>16059</v>
      </c>
      <c r="S848" t="s">
        <v>74</v>
      </c>
      <c r="T848" t="s">
        <v>16060</v>
      </c>
      <c r="U848" t="s">
        <v>74</v>
      </c>
      <c r="V848" t="s">
        <v>16061</v>
      </c>
      <c r="W848" t="s">
        <v>16062</v>
      </c>
      <c r="X848" t="s">
        <v>74</v>
      </c>
      <c r="Y848" t="s">
        <v>16063</v>
      </c>
      <c r="Z848" t="s">
        <v>16064</v>
      </c>
      <c r="AA848" t="s">
        <v>74</v>
      </c>
      <c r="AB848" t="s">
        <v>74</v>
      </c>
      <c r="AC848" t="s">
        <v>74</v>
      </c>
      <c r="AD848" t="s">
        <v>74</v>
      </c>
      <c r="AE848" t="s">
        <v>74</v>
      </c>
      <c r="AF848" t="s">
        <v>74</v>
      </c>
      <c r="AG848">
        <v>50</v>
      </c>
      <c r="AH848">
        <v>0</v>
      </c>
      <c r="AI848">
        <v>0</v>
      </c>
      <c r="AJ848">
        <v>1</v>
      </c>
      <c r="AK848">
        <v>1</v>
      </c>
      <c r="AL848" t="s">
        <v>92</v>
      </c>
      <c r="AM848" t="s">
        <v>93</v>
      </c>
      <c r="AN848" t="s">
        <v>94</v>
      </c>
      <c r="AO848" t="s">
        <v>74</v>
      </c>
      <c r="AP848" t="s">
        <v>74</v>
      </c>
      <c r="AQ848" t="s">
        <v>16065</v>
      </c>
      <c r="AR848" t="s">
        <v>74</v>
      </c>
      <c r="AS848" t="s">
        <v>74</v>
      </c>
      <c r="AT848" t="s">
        <v>74</v>
      </c>
      <c r="AU848">
        <v>2023</v>
      </c>
      <c r="AV848" t="s">
        <v>74</v>
      </c>
      <c r="AW848" t="s">
        <v>74</v>
      </c>
      <c r="AX848" t="s">
        <v>74</v>
      </c>
      <c r="AY848" t="s">
        <v>74</v>
      </c>
      <c r="AZ848" t="s">
        <v>74</v>
      </c>
      <c r="BA848" t="s">
        <v>74</v>
      </c>
      <c r="BB848">
        <v>224</v>
      </c>
      <c r="BC848">
        <v>236</v>
      </c>
      <c r="BD848" t="s">
        <v>74</v>
      </c>
      <c r="BE848" t="s">
        <v>16066</v>
      </c>
      <c r="BF848" t="str">
        <f>HYPERLINK("http://dx.doi.org/10.1145/3611643.3616302","http://dx.doi.org/10.1145/3611643.3616302")</f>
        <v>http://dx.doi.org/10.1145/3611643.3616302</v>
      </c>
      <c r="BG848" t="s">
        <v>74</v>
      </c>
      <c r="BH848" t="s">
        <v>74</v>
      </c>
      <c r="BI848">
        <v>13</v>
      </c>
      <c r="BJ848" t="s">
        <v>1093</v>
      </c>
      <c r="BK848" t="s">
        <v>98</v>
      </c>
      <c r="BL848" t="s">
        <v>99</v>
      </c>
      <c r="BM848" t="s">
        <v>16067</v>
      </c>
      <c r="BN848" t="s">
        <v>74</v>
      </c>
      <c r="BO848" t="s">
        <v>1237</v>
      </c>
      <c r="BP848" t="s">
        <v>74</v>
      </c>
      <c r="BQ848" t="s">
        <v>74</v>
      </c>
      <c r="BR848" t="s">
        <v>101</v>
      </c>
      <c r="BS848" t="s">
        <v>16068</v>
      </c>
      <c r="BT848" t="str">
        <f>HYPERLINK("https%3A%2F%2Fwww.webofscience.com%2Fwos%2Fwoscc%2Ffull-record%2FWOS:001148157800020","View Full Record in Web of Science")</f>
        <v>View Full Record in Web of Science</v>
      </c>
    </row>
    <row r="849" spans="1:72" x14ac:dyDescent="0.2">
      <c r="A849" t="s">
        <v>103</v>
      </c>
      <c r="B849" t="s">
        <v>16069</v>
      </c>
      <c r="C849" t="s">
        <v>74</v>
      </c>
      <c r="D849" t="s">
        <v>74</v>
      </c>
      <c r="E849" t="s">
        <v>74</v>
      </c>
      <c r="F849" t="s">
        <v>16070</v>
      </c>
      <c r="G849" t="s">
        <v>74</v>
      </c>
      <c r="H849" t="s">
        <v>74</v>
      </c>
      <c r="I849" t="s">
        <v>16071</v>
      </c>
      <c r="J849" t="s">
        <v>2433</v>
      </c>
      <c r="K849" t="s">
        <v>74</v>
      </c>
      <c r="L849" t="s">
        <v>74</v>
      </c>
      <c r="M849" t="s">
        <v>79</v>
      </c>
      <c r="N849" t="s">
        <v>108</v>
      </c>
      <c r="O849" t="s">
        <v>74</v>
      </c>
      <c r="P849" t="s">
        <v>74</v>
      </c>
      <c r="Q849" t="s">
        <v>74</v>
      </c>
      <c r="R849" t="s">
        <v>74</v>
      </c>
      <c r="S849" t="s">
        <v>74</v>
      </c>
      <c r="T849" t="s">
        <v>16072</v>
      </c>
      <c r="U849" t="s">
        <v>74</v>
      </c>
      <c r="V849" t="s">
        <v>16073</v>
      </c>
      <c r="W849" t="s">
        <v>16074</v>
      </c>
      <c r="X849" t="s">
        <v>16075</v>
      </c>
      <c r="Y849" t="s">
        <v>16076</v>
      </c>
      <c r="Z849" t="s">
        <v>16077</v>
      </c>
      <c r="AA849" t="s">
        <v>74</v>
      </c>
      <c r="AB849" t="s">
        <v>74</v>
      </c>
      <c r="AC849" t="s">
        <v>16078</v>
      </c>
      <c r="AD849" t="s">
        <v>16079</v>
      </c>
      <c r="AE849" t="s">
        <v>16080</v>
      </c>
      <c r="AF849" t="s">
        <v>74</v>
      </c>
      <c r="AG849">
        <v>17</v>
      </c>
      <c r="AH849">
        <v>0</v>
      </c>
      <c r="AI849">
        <v>0</v>
      </c>
      <c r="AJ849">
        <v>10</v>
      </c>
      <c r="AK849">
        <v>19</v>
      </c>
      <c r="AL849" t="s">
        <v>939</v>
      </c>
      <c r="AM849" t="s">
        <v>940</v>
      </c>
      <c r="AN849" t="s">
        <v>941</v>
      </c>
      <c r="AO849" t="s">
        <v>74</v>
      </c>
      <c r="AP849" t="s">
        <v>2444</v>
      </c>
      <c r="AQ849" t="s">
        <v>74</v>
      </c>
      <c r="AR849" t="s">
        <v>2445</v>
      </c>
      <c r="AS849" t="s">
        <v>2446</v>
      </c>
      <c r="AT849" t="s">
        <v>16048</v>
      </c>
      <c r="AU849">
        <v>2023</v>
      </c>
      <c r="AV849">
        <v>13</v>
      </c>
      <c r="AW849">
        <v>9</v>
      </c>
      <c r="AX849" t="s">
        <v>74</v>
      </c>
      <c r="AY849" t="s">
        <v>74</v>
      </c>
      <c r="AZ849" t="s">
        <v>74</v>
      </c>
      <c r="BA849" t="s">
        <v>74</v>
      </c>
      <c r="BB849" t="s">
        <v>74</v>
      </c>
      <c r="BC849" t="s">
        <v>74</v>
      </c>
      <c r="BD849">
        <v>5648</v>
      </c>
      <c r="BE849" t="s">
        <v>16081</v>
      </c>
      <c r="BF849" t="str">
        <f>HYPERLINK("http://dx.doi.org/10.3390/app13095648","http://dx.doi.org/10.3390/app13095648")</f>
        <v>http://dx.doi.org/10.3390/app13095648</v>
      </c>
      <c r="BG849" t="s">
        <v>74</v>
      </c>
      <c r="BH849" t="s">
        <v>74</v>
      </c>
      <c r="BI849">
        <v>20</v>
      </c>
      <c r="BJ849" t="s">
        <v>2448</v>
      </c>
      <c r="BK849" t="s">
        <v>130</v>
      </c>
      <c r="BL849" t="s">
        <v>2449</v>
      </c>
      <c r="BM849" t="s">
        <v>16082</v>
      </c>
      <c r="BN849" t="s">
        <v>74</v>
      </c>
      <c r="BO849" t="s">
        <v>425</v>
      </c>
      <c r="BP849" t="s">
        <v>74</v>
      </c>
      <c r="BQ849" t="s">
        <v>74</v>
      </c>
      <c r="BR849" t="s">
        <v>101</v>
      </c>
      <c r="BS849" t="s">
        <v>16083</v>
      </c>
      <c r="BT849" t="str">
        <f>HYPERLINK("https%3A%2F%2Fwww.webofscience.com%2Fwos%2Fwoscc%2Ffull-record%2FWOS:000986446400001","View Full Record in Web of Science")</f>
        <v>View Full Record in Web of Science</v>
      </c>
    </row>
    <row r="850" spans="1:72" x14ac:dyDescent="0.2">
      <c r="A850" t="s">
        <v>72</v>
      </c>
      <c r="B850" t="s">
        <v>16084</v>
      </c>
      <c r="C850" t="s">
        <v>74</v>
      </c>
      <c r="D850" t="s">
        <v>74</v>
      </c>
      <c r="E850" t="s">
        <v>75</v>
      </c>
      <c r="F850" t="s">
        <v>16085</v>
      </c>
      <c r="G850" t="s">
        <v>74</v>
      </c>
      <c r="H850" t="s">
        <v>74</v>
      </c>
      <c r="I850" t="s">
        <v>16086</v>
      </c>
      <c r="J850" t="s">
        <v>912</v>
      </c>
      <c r="K850" t="s">
        <v>74</v>
      </c>
      <c r="L850" t="s">
        <v>74</v>
      </c>
      <c r="M850" t="s">
        <v>79</v>
      </c>
      <c r="N850" t="s">
        <v>80</v>
      </c>
      <c r="O850" t="s">
        <v>913</v>
      </c>
      <c r="P850" t="s">
        <v>914</v>
      </c>
      <c r="Q850" t="s">
        <v>915</v>
      </c>
      <c r="R850" t="s">
        <v>916</v>
      </c>
      <c r="S850" t="s">
        <v>74</v>
      </c>
      <c r="T850" t="s">
        <v>16087</v>
      </c>
      <c r="U850" t="s">
        <v>10352</v>
      </c>
      <c r="V850" t="s">
        <v>16088</v>
      </c>
      <c r="W850" t="s">
        <v>16089</v>
      </c>
      <c r="X850" t="s">
        <v>16090</v>
      </c>
      <c r="Y850" t="s">
        <v>16091</v>
      </c>
      <c r="Z850" t="s">
        <v>16092</v>
      </c>
      <c r="AA850" t="s">
        <v>74</v>
      </c>
      <c r="AB850" t="s">
        <v>16093</v>
      </c>
      <c r="AC850" t="s">
        <v>16094</v>
      </c>
      <c r="AD850" t="s">
        <v>16094</v>
      </c>
      <c r="AE850" t="s">
        <v>16095</v>
      </c>
      <c r="AF850" t="s">
        <v>74</v>
      </c>
      <c r="AG850">
        <v>54</v>
      </c>
      <c r="AH850">
        <v>0</v>
      </c>
      <c r="AI850">
        <v>0</v>
      </c>
      <c r="AJ850">
        <v>0</v>
      </c>
      <c r="AK850">
        <v>0</v>
      </c>
      <c r="AL850" t="s">
        <v>92</v>
      </c>
      <c r="AM850" t="s">
        <v>93</v>
      </c>
      <c r="AN850" t="s">
        <v>94</v>
      </c>
      <c r="AO850" t="s">
        <v>74</v>
      </c>
      <c r="AP850" t="s">
        <v>74</v>
      </c>
      <c r="AQ850" t="s">
        <v>922</v>
      </c>
      <c r="AR850" t="s">
        <v>74</v>
      </c>
      <c r="AS850" t="s">
        <v>74</v>
      </c>
      <c r="AT850" t="s">
        <v>74</v>
      </c>
      <c r="AU850">
        <v>2023</v>
      </c>
      <c r="AV850" t="s">
        <v>74</v>
      </c>
      <c r="AW850" t="s">
        <v>74</v>
      </c>
      <c r="AX850" t="s">
        <v>74</v>
      </c>
      <c r="AY850" t="s">
        <v>74</v>
      </c>
      <c r="AZ850" t="s">
        <v>74</v>
      </c>
      <c r="BA850" t="s">
        <v>74</v>
      </c>
      <c r="BB850">
        <v>2243</v>
      </c>
      <c r="BC850">
        <v>2255</v>
      </c>
      <c r="BD850" t="s">
        <v>74</v>
      </c>
      <c r="BE850" t="s">
        <v>16096</v>
      </c>
      <c r="BF850" t="str">
        <f>HYPERLINK("http://dx.doi.org/10.1145/3580305.3599249","http://dx.doi.org/10.1145/3580305.3599249")</f>
        <v>http://dx.doi.org/10.1145/3580305.3599249</v>
      </c>
      <c r="BG850" t="s">
        <v>74</v>
      </c>
      <c r="BH850" t="s">
        <v>74</v>
      </c>
      <c r="BI850">
        <v>13</v>
      </c>
      <c r="BJ850" t="s">
        <v>924</v>
      </c>
      <c r="BK850" t="s">
        <v>98</v>
      </c>
      <c r="BL850" t="s">
        <v>99</v>
      </c>
      <c r="BM850" t="s">
        <v>925</v>
      </c>
      <c r="BN850" t="s">
        <v>74</v>
      </c>
      <c r="BO850" t="s">
        <v>2722</v>
      </c>
      <c r="BP850" t="s">
        <v>74</v>
      </c>
      <c r="BQ850" t="s">
        <v>74</v>
      </c>
      <c r="BR850" t="s">
        <v>101</v>
      </c>
      <c r="BS850" t="s">
        <v>16097</v>
      </c>
      <c r="BT850" t="str">
        <f>HYPERLINK("https%3A%2F%2Fwww.webofscience.com%2Fwos%2Fwoscc%2Ffull-record%2FWOS:001118896302027","View Full Record in Web of Science")</f>
        <v>View Full Record in Web of Science</v>
      </c>
    </row>
    <row r="851" spans="1:72" x14ac:dyDescent="0.2">
      <c r="A851" t="s">
        <v>72</v>
      </c>
      <c r="B851" t="s">
        <v>16098</v>
      </c>
      <c r="C851" t="s">
        <v>74</v>
      </c>
      <c r="D851" t="s">
        <v>74</v>
      </c>
      <c r="E851" t="s">
        <v>75</v>
      </c>
      <c r="F851" t="s">
        <v>16099</v>
      </c>
      <c r="G851" t="s">
        <v>74</v>
      </c>
      <c r="H851" t="s">
        <v>74</v>
      </c>
      <c r="I851" t="s">
        <v>16100</v>
      </c>
      <c r="J851" t="s">
        <v>1264</v>
      </c>
      <c r="K851" t="s">
        <v>74</v>
      </c>
      <c r="L851" t="s">
        <v>74</v>
      </c>
      <c r="M851" t="s">
        <v>79</v>
      </c>
      <c r="N851" t="s">
        <v>80</v>
      </c>
      <c r="O851" t="s">
        <v>1265</v>
      </c>
      <c r="P851" t="s">
        <v>290</v>
      </c>
      <c r="Q851" t="s">
        <v>1266</v>
      </c>
      <c r="R851" t="s">
        <v>1267</v>
      </c>
      <c r="S851" t="s">
        <v>74</v>
      </c>
      <c r="T851" t="s">
        <v>16101</v>
      </c>
      <c r="U851" t="s">
        <v>74</v>
      </c>
      <c r="V851" t="s">
        <v>16102</v>
      </c>
      <c r="W851" t="s">
        <v>16103</v>
      </c>
      <c r="X851" t="s">
        <v>74</v>
      </c>
      <c r="Y851" t="s">
        <v>16104</v>
      </c>
      <c r="Z851" t="s">
        <v>16105</v>
      </c>
      <c r="AA851" t="s">
        <v>74</v>
      </c>
      <c r="AB851" t="s">
        <v>16106</v>
      </c>
      <c r="AC851" t="s">
        <v>74</v>
      </c>
      <c r="AD851" t="s">
        <v>74</v>
      </c>
      <c r="AE851" t="s">
        <v>74</v>
      </c>
      <c r="AF851" t="s">
        <v>74</v>
      </c>
      <c r="AG851">
        <v>36</v>
      </c>
      <c r="AH851">
        <v>0</v>
      </c>
      <c r="AI851">
        <v>0</v>
      </c>
      <c r="AJ851">
        <v>5</v>
      </c>
      <c r="AK851">
        <v>5</v>
      </c>
      <c r="AL851" t="s">
        <v>92</v>
      </c>
      <c r="AM851" t="s">
        <v>93</v>
      </c>
      <c r="AN851" t="s">
        <v>94</v>
      </c>
      <c r="AO851" t="s">
        <v>74</v>
      </c>
      <c r="AP851" t="s">
        <v>74</v>
      </c>
      <c r="AQ851" t="s">
        <v>1278</v>
      </c>
      <c r="AR851" t="s">
        <v>74</v>
      </c>
      <c r="AS851" t="s">
        <v>74</v>
      </c>
      <c r="AT851" t="s">
        <v>74</v>
      </c>
      <c r="AU851">
        <v>2023</v>
      </c>
      <c r="AV851" t="s">
        <v>74</v>
      </c>
      <c r="AW851" t="s">
        <v>74</v>
      </c>
      <c r="AX851" t="s">
        <v>74</v>
      </c>
      <c r="AY851" t="s">
        <v>74</v>
      </c>
      <c r="AZ851" t="s">
        <v>74</v>
      </c>
      <c r="BA851" t="s">
        <v>74</v>
      </c>
      <c r="BB851">
        <v>365</v>
      </c>
      <c r="BC851">
        <v>373</v>
      </c>
      <c r="BD851" t="s">
        <v>74</v>
      </c>
      <c r="BE851" t="s">
        <v>16107</v>
      </c>
      <c r="BF851" t="str">
        <f>HYPERLINK("http://dx.doi.org/10.1145/3604237.3626838","http://dx.doi.org/10.1145/3604237.3626838")</f>
        <v>http://dx.doi.org/10.1145/3604237.3626838</v>
      </c>
      <c r="BG851" t="s">
        <v>74</v>
      </c>
      <c r="BH851" t="s">
        <v>74</v>
      </c>
      <c r="BI851">
        <v>9</v>
      </c>
      <c r="BJ851" t="s">
        <v>1280</v>
      </c>
      <c r="BK851" t="s">
        <v>180</v>
      </c>
      <c r="BL851" t="s">
        <v>1281</v>
      </c>
      <c r="BM851" t="s">
        <v>1282</v>
      </c>
      <c r="BN851" t="s">
        <v>74</v>
      </c>
      <c r="BO851" t="s">
        <v>74</v>
      </c>
      <c r="BP851" t="s">
        <v>74</v>
      </c>
      <c r="BQ851" t="s">
        <v>74</v>
      </c>
      <c r="BR851" t="s">
        <v>101</v>
      </c>
      <c r="BS851" t="s">
        <v>16108</v>
      </c>
      <c r="BT851" t="str">
        <f>HYPERLINK("https%3A%2F%2Fwww.webofscience.com%2Fwos%2Fwoscc%2Ffull-record%2FWOS:001124982700043","View Full Record in Web of Science")</f>
        <v>View Full Record in Web of Science</v>
      </c>
    </row>
    <row r="852" spans="1:72" x14ac:dyDescent="0.2">
      <c r="A852" t="s">
        <v>103</v>
      </c>
      <c r="B852" t="s">
        <v>16109</v>
      </c>
      <c r="C852" t="s">
        <v>74</v>
      </c>
      <c r="D852" t="s">
        <v>74</v>
      </c>
      <c r="E852" t="s">
        <v>74</v>
      </c>
      <c r="F852" t="s">
        <v>16110</v>
      </c>
      <c r="G852" t="s">
        <v>74</v>
      </c>
      <c r="H852" t="s">
        <v>74</v>
      </c>
      <c r="I852" t="s">
        <v>16111</v>
      </c>
      <c r="J852" t="s">
        <v>16112</v>
      </c>
      <c r="K852" t="s">
        <v>74</v>
      </c>
      <c r="L852" t="s">
        <v>74</v>
      </c>
      <c r="M852" t="s">
        <v>79</v>
      </c>
      <c r="N852" t="s">
        <v>108</v>
      </c>
      <c r="O852" t="s">
        <v>74</v>
      </c>
      <c r="P852" t="s">
        <v>74</v>
      </c>
      <c r="Q852" t="s">
        <v>74</v>
      </c>
      <c r="R852" t="s">
        <v>74</v>
      </c>
      <c r="S852" t="s">
        <v>74</v>
      </c>
      <c r="T852" t="s">
        <v>16113</v>
      </c>
      <c r="U852" t="s">
        <v>16114</v>
      </c>
      <c r="V852" t="s">
        <v>16115</v>
      </c>
      <c r="W852" t="s">
        <v>16116</v>
      </c>
      <c r="X852" t="s">
        <v>16117</v>
      </c>
      <c r="Y852" t="s">
        <v>16118</v>
      </c>
      <c r="Z852" t="s">
        <v>16119</v>
      </c>
      <c r="AA852" t="s">
        <v>16120</v>
      </c>
      <c r="AB852" t="s">
        <v>16121</v>
      </c>
      <c r="AC852" t="s">
        <v>16122</v>
      </c>
      <c r="AD852" t="s">
        <v>16123</v>
      </c>
      <c r="AE852" t="s">
        <v>16124</v>
      </c>
      <c r="AF852" t="s">
        <v>74</v>
      </c>
      <c r="AG852">
        <v>59</v>
      </c>
      <c r="AH852">
        <v>4</v>
      </c>
      <c r="AI852">
        <v>4</v>
      </c>
      <c r="AJ852">
        <v>6</v>
      </c>
      <c r="AK852">
        <v>17</v>
      </c>
      <c r="AL852" t="s">
        <v>1379</v>
      </c>
      <c r="AM852" t="s">
        <v>1380</v>
      </c>
      <c r="AN852" t="s">
        <v>1381</v>
      </c>
      <c r="AO852" t="s">
        <v>16125</v>
      </c>
      <c r="AP852" t="s">
        <v>16126</v>
      </c>
      <c r="AQ852" t="s">
        <v>74</v>
      </c>
      <c r="AR852" t="s">
        <v>16127</v>
      </c>
      <c r="AS852" t="s">
        <v>16128</v>
      </c>
      <c r="AT852" t="s">
        <v>615</v>
      </c>
      <c r="AU852">
        <v>2023</v>
      </c>
      <c r="AV852">
        <v>42</v>
      </c>
      <c r="AW852">
        <v>7</v>
      </c>
      <c r="AX852" t="s">
        <v>74</v>
      </c>
      <c r="AY852" t="s">
        <v>74</v>
      </c>
      <c r="AZ852" t="s">
        <v>74</v>
      </c>
      <c r="BA852" t="s">
        <v>74</v>
      </c>
      <c r="BB852">
        <v>1969</v>
      </c>
      <c r="BC852">
        <v>1981</v>
      </c>
      <c r="BD852" t="s">
        <v>74</v>
      </c>
      <c r="BE852" t="s">
        <v>16129</v>
      </c>
      <c r="BF852" t="str">
        <f>HYPERLINK("http://dx.doi.org/10.1109/TMI.2022.3221724","http://dx.doi.org/10.1109/TMI.2022.3221724")</f>
        <v>http://dx.doi.org/10.1109/TMI.2022.3221724</v>
      </c>
      <c r="BG852" t="s">
        <v>74</v>
      </c>
      <c r="BH852" t="s">
        <v>74</v>
      </c>
      <c r="BI852">
        <v>13</v>
      </c>
      <c r="BJ852" t="s">
        <v>16130</v>
      </c>
      <c r="BK852" t="s">
        <v>130</v>
      </c>
      <c r="BL852" t="s">
        <v>16131</v>
      </c>
      <c r="BM852" t="s">
        <v>16132</v>
      </c>
      <c r="BN852">
        <v>36374876</v>
      </c>
      <c r="BO852" t="s">
        <v>74</v>
      </c>
      <c r="BP852" t="s">
        <v>74</v>
      </c>
      <c r="BQ852" t="s">
        <v>74</v>
      </c>
      <c r="BR852" t="s">
        <v>101</v>
      </c>
      <c r="BS852" t="s">
        <v>16133</v>
      </c>
      <c r="BT852" t="str">
        <f>HYPERLINK("https%3A%2F%2Fwww.webofscience.com%2Fwos%2Fwoscc%2Ffull-record%2FWOS:001022138900006","View Full Record in Web of Science")</f>
        <v>View Full Record in Web of Science</v>
      </c>
    </row>
    <row r="853" spans="1:72" x14ac:dyDescent="0.2">
      <c r="A853" t="s">
        <v>103</v>
      </c>
      <c r="B853" t="s">
        <v>16134</v>
      </c>
      <c r="C853" t="s">
        <v>74</v>
      </c>
      <c r="D853" t="s">
        <v>74</v>
      </c>
      <c r="E853" t="s">
        <v>74</v>
      </c>
      <c r="F853" t="s">
        <v>16135</v>
      </c>
      <c r="G853" t="s">
        <v>74</v>
      </c>
      <c r="H853" t="s">
        <v>74</v>
      </c>
      <c r="I853" t="s">
        <v>16136</v>
      </c>
      <c r="J853" t="s">
        <v>16137</v>
      </c>
      <c r="K853" t="s">
        <v>74</v>
      </c>
      <c r="L853" t="s">
        <v>74</v>
      </c>
      <c r="M853" t="s">
        <v>79</v>
      </c>
      <c r="N853" t="s">
        <v>108</v>
      </c>
      <c r="O853" t="s">
        <v>74</v>
      </c>
      <c r="P853" t="s">
        <v>74</v>
      </c>
      <c r="Q853" t="s">
        <v>74</v>
      </c>
      <c r="R853" t="s">
        <v>74</v>
      </c>
      <c r="S853" t="s">
        <v>74</v>
      </c>
      <c r="T853" t="s">
        <v>16138</v>
      </c>
      <c r="U853" t="s">
        <v>74</v>
      </c>
      <c r="V853" t="s">
        <v>16139</v>
      </c>
      <c r="W853" t="s">
        <v>16140</v>
      </c>
      <c r="X853" t="s">
        <v>16141</v>
      </c>
      <c r="Y853" t="s">
        <v>16142</v>
      </c>
      <c r="Z853" t="s">
        <v>16143</v>
      </c>
      <c r="AA853" t="s">
        <v>16144</v>
      </c>
      <c r="AB853" t="s">
        <v>16145</v>
      </c>
      <c r="AC853" t="s">
        <v>74</v>
      </c>
      <c r="AD853" t="s">
        <v>74</v>
      </c>
      <c r="AE853" t="s">
        <v>74</v>
      </c>
      <c r="AF853" t="s">
        <v>74</v>
      </c>
      <c r="AG853">
        <v>57</v>
      </c>
      <c r="AH853">
        <v>18</v>
      </c>
      <c r="AI853">
        <v>17</v>
      </c>
      <c r="AJ853">
        <v>101</v>
      </c>
      <c r="AK853">
        <v>211</v>
      </c>
      <c r="AL853" t="s">
        <v>2377</v>
      </c>
      <c r="AM853" t="s">
        <v>738</v>
      </c>
      <c r="AN853" t="s">
        <v>2378</v>
      </c>
      <c r="AO853" t="s">
        <v>16146</v>
      </c>
      <c r="AP853" t="s">
        <v>16147</v>
      </c>
      <c r="AQ853" t="s">
        <v>74</v>
      </c>
      <c r="AR853" t="s">
        <v>16148</v>
      </c>
      <c r="AS853" t="s">
        <v>16149</v>
      </c>
      <c r="AT853" t="s">
        <v>16150</v>
      </c>
      <c r="AU853">
        <v>2023</v>
      </c>
      <c r="AV853">
        <v>48</v>
      </c>
      <c r="AW853">
        <v>4</v>
      </c>
      <c r="AX853" t="s">
        <v>74</v>
      </c>
      <c r="AY853" t="s">
        <v>74</v>
      </c>
      <c r="AZ853" t="s">
        <v>74</v>
      </c>
      <c r="BA853" t="s">
        <v>74</v>
      </c>
      <c r="BB853">
        <v>559</v>
      </c>
      <c r="BC853">
        <v>614</v>
      </c>
      <c r="BD853" t="s">
        <v>74</v>
      </c>
      <c r="BE853" t="s">
        <v>16151</v>
      </c>
      <c r="BF853" t="str">
        <f>HYPERLINK("http://dx.doi.org/10.1080/03043797.2023.2213169","http://dx.doi.org/10.1080/03043797.2023.2213169")</f>
        <v>http://dx.doi.org/10.1080/03043797.2023.2213169</v>
      </c>
      <c r="BG853" t="s">
        <v>74</v>
      </c>
      <c r="BH853" t="s">
        <v>2889</v>
      </c>
      <c r="BI853">
        <v>56</v>
      </c>
      <c r="BJ853" t="s">
        <v>423</v>
      </c>
      <c r="BK853" t="s">
        <v>352</v>
      </c>
      <c r="BL853" t="s">
        <v>423</v>
      </c>
      <c r="BM853" t="s">
        <v>16152</v>
      </c>
      <c r="BN853" t="s">
        <v>74</v>
      </c>
      <c r="BO853" t="s">
        <v>161</v>
      </c>
      <c r="BP853" t="s">
        <v>74</v>
      </c>
      <c r="BQ853" t="s">
        <v>74</v>
      </c>
      <c r="BR853" t="s">
        <v>101</v>
      </c>
      <c r="BS853" t="s">
        <v>16153</v>
      </c>
      <c r="BT853" t="str">
        <f>HYPERLINK("https%3A%2F%2Fwww.webofscience.com%2Fwos%2Fwoscc%2Ffull-record%2FWOS:000993944200001","View Full Record in Web of Science")</f>
        <v>View Full Record in Web of Science</v>
      </c>
    </row>
    <row r="854" spans="1:72" x14ac:dyDescent="0.2">
      <c r="A854" t="s">
        <v>72</v>
      </c>
      <c r="B854" t="s">
        <v>16154</v>
      </c>
      <c r="C854" t="s">
        <v>74</v>
      </c>
      <c r="D854" t="s">
        <v>74</v>
      </c>
      <c r="E854" t="s">
        <v>284</v>
      </c>
      <c r="F854" t="s">
        <v>16155</v>
      </c>
      <c r="G854" t="s">
        <v>74</v>
      </c>
      <c r="H854" t="s">
        <v>74</v>
      </c>
      <c r="I854" t="s">
        <v>16156</v>
      </c>
      <c r="J854" t="s">
        <v>16157</v>
      </c>
      <c r="K854" t="s">
        <v>16158</v>
      </c>
      <c r="L854" t="s">
        <v>74</v>
      </c>
      <c r="M854" t="s">
        <v>79</v>
      </c>
      <c r="N854" t="s">
        <v>80</v>
      </c>
      <c r="O854" t="s">
        <v>16159</v>
      </c>
      <c r="P854" t="s">
        <v>16160</v>
      </c>
      <c r="Q854" t="s">
        <v>16161</v>
      </c>
      <c r="R854" t="s">
        <v>284</v>
      </c>
      <c r="S854" t="s">
        <v>74</v>
      </c>
      <c r="T854" t="s">
        <v>16162</v>
      </c>
      <c r="U854" t="s">
        <v>74</v>
      </c>
      <c r="V854" t="s">
        <v>16163</v>
      </c>
      <c r="W854" t="s">
        <v>16164</v>
      </c>
      <c r="X854" t="s">
        <v>16165</v>
      </c>
      <c r="Y854" t="s">
        <v>16166</v>
      </c>
      <c r="Z854" t="s">
        <v>16167</v>
      </c>
      <c r="AA854" t="s">
        <v>16168</v>
      </c>
      <c r="AB854" t="s">
        <v>16169</v>
      </c>
      <c r="AC854" t="s">
        <v>16170</v>
      </c>
      <c r="AD854" t="s">
        <v>16171</v>
      </c>
      <c r="AE854" t="s">
        <v>16172</v>
      </c>
      <c r="AF854" t="s">
        <v>74</v>
      </c>
      <c r="AG854">
        <v>14</v>
      </c>
      <c r="AH854">
        <v>0</v>
      </c>
      <c r="AI854">
        <v>0</v>
      </c>
      <c r="AJ854">
        <v>0</v>
      </c>
      <c r="AK854">
        <v>0</v>
      </c>
      <c r="AL854" t="s">
        <v>284</v>
      </c>
      <c r="AM854" t="s">
        <v>93</v>
      </c>
      <c r="AN854" t="s">
        <v>299</v>
      </c>
      <c r="AO854" t="s">
        <v>16173</v>
      </c>
      <c r="AP854" t="s">
        <v>74</v>
      </c>
      <c r="AQ854" t="s">
        <v>16174</v>
      </c>
      <c r="AR854" t="s">
        <v>16175</v>
      </c>
      <c r="AS854" t="s">
        <v>74</v>
      </c>
      <c r="AT854" t="s">
        <v>74</v>
      </c>
      <c r="AU854">
        <v>2023</v>
      </c>
      <c r="AV854" t="s">
        <v>74</v>
      </c>
      <c r="AW854" t="s">
        <v>74</v>
      </c>
      <c r="AX854" t="s">
        <v>74</v>
      </c>
      <c r="AY854" t="s">
        <v>74</v>
      </c>
      <c r="AZ854" t="s">
        <v>74</v>
      </c>
      <c r="BA854" t="s">
        <v>74</v>
      </c>
      <c r="BB854" t="s">
        <v>74</v>
      </c>
      <c r="BC854" t="s">
        <v>74</v>
      </c>
      <c r="BD854" t="s">
        <v>74</v>
      </c>
      <c r="BE854" t="s">
        <v>16176</v>
      </c>
      <c r="BF854" t="str">
        <f>HYPERLINK("http://dx.doi.org/10.1109/MILCOM58377.2023.10356300","http://dx.doi.org/10.1109/MILCOM58377.2023.10356300")</f>
        <v>http://dx.doi.org/10.1109/MILCOM58377.2023.10356300</v>
      </c>
      <c r="BG854" t="s">
        <v>74</v>
      </c>
      <c r="BH854" t="s">
        <v>74</v>
      </c>
      <c r="BI854">
        <v>6</v>
      </c>
      <c r="BJ854" t="s">
        <v>1385</v>
      </c>
      <c r="BK854" t="s">
        <v>98</v>
      </c>
      <c r="BL854" t="s">
        <v>1386</v>
      </c>
      <c r="BM854" t="s">
        <v>16177</v>
      </c>
      <c r="BN854" t="s">
        <v>74</v>
      </c>
      <c r="BO854" t="s">
        <v>74</v>
      </c>
      <c r="BP854" t="s">
        <v>74</v>
      </c>
      <c r="BQ854" t="s">
        <v>74</v>
      </c>
      <c r="BR854" t="s">
        <v>101</v>
      </c>
      <c r="BS854" t="s">
        <v>16178</v>
      </c>
      <c r="BT854" t="str">
        <f>HYPERLINK("https%3A%2F%2Fwww.webofscience.com%2Fwos%2Fwoscc%2Ffull-record%2FWOS:001156887600014","View Full Record in Web of Science")</f>
        <v>View Full Record in Web of Science</v>
      </c>
    </row>
    <row r="855" spans="1:72" x14ac:dyDescent="0.2">
      <c r="A855" t="s">
        <v>103</v>
      </c>
      <c r="B855" t="s">
        <v>16179</v>
      </c>
      <c r="C855" t="s">
        <v>74</v>
      </c>
      <c r="D855" t="s">
        <v>74</v>
      </c>
      <c r="E855" t="s">
        <v>74</v>
      </c>
      <c r="F855" t="s">
        <v>16180</v>
      </c>
      <c r="G855" t="s">
        <v>74</v>
      </c>
      <c r="H855" t="s">
        <v>74</v>
      </c>
      <c r="I855" t="s">
        <v>16181</v>
      </c>
      <c r="J855" t="s">
        <v>14728</v>
      </c>
      <c r="K855" t="s">
        <v>74</v>
      </c>
      <c r="L855" t="s">
        <v>74</v>
      </c>
      <c r="M855" t="s">
        <v>79</v>
      </c>
      <c r="N855" t="s">
        <v>138</v>
      </c>
      <c r="O855" t="s">
        <v>74</v>
      </c>
      <c r="P855" t="s">
        <v>74</v>
      </c>
      <c r="Q855" t="s">
        <v>74</v>
      </c>
      <c r="R855" t="s">
        <v>74</v>
      </c>
      <c r="S855" t="s">
        <v>74</v>
      </c>
      <c r="T855" t="s">
        <v>16182</v>
      </c>
      <c r="U855" t="s">
        <v>74</v>
      </c>
      <c r="V855" t="s">
        <v>16183</v>
      </c>
      <c r="W855" t="s">
        <v>16184</v>
      </c>
      <c r="X855" t="s">
        <v>8841</v>
      </c>
      <c r="Y855" t="s">
        <v>16185</v>
      </c>
      <c r="Z855" t="s">
        <v>16186</v>
      </c>
      <c r="AA855" t="s">
        <v>74</v>
      </c>
      <c r="AB855" t="s">
        <v>16187</v>
      </c>
      <c r="AC855" t="s">
        <v>16188</v>
      </c>
      <c r="AD855" t="s">
        <v>16189</v>
      </c>
      <c r="AE855" t="s">
        <v>16190</v>
      </c>
      <c r="AF855" t="s">
        <v>74</v>
      </c>
      <c r="AG855">
        <v>41</v>
      </c>
      <c r="AH855">
        <v>0</v>
      </c>
      <c r="AI855">
        <v>0</v>
      </c>
      <c r="AJ855">
        <v>6</v>
      </c>
      <c r="AK855">
        <v>6</v>
      </c>
      <c r="AL855" t="s">
        <v>343</v>
      </c>
      <c r="AM855" t="s">
        <v>521</v>
      </c>
      <c r="AN855" t="s">
        <v>522</v>
      </c>
      <c r="AO855" t="s">
        <v>14737</v>
      </c>
      <c r="AP855" t="s">
        <v>14738</v>
      </c>
      <c r="AQ855" t="s">
        <v>74</v>
      </c>
      <c r="AR855" t="s">
        <v>14739</v>
      </c>
      <c r="AS855" t="s">
        <v>14740</v>
      </c>
      <c r="AT855" t="s">
        <v>4303</v>
      </c>
      <c r="AU855">
        <v>2023</v>
      </c>
      <c r="AV855" t="s">
        <v>74</v>
      </c>
      <c r="AW855" t="s">
        <v>74</v>
      </c>
      <c r="AX855" t="s">
        <v>74</v>
      </c>
      <c r="AY855" t="s">
        <v>74</v>
      </c>
      <c r="AZ855" t="s">
        <v>74</v>
      </c>
      <c r="BA855" t="s">
        <v>74</v>
      </c>
      <c r="BB855" t="s">
        <v>74</v>
      </c>
      <c r="BC855" t="s">
        <v>74</v>
      </c>
      <c r="BD855" t="s">
        <v>74</v>
      </c>
      <c r="BE855" t="s">
        <v>16191</v>
      </c>
      <c r="BF855" t="str">
        <f>HYPERLINK("http://dx.doi.org/10.1007/s10844-023-00833-w","http://dx.doi.org/10.1007/s10844-023-00833-w")</f>
        <v>http://dx.doi.org/10.1007/s10844-023-00833-w</v>
      </c>
      <c r="BG855" t="s">
        <v>74</v>
      </c>
      <c r="BH855" t="s">
        <v>128</v>
      </c>
      <c r="BI855">
        <v>15</v>
      </c>
      <c r="BJ855" t="s">
        <v>883</v>
      </c>
      <c r="BK855" t="s">
        <v>130</v>
      </c>
      <c r="BL855" t="s">
        <v>99</v>
      </c>
      <c r="BM855" t="s">
        <v>16192</v>
      </c>
      <c r="BN855" t="s">
        <v>74</v>
      </c>
      <c r="BO855" t="s">
        <v>74</v>
      </c>
      <c r="BP855" t="s">
        <v>74</v>
      </c>
      <c r="BQ855" t="s">
        <v>74</v>
      </c>
      <c r="BR855" t="s">
        <v>101</v>
      </c>
      <c r="BS855" t="s">
        <v>16193</v>
      </c>
      <c r="BT855" t="str">
        <f>HYPERLINK("https%3A%2F%2Fwww.webofscience.com%2Fwos%2Fwoscc%2Ffull-record%2FWOS:001122439700001","View Full Record in Web of Science")</f>
        <v>View Full Record in Web of Science</v>
      </c>
    </row>
    <row r="856" spans="1:72" x14ac:dyDescent="0.2">
      <c r="A856" t="s">
        <v>103</v>
      </c>
      <c r="B856" t="s">
        <v>16194</v>
      </c>
      <c r="C856" t="s">
        <v>74</v>
      </c>
      <c r="D856" t="s">
        <v>74</v>
      </c>
      <c r="E856" t="s">
        <v>74</v>
      </c>
      <c r="F856" t="s">
        <v>16195</v>
      </c>
      <c r="G856" t="s">
        <v>74</v>
      </c>
      <c r="H856" t="s">
        <v>74</v>
      </c>
      <c r="I856" t="s">
        <v>16196</v>
      </c>
      <c r="J856" t="s">
        <v>8908</v>
      </c>
      <c r="K856" t="s">
        <v>74</v>
      </c>
      <c r="L856" t="s">
        <v>74</v>
      </c>
      <c r="M856" t="s">
        <v>79</v>
      </c>
      <c r="N856" t="s">
        <v>108</v>
      </c>
      <c r="O856" t="s">
        <v>74</v>
      </c>
      <c r="P856" t="s">
        <v>74</v>
      </c>
      <c r="Q856" t="s">
        <v>74</v>
      </c>
      <c r="R856" t="s">
        <v>74</v>
      </c>
      <c r="S856" t="s">
        <v>74</v>
      </c>
      <c r="T856" t="s">
        <v>16197</v>
      </c>
      <c r="U856" t="s">
        <v>74</v>
      </c>
      <c r="V856" t="s">
        <v>16198</v>
      </c>
      <c r="W856" t="s">
        <v>16199</v>
      </c>
      <c r="X856" t="s">
        <v>16200</v>
      </c>
      <c r="Y856" t="s">
        <v>16201</v>
      </c>
      <c r="Z856" t="s">
        <v>16202</v>
      </c>
      <c r="AA856" t="s">
        <v>74</v>
      </c>
      <c r="AB856" t="s">
        <v>16203</v>
      </c>
      <c r="AC856" t="s">
        <v>16204</v>
      </c>
      <c r="AD856" t="s">
        <v>16205</v>
      </c>
      <c r="AE856" t="s">
        <v>16206</v>
      </c>
      <c r="AF856" t="s">
        <v>74</v>
      </c>
      <c r="AG856">
        <v>80</v>
      </c>
      <c r="AH856">
        <v>1</v>
      </c>
      <c r="AI856">
        <v>1</v>
      </c>
      <c r="AJ856">
        <v>1</v>
      </c>
      <c r="AK856">
        <v>4</v>
      </c>
      <c r="AL856" t="s">
        <v>939</v>
      </c>
      <c r="AM856" t="s">
        <v>940</v>
      </c>
      <c r="AN856" t="s">
        <v>941</v>
      </c>
      <c r="AO856" t="s">
        <v>74</v>
      </c>
      <c r="AP856" t="s">
        <v>8918</v>
      </c>
      <c r="AQ856" t="s">
        <v>74</v>
      </c>
      <c r="AR856" t="s">
        <v>8919</v>
      </c>
      <c r="AS856" t="s">
        <v>8920</v>
      </c>
      <c r="AT856" t="s">
        <v>16207</v>
      </c>
      <c r="AU856">
        <v>2023</v>
      </c>
      <c r="AV856">
        <v>12</v>
      </c>
      <c r="AW856">
        <v>10</v>
      </c>
      <c r="AX856" t="s">
        <v>74</v>
      </c>
      <c r="AY856" t="s">
        <v>74</v>
      </c>
      <c r="AZ856" t="s">
        <v>74</v>
      </c>
      <c r="BA856" t="s">
        <v>74</v>
      </c>
      <c r="BB856" t="s">
        <v>74</v>
      </c>
      <c r="BC856" t="s">
        <v>74</v>
      </c>
      <c r="BD856">
        <v>2192</v>
      </c>
      <c r="BE856" t="s">
        <v>16208</v>
      </c>
      <c r="BF856" t="str">
        <f>HYPERLINK("http://dx.doi.org/10.3390/electronics12102192","http://dx.doi.org/10.3390/electronics12102192")</f>
        <v>http://dx.doi.org/10.3390/electronics12102192</v>
      </c>
      <c r="BG856" t="s">
        <v>74</v>
      </c>
      <c r="BH856" t="s">
        <v>74</v>
      </c>
      <c r="BI856">
        <v>25</v>
      </c>
      <c r="BJ856" t="s">
        <v>8922</v>
      </c>
      <c r="BK856" t="s">
        <v>130</v>
      </c>
      <c r="BL856" t="s">
        <v>8923</v>
      </c>
      <c r="BM856" t="s">
        <v>16209</v>
      </c>
      <c r="BN856" t="s">
        <v>74</v>
      </c>
      <c r="BO856" t="s">
        <v>1711</v>
      </c>
      <c r="BP856" t="s">
        <v>74</v>
      </c>
      <c r="BQ856" t="s">
        <v>74</v>
      </c>
      <c r="BR856" t="s">
        <v>101</v>
      </c>
      <c r="BS856" t="s">
        <v>16210</v>
      </c>
      <c r="BT856" t="str">
        <f>HYPERLINK("https%3A%2F%2Fwww.webofscience.com%2Fwos%2Fwoscc%2Ffull-record%2FWOS:000998198900001","View Full Record in Web of Science")</f>
        <v>View Full Record in Web of Science</v>
      </c>
    </row>
    <row r="857" spans="1:72" x14ac:dyDescent="0.2">
      <c r="A857" t="s">
        <v>72</v>
      </c>
      <c r="B857" t="s">
        <v>16211</v>
      </c>
      <c r="C857" t="s">
        <v>74</v>
      </c>
      <c r="D857" t="s">
        <v>74</v>
      </c>
      <c r="E857" t="s">
        <v>284</v>
      </c>
      <c r="F857" t="s">
        <v>16212</v>
      </c>
      <c r="G857" t="s">
        <v>74</v>
      </c>
      <c r="H857" t="s">
        <v>74</v>
      </c>
      <c r="I857" t="s">
        <v>16213</v>
      </c>
      <c r="J857" t="s">
        <v>16214</v>
      </c>
      <c r="K857" t="s">
        <v>16215</v>
      </c>
      <c r="L857" t="s">
        <v>74</v>
      </c>
      <c r="M857" t="s">
        <v>79</v>
      </c>
      <c r="N857" t="s">
        <v>80</v>
      </c>
      <c r="O857" t="s">
        <v>16216</v>
      </c>
      <c r="P857" t="s">
        <v>82</v>
      </c>
      <c r="Q857" t="s">
        <v>16217</v>
      </c>
      <c r="R857" t="s">
        <v>16218</v>
      </c>
      <c r="S857" t="s">
        <v>74</v>
      </c>
      <c r="T857" t="s">
        <v>16219</v>
      </c>
      <c r="U857" t="s">
        <v>74</v>
      </c>
      <c r="V857" t="s">
        <v>16220</v>
      </c>
      <c r="W857" t="s">
        <v>16221</v>
      </c>
      <c r="X857" t="s">
        <v>16222</v>
      </c>
      <c r="Y857" t="s">
        <v>16223</v>
      </c>
      <c r="Z857" t="s">
        <v>16224</v>
      </c>
      <c r="AA857" t="s">
        <v>74</v>
      </c>
      <c r="AB857" t="s">
        <v>74</v>
      </c>
      <c r="AC857" t="s">
        <v>16225</v>
      </c>
      <c r="AD857" t="s">
        <v>16226</v>
      </c>
      <c r="AE857" t="s">
        <v>16227</v>
      </c>
      <c r="AF857" t="s">
        <v>74</v>
      </c>
      <c r="AG857">
        <v>16</v>
      </c>
      <c r="AH857">
        <v>0</v>
      </c>
      <c r="AI857">
        <v>0</v>
      </c>
      <c r="AJ857">
        <v>0</v>
      </c>
      <c r="AK857">
        <v>0</v>
      </c>
      <c r="AL857" t="s">
        <v>284</v>
      </c>
      <c r="AM857" t="s">
        <v>93</v>
      </c>
      <c r="AN857" t="s">
        <v>299</v>
      </c>
      <c r="AO857" t="s">
        <v>16228</v>
      </c>
      <c r="AP857" t="s">
        <v>74</v>
      </c>
      <c r="AQ857" t="s">
        <v>16229</v>
      </c>
      <c r="AR857" t="s">
        <v>16230</v>
      </c>
      <c r="AS857" t="s">
        <v>74</v>
      </c>
      <c r="AT857" t="s">
        <v>74</v>
      </c>
      <c r="AU857">
        <v>2023</v>
      </c>
      <c r="AV857" t="s">
        <v>74</v>
      </c>
      <c r="AW857" t="s">
        <v>74</v>
      </c>
      <c r="AX857" t="s">
        <v>74</v>
      </c>
      <c r="AY857" t="s">
        <v>74</v>
      </c>
      <c r="AZ857" t="s">
        <v>74</v>
      </c>
      <c r="BA857" t="s">
        <v>74</v>
      </c>
      <c r="BB857" t="s">
        <v>74</v>
      </c>
      <c r="BC857" t="s">
        <v>74</v>
      </c>
      <c r="BD857" t="s">
        <v>74</v>
      </c>
      <c r="BE857" t="s">
        <v>16231</v>
      </c>
      <c r="BF857" t="str">
        <f>HYPERLINK("http://dx.doi.org/10.1109/SENSORS56945.2023.10325319","http://dx.doi.org/10.1109/SENSORS56945.2023.10325319")</f>
        <v>http://dx.doi.org/10.1109/SENSORS56945.2023.10325319</v>
      </c>
      <c r="BG857" t="s">
        <v>74</v>
      </c>
      <c r="BH857" t="s">
        <v>74</v>
      </c>
      <c r="BI857">
        <v>4</v>
      </c>
      <c r="BJ857" t="s">
        <v>16232</v>
      </c>
      <c r="BK857" t="s">
        <v>98</v>
      </c>
      <c r="BL857" t="s">
        <v>16233</v>
      </c>
      <c r="BM857" t="s">
        <v>16234</v>
      </c>
      <c r="BN857" t="s">
        <v>74</v>
      </c>
      <c r="BO857" t="s">
        <v>74</v>
      </c>
      <c r="BP857" t="s">
        <v>74</v>
      </c>
      <c r="BQ857" t="s">
        <v>74</v>
      </c>
      <c r="BR857" t="s">
        <v>101</v>
      </c>
      <c r="BS857" t="s">
        <v>16235</v>
      </c>
      <c r="BT857" t="str">
        <f>HYPERLINK("https%3A%2F%2Fwww.webofscience.com%2Fwos%2Fwoscc%2Ffull-record%2FWOS:001116741300467","View Full Record in Web of Science")</f>
        <v>View Full Record in Web of Science</v>
      </c>
    </row>
    <row r="858" spans="1:72" x14ac:dyDescent="0.2">
      <c r="A858" t="s">
        <v>103</v>
      </c>
      <c r="B858" t="s">
        <v>16236</v>
      </c>
      <c r="C858" t="s">
        <v>74</v>
      </c>
      <c r="D858" t="s">
        <v>74</v>
      </c>
      <c r="E858" t="s">
        <v>74</v>
      </c>
      <c r="F858" t="s">
        <v>16237</v>
      </c>
      <c r="G858" t="s">
        <v>74</v>
      </c>
      <c r="H858" t="s">
        <v>74</v>
      </c>
      <c r="I858" t="s">
        <v>16238</v>
      </c>
      <c r="J858" t="s">
        <v>16239</v>
      </c>
      <c r="K858" t="s">
        <v>74</v>
      </c>
      <c r="L858" t="s">
        <v>74</v>
      </c>
      <c r="M858" t="s">
        <v>79</v>
      </c>
      <c r="N858" t="s">
        <v>108</v>
      </c>
      <c r="O858" t="s">
        <v>74</v>
      </c>
      <c r="P858" t="s">
        <v>74</v>
      </c>
      <c r="Q858" t="s">
        <v>74</v>
      </c>
      <c r="R858" t="s">
        <v>74</v>
      </c>
      <c r="S858" t="s">
        <v>74</v>
      </c>
      <c r="T858" t="s">
        <v>16240</v>
      </c>
      <c r="U858" t="s">
        <v>74</v>
      </c>
      <c r="V858" t="s">
        <v>16241</v>
      </c>
      <c r="W858" t="s">
        <v>16242</v>
      </c>
      <c r="X858" t="s">
        <v>16243</v>
      </c>
      <c r="Y858" t="s">
        <v>16244</v>
      </c>
      <c r="Z858" t="s">
        <v>16245</v>
      </c>
      <c r="AA858" t="s">
        <v>74</v>
      </c>
      <c r="AB858" t="s">
        <v>16246</v>
      </c>
      <c r="AC858" t="s">
        <v>74</v>
      </c>
      <c r="AD858" t="s">
        <v>74</v>
      </c>
      <c r="AE858" t="s">
        <v>74</v>
      </c>
      <c r="AF858" t="s">
        <v>74</v>
      </c>
      <c r="AG858">
        <v>18</v>
      </c>
      <c r="AH858">
        <v>0</v>
      </c>
      <c r="AI858">
        <v>0</v>
      </c>
      <c r="AJ858">
        <v>90</v>
      </c>
      <c r="AK858">
        <v>90</v>
      </c>
      <c r="AL858" t="s">
        <v>16247</v>
      </c>
      <c r="AM858" t="s">
        <v>16248</v>
      </c>
      <c r="AN858" t="s">
        <v>16249</v>
      </c>
      <c r="AO858" t="s">
        <v>16250</v>
      </c>
      <c r="AP858" t="s">
        <v>74</v>
      </c>
      <c r="AQ858" t="s">
        <v>74</v>
      </c>
      <c r="AR858" t="s">
        <v>16251</v>
      </c>
      <c r="AS858" t="s">
        <v>16252</v>
      </c>
      <c r="AT858" t="s">
        <v>74</v>
      </c>
      <c r="AU858">
        <v>2023</v>
      </c>
      <c r="AV858">
        <v>16</v>
      </c>
      <c r="AW858" t="s">
        <v>74</v>
      </c>
      <c r="AX858" t="s">
        <v>74</v>
      </c>
      <c r="AY858" t="s">
        <v>74</v>
      </c>
      <c r="AZ858" t="s">
        <v>74</v>
      </c>
      <c r="BA858" t="s">
        <v>74</v>
      </c>
      <c r="BB858" t="s">
        <v>74</v>
      </c>
      <c r="BC858" t="s">
        <v>74</v>
      </c>
      <c r="BD858" t="s">
        <v>16253</v>
      </c>
      <c r="BE858" t="s">
        <v>16254</v>
      </c>
      <c r="BF858" t="str">
        <f>HYPERLINK("http://dx.doi.org/10.1590/1983-3652.2023.45997","http://dx.doi.org/10.1590/1983-3652.2023.45997")</f>
        <v>http://dx.doi.org/10.1590/1983-3652.2023.45997</v>
      </c>
      <c r="BG858" t="s">
        <v>74</v>
      </c>
      <c r="BH858" t="s">
        <v>74</v>
      </c>
      <c r="BI858">
        <v>11</v>
      </c>
      <c r="BJ858" t="s">
        <v>16255</v>
      </c>
      <c r="BK858" t="s">
        <v>352</v>
      </c>
      <c r="BL858" t="s">
        <v>377</v>
      </c>
      <c r="BM858" t="s">
        <v>16256</v>
      </c>
      <c r="BN858" t="s">
        <v>74</v>
      </c>
      <c r="BO858" t="s">
        <v>425</v>
      </c>
      <c r="BP858" t="s">
        <v>74</v>
      </c>
      <c r="BQ858" t="s">
        <v>74</v>
      </c>
      <c r="BR858" t="s">
        <v>101</v>
      </c>
      <c r="BS858" t="s">
        <v>16257</v>
      </c>
      <c r="BT858" t="str">
        <f>HYPERLINK("https%3A%2F%2Fwww.webofscience.com%2Fwos%2Fwoscc%2Ffull-record%2FWOS:001063259100001","View Full Record in Web of Science")</f>
        <v>View Full Record in Web of Science</v>
      </c>
    </row>
    <row r="859" spans="1:72" x14ac:dyDescent="0.2">
      <c r="A859" t="s">
        <v>103</v>
      </c>
      <c r="B859" t="s">
        <v>16258</v>
      </c>
      <c r="C859" t="s">
        <v>74</v>
      </c>
      <c r="D859" t="s">
        <v>74</v>
      </c>
      <c r="E859" t="s">
        <v>74</v>
      </c>
      <c r="F859" t="s">
        <v>16259</v>
      </c>
      <c r="G859" t="s">
        <v>74</v>
      </c>
      <c r="H859" t="s">
        <v>74</v>
      </c>
      <c r="I859" t="s">
        <v>16260</v>
      </c>
      <c r="J859" t="s">
        <v>4167</v>
      </c>
      <c r="K859" t="s">
        <v>74</v>
      </c>
      <c r="L859" t="s">
        <v>74</v>
      </c>
      <c r="M859" t="s">
        <v>79</v>
      </c>
      <c r="N859" t="s">
        <v>108</v>
      </c>
      <c r="O859" t="s">
        <v>74</v>
      </c>
      <c r="P859" t="s">
        <v>74</v>
      </c>
      <c r="Q859" t="s">
        <v>74</v>
      </c>
      <c r="R859" t="s">
        <v>74</v>
      </c>
      <c r="S859" t="s">
        <v>74</v>
      </c>
      <c r="T859" t="s">
        <v>16261</v>
      </c>
      <c r="U859" t="s">
        <v>16262</v>
      </c>
      <c r="V859" t="s">
        <v>16263</v>
      </c>
      <c r="W859" t="s">
        <v>16264</v>
      </c>
      <c r="X859" t="s">
        <v>16265</v>
      </c>
      <c r="Y859" t="s">
        <v>16266</v>
      </c>
      <c r="Z859" t="s">
        <v>16267</v>
      </c>
      <c r="AA859" t="s">
        <v>74</v>
      </c>
      <c r="AB859" t="s">
        <v>16268</v>
      </c>
      <c r="AC859" t="s">
        <v>16269</v>
      </c>
      <c r="AD859" t="s">
        <v>16270</v>
      </c>
      <c r="AE859" t="s">
        <v>16271</v>
      </c>
      <c r="AF859" t="s">
        <v>74</v>
      </c>
      <c r="AG859">
        <v>32</v>
      </c>
      <c r="AH859">
        <v>15</v>
      </c>
      <c r="AI859">
        <v>15</v>
      </c>
      <c r="AJ859">
        <v>21</v>
      </c>
      <c r="AK859">
        <v>28</v>
      </c>
      <c r="AL859" t="s">
        <v>4176</v>
      </c>
      <c r="AM859" t="s">
        <v>4177</v>
      </c>
      <c r="AN859" t="s">
        <v>4178</v>
      </c>
      <c r="AO859" t="s">
        <v>4179</v>
      </c>
      <c r="AP859" t="s">
        <v>74</v>
      </c>
      <c r="AQ859" t="s">
        <v>74</v>
      </c>
      <c r="AR859" t="s">
        <v>4180</v>
      </c>
      <c r="AS859" t="s">
        <v>4181</v>
      </c>
      <c r="AT859" t="s">
        <v>74</v>
      </c>
      <c r="AU859">
        <v>2023</v>
      </c>
      <c r="AV859">
        <v>9</v>
      </c>
      <c r="AW859" t="s">
        <v>74</v>
      </c>
      <c r="AX859" t="s">
        <v>74</v>
      </c>
      <c r="AY859" t="s">
        <v>74</v>
      </c>
      <c r="AZ859" t="s">
        <v>74</v>
      </c>
      <c r="BA859" t="s">
        <v>74</v>
      </c>
      <c r="BB859" t="s">
        <v>74</v>
      </c>
      <c r="BC859" t="s">
        <v>74</v>
      </c>
      <c r="BD859" t="s">
        <v>16272</v>
      </c>
      <c r="BE859" t="s">
        <v>16273</v>
      </c>
      <c r="BF859" t="str">
        <f>HYPERLINK("http://dx.doi.org/10.2196/46939","http://dx.doi.org/10.2196/46939")</f>
        <v>http://dx.doi.org/10.2196/46939</v>
      </c>
      <c r="BG859" t="s">
        <v>74</v>
      </c>
      <c r="BH859" t="s">
        <v>74</v>
      </c>
      <c r="BI859">
        <v>7</v>
      </c>
      <c r="BJ859" t="s">
        <v>3308</v>
      </c>
      <c r="BK859" t="s">
        <v>352</v>
      </c>
      <c r="BL859" t="s">
        <v>423</v>
      </c>
      <c r="BM859" t="s">
        <v>16274</v>
      </c>
      <c r="BN859">
        <v>37428540</v>
      </c>
      <c r="BO859" t="s">
        <v>1728</v>
      </c>
      <c r="BP859" t="s">
        <v>74</v>
      </c>
      <c r="BQ859" t="s">
        <v>74</v>
      </c>
      <c r="BR859" t="s">
        <v>101</v>
      </c>
      <c r="BS859" t="s">
        <v>16275</v>
      </c>
      <c r="BT859" t="str">
        <f>HYPERLINK("https%3A%2F%2Fwww.webofscience.com%2Fwos%2Fwoscc%2Ffull-record%2FWOS:001033309800002","View Full Record in Web of Science")</f>
        <v>View Full Record in Web of Science</v>
      </c>
    </row>
    <row r="860" spans="1:72" x14ac:dyDescent="0.2">
      <c r="A860" t="s">
        <v>103</v>
      </c>
      <c r="B860" t="s">
        <v>16276</v>
      </c>
      <c r="C860" t="s">
        <v>74</v>
      </c>
      <c r="D860" t="s">
        <v>74</v>
      </c>
      <c r="E860" t="s">
        <v>74</v>
      </c>
      <c r="F860" t="s">
        <v>16277</v>
      </c>
      <c r="G860" t="s">
        <v>74</v>
      </c>
      <c r="H860" t="s">
        <v>74</v>
      </c>
      <c r="I860" t="s">
        <v>16278</v>
      </c>
      <c r="J860" t="s">
        <v>16279</v>
      </c>
      <c r="K860" t="s">
        <v>74</v>
      </c>
      <c r="L860" t="s">
        <v>74</v>
      </c>
      <c r="M860" t="s">
        <v>79</v>
      </c>
      <c r="N860" t="s">
        <v>108</v>
      </c>
      <c r="O860" t="s">
        <v>74</v>
      </c>
      <c r="P860" t="s">
        <v>74</v>
      </c>
      <c r="Q860" t="s">
        <v>74</v>
      </c>
      <c r="R860" t="s">
        <v>74</v>
      </c>
      <c r="S860" t="s">
        <v>74</v>
      </c>
      <c r="T860" t="s">
        <v>16280</v>
      </c>
      <c r="U860" t="s">
        <v>391</v>
      </c>
      <c r="V860" t="s">
        <v>16281</v>
      </c>
      <c r="W860" t="s">
        <v>16282</v>
      </c>
      <c r="X860" t="s">
        <v>16283</v>
      </c>
      <c r="Y860" t="s">
        <v>16284</v>
      </c>
      <c r="Z860" t="s">
        <v>8816</v>
      </c>
      <c r="AA860" t="s">
        <v>8817</v>
      </c>
      <c r="AB860" t="s">
        <v>8818</v>
      </c>
      <c r="AC860" t="s">
        <v>74</v>
      </c>
      <c r="AD860" t="s">
        <v>74</v>
      </c>
      <c r="AE860" t="s">
        <v>74</v>
      </c>
      <c r="AF860" t="s">
        <v>74</v>
      </c>
      <c r="AG860">
        <v>11</v>
      </c>
      <c r="AH860">
        <v>1</v>
      </c>
      <c r="AI860">
        <v>1</v>
      </c>
      <c r="AJ860">
        <v>4</v>
      </c>
      <c r="AK860">
        <v>4</v>
      </c>
      <c r="AL860" t="s">
        <v>2010</v>
      </c>
      <c r="AM860" t="s">
        <v>93</v>
      </c>
      <c r="AN860" t="s">
        <v>2011</v>
      </c>
      <c r="AO860" t="s">
        <v>16285</v>
      </c>
      <c r="AP860" t="s">
        <v>16286</v>
      </c>
      <c r="AQ860" t="s">
        <v>74</v>
      </c>
      <c r="AR860" t="s">
        <v>16287</v>
      </c>
      <c r="AS860" t="s">
        <v>16288</v>
      </c>
      <c r="AT860" t="s">
        <v>276</v>
      </c>
      <c r="AU860">
        <v>2023</v>
      </c>
      <c r="AV860">
        <v>136</v>
      </c>
      <c r="AW860">
        <v>11</v>
      </c>
      <c r="AX860" t="s">
        <v>74</v>
      </c>
      <c r="AY860" t="s">
        <v>74</v>
      </c>
      <c r="AZ860" t="s">
        <v>74</v>
      </c>
      <c r="BA860" t="s">
        <v>74</v>
      </c>
      <c r="BB860">
        <v>1119</v>
      </c>
      <c r="BC860" t="s">
        <v>8886</v>
      </c>
      <c r="BD860" t="s">
        <v>74</v>
      </c>
      <c r="BE860" t="s">
        <v>16289</v>
      </c>
      <c r="BF860" t="str">
        <f>HYPERLINK("http://dx.doi.org/10.1016/j.amjmed.2023.08.003","http://dx.doi.org/10.1016/j.amjmed.2023.08.003")</f>
        <v>http://dx.doi.org/10.1016/j.amjmed.2023.08.003</v>
      </c>
      <c r="BG860" t="s">
        <v>74</v>
      </c>
      <c r="BH860" t="s">
        <v>1886</v>
      </c>
      <c r="BI860">
        <v>23</v>
      </c>
      <c r="BJ860" t="s">
        <v>3440</v>
      </c>
      <c r="BK860" t="s">
        <v>130</v>
      </c>
      <c r="BL860" t="s">
        <v>3441</v>
      </c>
      <c r="BM860" t="s">
        <v>16290</v>
      </c>
      <c r="BN860">
        <v>37643659</v>
      </c>
      <c r="BO860" t="s">
        <v>74</v>
      </c>
      <c r="BP860" t="s">
        <v>74</v>
      </c>
      <c r="BQ860" t="s">
        <v>74</v>
      </c>
      <c r="BR860" t="s">
        <v>101</v>
      </c>
      <c r="BS860" t="s">
        <v>16291</v>
      </c>
      <c r="BT860" t="str">
        <f>HYPERLINK("https%3A%2F%2Fwww.webofscience.com%2Fwos%2Fwoscc%2Ffull-record%2FWOS:001095121700001","View Full Record in Web of Science")</f>
        <v>View Full Record in Web of Science</v>
      </c>
    </row>
    <row r="861" spans="1:72" x14ac:dyDescent="0.2">
      <c r="A861" t="s">
        <v>103</v>
      </c>
      <c r="B861" t="s">
        <v>16292</v>
      </c>
      <c r="C861" t="s">
        <v>74</v>
      </c>
      <c r="D861" t="s">
        <v>74</v>
      </c>
      <c r="E861" t="s">
        <v>74</v>
      </c>
      <c r="F861" t="s">
        <v>16293</v>
      </c>
      <c r="G861" t="s">
        <v>74</v>
      </c>
      <c r="H861" t="s">
        <v>74</v>
      </c>
      <c r="I861" t="s">
        <v>16294</v>
      </c>
      <c r="J861" t="s">
        <v>824</v>
      </c>
      <c r="K861" t="s">
        <v>74</v>
      </c>
      <c r="L861" t="s">
        <v>74</v>
      </c>
      <c r="M861" t="s">
        <v>79</v>
      </c>
      <c r="N861" t="s">
        <v>108</v>
      </c>
      <c r="O861" t="s">
        <v>74</v>
      </c>
      <c r="P861" t="s">
        <v>74</v>
      </c>
      <c r="Q861" t="s">
        <v>74</v>
      </c>
      <c r="R861" t="s">
        <v>74</v>
      </c>
      <c r="S861" t="s">
        <v>74</v>
      </c>
      <c r="T861" t="s">
        <v>16295</v>
      </c>
      <c r="U861" t="s">
        <v>16296</v>
      </c>
      <c r="V861" t="s">
        <v>16297</v>
      </c>
      <c r="W861" t="s">
        <v>16298</v>
      </c>
      <c r="X861" t="s">
        <v>16299</v>
      </c>
      <c r="Y861" t="s">
        <v>11702</v>
      </c>
      <c r="Z861" t="s">
        <v>16300</v>
      </c>
      <c r="AA861" t="s">
        <v>16301</v>
      </c>
      <c r="AB861" t="s">
        <v>16302</v>
      </c>
      <c r="AC861" t="s">
        <v>74</v>
      </c>
      <c r="AD861" t="s">
        <v>74</v>
      </c>
      <c r="AE861" t="s">
        <v>74</v>
      </c>
      <c r="AF861" t="s">
        <v>74</v>
      </c>
      <c r="AG861">
        <v>45</v>
      </c>
      <c r="AH861">
        <v>0</v>
      </c>
      <c r="AI861">
        <v>0</v>
      </c>
      <c r="AJ861">
        <v>32</v>
      </c>
      <c r="AK861">
        <v>32</v>
      </c>
      <c r="AL861" t="s">
        <v>833</v>
      </c>
      <c r="AM861" t="s">
        <v>834</v>
      </c>
      <c r="AN861" t="s">
        <v>835</v>
      </c>
      <c r="AO861" t="s">
        <v>836</v>
      </c>
      <c r="AP861" t="s">
        <v>837</v>
      </c>
      <c r="AQ861" t="s">
        <v>74</v>
      </c>
      <c r="AR861" t="s">
        <v>838</v>
      </c>
      <c r="AS861" t="s">
        <v>839</v>
      </c>
      <c r="AT861" t="s">
        <v>74</v>
      </c>
      <c r="AU861">
        <v>2023</v>
      </c>
      <c r="AV861">
        <v>39</v>
      </c>
      <c r="AW861">
        <v>4</v>
      </c>
      <c r="AX861" t="s">
        <v>74</v>
      </c>
      <c r="AY861" t="s">
        <v>74</v>
      </c>
      <c r="AZ861" t="s">
        <v>253</v>
      </c>
      <c r="BA861" t="s">
        <v>74</v>
      </c>
      <c r="BB861">
        <v>89</v>
      </c>
      <c r="BC861">
        <v>103</v>
      </c>
      <c r="BD861" t="s">
        <v>74</v>
      </c>
      <c r="BE861" t="s">
        <v>16303</v>
      </c>
      <c r="BF861" t="str">
        <f>HYPERLINK("http://dx.doi.org/10.14742/ajet.8598","http://dx.doi.org/10.14742/ajet.8598")</f>
        <v>http://dx.doi.org/10.14742/ajet.8598</v>
      </c>
      <c r="BG861" t="s">
        <v>74</v>
      </c>
      <c r="BH861" t="s">
        <v>74</v>
      </c>
      <c r="BI861">
        <v>15</v>
      </c>
      <c r="BJ861" t="s">
        <v>423</v>
      </c>
      <c r="BK861" t="s">
        <v>159</v>
      </c>
      <c r="BL861" t="s">
        <v>423</v>
      </c>
      <c r="BM861" t="s">
        <v>12665</v>
      </c>
      <c r="BN861" t="s">
        <v>74</v>
      </c>
      <c r="BO861" t="s">
        <v>425</v>
      </c>
      <c r="BP861" t="s">
        <v>74</v>
      </c>
      <c r="BQ861" t="s">
        <v>74</v>
      </c>
      <c r="BR861" t="s">
        <v>101</v>
      </c>
      <c r="BS861" t="s">
        <v>16304</v>
      </c>
      <c r="BT861" t="str">
        <f>HYPERLINK("https%3A%2F%2Fwww.webofscience.com%2Fwos%2Fwoscc%2Ffull-record%2FWOS:001115427000006","View Full Record in Web of Science")</f>
        <v>View Full Record in Web of Science</v>
      </c>
    </row>
    <row r="862" spans="1:72" x14ac:dyDescent="0.2">
      <c r="A862" t="s">
        <v>72</v>
      </c>
      <c r="B862" t="s">
        <v>16305</v>
      </c>
      <c r="C862" t="s">
        <v>74</v>
      </c>
      <c r="D862" t="s">
        <v>74</v>
      </c>
      <c r="E862" t="s">
        <v>75</v>
      </c>
      <c r="F862" t="s">
        <v>16306</v>
      </c>
      <c r="G862" t="s">
        <v>74</v>
      </c>
      <c r="H862" t="s">
        <v>74</v>
      </c>
      <c r="I862" t="s">
        <v>16307</v>
      </c>
      <c r="J862" t="s">
        <v>5495</v>
      </c>
      <c r="K862" t="s">
        <v>74</v>
      </c>
      <c r="L862" t="s">
        <v>74</v>
      </c>
      <c r="M862" t="s">
        <v>79</v>
      </c>
      <c r="N862" t="s">
        <v>80</v>
      </c>
      <c r="O862" t="s">
        <v>1637</v>
      </c>
      <c r="P862" t="s">
        <v>1638</v>
      </c>
      <c r="Q862" t="s">
        <v>1639</v>
      </c>
      <c r="R862" t="s">
        <v>1640</v>
      </c>
      <c r="S862" t="s">
        <v>74</v>
      </c>
      <c r="T862" t="s">
        <v>16308</v>
      </c>
      <c r="U862" t="s">
        <v>74</v>
      </c>
      <c r="V862" t="s">
        <v>16309</v>
      </c>
      <c r="W862" t="s">
        <v>16310</v>
      </c>
      <c r="X862" t="s">
        <v>16311</v>
      </c>
      <c r="Y862" t="s">
        <v>16312</v>
      </c>
      <c r="Z862" t="s">
        <v>16313</v>
      </c>
      <c r="AA862" t="s">
        <v>74</v>
      </c>
      <c r="AB862" t="s">
        <v>16314</v>
      </c>
      <c r="AC862" t="s">
        <v>16315</v>
      </c>
      <c r="AD862" t="s">
        <v>16315</v>
      </c>
      <c r="AE862" t="s">
        <v>16316</v>
      </c>
      <c r="AF862" t="s">
        <v>74</v>
      </c>
      <c r="AG862">
        <v>50</v>
      </c>
      <c r="AH862">
        <v>1</v>
      </c>
      <c r="AI862">
        <v>2</v>
      </c>
      <c r="AJ862">
        <v>4</v>
      </c>
      <c r="AK862">
        <v>4</v>
      </c>
      <c r="AL862" t="s">
        <v>92</v>
      </c>
      <c r="AM862" t="s">
        <v>93</v>
      </c>
      <c r="AN862" t="s">
        <v>94</v>
      </c>
      <c r="AO862" t="s">
        <v>74</v>
      </c>
      <c r="AP862" t="s">
        <v>74</v>
      </c>
      <c r="AQ862" t="s">
        <v>1651</v>
      </c>
      <c r="AR862" t="s">
        <v>74</v>
      </c>
      <c r="AS862" t="s">
        <v>74</v>
      </c>
      <c r="AT862" t="s">
        <v>74</v>
      </c>
      <c r="AU862">
        <v>2023</v>
      </c>
      <c r="AV862" t="s">
        <v>74</v>
      </c>
      <c r="AW862" t="s">
        <v>74</v>
      </c>
      <c r="AX862" t="s">
        <v>74</v>
      </c>
      <c r="AY862" t="s">
        <v>74</v>
      </c>
      <c r="AZ862" t="s">
        <v>74</v>
      </c>
      <c r="BA862" t="s">
        <v>74</v>
      </c>
      <c r="BB862" t="s">
        <v>74</v>
      </c>
      <c r="BC862" t="s">
        <v>74</v>
      </c>
      <c r="BD862" t="s">
        <v>74</v>
      </c>
      <c r="BE862" t="s">
        <v>16317</v>
      </c>
      <c r="BF862" t="str">
        <f>HYPERLINK("http://dx.doi.org/10.1145/3544548.3580969","http://dx.doi.org/10.1145/3544548.3580969")</f>
        <v>http://dx.doi.org/10.1145/3544548.3580969</v>
      </c>
      <c r="BG862" t="s">
        <v>74</v>
      </c>
      <c r="BH862" t="s">
        <v>74</v>
      </c>
      <c r="BI862">
        <v>17</v>
      </c>
      <c r="BJ862" t="s">
        <v>1653</v>
      </c>
      <c r="BK862" t="s">
        <v>98</v>
      </c>
      <c r="BL862" t="s">
        <v>1654</v>
      </c>
      <c r="BM862" t="s">
        <v>5507</v>
      </c>
      <c r="BN862" t="s">
        <v>74</v>
      </c>
      <c r="BO862" t="s">
        <v>646</v>
      </c>
      <c r="BP862" t="s">
        <v>74</v>
      </c>
      <c r="BQ862" t="s">
        <v>74</v>
      </c>
      <c r="BR862" t="s">
        <v>101</v>
      </c>
      <c r="BS862" t="s">
        <v>16318</v>
      </c>
      <c r="BT862" t="str">
        <f>HYPERLINK("https%3A%2F%2Fwww.webofscience.com%2Fwos%2Fwoscc%2Ffull-record%2FWOS:001037809505006","View Full Record in Web of Science")</f>
        <v>View Full Record in Web of Science</v>
      </c>
    </row>
    <row r="863" spans="1:72" x14ac:dyDescent="0.2">
      <c r="A863" t="s">
        <v>72</v>
      </c>
      <c r="B863" t="s">
        <v>16319</v>
      </c>
      <c r="C863" t="s">
        <v>74</v>
      </c>
      <c r="D863" t="s">
        <v>8562</v>
      </c>
      <c r="E863" t="s">
        <v>74</v>
      </c>
      <c r="F863" t="s">
        <v>16320</v>
      </c>
      <c r="G863" t="s">
        <v>74</v>
      </c>
      <c r="H863" t="s">
        <v>74</v>
      </c>
      <c r="I863" t="s">
        <v>16321</v>
      </c>
      <c r="J863" t="s">
        <v>16322</v>
      </c>
      <c r="K863" t="s">
        <v>1034</v>
      </c>
      <c r="L863" t="s">
        <v>74</v>
      </c>
      <c r="M863" t="s">
        <v>79</v>
      </c>
      <c r="N863" t="s">
        <v>80</v>
      </c>
      <c r="O863" t="s">
        <v>8566</v>
      </c>
      <c r="P863" t="s">
        <v>8567</v>
      </c>
      <c r="Q863" t="s">
        <v>8568</v>
      </c>
      <c r="R863" t="s">
        <v>8569</v>
      </c>
      <c r="S863" t="s">
        <v>74</v>
      </c>
      <c r="T863" t="s">
        <v>16323</v>
      </c>
      <c r="U863" t="s">
        <v>16324</v>
      </c>
      <c r="V863" t="s">
        <v>16325</v>
      </c>
      <c r="W863" t="s">
        <v>16326</v>
      </c>
      <c r="X863" t="s">
        <v>5678</v>
      </c>
      <c r="Y863" t="s">
        <v>16327</v>
      </c>
      <c r="Z863" t="s">
        <v>16328</v>
      </c>
      <c r="AA863" t="s">
        <v>74</v>
      </c>
      <c r="AB863" t="s">
        <v>74</v>
      </c>
      <c r="AC863" t="s">
        <v>16329</v>
      </c>
      <c r="AD863" t="s">
        <v>8105</v>
      </c>
      <c r="AE863" t="s">
        <v>16330</v>
      </c>
      <c r="AF863" t="s">
        <v>74</v>
      </c>
      <c r="AG863">
        <v>52</v>
      </c>
      <c r="AH863">
        <v>0</v>
      </c>
      <c r="AI863">
        <v>0</v>
      </c>
      <c r="AJ863">
        <v>0</v>
      </c>
      <c r="AK863">
        <v>0</v>
      </c>
      <c r="AL863" t="s">
        <v>325</v>
      </c>
      <c r="AM863" t="s">
        <v>245</v>
      </c>
      <c r="AN863" t="s">
        <v>246</v>
      </c>
      <c r="AO863" t="s">
        <v>1042</v>
      </c>
      <c r="AP863" t="s">
        <v>327</v>
      </c>
      <c r="AQ863" t="s">
        <v>16331</v>
      </c>
      <c r="AR863" t="s">
        <v>1044</v>
      </c>
      <c r="AS863" t="s">
        <v>74</v>
      </c>
      <c r="AT863" t="s">
        <v>74</v>
      </c>
      <c r="AU863">
        <v>2023</v>
      </c>
      <c r="AV863">
        <v>13717</v>
      </c>
      <c r="AW863" t="s">
        <v>74</v>
      </c>
      <c r="AX863" t="s">
        <v>74</v>
      </c>
      <c r="AY863" t="s">
        <v>74</v>
      </c>
      <c r="AZ863" t="s">
        <v>74</v>
      </c>
      <c r="BA863" t="s">
        <v>74</v>
      </c>
      <c r="BB863">
        <v>174</v>
      </c>
      <c r="BC863">
        <v>190</v>
      </c>
      <c r="BD863" t="s">
        <v>74</v>
      </c>
      <c r="BE863" t="s">
        <v>16332</v>
      </c>
      <c r="BF863" t="str">
        <f>HYPERLINK("http://dx.doi.org/10.1007/978-3-031-26419-1_11","http://dx.doi.org/10.1007/978-3-031-26419-1_11")</f>
        <v>http://dx.doi.org/10.1007/978-3-031-26419-1_11</v>
      </c>
      <c r="BG863" t="s">
        <v>74</v>
      </c>
      <c r="BH863" t="s">
        <v>74</v>
      </c>
      <c r="BI863">
        <v>17</v>
      </c>
      <c r="BJ863" t="s">
        <v>331</v>
      </c>
      <c r="BK863" t="s">
        <v>98</v>
      </c>
      <c r="BL863" t="s">
        <v>99</v>
      </c>
      <c r="BM863" t="s">
        <v>16333</v>
      </c>
      <c r="BN863" t="s">
        <v>74</v>
      </c>
      <c r="BO863" t="s">
        <v>16334</v>
      </c>
      <c r="BP863" t="s">
        <v>74</v>
      </c>
      <c r="BQ863" t="s">
        <v>74</v>
      </c>
      <c r="BR863" t="s">
        <v>101</v>
      </c>
      <c r="BS863" t="s">
        <v>16335</v>
      </c>
      <c r="BT863" t="str">
        <f>HYPERLINK("https%3A%2F%2Fwww.webofscience.com%2Fwos%2Fwoscc%2Ffull-record%2FWOS:000999148200011","View Full Record in Web of Science")</f>
        <v>View Full Record in Web of Science</v>
      </c>
    </row>
    <row r="864" spans="1:72" x14ac:dyDescent="0.2">
      <c r="A864" t="s">
        <v>103</v>
      </c>
      <c r="B864" t="s">
        <v>16336</v>
      </c>
      <c r="C864" t="s">
        <v>74</v>
      </c>
      <c r="D864" t="s">
        <v>74</v>
      </c>
      <c r="E864" t="s">
        <v>74</v>
      </c>
      <c r="F864" t="s">
        <v>16337</v>
      </c>
      <c r="G864" t="s">
        <v>74</v>
      </c>
      <c r="H864" t="s">
        <v>74</v>
      </c>
      <c r="I864" t="s">
        <v>16338</v>
      </c>
      <c r="J864" t="s">
        <v>4686</v>
      </c>
      <c r="K864" t="s">
        <v>74</v>
      </c>
      <c r="L864" t="s">
        <v>74</v>
      </c>
      <c r="M864" t="s">
        <v>79</v>
      </c>
      <c r="N864" t="s">
        <v>108</v>
      </c>
      <c r="O864" t="s">
        <v>74</v>
      </c>
      <c r="P864" t="s">
        <v>74</v>
      </c>
      <c r="Q864" t="s">
        <v>74</v>
      </c>
      <c r="R864" t="s">
        <v>74</v>
      </c>
      <c r="S864" t="s">
        <v>74</v>
      </c>
      <c r="T864" t="s">
        <v>16339</v>
      </c>
      <c r="U864" t="s">
        <v>16340</v>
      </c>
      <c r="V864" t="s">
        <v>16341</v>
      </c>
      <c r="W864" t="s">
        <v>16342</v>
      </c>
      <c r="X864" t="s">
        <v>16343</v>
      </c>
      <c r="Y864" t="s">
        <v>16344</v>
      </c>
      <c r="Z864" t="s">
        <v>16345</v>
      </c>
      <c r="AA864" t="s">
        <v>16346</v>
      </c>
      <c r="AB864" t="s">
        <v>16347</v>
      </c>
      <c r="AC864" t="s">
        <v>74</v>
      </c>
      <c r="AD864" t="s">
        <v>74</v>
      </c>
      <c r="AE864" t="s">
        <v>74</v>
      </c>
      <c r="AF864" t="s">
        <v>74</v>
      </c>
      <c r="AG864">
        <v>16</v>
      </c>
      <c r="AH864">
        <v>11</v>
      </c>
      <c r="AI864">
        <v>11</v>
      </c>
      <c r="AJ864">
        <v>15</v>
      </c>
      <c r="AK864">
        <v>22</v>
      </c>
      <c r="AL864" t="s">
        <v>2032</v>
      </c>
      <c r="AM864" t="s">
        <v>149</v>
      </c>
      <c r="AN864" t="s">
        <v>2033</v>
      </c>
      <c r="AO864" t="s">
        <v>74</v>
      </c>
      <c r="AP864" t="s">
        <v>4694</v>
      </c>
      <c r="AQ864" t="s">
        <v>74</v>
      </c>
      <c r="AR864" t="s">
        <v>4695</v>
      </c>
      <c r="AS864" t="s">
        <v>4696</v>
      </c>
      <c r="AT864" t="s">
        <v>16348</v>
      </c>
      <c r="AU864">
        <v>2023</v>
      </c>
      <c r="AV864">
        <v>15</v>
      </c>
      <c r="AW864">
        <v>6</v>
      </c>
      <c r="AX864" t="s">
        <v>74</v>
      </c>
      <c r="AY864" t="s">
        <v>74</v>
      </c>
      <c r="AZ864" t="s">
        <v>74</v>
      </c>
      <c r="BA864" t="s">
        <v>74</v>
      </c>
      <c r="BB864" t="s">
        <v>74</v>
      </c>
      <c r="BC864" t="s">
        <v>74</v>
      </c>
      <c r="BD864" t="s">
        <v>16349</v>
      </c>
      <c r="BE864" t="s">
        <v>16350</v>
      </c>
      <c r="BF864" t="str">
        <f>HYPERLINK("http://dx.doi.org/10.7759/cureus.40135","http://dx.doi.org/10.7759/cureus.40135")</f>
        <v>http://dx.doi.org/10.7759/cureus.40135</v>
      </c>
      <c r="BG864" t="s">
        <v>74</v>
      </c>
      <c r="BH864" t="s">
        <v>74</v>
      </c>
      <c r="BI864">
        <v>9</v>
      </c>
      <c r="BJ864" t="s">
        <v>3440</v>
      </c>
      <c r="BK864" t="s">
        <v>352</v>
      </c>
      <c r="BL864" t="s">
        <v>3441</v>
      </c>
      <c r="BM864" t="s">
        <v>16351</v>
      </c>
      <c r="BN864">
        <v>37425598</v>
      </c>
      <c r="BO864" t="s">
        <v>1728</v>
      </c>
      <c r="BP864" t="s">
        <v>74</v>
      </c>
      <c r="BQ864" t="s">
        <v>74</v>
      </c>
      <c r="BR864" t="s">
        <v>101</v>
      </c>
      <c r="BS864" t="s">
        <v>16352</v>
      </c>
      <c r="BT864" t="str">
        <f>HYPERLINK("https%3A%2F%2Fwww.webofscience.com%2Fwos%2Fwoscc%2Ffull-record%2FWOS:001022016800005","View Full Record in Web of Science")</f>
        <v>View Full Record in Web of Science</v>
      </c>
    </row>
    <row r="865" spans="1:72" x14ac:dyDescent="0.2">
      <c r="A865" t="s">
        <v>103</v>
      </c>
      <c r="B865" t="s">
        <v>16353</v>
      </c>
      <c r="C865" t="s">
        <v>74</v>
      </c>
      <c r="D865" t="s">
        <v>74</v>
      </c>
      <c r="E865" t="s">
        <v>74</v>
      </c>
      <c r="F865" t="s">
        <v>16354</v>
      </c>
      <c r="G865" t="s">
        <v>74</v>
      </c>
      <c r="H865" t="s">
        <v>74</v>
      </c>
      <c r="I865" t="s">
        <v>16355</v>
      </c>
      <c r="J865" t="s">
        <v>16356</v>
      </c>
      <c r="K865" t="s">
        <v>74</v>
      </c>
      <c r="L865" t="s">
        <v>74</v>
      </c>
      <c r="M865" t="s">
        <v>79</v>
      </c>
      <c r="N865" t="s">
        <v>108</v>
      </c>
      <c r="O865" t="s">
        <v>74</v>
      </c>
      <c r="P865" t="s">
        <v>74</v>
      </c>
      <c r="Q865" t="s">
        <v>74</v>
      </c>
      <c r="R865" t="s">
        <v>74</v>
      </c>
      <c r="S865" t="s">
        <v>74</v>
      </c>
      <c r="T865" t="s">
        <v>16357</v>
      </c>
      <c r="U865" t="s">
        <v>74</v>
      </c>
      <c r="V865" t="s">
        <v>16358</v>
      </c>
      <c r="W865" t="s">
        <v>16359</v>
      </c>
      <c r="X865" t="s">
        <v>16360</v>
      </c>
      <c r="Y865" t="s">
        <v>16361</v>
      </c>
      <c r="Z865" t="s">
        <v>16362</v>
      </c>
      <c r="AA865" t="s">
        <v>74</v>
      </c>
      <c r="AB865" t="s">
        <v>74</v>
      </c>
      <c r="AC865" t="s">
        <v>16363</v>
      </c>
      <c r="AD865" t="s">
        <v>16364</v>
      </c>
      <c r="AE865" t="s">
        <v>16365</v>
      </c>
      <c r="AF865" t="s">
        <v>74</v>
      </c>
      <c r="AG865">
        <v>47</v>
      </c>
      <c r="AH865">
        <v>0</v>
      </c>
      <c r="AI865">
        <v>0</v>
      </c>
      <c r="AJ865">
        <v>4</v>
      </c>
      <c r="AK865">
        <v>4</v>
      </c>
      <c r="AL865" t="s">
        <v>6584</v>
      </c>
      <c r="AM865" t="s">
        <v>149</v>
      </c>
      <c r="AN865" t="s">
        <v>6585</v>
      </c>
      <c r="AO865" t="s">
        <v>16366</v>
      </c>
      <c r="AP865" t="s">
        <v>16367</v>
      </c>
      <c r="AQ865" t="s">
        <v>74</v>
      </c>
      <c r="AR865" t="s">
        <v>16368</v>
      </c>
      <c r="AS865" t="s">
        <v>16369</v>
      </c>
      <c r="AT865" t="s">
        <v>276</v>
      </c>
      <c r="AU865">
        <v>2023</v>
      </c>
      <c r="AV865">
        <v>65</v>
      </c>
      <c r="AW865">
        <v>11</v>
      </c>
      <c r="AX865" t="s">
        <v>74</v>
      </c>
      <c r="AY865" t="s">
        <v>74</v>
      </c>
      <c r="AZ865" t="s">
        <v>74</v>
      </c>
      <c r="BA865" t="s">
        <v>74</v>
      </c>
      <c r="BB865">
        <v>4759</v>
      </c>
      <c r="BC865">
        <v>4795</v>
      </c>
      <c r="BD865" t="s">
        <v>74</v>
      </c>
      <c r="BE865" t="s">
        <v>16370</v>
      </c>
      <c r="BF865" t="str">
        <f>HYPERLINK("http://dx.doi.org/10.1007/s10115-023-01921-7","http://dx.doi.org/10.1007/s10115-023-01921-7")</f>
        <v>http://dx.doi.org/10.1007/s10115-023-01921-7</v>
      </c>
      <c r="BG865" t="s">
        <v>74</v>
      </c>
      <c r="BH865" t="s">
        <v>229</v>
      </c>
      <c r="BI865">
        <v>37</v>
      </c>
      <c r="BJ865" t="s">
        <v>883</v>
      </c>
      <c r="BK865" t="s">
        <v>130</v>
      </c>
      <c r="BL865" t="s">
        <v>99</v>
      </c>
      <c r="BM865" t="s">
        <v>16371</v>
      </c>
      <c r="BN865" t="s">
        <v>74</v>
      </c>
      <c r="BO865" t="s">
        <v>74</v>
      </c>
      <c r="BP865" t="s">
        <v>74</v>
      </c>
      <c r="BQ865" t="s">
        <v>74</v>
      </c>
      <c r="BR865" t="s">
        <v>101</v>
      </c>
      <c r="BS865" t="s">
        <v>16372</v>
      </c>
      <c r="BT865" t="str">
        <f>HYPERLINK("https%3A%2F%2Fwww.webofscience.com%2Fwos%2Fwoscc%2Ffull-record%2FWOS:001031314100001","View Full Record in Web of Science")</f>
        <v>View Full Record in Web of Science</v>
      </c>
    </row>
    <row r="866" spans="1:72" x14ac:dyDescent="0.2">
      <c r="A866" t="s">
        <v>103</v>
      </c>
      <c r="B866" t="s">
        <v>16373</v>
      </c>
      <c r="C866" t="s">
        <v>74</v>
      </c>
      <c r="D866" t="s">
        <v>74</v>
      </c>
      <c r="E866" t="s">
        <v>74</v>
      </c>
      <c r="F866" t="s">
        <v>16374</v>
      </c>
      <c r="G866" t="s">
        <v>74</v>
      </c>
      <c r="H866" t="s">
        <v>74</v>
      </c>
      <c r="I866" t="s">
        <v>16375</v>
      </c>
      <c r="J866" t="s">
        <v>16376</v>
      </c>
      <c r="K866" t="s">
        <v>74</v>
      </c>
      <c r="L866" t="s">
        <v>74</v>
      </c>
      <c r="M866" t="s">
        <v>79</v>
      </c>
      <c r="N866" t="s">
        <v>138</v>
      </c>
      <c r="O866" t="s">
        <v>74</v>
      </c>
      <c r="P866" t="s">
        <v>74</v>
      </c>
      <c r="Q866" t="s">
        <v>74</v>
      </c>
      <c r="R866" t="s">
        <v>74</v>
      </c>
      <c r="S866" t="s">
        <v>74</v>
      </c>
      <c r="T866" t="s">
        <v>16377</v>
      </c>
      <c r="U866" t="s">
        <v>74</v>
      </c>
      <c r="V866" t="s">
        <v>16378</v>
      </c>
      <c r="W866" t="s">
        <v>16379</v>
      </c>
      <c r="X866" t="s">
        <v>16380</v>
      </c>
      <c r="Y866" t="s">
        <v>16381</v>
      </c>
      <c r="Z866" t="s">
        <v>16382</v>
      </c>
      <c r="AA866" t="s">
        <v>16383</v>
      </c>
      <c r="AB866" t="s">
        <v>16384</v>
      </c>
      <c r="AC866" t="s">
        <v>74</v>
      </c>
      <c r="AD866" t="s">
        <v>74</v>
      </c>
      <c r="AE866" t="s">
        <v>74</v>
      </c>
      <c r="AF866" t="s">
        <v>74</v>
      </c>
      <c r="AG866">
        <v>20</v>
      </c>
      <c r="AH866">
        <v>0</v>
      </c>
      <c r="AI866">
        <v>0</v>
      </c>
      <c r="AJ866">
        <v>2</v>
      </c>
      <c r="AK866">
        <v>2</v>
      </c>
      <c r="AL866" t="s">
        <v>16385</v>
      </c>
      <c r="AM866" t="s">
        <v>93</v>
      </c>
      <c r="AN866" t="s">
        <v>16386</v>
      </c>
      <c r="AO866" t="s">
        <v>16387</v>
      </c>
      <c r="AP866" t="s">
        <v>16388</v>
      </c>
      <c r="AQ866" t="s">
        <v>74</v>
      </c>
      <c r="AR866" t="s">
        <v>16389</v>
      </c>
      <c r="AS866" t="s">
        <v>16390</v>
      </c>
      <c r="AT866" t="s">
        <v>4658</v>
      </c>
      <c r="AU866">
        <v>2023</v>
      </c>
      <c r="AV866" t="s">
        <v>74</v>
      </c>
      <c r="AW866" t="s">
        <v>74</v>
      </c>
      <c r="AX866" t="s">
        <v>74</v>
      </c>
      <c r="AY866" t="s">
        <v>74</v>
      </c>
      <c r="AZ866" t="s">
        <v>74</v>
      </c>
      <c r="BA866" t="s">
        <v>74</v>
      </c>
      <c r="BB866" t="s">
        <v>74</v>
      </c>
      <c r="BC866" t="s">
        <v>74</v>
      </c>
      <c r="BD866" t="s">
        <v>74</v>
      </c>
      <c r="BE866" t="s">
        <v>16391</v>
      </c>
      <c r="BF866" t="str">
        <f>HYPERLINK("http://dx.doi.org/10.1055/s-0043-1777746","http://dx.doi.org/10.1055/s-0043-1777746")</f>
        <v>http://dx.doi.org/10.1055/s-0043-1777746</v>
      </c>
      <c r="BG866" t="s">
        <v>74</v>
      </c>
      <c r="BH866" t="s">
        <v>128</v>
      </c>
      <c r="BI866">
        <v>7</v>
      </c>
      <c r="BJ866" t="s">
        <v>5360</v>
      </c>
      <c r="BK866" t="s">
        <v>352</v>
      </c>
      <c r="BL866" t="s">
        <v>5360</v>
      </c>
      <c r="BM866" t="s">
        <v>16392</v>
      </c>
      <c r="BN866" t="s">
        <v>74</v>
      </c>
      <c r="BO866" t="s">
        <v>425</v>
      </c>
      <c r="BP866" t="s">
        <v>74</v>
      </c>
      <c r="BQ866" t="s">
        <v>74</v>
      </c>
      <c r="BR866" t="s">
        <v>101</v>
      </c>
      <c r="BS866" t="s">
        <v>16393</v>
      </c>
      <c r="BT866" t="str">
        <f>HYPERLINK("https%3A%2F%2Fwww.webofscience.com%2Fwos%2Fwoscc%2Ffull-record%2FWOS:001134285800001","View Full Record in Web of Science")</f>
        <v>View Full Record in Web of Science</v>
      </c>
    </row>
    <row r="867" spans="1:72" x14ac:dyDescent="0.2">
      <c r="A867" t="s">
        <v>103</v>
      </c>
      <c r="B867" t="s">
        <v>16394</v>
      </c>
      <c r="C867" t="s">
        <v>74</v>
      </c>
      <c r="D867" t="s">
        <v>74</v>
      </c>
      <c r="E867" t="s">
        <v>74</v>
      </c>
      <c r="F867" t="s">
        <v>16395</v>
      </c>
      <c r="G867" t="s">
        <v>74</v>
      </c>
      <c r="H867" t="s">
        <v>74</v>
      </c>
      <c r="I867" t="s">
        <v>16396</v>
      </c>
      <c r="J867" t="s">
        <v>4805</v>
      </c>
      <c r="K867" t="s">
        <v>74</v>
      </c>
      <c r="L867" t="s">
        <v>74</v>
      </c>
      <c r="M867" t="s">
        <v>79</v>
      </c>
      <c r="N867" t="s">
        <v>138</v>
      </c>
      <c r="O867" t="s">
        <v>74</v>
      </c>
      <c r="P867" t="s">
        <v>74</v>
      </c>
      <c r="Q867" t="s">
        <v>74</v>
      </c>
      <c r="R867" t="s">
        <v>74</v>
      </c>
      <c r="S867" t="s">
        <v>74</v>
      </c>
      <c r="T867" t="s">
        <v>16397</v>
      </c>
      <c r="U867" t="s">
        <v>74</v>
      </c>
      <c r="V867" t="s">
        <v>16398</v>
      </c>
      <c r="W867" t="s">
        <v>16399</v>
      </c>
      <c r="X867" t="s">
        <v>74</v>
      </c>
      <c r="Y867" t="s">
        <v>16400</v>
      </c>
      <c r="Z867" t="s">
        <v>16401</v>
      </c>
      <c r="AA867" t="s">
        <v>74</v>
      </c>
      <c r="AB867" t="s">
        <v>74</v>
      </c>
      <c r="AC867" t="s">
        <v>16402</v>
      </c>
      <c r="AD867" t="s">
        <v>16402</v>
      </c>
      <c r="AE867" t="s">
        <v>16403</v>
      </c>
      <c r="AF867" t="s">
        <v>74</v>
      </c>
      <c r="AG867">
        <v>46</v>
      </c>
      <c r="AH867">
        <v>0</v>
      </c>
      <c r="AI867">
        <v>0</v>
      </c>
      <c r="AJ867">
        <v>9</v>
      </c>
      <c r="AK867">
        <v>9</v>
      </c>
      <c r="AL867" t="s">
        <v>343</v>
      </c>
      <c r="AM867" t="s">
        <v>93</v>
      </c>
      <c r="AN867" t="s">
        <v>344</v>
      </c>
      <c r="AO867" t="s">
        <v>4811</v>
      </c>
      <c r="AP867" t="s">
        <v>4812</v>
      </c>
      <c r="AQ867" t="s">
        <v>74</v>
      </c>
      <c r="AR867" t="s">
        <v>4813</v>
      </c>
      <c r="AS867" t="s">
        <v>4814</v>
      </c>
      <c r="AT867" t="s">
        <v>16404</v>
      </c>
      <c r="AU867">
        <v>2023</v>
      </c>
      <c r="AV867" t="s">
        <v>74</v>
      </c>
      <c r="AW867" t="s">
        <v>74</v>
      </c>
      <c r="AX867" t="s">
        <v>74</v>
      </c>
      <c r="AY867" t="s">
        <v>74</v>
      </c>
      <c r="AZ867" t="s">
        <v>74</v>
      </c>
      <c r="BA867" t="s">
        <v>74</v>
      </c>
      <c r="BB867" t="s">
        <v>74</v>
      </c>
      <c r="BC867" t="s">
        <v>74</v>
      </c>
      <c r="BD867" t="s">
        <v>74</v>
      </c>
      <c r="BE867" t="s">
        <v>16405</v>
      </c>
      <c r="BF867" t="str">
        <f>HYPERLINK("http://dx.doi.org/10.1007/s00146-023-01791-1","http://dx.doi.org/10.1007/s00146-023-01791-1")</f>
        <v>http://dx.doi.org/10.1007/s00146-023-01791-1</v>
      </c>
      <c r="BG867" t="s">
        <v>74</v>
      </c>
      <c r="BH867" t="s">
        <v>1886</v>
      </c>
      <c r="BI867">
        <v>13</v>
      </c>
      <c r="BJ867" t="s">
        <v>304</v>
      </c>
      <c r="BK867" t="s">
        <v>352</v>
      </c>
      <c r="BL867" t="s">
        <v>99</v>
      </c>
      <c r="BM867" t="s">
        <v>16406</v>
      </c>
      <c r="BN867" t="s">
        <v>74</v>
      </c>
      <c r="BO867" t="s">
        <v>2310</v>
      </c>
      <c r="BP867" t="s">
        <v>74</v>
      </c>
      <c r="BQ867" t="s">
        <v>74</v>
      </c>
      <c r="BR867" t="s">
        <v>101</v>
      </c>
      <c r="BS867" t="s">
        <v>16407</v>
      </c>
      <c r="BT867" t="str">
        <f>HYPERLINK("https%3A%2F%2Fwww.webofscience.com%2Fwos%2Fwoscc%2Ffull-record%2FWOS:001118598200001","View Full Record in Web of Science")</f>
        <v>View Full Record in Web of Science</v>
      </c>
    </row>
    <row r="868" spans="1:72" x14ac:dyDescent="0.2">
      <c r="A868" t="s">
        <v>103</v>
      </c>
      <c r="B868" t="s">
        <v>16408</v>
      </c>
      <c r="C868" t="s">
        <v>74</v>
      </c>
      <c r="D868" t="s">
        <v>74</v>
      </c>
      <c r="E868" t="s">
        <v>74</v>
      </c>
      <c r="F868" t="s">
        <v>16409</v>
      </c>
      <c r="G868" t="s">
        <v>74</v>
      </c>
      <c r="H868" t="s">
        <v>74</v>
      </c>
      <c r="I868" t="s">
        <v>16410</v>
      </c>
      <c r="J868" t="s">
        <v>4167</v>
      </c>
      <c r="K868" t="s">
        <v>74</v>
      </c>
      <c r="L868" t="s">
        <v>74</v>
      </c>
      <c r="M868" t="s">
        <v>79</v>
      </c>
      <c r="N868" t="s">
        <v>108</v>
      </c>
      <c r="O868" t="s">
        <v>74</v>
      </c>
      <c r="P868" t="s">
        <v>74</v>
      </c>
      <c r="Q868" t="s">
        <v>74</v>
      </c>
      <c r="R868" t="s">
        <v>74</v>
      </c>
      <c r="S868" t="s">
        <v>74</v>
      </c>
      <c r="T868" t="s">
        <v>16411</v>
      </c>
      <c r="U868" t="s">
        <v>74</v>
      </c>
      <c r="V868" t="s">
        <v>16412</v>
      </c>
      <c r="W868" t="s">
        <v>16413</v>
      </c>
      <c r="X868" t="s">
        <v>16414</v>
      </c>
      <c r="Y868" t="s">
        <v>16415</v>
      </c>
      <c r="Z868" t="s">
        <v>16416</v>
      </c>
      <c r="AA868" t="s">
        <v>74</v>
      </c>
      <c r="AB868" t="s">
        <v>16417</v>
      </c>
      <c r="AC868" t="s">
        <v>74</v>
      </c>
      <c r="AD868" t="s">
        <v>74</v>
      </c>
      <c r="AE868" t="s">
        <v>74</v>
      </c>
      <c r="AF868" t="s">
        <v>74</v>
      </c>
      <c r="AG868">
        <v>21</v>
      </c>
      <c r="AH868">
        <v>3</v>
      </c>
      <c r="AI868">
        <v>3</v>
      </c>
      <c r="AJ868">
        <v>18</v>
      </c>
      <c r="AK868">
        <v>18</v>
      </c>
      <c r="AL868" t="s">
        <v>4176</v>
      </c>
      <c r="AM868" t="s">
        <v>4177</v>
      </c>
      <c r="AN868" t="s">
        <v>4178</v>
      </c>
      <c r="AO868" t="s">
        <v>4179</v>
      </c>
      <c r="AP868" t="s">
        <v>74</v>
      </c>
      <c r="AQ868" t="s">
        <v>74</v>
      </c>
      <c r="AR868" t="s">
        <v>4180</v>
      </c>
      <c r="AS868" t="s">
        <v>4181</v>
      </c>
      <c r="AT868" t="s">
        <v>74</v>
      </c>
      <c r="AU868">
        <v>2023</v>
      </c>
      <c r="AV868">
        <v>9</v>
      </c>
      <c r="AW868" t="s">
        <v>74</v>
      </c>
      <c r="AX868" t="s">
        <v>74</v>
      </c>
      <c r="AY868" t="s">
        <v>74</v>
      </c>
      <c r="AZ868" t="s">
        <v>74</v>
      </c>
      <c r="BA868" t="s">
        <v>74</v>
      </c>
      <c r="BB868" t="s">
        <v>74</v>
      </c>
      <c r="BC868" t="s">
        <v>74</v>
      </c>
      <c r="BD868" t="s">
        <v>16418</v>
      </c>
      <c r="BE868" t="s">
        <v>16419</v>
      </c>
      <c r="BF868" t="str">
        <f>HYPERLINK("http://dx.doi.org/10.2196/49877","http://dx.doi.org/10.2196/49877")</f>
        <v>http://dx.doi.org/10.2196/49877</v>
      </c>
      <c r="BG868" t="s">
        <v>74</v>
      </c>
      <c r="BH868" t="s">
        <v>74</v>
      </c>
      <c r="BI868">
        <v>12</v>
      </c>
      <c r="BJ868" t="s">
        <v>3308</v>
      </c>
      <c r="BK868" t="s">
        <v>352</v>
      </c>
      <c r="BL868" t="s">
        <v>423</v>
      </c>
      <c r="BM868" t="s">
        <v>16420</v>
      </c>
      <c r="BN868">
        <v>37948112</v>
      </c>
      <c r="BO868" t="s">
        <v>4185</v>
      </c>
      <c r="BP868" t="s">
        <v>74</v>
      </c>
      <c r="BQ868" t="s">
        <v>74</v>
      </c>
      <c r="BR868" t="s">
        <v>101</v>
      </c>
      <c r="BS868" t="s">
        <v>16421</v>
      </c>
      <c r="BT868" t="str">
        <f>HYPERLINK("https%3A%2F%2Fwww.webofscience.com%2Fwos%2Fwoscc%2Ffull-record%2FWOS:001104371500001","View Full Record in Web of Science")</f>
        <v>View Full Record in Web of Science</v>
      </c>
    </row>
    <row r="869" spans="1:72" x14ac:dyDescent="0.2">
      <c r="A869" t="s">
        <v>103</v>
      </c>
      <c r="B869" t="s">
        <v>16422</v>
      </c>
      <c r="C869" t="s">
        <v>74</v>
      </c>
      <c r="D869" t="s">
        <v>74</v>
      </c>
      <c r="E869" t="s">
        <v>74</v>
      </c>
      <c r="F869" t="s">
        <v>16423</v>
      </c>
      <c r="G869" t="s">
        <v>74</v>
      </c>
      <c r="H869" t="s">
        <v>74</v>
      </c>
      <c r="I869" t="s">
        <v>16424</v>
      </c>
      <c r="J869" t="s">
        <v>2001</v>
      </c>
      <c r="K869" t="s">
        <v>74</v>
      </c>
      <c r="L869" t="s">
        <v>74</v>
      </c>
      <c r="M869" t="s">
        <v>79</v>
      </c>
      <c r="N869" t="s">
        <v>108</v>
      </c>
      <c r="O869" t="s">
        <v>74</v>
      </c>
      <c r="P869" t="s">
        <v>74</v>
      </c>
      <c r="Q869" t="s">
        <v>74</v>
      </c>
      <c r="R869" t="s">
        <v>74</v>
      </c>
      <c r="S869" t="s">
        <v>74</v>
      </c>
      <c r="T869" t="s">
        <v>16425</v>
      </c>
      <c r="U869" t="s">
        <v>16426</v>
      </c>
      <c r="V869" t="s">
        <v>16427</v>
      </c>
      <c r="W869" t="s">
        <v>16428</v>
      </c>
      <c r="X869" t="s">
        <v>16429</v>
      </c>
      <c r="Y869" t="s">
        <v>16430</v>
      </c>
      <c r="Z869" t="s">
        <v>16431</v>
      </c>
      <c r="AA869" t="s">
        <v>74</v>
      </c>
      <c r="AB869" t="s">
        <v>16432</v>
      </c>
      <c r="AC869" t="s">
        <v>16433</v>
      </c>
      <c r="AD869" t="s">
        <v>16434</v>
      </c>
      <c r="AE869" t="s">
        <v>16435</v>
      </c>
      <c r="AF869" t="s">
        <v>74</v>
      </c>
      <c r="AG869">
        <v>140</v>
      </c>
      <c r="AH869">
        <v>5</v>
      </c>
      <c r="AI869">
        <v>5</v>
      </c>
      <c r="AJ869">
        <v>47</v>
      </c>
      <c r="AK869">
        <v>52</v>
      </c>
      <c r="AL869" t="s">
        <v>2010</v>
      </c>
      <c r="AM869" t="s">
        <v>93</v>
      </c>
      <c r="AN869" t="s">
        <v>2011</v>
      </c>
      <c r="AO869" t="s">
        <v>2012</v>
      </c>
      <c r="AP869" t="s">
        <v>2013</v>
      </c>
      <c r="AQ869" t="s">
        <v>74</v>
      </c>
      <c r="AR869" t="s">
        <v>2014</v>
      </c>
      <c r="AS869" t="s">
        <v>2015</v>
      </c>
      <c r="AT869" t="s">
        <v>615</v>
      </c>
      <c r="AU869">
        <v>2023</v>
      </c>
      <c r="AV869">
        <v>192</v>
      </c>
      <c r="AW869" t="s">
        <v>74</v>
      </c>
      <c r="AX869" t="s">
        <v>74</v>
      </c>
      <c r="AY869" t="s">
        <v>74</v>
      </c>
      <c r="AZ869" t="s">
        <v>74</v>
      </c>
      <c r="BA869" t="s">
        <v>74</v>
      </c>
      <c r="BB869" t="s">
        <v>74</v>
      </c>
      <c r="BC869" t="s">
        <v>74</v>
      </c>
      <c r="BD869">
        <v>122467</v>
      </c>
      <c r="BE869" t="s">
        <v>16436</v>
      </c>
      <c r="BF869" t="str">
        <f>HYPERLINK("http://dx.doi.org/10.1016/j.techfore.2023.122467","http://dx.doi.org/10.1016/j.techfore.2023.122467")</f>
        <v>http://dx.doi.org/10.1016/j.techfore.2023.122467</v>
      </c>
      <c r="BG869" t="s">
        <v>74</v>
      </c>
      <c r="BH869" t="s">
        <v>1431</v>
      </c>
      <c r="BI869">
        <v>20</v>
      </c>
      <c r="BJ869" t="s">
        <v>2018</v>
      </c>
      <c r="BK869" t="s">
        <v>159</v>
      </c>
      <c r="BL869" t="s">
        <v>2019</v>
      </c>
      <c r="BM869" t="s">
        <v>16437</v>
      </c>
      <c r="BN869" t="s">
        <v>74</v>
      </c>
      <c r="BO869" t="s">
        <v>74</v>
      </c>
      <c r="BP869" t="s">
        <v>74</v>
      </c>
      <c r="BQ869" t="s">
        <v>74</v>
      </c>
      <c r="BR869" t="s">
        <v>101</v>
      </c>
      <c r="BS869" t="s">
        <v>16438</v>
      </c>
      <c r="BT869" t="str">
        <f>HYPERLINK("https%3A%2F%2Fwww.webofscience.com%2Fwos%2Fwoscc%2Ffull-record%2FWOS:001058549200001","View Full Record in Web of Science")</f>
        <v>View Full Record in Web of Science</v>
      </c>
    </row>
    <row r="870" spans="1:72" x14ac:dyDescent="0.2">
      <c r="A870" t="s">
        <v>72</v>
      </c>
      <c r="B870" t="s">
        <v>16439</v>
      </c>
      <c r="C870" t="s">
        <v>74</v>
      </c>
      <c r="D870" t="s">
        <v>74</v>
      </c>
      <c r="E870" t="s">
        <v>284</v>
      </c>
      <c r="F870" t="s">
        <v>16440</v>
      </c>
      <c r="G870" t="s">
        <v>74</v>
      </c>
      <c r="H870" t="s">
        <v>74</v>
      </c>
      <c r="I870" t="s">
        <v>16441</v>
      </c>
      <c r="J870" t="s">
        <v>16442</v>
      </c>
      <c r="K870" t="s">
        <v>74</v>
      </c>
      <c r="L870" t="s">
        <v>74</v>
      </c>
      <c r="M870" t="s">
        <v>79</v>
      </c>
      <c r="N870" t="s">
        <v>80</v>
      </c>
      <c r="O870" t="s">
        <v>16443</v>
      </c>
      <c r="P870" t="s">
        <v>16444</v>
      </c>
      <c r="Q870" t="s">
        <v>16445</v>
      </c>
      <c r="R870" t="s">
        <v>16446</v>
      </c>
      <c r="S870" t="s">
        <v>74</v>
      </c>
      <c r="T870" t="s">
        <v>16447</v>
      </c>
      <c r="U870" t="s">
        <v>74</v>
      </c>
      <c r="V870" t="s">
        <v>16448</v>
      </c>
      <c r="W870" t="s">
        <v>16449</v>
      </c>
      <c r="X870" t="s">
        <v>16450</v>
      </c>
      <c r="Y870" t="s">
        <v>16451</v>
      </c>
      <c r="Z870" t="s">
        <v>74</v>
      </c>
      <c r="AA870" t="s">
        <v>74</v>
      </c>
      <c r="AB870" t="s">
        <v>74</v>
      </c>
      <c r="AC870" t="s">
        <v>16452</v>
      </c>
      <c r="AD870" t="s">
        <v>16453</v>
      </c>
      <c r="AE870" t="s">
        <v>16454</v>
      </c>
      <c r="AF870" t="s">
        <v>74</v>
      </c>
      <c r="AG870">
        <v>22</v>
      </c>
      <c r="AH870">
        <v>0</v>
      </c>
      <c r="AI870">
        <v>0</v>
      </c>
      <c r="AJ870">
        <v>0</v>
      </c>
      <c r="AK870">
        <v>0</v>
      </c>
      <c r="AL870" t="s">
        <v>284</v>
      </c>
      <c r="AM870" t="s">
        <v>93</v>
      </c>
      <c r="AN870" t="s">
        <v>299</v>
      </c>
      <c r="AO870" t="s">
        <v>74</v>
      </c>
      <c r="AP870" t="s">
        <v>74</v>
      </c>
      <c r="AQ870" t="s">
        <v>16455</v>
      </c>
      <c r="AR870" t="s">
        <v>74</v>
      </c>
      <c r="AS870" t="s">
        <v>74</v>
      </c>
      <c r="AT870" t="s">
        <v>74</v>
      </c>
      <c r="AU870">
        <v>2023</v>
      </c>
      <c r="AV870" t="s">
        <v>74</v>
      </c>
      <c r="AW870" t="s">
        <v>74</v>
      </c>
      <c r="AX870" t="s">
        <v>74</v>
      </c>
      <c r="AY870" t="s">
        <v>74</v>
      </c>
      <c r="AZ870" t="s">
        <v>74</v>
      </c>
      <c r="BA870" t="s">
        <v>74</v>
      </c>
      <c r="BB870">
        <v>1925</v>
      </c>
      <c r="BC870">
        <v>1929</v>
      </c>
      <c r="BD870" t="s">
        <v>74</v>
      </c>
      <c r="BE870" t="s">
        <v>16456</v>
      </c>
      <c r="BF870" t="str">
        <f>HYPERLINK("http://dx.doi.org/10.1109/ICIP49359.2023.10222285","http://dx.doi.org/10.1109/ICIP49359.2023.10222285")</f>
        <v>http://dx.doi.org/10.1109/ICIP49359.2023.10222285</v>
      </c>
      <c r="BG870" t="s">
        <v>74</v>
      </c>
      <c r="BH870" t="s">
        <v>74</v>
      </c>
      <c r="BI870">
        <v>5</v>
      </c>
      <c r="BJ870" t="s">
        <v>331</v>
      </c>
      <c r="BK870" t="s">
        <v>98</v>
      </c>
      <c r="BL870" t="s">
        <v>99</v>
      </c>
      <c r="BM870" t="s">
        <v>16457</v>
      </c>
      <c r="BN870" t="s">
        <v>74</v>
      </c>
      <c r="BO870" t="s">
        <v>74</v>
      </c>
      <c r="BP870" t="s">
        <v>74</v>
      </c>
      <c r="BQ870" t="s">
        <v>74</v>
      </c>
      <c r="BR870" t="s">
        <v>101</v>
      </c>
      <c r="BS870" t="s">
        <v>16458</v>
      </c>
      <c r="BT870" t="str">
        <f>HYPERLINK("https%3A%2F%2Fwww.webofscience.com%2Fwos%2Fwoscc%2Ffull-record%2FWOS:001106821002004","View Full Record in Web of Science")</f>
        <v>View Full Record in Web of Science</v>
      </c>
    </row>
    <row r="871" spans="1:72" x14ac:dyDescent="0.2">
      <c r="A871" t="s">
        <v>72</v>
      </c>
      <c r="B871" t="s">
        <v>16459</v>
      </c>
      <c r="C871" t="s">
        <v>74</v>
      </c>
      <c r="D871" t="s">
        <v>3598</v>
      </c>
      <c r="E871" t="s">
        <v>74</v>
      </c>
      <c r="F871" t="s">
        <v>16460</v>
      </c>
      <c r="G871" t="s">
        <v>74</v>
      </c>
      <c r="H871" t="s">
        <v>74</v>
      </c>
      <c r="I871" t="s">
        <v>16461</v>
      </c>
      <c r="J871" t="s">
        <v>3601</v>
      </c>
      <c r="K871" t="s">
        <v>312</v>
      </c>
      <c r="L871" t="s">
        <v>74</v>
      </c>
      <c r="M871" t="s">
        <v>79</v>
      </c>
      <c r="N871" t="s">
        <v>80</v>
      </c>
      <c r="O871" t="s">
        <v>3602</v>
      </c>
      <c r="P871" t="s">
        <v>3603</v>
      </c>
      <c r="Q871" t="s">
        <v>3604</v>
      </c>
      <c r="R871" t="s">
        <v>74</v>
      </c>
      <c r="S871" t="s">
        <v>74</v>
      </c>
      <c r="T871" t="s">
        <v>16462</v>
      </c>
      <c r="U871" t="s">
        <v>16463</v>
      </c>
      <c r="V871" t="s">
        <v>16464</v>
      </c>
      <c r="W871" t="s">
        <v>16465</v>
      </c>
      <c r="X871" t="s">
        <v>3608</v>
      </c>
      <c r="Y871" t="s">
        <v>16466</v>
      </c>
      <c r="Z871" t="s">
        <v>16467</v>
      </c>
      <c r="AA871" t="s">
        <v>74</v>
      </c>
      <c r="AB871" t="s">
        <v>16468</v>
      </c>
      <c r="AC871" t="s">
        <v>16469</v>
      </c>
      <c r="AD871" t="s">
        <v>16470</v>
      </c>
      <c r="AE871" t="s">
        <v>16471</v>
      </c>
      <c r="AF871" t="s">
        <v>74</v>
      </c>
      <c r="AG871">
        <v>26</v>
      </c>
      <c r="AH871">
        <v>0</v>
      </c>
      <c r="AI871">
        <v>0</v>
      </c>
      <c r="AJ871">
        <v>1</v>
      </c>
      <c r="AK871">
        <v>1</v>
      </c>
      <c r="AL871" t="s">
        <v>325</v>
      </c>
      <c r="AM871" t="s">
        <v>245</v>
      </c>
      <c r="AN871" t="s">
        <v>246</v>
      </c>
      <c r="AO871" t="s">
        <v>326</v>
      </c>
      <c r="AP871" t="s">
        <v>327</v>
      </c>
      <c r="AQ871" t="s">
        <v>3614</v>
      </c>
      <c r="AR871" t="s">
        <v>329</v>
      </c>
      <c r="AS871" t="s">
        <v>74</v>
      </c>
      <c r="AT871" t="s">
        <v>74</v>
      </c>
      <c r="AU871">
        <v>2023</v>
      </c>
      <c r="AV871">
        <v>13988</v>
      </c>
      <c r="AW871" t="s">
        <v>74</v>
      </c>
      <c r="AX871" t="s">
        <v>74</v>
      </c>
      <c r="AY871" t="s">
        <v>74</v>
      </c>
      <c r="AZ871" t="s">
        <v>74</v>
      </c>
      <c r="BA871" t="s">
        <v>74</v>
      </c>
      <c r="BB871">
        <v>3</v>
      </c>
      <c r="BC871">
        <v>19</v>
      </c>
      <c r="BD871" t="s">
        <v>74</v>
      </c>
      <c r="BE871" t="s">
        <v>16472</v>
      </c>
      <c r="BF871" t="str">
        <f>HYPERLINK("http://dx.doi.org/10.1007/978-3-031-29956-8_1","http://dx.doi.org/10.1007/978-3-031-29956-8_1")</f>
        <v>http://dx.doi.org/10.1007/978-3-031-29956-8_1</v>
      </c>
      <c r="BG871" t="s">
        <v>74</v>
      </c>
      <c r="BH871" t="s">
        <v>74</v>
      </c>
      <c r="BI871">
        <v>17</v>
      </c>
      <c r="BJ871" t="s">
        <v>1851</v>
      </c>
      <c r="BK871" t="s">
        <v>98</v>
      </c>
      <c r="BL871" t="s">
        <v>99</v>
      </c>
      <c r="BM871" t="s">
        <v>3616</v>
      </c>
      <c r="BN871" t="s">
        <v>74</v>
      </c>
      <c r="BO871" t="s">
        <v>646</v>
      </c>
      <c r="BP871" t="s">
        <v>74</v>
      </c>
      <c r="BQ871" t="s">
        <v>74</v>
      </c>
      <c r="BR871" t="s">
        <v>101</v>
      </c>
      <c r="BS871" t="s">
        <v>16473</v>
      </c>
      <c r="BT871" t="str">
        <f>HYPERLINK("https%3A%2F%2Fwww.webofscience.com%2Fwos%2Fwoscc%2Ffull-record%2FWOS:000999872400001","View Full Record in Web of Science")</f>
        <v>View Full Record in Web of Science</v>
      </c>
    </row>
    <row r="872" spans="1:72" x14ac:dyDescent="0.2">
      <c r="A872" t="s">
        <v>9937</v>
      </c>
      <c r="B872" t="s">
        <v>16474</v>
      </c>
      <c r="C872" t="s">
        <v>74</v>
      </c>
      <c r="D872" t="s">
        <v>16475</v>
      </c>
      <c r="E872" t="s">
        <v>74</v>
      </c>
      <c r="F872" t="s">
        <v>16476</v>
      </c>
      <c r="G872" t="s">
        <v>74</v>
      </c>
      <c r="H872" t="s">
        <v>74</v>
      </c>
      <c r="I872" t="s">
        <v>16477</v>
      </c>
      <c r="J872" t="s">
        <v>16478</v>
      </c>
      <c r="K872" t="s">
        <v>16479</v>
      </c>
      <c r="L872" t="s">
        <v>74</v>
      </c>
      <c r="M872" t="s">
        <v>79</v>
      </c>
      <c r="N872" t="s">
        <v>16480</v>
      </c>
      <c r="O872" t="s">
        <v>74</v>
      </c>
      <c r="P872" t="s">
        <v>74</v>
      </c>
      <c r="Q872" t="s">
        <v>74</v>
      </c>
      <c r="R872" t="s">
        <v>74</v>
      </c>
      <c r="S872" t="s">
        <v>74</v>
      </c>
      <c r="T872" t="s">
        <v>16481</v>
      </c>
      <c r="U872" t="s">
        <v>74</v>
      </c>
      <c r="V872" t="s">
        <v>16482</v>
      </c>
      <c r="W872" t="s">
        <v>16483</v>
      </c>
      <c r="X872" t="s">
        <v>74</v>
      </c>
      <c r="Y872" t="s">
        <v>16484</v>
      </c>
      <c r="Z872" t="s">
        <v>74</v>
      </c>
      <c r="AA872" t="s">
        <v>74</v>
      </c>
      <c r="AB872" t="s">
        <v>74</v>
      </c>
      <c r="AC872" t="s">
        <v>74</v>
      </c>
      <c r="AD872" t="s">
        <v>74</v>
      </c>
      <c r="AE872" t="s">
        <v>74</v>
      </c>
      <c r="AF872" t="s">
        <v>74</v>
      </c>
      <c r="AG872">
        <v>24</v>
      </c>
      <c r="AH872">
        <v>0</v>
      </c>
      <c r="AI872">
        <v>0</v>
      </c>
      <c r="AJ872">
        <v>1</v>
      </c>
      <c r="AK872">
        <v>1</v>
      </c>
      <c r="AL872" t="s">
        <v>16485</v>
      </c>
      <c r="AM872" t="s">
        <v>120</v>
      </c>
      <c r="AN872" t="s">
        <v>16486</v>
      </c>
      <c r="AO872" t="s">
        <v>74</v>
      </c>
      <c r="AP872" t="s">
        <v>74</v>
      </c>
      <c r="AQ872" t="s">
        <v>16487</v>
      </c>
      <c r="AR872" t="s">
        <v>16488</v>
      </c>
      <c r="AS872" t="s">
        <v>74</v>
      </c>
      <c r="AT872" t="s">
        <v>74</v>
      </c>
      <c r="AU872">
        <v>2023</v>
      </c>
      <c r="AV872">
        <v>15</v>
      </c>
      <c r="AW872" t="s">
        <v>74</v>
      </c>
      <c r="AX872" t="s">
        <v>74</v>
      </c>
      <c r="AY872" t="s">
        <v>74</v>
      </c>
      <c r="AZ872" t="s">
        <v>74</v>
      </c>
      <c r="BA872" t="s">
        <v>74</v>
      </c>
      <c r="BB872">
        <v>27</v>
      </c>
      <c r="BC872">
        <v>42</v>
      </c>
      <c r="BD872" t="s">
        <v>74</v>
      </c>
      <c r="BE872" t="s">
        <v>74</v>
      </c>
      <c r="BF872" t="s">
        <v>74</v>
      </c>
      <c r="BG872" t="s">
        <v>74</v>
      </c>
      <c r="BH872" t="s">
        <v>74</v>
      </c>
      <c r="BI872">
        <v>16</v>
      </c>
      <c r="BJ872" t="s">
        <v>863</v>
      </c>
      <c r="BK872" t="s">
        <v>16489</v>
      </c>
      <c r="BL872" t="s">
        <v>644</v>
      </c>
      <c r="BM872" t="s">
        <v>16490</v>
      </c>
      <c r="BN872" t="s">
        <v>74</v>
      </c>
      <c r="BO872" t="s">
        <v>74</v>
      </c>
      <c r="BP872" t="s">
        <v>74</v>
      </c>
      <c r="BQ872" t="s">
        <v>74</v>
      </c>
      <c r="BR872" t="s">
        <v>101</v>
      </c>
      <c r="BS872" t="s">
        <v>16491</v>
      </c>
      <c r="BT872" t="str">
        <f>HYPERLINK("https%3A%2F%2Fwww.webofscience.com%2Fwos%2Fwoscc%2Ffull-record%2FWOS:001105787900003","View Full Record in Web of Science")</f>
        <v>View Full Record in Web of Science</v>
      </c>
    </row>
    <row r="873" spans="1:72" x14ac:dyDescent="0.2">
      <c r="A873" t="s">
        <v>72</v>
      </c>
      <c r="B873" t="s">
        <v>16492</v>
      </c>
      <c r="C873" t="s">
        <v>74</v>
      </c>
      <c r="D873" t="s">
        <v>74</v>
      </c>
      <c r="E873" t="s">
        <v>1223</v>
      </c>
      <c r="F873" t="s">
        <v>16493</v>
      </c>
      <c r="G873" t="s">
        <v>74</v>
      </c>
      <c r="H873" t="s">
        <v>74</v>
      </c>
      <c r="I873" t="s">
        <v>16494</v>
      </c>
      <c r="J873" t="s">
        <v>13819</v>
      </c>
      <c r="K873" t="s">
        <v>74</v>
      </c>
      <c r="L873" t="s">
        <v>74</v>
      </c>
      <c r="M873" t="s">
        <v>79</v>
      </c>
      <c r="N873" t="s">
        <v>80</v>
      </c>
      <c r="O873" t="s">
        <v>13820</v>
      </c>
      <c r="P873" t="s">
        <v>13821</v>
      </c>
      <c r="Q873" t="s">
        <v>13822</v>
      </c>
      <c r="R873" t="s">
        <v>1842</v>
      </c>
      <c r="S873" t="s">
        <v>74</v>
      </c>
      <c r="T873" t="s">
        <v>16495</v>
      </c>
      <c r="U873" t="s">
        <v>74</v>
      </c>
      <c r="V873" t="s">
        <v>16496</v>
      </c>
      <c r="W873" t="s">
        <v>16497</v>
      </c>
      <c r="X873" t="s">
        <v>16498</v>
      </c>
      <c r="Y873" t="s">
        <v>16499</v>
      </c>
      <c r="Z873" t="s">
        <v>16500</v>
      </c>
      <c r="AA873" t="s">
        <v>16501</v>
      </c>
      <c r="AB873" t="s">
        <v>16502</v>
      </c>
      <c r="AC873" t="s">
        <v>16503</v>
      </c>
      <c r="AD873" t="s">
        <v>16504</v>
      </c>
      <c r="AE873" t="s">
        <v>16505</v>
      </c>
      <c r="AF873" t="s">
        <v>74</v>
      </c>
      <c r="AG873">
        <v>41</v>
      </c>
      <c r="AH873">
        <v>2</v>
      </c>
      <c r="AI873">
        <v>2</v>
      </c>
      <c r="AJ873">
        <v>4</v>
      </c>
      <c r="AK873">
        <v>4</v>
      </c>
      <c r="AL873" t="s">
        <v>92</v>
      </c>
      <c r="AM873" t="s">
        <v>93</v>
      </c>
      <c r="AN873" t="s">
        <v>94</v>
      </c>
      <c r="AO873" t="s">
        <v>74</v>
      </c>
      <c r="AP873" t="s">
        <v>74</v>
      </c>
      <c r="AQ873" t="s">
        <v>13831</v>
      </c>
      <c r="AR873" t="s">
        <v>74</v>
      </c>
      <c r="AS873" t="s">
        <v>74</v>
      </c>
      <c r="AT873" t="s">
        <v>74</v>
      </c>
      <c r="AU873">
        <v>2023</v>
      </c>
      <c r="AV873" t="s">
        <v>74</v>
      </c>
      <c r="AW873" t="s">
        <v>74</v>
      </c>
      <c r="AX873" t="s">
        <v>74</v>
      </c>
      <c r="AY873" t="s">
        <v>74</v>
      </c>
      <c r="AZ873" t="s">
        <v>74</v>
      </c>
      <c r="BA873" t="s">
        <v>74</v>
      </c>
      <c r="BB873">
        <v>28</v>
      </c>
      <c r="BC873">
        <v>35</v>
      </c>
      <c r="BD873" t="s">
        <v>74</v>
      </c>
      <c r="BE873" t="s">
        <v>16506</v>
      </c>
      <c r="BF873" t="str">
        <f>HYPERLINK("http://dx.doi.org/10.1145/3592572.3592846","http://dx.doi.org/10.1145/3592572.3592846")</f>
        <v>http://dx.doi.org/10.1145/3592572.3592846</v>
      </c>
      <c r="BG873" t="s">
        <v>74</v>
      </c>
      <c r="BH873" t="s">
        <v>74</v>
      </c>
      <c r="BI873">
        <v>8</v>
      </c>
      <c r="BJ873" t="s">
        <v>1069</v>
      </c>
      <c r="BK873" t="s">
        <v>98</v>
      </c>
      <c r="BL873" t="s">
        <v>99</v>
      </c>
      <c r="BM873" t="s">
        <v>13833</v>
      </c>
      <c r="BN873" t="s">
        <v>74</v>
      </c>
      <c r="BO873" t="s">
        <v>16507</v>
      </c>
      <c r="BP873" t="s">
        <v>74</v>
      </c>
      <c r="BQ873" t="s">
        <v>74</v>
      </c>
      <c r="BR873" t="s">
        <v>101</v>
      </c>
      <c r="BS873" t="s">
        <v>16508</v>
      </c>
      <c r="BT873" t="str">
        <f>HYPERLINK("https%3A%2F%2Fwww.webofscience.com%2Fwos%2Fwoscc%2Ffull-record%2FWOS:001059176200005","View Full Record in Web of Science")</f>
        <v>View Full Record in Web of Science</v>
      </c>
    </row>
    <row r="874" spans="1:72" x14ac:dyDescent="0.2">
      <c r="A874" t="s">
        <v>103</v>
      </c>
      <c r="B874" t="s">
        <v>14233</v>
      </c>
      <c r="C874" t="s">
        <v>74</v>
      </c>
      <c r="D874" t="s">
        <v>74</v>
      </c>
      <c r="E874" t="s">
        <v>74</v>
      </c>
      <c r="F874" t="s">
        <v>14234</v>
      </c>
      <c r="G874" t="s">
        <v>74</v>
      </c>
      <c r="H874" t="s">
        <v>74</v>
      </c>
      <c r="I874" t="s">
        <v>16509</v>
      </c>
      <c r="J874" t="s">
        <v>16510</v>
      </c>
      <c r="K874" t="s">
        <v>74</v>
      </c>
      <c r="L874" t="s">
        <v>74</v>
      </c>
      <c r="M874" t="s">
        <v>79</v>
      </c>
      <c r="N874" t="s">
        <v>108</v>
      </c>
      <c r="O874" t="s">
        <v>74</v>
      </c>
      <c r="P874" t="s">
        <v>74</v>
      </c>
      <c r="Q874" t="s">
        <v>74</v>
      </c>
      <c r="R874" t="s">
        <v>74</v>
      </c>
      <c r="S874" t="s">
        <v>74</v>
      </c>
      <c r="T874" t="s">
        <v>16511</v>
      </c>
      <c r="U874" t="s">
        <v>16512</v>
      </c>
      <c r="V874" t="s">
        <v>16513</v>
      </c>
      <c r="W874" t="s">
        <v>14238</v>
      </c>
      <c r="X874" t="s">
        <v>14239</v>
      </c>
      <c r="Y874" t="s">
        <v>16514</v>
      </c>
      <c r="Z874" t="s">
        <v>4372</v>
      </c>
      <c r="AA874" t="s">
        <v>4373</v>
      </c>
      <c r="AB874" t="s">
        <v>12782</v>
      </c>
      <c r="AC874" t="s">
        <v>16515</v>
      </c>
      <c r="AD874" t="s">
        <v>16516</v>
      </c>
      <c r="AE874" t="s">
        <v>16517</v>
      </c>
      <c r="AF874" t="s">
        <v>74</v>
      </c>
      <c r="AG874">
        <v>86</v>
      </c>
      <c r="AH874">
        <v>5</v>
      </c>
      <c r="AI874">
        <v>5</v>
      </c>
      <c r="AJ874">
        <v>13</v>
      </c>
      <c r="AK874">
        <v>13</v>
      </c>
      <c r="AL874" t="s">
        <v>119</v>
      </c>
      <c r="AM874" t="s">
        <v>120</v>
      </c>
      <c r="AN874" t="s">
        <v>121</v>
      </c>
      <c r="AO874" t="s">
        <v>16518</v>
      </c>
      <c r="AP874" t="s">
        <v>16519</v>
      </c>
      <c r="AQ874" t="s">
        <v>74</v>
      </c>
      <c r="AR874" t="s">
        <v>16520</v>
      </c>
      <c r="AS874" t="s">
        <v>16521</v>
      </c>
      <c r="AT874" t="s">
        <v>527</v>
      </c>
      <c r="AU874">
        <v>2023</v>
      </c>
      <c r="AV874">
        <v>181</v>
      </c>
      <c r="AW874" t="s">
        <v>74</v>
      </c>
      <c r="AX874" t="s">
        <v>74</v>
      </c>
      <c r="AY874" t="s">
        <v>74</v>
      </c>
      <c r="AZ874" t="s">
        <v>74</v>
      </c>
      <c r="BA874" t="s">
        <v>74</v>
      </c>
      <c r="BB874" t="s">
        <v>74</v>
      </c>
      <c r="BC874" t="s">
        <v>74</v>
      </c>
      <c r="BD874">
        <v>105454</v>
      </c>
      <c r="BE874" t="s">
        <v>16522</v>
      </c>
      <c r="BF874" t="str">
        <f>HYPERLINK("http://dx.doi.org/10.1016/j.jmps.2023.105454","http://dx.doi.org/10.1016/j.jmps.2023.105454")</f>
        <v>http://dx.doi.org/10.1016/j.jmps.2023.105454</v>
      </c>
      <c r="BG874" t="s">
        <v>74</v>
      </c>
      <c r="BH874" t="s">
        <v>1886</v>
      </c>
      <c r="BI874">
        <v>24</v>
      </c>
      <c r="BJ874" t="s">
        <v>16523</v>
      </c>
      <c r="BK874" t="s">
        <v>130</v>
      </c>
      <c r="BL874" t="s">
        <v>16524</v>
      </c>
      <c r="BM874" t="s">
        <v>16525</v>
      </c>
      <c r="BN874" t="s">
        <v>74</v>
      </c>
      <c r="BO874" t="s">
        <v>646</v>
      </c>
      <c r="BP874" t="s">
        <v>74</v>
      </c>
      <c r="BQ874" t="s">
        <v>74</v>
      </c>
      <c r="BR874" t="s">
        <v>101</v>
      </c>
      <c r="BS874" t="s">
        <v>16526</v>
      </c>
      <c r="BT874" t="str">
        <f>HYPERLINK("https%3A%2F%2Fwww.webofscience.com%2Fwos%2Fwoscc%2Ffull-record%2FWOS:001106926600001","View Full Record in Web of Science")</f>
        <v>View Full Record in Web of Science</v>
      </c>
    </row>
    <row r="875" spans="1:72" x14ac:dyDescent="0.2">
      <c r="A875" t="s">
        <v>103</v>
      </c>
      <c r="B875" t="s">
        <v>16527</v>
      </c>
      <c r="C875" t="s">
        <v>74</v>
      </c>
      <c r="D875" t="s">
        <v>74</v>
      </c>
      <c r="E875" t="s">
        <v>74</v>
      </c>
      <c r="F875" t="s">
        <v>16528</v>
      </c>
      <c r="G875" t="s">
        <v>74</v>
      </c>
      <c r="H875" t="s">
        <v>74</v>
      </c>
      <c r="I875" t="s">
        <v>16529</v>
      </c>
      <c r="J875" t="s">
        <v>10689</v>
      </c>
      <c r="K875" t="s">
        <v>74</v>
      </c>
      <c r="L875" t="s">
        <v>74</v>
      </c>
      <c r="M875" t="s">
        <v>79</v>
      </c>
      <c r="N875" t="s">
        <v>108</v>
      </c>
      <c r="O875" t="s">
        <v>74</v>
      </c>
      <c r="P875" t="s">
        <v>74</v>
      </c>
      <c r="Q875" t="s">
        <v>74</v>
      </c>
      <c r="R875" t="s">
        <v>74</v>
      </c>
      <c r="S875" t="s">
        <v>74</v>
      </c>
      <c r="T875" t="s">
        <v>16530</v>
      </c>
      <c r="U875" t="s">
        <v>16531</v>
      </c>
      <c r="V875" t="s">
        <v>16532</v>
      </c>
      <c r="W875" t="s">
        <v>16533</v>
      </c>
      <c r="X875" t="s">
        <v>16534</v>
      </c>
      <c r="Y875" t="s">
        <v>16535</v>
      </c>
      <c r="Z875" t="s">
        <v>16536</v>
      </c>
      <c r="AA875" t="s">
        <v>16537</v>
      </c>
      <c r="AB875" t="s">
        <v>16538</v>
      </c>
      <c r="AC875" t="s">
        <v>16539</v>
      </c>
      <c r="AD875" t="s">
        <v>16540</v>
      </c>
      <c r="AE875" t="s">
        <v>16541</v>
      </c>
      <c r="AF875" t="s">
        <v>74</v>
      </c>
      <c r="AG875">
        <v>54</v>
      </c>
      <c r="AH875">
        <v>0</v>
      </c>
      <c r="AI875">
        <v>0</v>
      </c>
      <c r="AJ875">
        <v>4</v>
      </c>
      <c r="AK875">
        <v>4</v>
      </c>
      <c r="AL875" t="s">
        <v>764</v>
      </c>
      <c r="AM875" t="s">
        <v>765</v>
      </c>
      <c r="AN875" t="s">
        <v>766</v>
      </c>
      <c r="AO875" t="s">
        <v>10701</v>
      </c>
      <c r="AP875" t="s">
        <v>10702</v>
      </c>
      <c r="AQ875" t="s">
        <v>74</v>
      </c>
      <c r="AR875" t="s">
        <v>10703</v>
      </c>
      <c r="AS875" t="s">
        <v>10704</v>
      </c>
      <c r="AT875" t="s">
        <v>445</v>
      </c>
      <c r="AU875">
        <v>2024</v>
      </c>
      <c r="AV875">
        <v>104</v>
      </c>
      <c r="AW875" t="s">
        <v>74</v>
      </c>
      <c r="AX875" t="s">
        <v>74</v>
      </c>
      <c r="AY875" t="s">
        <v>74</v>
      </c>
      <c r="AZ875" t="s">
        <v>74</v>
      </c>
      <c r="BA875" t="s">
        <v>74</v>
      </c>
      <c r="BB875" t="s">
        <v>74</v>
      </c>
      <c r="BC875" t="s">
        <v>74</v>
      </c>
      <c r="BD875">
        <v>102202</v>
      </c>
      <c r="BE875" t="s">
        <v>16542</v>
      </c>
      <c r="BF875" t="str">
        <f>HYPERLINK("http://dx.doi.org/10.1016/j.inffus.2023.102202","http://dx.doi.org/10.1016/j.inffus.2023.102202")</f>
        <v>http://dx.doi.org/10.1016/j.inffus.2023.102202</v>
      </c>
      <c r="BG875" t="s">
        <v>74</v>
      </c>
      <c r="BH875" t="s">
        <v>128</v>
      </c>
      <c r="BI875">
        <v>14</v>
      </c>
      <c r="BJ875" t="s">
        <v>331</v>
      </c>
      <c r="BK875" t="s">
        <v>130</v>
      </c>
      <c r="BL875" t="s">
        <v>99</v>
      </c>
      <c r="BM875" t="s">
        <v>16543</v>
      </c>
      <c r="BN875" t="s">
        <v>74</v>
      </c>
      <c r="BO875" t="s">
        <v>74</v>
      </c>
      <c r="BP875" t="s">
        <v>74</v>
      </c>
      <c r="BQ875" t="s">
        <v>74</v>
      </c>
      <c r="BR875" t="s">
        <v>101</v>
      </c>
      <c r="BS875" t="s">
        <v>16544</v>
      </c>
      <c r="BT875" t="str">
        <f>HYPERLINK("https%3A%2F%2Fwww.webofscience.com%2Fwos%2Fwoscc%2Ffull-record%2FWOS:001149703800001","View Full Record in Web of Science")</f>
        <v>View Full Record in Web of Science</v>
      </c>
    </row>
    <row r="876" spans="1:72" x14ac:dyDescent="0.2">
      <c r="A876" t="s">
        <v>103</v>
      </c>
      <c r="B876" t="s">
        <v>16545</v>
      </c>
      <c r="C876" t="s">
        <v>74</v>
      </c>
      <c r="D876" t="s">
        <v>74</v>
      </c>
      <c r="E876" t="s">
        <v>74</v>
      </c>
      <c r="F876" t="s">
        <v>16546</v>
      </c>
      <c r="G876" t="s">
        <v>74</v>
      </c>
      <c r="H876" t="s">
        <v>74</v>
      </c>
      <c r="I876" t="s">
        <v>16547</v>
      </c>
      <c r="J876" t="s">
        <v>3969</v>
      </c>
      <c r="K876" t="s">
        <v>74</v>
      </c>
      <c r="L876" t="s">
        <v>74</v>
      </c>
      <c r="M876" t="s">
        <v>79</v>
      </c>
      <c r="N876" t="s">
        <v>108</v>
      </c>
      <c r="O876" t="s">
        <v>74</v>
      </c>
      <c r="P876" t="s">
        <v>74</v>
      </c>
      <c r="Q876" t="s">
        <v>74</v>
      </c>
      <c r="R876" t="s">
        <v>74</v>
      </c>
      <c r="S876" t="s">
        <v>74</v>
      </c>
      <c r="T876" t="s">
        <v>74</v>
      </c>
      <c r="U876" t="s">
        <v>16548</v>
      </c>
      <c r="V876" t="s">
        <v>16549</v>
      </c>
      <c r="W876" t="s">
        <v>16550</v>
      </c>
      <c r="X876" t="s">
        <v>16551</v>
      </c>
      <c r="Y876" t="s">
        <v>16552</v>
      </c>
      <c r="Z876" t="s">
        <v>16553</v>
      </c>
      <c r="AA876" t="s">
        <v>74</v>
      </c>
      <c r="AB876" t="s">
        <v>16554</v>
      </c>
      <c r="AC876" t="s">
        <v>16555</v>
      </c>
      <c r="AD876" t="s">
        <v>16556</v>
      </c>
      <c r="AE876" t="s">
        <v>16557</v>
      </c>
      <c r="AF876" t="s">
        <v>74</v>
      </c>
      <c r="AG876">
        <v>123</v>
      </c>
      <c r="AH876">
        <v>0</v>
      </c>
      <c r="AI876">
        <v>0</v>
      </c>
      <c r="AJ876">
        <v>5</v>
      </c>
      <c r="AK876">
        <v>5</v>
      </c>
      <c r="AL876" t="s">
        <v>3980</v>
      </c>
      <c r="AM876" t="s">
        <v>1153</v>
      </c>
      <c r="AN876" t="s">
        <v>3981</v>
      </c>
      <c r="AO876" t="s">
        <v>74</v>
      </c>
      <c r="AP876" t="s">
        <v>3982</v>
      </c>
      <c r="AQ876" t="s">
        <v>74</v>
      </c>
      <c r="AR876" t="s">
        <v>3983</v>
      </c>
      <c r="AS876" t="s">
        <v>3984</v>
      </c>
      <c r="AT876" t="s">
        <v>3985</v>
      </c>
      <c r="AU876">
        <v>2024</v>
      </c>
      <c r="AV876">
        <v>3</v>
      </c>
      <c r="AW876">
        <v>1</v>
      </c>
      <c r="AX876" t="s">
        <v>74</v>
      </c>
      <c r="AY876" t="s">
        <v>74</v>
      </c>
      <c r="AZ876" t="s">
        <v>74</v>
      </c>
      <c r="BA876" t="s">
        <v>74</v>
      </c>
      <c r="BB876">
        <v>122</v>
      </c>
      <c r="BC876">
        <v>135</v>
      </c>
      <c r="BD876" t="s">
        <v>74</v>
      </c>
      <c r="BE876" t="s">
        <v>16558</v>
      </c>
      <c r="BF876" t="str">
        <f>HYPERLINK("http://dx.doi.org/10.1039/d3dd00095h","http://dx.doi.org/10.1039/d3dd00095h")</f>
        <v>http://dx.doi.org/10.1039/d3dd00095h</v>
      </c>
      <c r="BG876" t="s">
        <v>74</v>
      </c>
      <c r="BH876" t="s">
        <v>157</v>
      </c>
      <c r="BI876">
        <v>14</v>
      </c>
      <c r="BJ876" t="s">
        <v>3987</v>
      </c>
      <c r="BK876" t="s">
        <v>352</v>
      </c>
      <c r="BL876" t="s">
        <v>1995</v>
      </c>
      <c r="BM876" t="s">
        <v>16559</v>
      </c>
      <c r="BN876" t="s">
        <v>74</v>
      </c>
      <c r="BO876" t="s">
        <v>425</v>
      </c>
      <c r="BP876" t="s">
        <v>74</v>
      </c>
      <c r="BQ876" t="s">
        <v>74</v>
      </c>
      <c r="BR876" t="s">
        <v>101</v>
      </c>
      <c r="BS876" t="s">
        <v>16560</v>
      </c>
      <c r="BT876" t="str">
        <f>HYPERLINK("https%3A%2F%2Fwww.webofscience.com%2Fwos%2Fwoscc%2Ffull-record%2FWOS:001113404700001","View Full Record in Web of Science")</f>
        <v>View Full Record in Web of Science</v>
      </c>
    </row>
    <row r="877" spans="1:72" x14ac:dyDescent="0.2">
      <c r="A877" t="s">
        <v>72</v>
      </c>
      <c r="B877" t="s">
        <v>16561</v>
      </c>
      <c r="C877" t="s">
        <v>74</v>
      </c>
      <c r="D877" t="s">
        <v>74</v>
      </c>
      <c r="E877" t="s">
        <v>75</v>
      </c>
      <c r="F877" t="s">
        <v>16562</v>
      </c>
      <c r="G877" t="s">
        <v>74</v>
      </c>
      <c r="H877" t="s">
        <v>74</v>
      </c>
      <c r="I877" t="s">
        <v>16563</v>
      </c>
      <c r="J877" t="s">
        <v>11855</v>
      </c>
      <c r="K877" t="s">
        <v>74</v>
      </c>
      <c r="L877" t="s">
        <v>74</v>
      </c>
      <c r="M877" t="s">
        <v>79</v>
      </c>
      <c r="N877" t="s">
        <v>80</v>
      </c>
      <c r="O877" t="s">
        <v>11856</v>
      </c>
      <c r="P877" t="s">
        <v>11857</v>
      </c>
      <c r="Q877" t="s">
        <v>11858</v>
      </c>
      <c r="R877" t="s">
        <v>11859</v>
      </c>
      <c r="S877" t="s">
        <v>74</v>
      </c>
      <c r="T877" t="s">
        <v>16564</v>
      </c>
      <c r="U877" t="s">
        <v>74</v>
      </c>
      <c r="V877" t="s">
        <v>16565</v>
      </c>
      <c r="W877" t="s">
        <v>16566</v>
      </c>
      <c r="X877" t="s">
        <v>16567</v>
      </c>
      <c r="Y877" t="s">
        <v>16568</v>
      </c>
      <c r="Z877" t="s">
        <v>16569</v>
      </c>
      <c r="AA877" t="s">
        <v>74</v>
      </c>
      <c r="AB877" t="s">
        <v>74</v>
      </c>
      <c r="AC877" t="s">
        <v>74</v>
      </c>
      <c r="AD877" t="s">
        <v>74</v>
      </c>
      <c r="AE877" t="s">
        <v>74</v>
      </c>
      <c r="AF877" t="s">
        <v>74</v>
      </c>
      <c r="AG877">
        <v>67</v>
      </c>
      <c r="AH877">
        <v>0</v>
      </c>
      <c r="AI877">
        <v>0</v>
      </c>
      <c r="AJ877">
        <v>8</v>
      </c>
      <c r="AK877">
        <v>8</v>
      </c>
      <c r="AL877" t="s">
        <v>92</v>
      </c>
      <c r="AM877" t="s">
        <v>93</v>
      </c>
      <c r="AN877" t="s">
        <v>94</v>
      </c>
      <c r="AO877" t="s">
        <v>74</v>
      </c>
      <c r="AP877" t="s">
        <v>74</v>
      </c>
      <c r="AQ877" t="s">
        <v>11869</v>
      </c>
      <c r="AR877" t="s">
        <v>74</v>
      </c>
      <c r="AS877" t="s">
        <v>74</v>
      </c>
      <c r="AT877" t="s">
        <v>74</v>
      </c>
      <c r="AU877">
        <v>2023</v>
      </c>
      <c r="AV877" t="s">
        <v>74</v>
      </c>
      <c r="AW877" t="s">
        <v>74</v>
      </c>
      <c r="AX877" t="s">
        <v>74</v>
      </c>
      <c r="AY877" t="s">
        <v>74</v>
      </c>
      <c r="AZ877" t="s">
        <v>74</v>
      </c>
      <c r="BA877" t="s">
        <v>74</v>
      </c>
      <c r="BB877">
        <v>306</v>
      </c>
      <c r="BC877">
        <v>309</v>
      </c>
      <c r="BD877" t="s">
        <v>74</v>
      </c>
      <c r="BE877" t="s">
        <v>16570</v>
      </c>
      <c r="BF877" t="str">
        <f>HYPERLINK("http://dx.doi.org/10.1145/3624918.3629550","http://dx.doi.org/10.1145/3624918.3629550")</f>
        <v>http://dx.doi.org/10.1145/3624918.3629550</v>
      </c>
      <c r="BG877" t="s">
        <v>74</v>
      </c>
      <c r="BH877" t="s">
        <v>74</v>
      </c>
      <c r="BI877">
        <v>4</v>
      </c>
      <c r="BJ877" t="s">
        <v>9511</v>
      </c>
      <c r="BK877" t="s">
        <v>98</v>
      </c>
      <c r="BL877" t="s">
        <v>99</v>
      </c>
      <c r="BM877" t="s">
        <v>11871</v>
      </c>
      <c r="BN877" t="s">
        <v>74</v>
      </c>
      <c r="BO877" t="s">
        <v>74</v>
      </c>
      <c r="BP877" t="s">
        <v>74</v>
      </c>
      <c r="BQ877" t="s">
        <v>74</v>
      </c>
      <c r="BR877" t="s">
        <v>101</v>
      </c>
      <c r="BS877" t="s">
        <v>16571</v>
      </c>
      <c r="BT877" t="str">
        <f>HYPERLINK("https%3A%2F%2Fwww.webofscience.com%2Fwos%2Fwoscc%2Ffull-record%2FWOS:001122582700036","View Full Record in Web of Science")</f>
        <v>View Full Record in Web of Science</v>
      </c>
    </row>
    <row r="878" spans="1:72" x14ac:dyDescent="0.2">
      <c r="A878" t="s">
        <v>72</v>
      </c>
      <c r="B878" t="s">
        <v>16572</v>
      </c>
      <c r="C878" t="s">
        <v>74</v>
      </c>
      <c r="D878" t="s">
        <v>16573</v>
      </c>
      <c r="E878" t="s">
        <v>74</v>
      </c>
      <c r="F878" t="s">
        <v>16574</v>
      </c>
      <c r="G878" t="s">
        <v>74</v>
      </c>
      <c r="H878" t="s">
        <v>74</v>
      </c>
      <c r="I878" t="s">
        <v>16575</v>
      </c>
      <c r="J878" t="s">
        <v>16576</v>
      </c>
      <c r="K878" t="s">
        <v>74</v>
      </c>
      <c r="L878" t="s">
        <v>74</v>
      </c>
      <c r="M878" t="s">
        <v>79</v>
      </c>
      <c r="N878" t="s">
        <v>80</v>
      </c>
      <c r="O878" t="s">
        <v>16577</v>
      </c>
      <c r="P878" t="s">
        <v>16578</v>
      </c>
      <c r="Q878" t="s">
        <v>2507</v>
      </c>
      <c r="R878" t="s">
        <v>16579</v>
      </c>
      <c r="S878" t="s">
        <v>74</v>
      </c>
      <c r="T878" t="s">
        <v>16580</v>
      </c>
      <c r="U878" t="s">
        <v>74</v>
      </c>
      <c r="V878" t="s">
        <v>16581</v>
      </c>
      <c r="W878" t="s">
        <v>16582</v>
      </c>
      <c r="X878" t="s">
        <v>16583</v>
      </c>
      <c r="Y878" t="s">
        <v>16584</v>
      </c>
      <c r="Z878" t="s">
        <v>16585</v>
      </c>
      <c r="AA878" t="s">
        <v>74</v>
      </c>
      <c r="AB878" t="s">
        <v>74</v>
      </c>
      <c r="AC878" t="s">
        <v>74</v>
      </c>
      <c r="AD878" t="s">
        <v>74</v>
      </c>
      <c r="AE878" t="s">
        <v>74</v>
      </c>
      <c r="AF878" t="s">
        <v>74</v>
      </c>
      <c r="AG878">
        <v>25</v>
      </c>
      <c r="AH878">
        <v>0</v>
      </c>
      <c r="AI878">
        <v>0</v>
      </c>
      <c r="AJ878">
        <v>5</v>
      </c>
      <c r="AK878">
        <v>5</v>
      </c>
      <c r="AL878" t="s">
        <v>638</v>
      </c>
      <c r="AM878" t="s">
        <v>639</v>
      </c>
      <c r="AN878" t="s">
        <v>640</v>
      </c>
      <c r="AO878" t="s">
        <v>74</v>
      </c>
      <c r="AP878" t="s">
        <v>74</v>
      </c>
      <c r="AQ878" t="s">
        <v>16586</v>
      </c>
      <c r="AR878" t="s">
        <v>74</v>
      </c>
      <c r="AS878" t="s">
        <v>74</v>
      </c>
      <c r="AT878" t="s">
        <v>74</v>
      </c>
      <c r="AU878">
        <v>2023</v>
      </c>
      <c r="AV878" t="s">
        <v>74</v>
      </c>
      <c r="AW878" t="s">
        <v>74</v>
      </c>
      <c r="AX878" t="s">
        <v>74</v>
      </c>
      <c r="AY878" t="s">
        <v>74</v>
      </c>
      <c r="AZ878" t="s">
        <v>74</v>
      </c>
      <c r="BA878" t="s">
        <v>74</v>
      </c>
      <c r="BB878">
        <v>121</v>
      </c>
      <c r="BC878">
        <v>130</v>
      </c>
      <c r="BD878" t="s">
        <v>74</v>
      </c>
      <c r="BE878" t="s">
        <v>16587</v>
      </c>
      <c r="BF878" t="str">
        <f>HYPERLINK("http://dx.doi.org/10.1109/ICDH60066.2023.00027","http://dx.doi.org/10.1109/ICDH60066.2023.00027")</f>
        <v>http://dx.doi.org/10.1109/ICDH60066.2023.00027</v>
      </c>
      <c r="BG878" t="s">
        <v>74</v>
      </c>
      <c r="BH878" t="s">
        <v>74</v>
      </c>
      <c r="BI878">
        <v>10</v>
      </c>
      <c r="BJ878" t="s">
        <v>16588</v>
      </c>
      <c r="BK878" t="s">
        <v>98</v>
      </c>
      <c r="BL878" t="s">
        <v>6455</v>
      </c>
      <c r="BM878" t="s">
        <v>16589</v>
      </c>
      <c r="BN878" t="s">
        <v>74</v>
      </c>
      <c r="BO878" t="s">
        <v>74</v>
      </c>
      <c r="BP878" t="s">
        <v>74</v>
      </c>
      <c r="BQ878" t="s">
        <v>74</v>
      </c>
      <c r="BR878" t="s">
        <v>101</v>
      </c>
      <c r="BS878" t="s">
        <v>16590</v>
      </c>
      <c r="BT878" t="str">
        <f>HYPERLINK("https%3A%2F%2Fwww.webofscience.com%2Fwos%2Fwoscc%2Ffull-record%2FWOS:001062475200017","View Full Record in Web of Science")</f>
        <v>View Full Record in Web of Science</v>
      </c>
    </row>
    <row r="879" spans="1:72" x14ac:dyDescent="0.2">
      <c r="A879" t="s">
        <v>103</v>
      </c>
      <c r="B879" t="s">
        <v>16591</v>
      </c>
      <c r="C879" t="s">
        <v>74</v>
      </c>
      <c r="D879" t="s">
        <v>74</v>
      </c>
      <c r="E879" t="s">
        <v>74</v>
      </c>
      <c r="F879" t="s">
        <v>16592</v>
      </c>
      <c r="G879" t="s">
        <v>74</v>
      </c>
      <c r="H879" t="s">
        <v>74</v>
      </c>
      <c r="I879" t="s">
        <v>16593</v>
      </c>
      <c r="J879" t="s">
        <v>16594</v>
      </c>
      <c r="K879" t="s">
        <v>74</v>
      </c>
      <c r="L879" t="s">
        <v>74</v>
      </c>
      <c r="M879" t="s">
        <v>79</v>
      </c>
      <c r="N879" t="s">
        <v>108</v>
      </c>
      <c r="O879" t="s">
        <v>74</v>
      </c>
      <c r="P879" t="s">
        <v>74</v>
      </c>
      <c r="Q879" t="s">
        <v>74</v>
      </c>
      <c r="R879" t="s">
        <v>74</v>
      </c>
      <c r="S879" t="s">
        <v>74</v>
      </c>
      <c r="T879" t="s">
        <v>16595</v>
      </c>
      <c r="U879" t="s">
        <v>74</v>
      </c>
      <c r="V879" t="s">
        <v>16596</v>
      </c>
      <c r="W879" t="s">
        <v>16597</v>
      </c>
      <c r="X879" t="s">
        <v>16598</v>
      </c>
      <c r="Y879" t="s">
        <v>16599</v>
      </c>
      <c r="Z879" t="s">
        <v>16600</v>
      </c>
      <c r="AA879" t="s">
        <v>16601</v>
      </c>
      <c r="AB879" t="s">
        <v>16602</v>
      </c>
      <c r="AC879" t="s">
        <v>74</v>
      </c>
      <c r="AD879" t="s">
        <v>74</v>
      </c>
      <c r="AE879" t="s">
        <v>74</v>
      </c>
      <c r="AF879" t="s">
        <v>74</v>
      </c>
      <c r="AG879">
        <v>36</v>
      </c>
      <c r="AH879">
        <v>4</v>
      </c>
      <c r="AI879">
        <v>4</v>
      </c>
      <c r="AJ879">
        <v>8</v>
      </c>
      <c r="AK879">
        <v>17</v>
      </c>
      <c r="AL879" t="s">
        <v>343</v>
      </c>
      <c r="AM879" t="s">
        <v>93</v>
      </c>
      <c r="AN879" t="s">
        <v>344</v>
      </c>
      <c r="AO879" t="s">
        <v>16603</v>
      </c>
      <c r="AP879" t="s">
        <v>16604</v>
      </c>
      <c r="AQ879" t="s">
        <v>74</v>
      </c>
      <c r="AR879" t="s">
        <v>16605</v>
      </c>
      <c r="AS879" t="s">
        <v>16606</v>
      </c>
      <c r="AT879" t="s">
        <v>791</v>
      </c>
      <c r="AU879">
        <v>2023</v>
      </c>
      <c r="AV879">
        <v>27</v>
      </c>
      <c r="AW879">
        <v>15</v>
      </c>
      <c r="AX879" t="s">
        <v>74</v>
      </c>
      <c r="AY879" t="s">
        <v>74</v>
      </c>
      <c r="AZ879" t="s">
        <v>74</v>
      </c>
      <c r="BA879" t="s">
        <v>74</v>
      </c>
      <c r="BB879">
        <v>10481</v>
      </c>
      <c r="BC879">
        <v>10491</v>
      </c>
      <c r="BD879" t="s">
        <v>74</v>
      </c>
      <c r="BE879" t="s">
        <v>16607</v>
      </c>
      <c r="BF879" t="str">
        <f>HYPERLINK("http://dx.doi.org/10.1007/s00500-023-08345-z","http://dx.doi.org/10.1007/s00500-023-08345-z")</f>
        <v>http://dx.doi.org/10.1007/s00500-023-08345-z</v>
      </c>
      <c r="BG879" t="s">
        <v>74</v>
      </c>
      <c r="BH879" t="s">
        <v>2889</v>
      </c>
      <c r="BI879">
        <v>11</v>
      </c>
      <c r="BJ879" t="s">
        <v>1069</v>
      </c>
      <c r="BK879" t="s">
        <v>130</v>
      </c>
      <c r="BL879" t="s">
        <v>99</v>
      </c>
      <c r="BM879" t="s">
        <v>16608</v>
      </c>
      <c r="BN879" t="s">
        <v>74</v>
      </c>
      <c r="BO879" t="s">
        <v>161</v>
      </c>
      <c r="BP879" t="s">
        <v>74</v>
      </c>
      <c r="BQ879" t="s">
        <v>74</v>
      </c>
      <c r="BR879" t="s">
        <v>101</v>
      </c>
      <c r="BS879" t="s">
        <v>16609</v>
      </c>
      <c r="BT879" t="str">
        <f>HYPERLINK("https%3A%2F%2Fwww.webofscience.com%2Fwos%2Fwoscc%2Ffull-record%2FWOS:000999177200005","View Full Record in Web of Science")</f>
        <v>View Full Record in Web of Science</v>
      </c>
    </row>
    <row r="880" spans="1:72" x14ac:dyDescent="0.2">
      <c r="A880" t="s">
        <v>103</v>
      </c>
      <c r="B880" t="s">
        <v>16610</v>
      </c>
      <c r="C880" t="s">
        <v>74</v>
      </c>
      <c r="D880" t="s">
        <v>74</v>
      </c>
      <c r="E880" t="s">
        <v>74</v>
      </c>
      <c r="F880" t="s">
        <v>16611</v>
      </c>
      <c r="G880" t="s">
        <v>74</v>
      </c>
      <c r="H880" t="s">
        <v>74</v>
      </c>
      <c r="I880" t="s">
        <v>16612</v>
      </c>
      <c r="J880" t="s">
        <v>6611</v>
      </c>
      <c r="K880" t="s">
        <v>74</v>
      </c>
      <c r="L880" t="s">
        <v>74</v>
      </c>
      <c r="M880" t="s">
        <v>79</v>
      </c>
      <c r="N880" t="s">
        <v>108</v>
      </c>
      <c r="O880" t="s">
        <v>74</v>
      </c>
      <c r="P880" t="s">
        <v>74</v>
      </c>
      <c r="Q880" t="s">
        <v>74</v>
      </c>
      <c r="R880" t="s">
        <v>74</v>
      </c>
      <c r="S880" t="s">
        <v>74</v>
      </c>
      <c r="T880" t="s">
        <v>16613</v>
      </c>
      <c r="U880" t="s">
        <v>74</v>
      </c>
      <c r="V880" t="s">
        <v>16614</v>
      </c>
      <c r="W880" t="s">
        <v>16615</v>
      </c>
      <c r="X880" t="s">
        <v>1845</v>
      </c>
      <c r="Y880" t="s">
        <v>16616</v>
      </c>
      <c r="Z880" t="s">
        <v>16617</v>
      </c>
      <c r="AA880" t="s">
        <v>74</v>
      </c>
      <c r="AB880" t="s">
        <v>16618</v>
      </c>
      <c r="AC880" t="s">
        <v>16619</v>
      </c>
      <c r="AD880" t="s">
        <v>16620</v>
      </c>
      <c r="AE880" t="s">
        <v>16621</v>
      </c>
      <c r="AF880" t="s">
        <v>74</v>
      </c>
      <c r="AG880">
        <v>76</v>
      </c>
      <c r="AH880">
        <v>0</v>
      </c>
      <c r="AI880">
        <v>0</v>
      </c>
      <c r="AJ880">
        <v>0</v>
      </c>
      <c r="AK880">
        <v>0</v>
      </c>
      <c r="AL880" t="s">
        <v>638</v>
      </c>
      <c r="AM880" t="s">
        <v>639</v>
      </c>
      <c r="AN880" t="s">
        <v>1557</v>
      </c>
      <c r="AO880" t="s">
        <v>6621</v>
      </c>
      <c r="AP880" t="s">
        <v>6622</v>
      </c>
      <c r="AQ880" t="s">
        <v>74</v>
      </c>
      <c r="AR880" t="s">
        <v>6623</v>
      </c>
      <c r="AS880" t="s">
        <v>6624</v>
      </c>
      <c r="AT880" t="s">
        <v>527</v>
      </c>
      <c r="AU880">
        <v>2023</v>
      </c>
      <c r="AV880">
        <v>45</v>
      </c>
      <c r="AW880">
        <v>12</v>
      </c>
      <c r="AX880" t="s">
        <v>74</v>
      </c>
      <c r="AY880" t="s">
        <v>74</v>
      </c>
      <c r="AZ880" t="s">
        <v>74</v>
      </c>
      <c r="BA880" t="s">
        <v>74</v>
      </c>
      <c r="BB880">
        <v>15562</v>
      </c>
      <c r="BC880">
        <v>15576</v>
      </c>
      <c r="BD880" t="s">
        <v>74</v>
      </c>
      <c r="BE880" t="s">
        <v>16622</v>
      </c>
      <c r="BF880" t="str">
        <f>HYPERLINK("http://dx.doi.org/10.1109/TPAMI.2023.3321857","http://dx.doi.org/10.1109/TPAMI.2023.3321857")</f>
        <v>http://dx.doi.org/10.1109/TPAMI.2023.3321857</v>
      </c>
      <c r="BG880" t="s">
        <v>74</v>
      </c>
      <c r="BH880" t="s">
        <v>74</v>
      </c>
      <c r="BI880">
        <v>15</v>
      </c>
      <c r="BJ880" t="s">
        <v>6627</v>
      </c>
      <c r="BK880" t="s">
        <v>130</v>
      </c>
      <c r="BL880" t="s">
        <v>906</v>
      </c>
      <c r="BM880" t="s">
        <v>8203</v>
      </c>
      <c r="BN880">
        <v>37788193</v>
      </c>
      <c r="BO880" t="s">
        <v>646</v>
      </c>
      <c r="BP880" t="s">
        <v>74</v>
      </c>
      <c r="BQ880" t="s">
        <v>74</v>
      </c>
      <c r="BR880" t="s">
        <v>101</v>
      </c>
      <c r="BS880" t="s">
        <v>16623</v>
      </c>
      <c r="BT880" t="str">
        <f>HYPERLINK("https%3A%2F%2Fwww.webofscience.com%2Fwos%2Fwoscc%2Ffull-record%2FWOS:001104973300093","View Full Record in Web of Science")</f>
        <v>View Full Record in Web of Science</v>
      </c>
    </row>
    <row r="881" spans="1:72" x14ac:dyDescent="0.2">
      <c r="A881" t="s">
        <v>103</v>
      </c>
      <c r="B881" t="s">
        <v>16624</v>
      </c>
      <c r="C881" t="s">
        <v>74</v>
      </c>
      <c r="D881" t="s">
        <v>74</v>
      </c>
      <c r="E881" t="s">
        <v>74</v>
      </c>
      <c r="F881" t="s">
        <v>16625</v>
      </c>
      <c r="G881" t="s">
        <v>74</v>
      </c>
      <c r="H881" t="s">
        <v>74</v>
      </c>
      <c r="I881" t="s">
        <v>16626</v>
      </c>
      <c r="J881" t="s">
        <v>16627</v>
      </c>
      <c r="K881" t="s">
        <v>74</v>
      </c>
      <c r="L881" t="s">
        <v>74</v>
      </c>
      <c r="M881" t="s">
        <v>79</v>
      </c>
      <c r="N881" t="s">
        <v>108</v>
      </c>
      <c r="O881" t="s">
        <v>74</v>
      </c>
      <c r="P881" t="s">
        <v>74</v>
      </c>
      <c r="Q881" t="s">
        <v>74</v>
      </c>
      <c r="R881" t="s">
        <v>74</v>
      </c>
      <c r="S881" t="s">
        <v>74</v>
      </c>
      <c r="T881" t="s">
        <v>16628</v>
      </c>
      <c r="U881" t="s">
        <v>16629</v>
      </c>
      <c r="V881" t="s">
        <v>16630</v>
      </c>
      <c r="W881" t="s">
        <v>16631</v>
      </c>
      <c r="X881" t="s">
        <v>16632</v>
      </c>
      <c r="Y881" t="s">
        <v>16633</v>
      </c>
      <c r="Z881" t="s">
        <v>16634</v>
      </c>
      <c r="AA881" t="s">
        <v>16635</v>
      </c>
      <c r="AB881" t="s">
        <v>16636</v>
      </c>
      <c r="AC881" t="s">
        <v>16637</v>
      </c>
      <c r="AD881" t="s">
        <v>16638</v>
      </c>
      <c r="AE881" t="s">
        <v>16639</v>
      </c>
      <c r="AF881" t="s">
        <v>74</v>
      </c>
      <c r="AG881">
        <v>36</v>
      </c>
      <c r="AH881">
        <v>1</v>
      </c>
      <c r="AI881">
        <v>1</v>
      </c>
      <c r="AJ881">
        <v>8</v>
      </c>
      <c r="AK881">
        <v>16</v>
      </c>
      <c r="AL881" t="s">
        <v>939</v>
      </c>
      <c r="AM881" t="s">
        <v>940</v>
      </c>
      <c r="AN881" t="s">
        <v>941</v>
      </c>
      <c r="AO881" t="s">
        <v>74</v>
      </c>
      <c r="AP881" t="s">
        <v>16640</v>
      </c>
      <c r="AQ881" t="s">
        <v>74</v>
      </c>
      <c r="AR881" t="s">
        <v>16641</v>
      </c>
      <c r="AS881" t="s">
        <v>5858</v>
      </c>
      <c r="AT881" t="s">
        <v>251</v>
      </c>
      <c r="AU881">
        <v>2023</v>
      </c>
      <c r="AV881">
        <v>11</v>
      </c>
      <c r="AW881">
        <v>4</v>
      </c>
      <c r="AX881" t="s">
        <v>74</v>
      </c>
      <c r="AY881" t="s">
        <v>74</v>
      </c>
      <c r="AZ881" t="s">
        <v>74</v>
      </c>
      <c r="BA881" t="s">
        <v>74</v>
      </c>
      <c r="BB881" t="s">
        <v>74</v>
      </c>
      <c r="BC881" t="s">
        <v>74</v>
      </c>
      <c r="BD881">
        <v>892</v>
      </c>
      <c r="BE881" t="s">
        <v>16642</v>
      </c>
      <c r="BF881" t="str">
        <f>HYPERLINK("http://dx.doi.org/10.3390/math11040892","http://dx.doi.org/10.3390/math11040892")</f>
        <v>http://dx.doi.org/10.3390/math11040892</v>
      </c>
      <c r="BG881" t="s">
        <v>74</v>
      </c>
      <c r="BH881" t="s">
        <v>74</v>
      </c>
      <c r="BI881">
        <v>13</v>
      </c>
      <c r="BJ881" t="s">
        <v>5858</v>
      </c>
      <c r="BK881" t="s">
        <v>130</v>
      </c>
      <c r="BL881" t="s">
        <v>5858</v>
      </c>
      <c r="BM881" t="s">
        <v>16643</v>
      </c>
      <c r="BN881" t="s">
        <v>74</v>
      </c>
      <c r="BO881" t="s">
        <v>425</v>
      </c>
      <c r="BP881" t="s">
        <v>74</v>
      </c>
      <c r="BQ881" t="s">
        <v>74</v>
      </c>
      <c r="BR881" t="s">
        <v>101</v>
      </c>
      <c r="BS881" t="s">
        <v>16644</v>
      </c>
      <c r="BT881" t="str">
        <f>HYPERLINK("https%3A%2F%2Fwww.webofscience.com%2Fwos%2Fwoscc%2Ffull-record%2FWOS:000940834200001","View Full Record in Web of Science")</f>
        <v>View Full Record in Web of Science</v>
      </c>
    </row>
    <row r="882" spans="1:72" x14ac:dyDescent="0.2">
      <c r="A882" t="s">
        <v>103</v>
      </c>
      <c r="B882" t="s">
        <v>16645</v>
      </c>
      <c r="C882" t="s">
        <v>74</v>
      </c>
      <c r="D882" t="s">
        <v>74</v>
      </c>
      <c r="E882" t="s">
        <v>74</v>
      </c>
      <c r="F882" t="s">
        <v>16646</v>
      </c>
      <c r="G882" t="s">
        <v>74</v>
      </c>
      <c r="H882" t="s">
        <v>74</v>
      </c>
      <c r="I882" t="s">
        <v>16647</v>
      </c>
      <c r="J882" t="s">
        <v>6265</v>
      </c>
      <c r="K882" t="s">
        <v>74</v>
      </c>
      <c r="L882" t="s">
        <v>74</v>
      </c>
      <c r="M882" t="s">
        <v>79</v>
      </c>
      <c r="N882" t="s">
        <v>108</v>
      </c>
      <c r="O882" t="s">
        <v>74</v>
      </c>
      <c r="P882" t="s">
        <v>74</v>
      </c>
      <c r="Q882" t="s">
        <v>74</v>
      </c>
      <c r="R882" t="s">
        <v>74</v>
      </c>
      <c r="S882" t="s">
        <v>74</v>
      </c>
      <c r="T882" t="s">
        <v>16648</v>
      </c>
      <c r="U882" t="s">
        <v>16649</v>
      </c>
      <c r="V882" t="s">
        <v>16650</v>
      </c>
      <c r="W882" t="s">
        <v>16651</v>
      </c>
      <c r="X882" t="s">
        <v>1228</v>
      </c>
      <c r="Y882" t="s">
        <v>16652</v>
      </c>
      <c r="Z882" t="s">
        <v>16653</v>
      </c>
      <c r="AA882" t="s">
        <v>16654</v>
      </c>
      <c r="AB882" t="s">
        <v>16655</v>
      </c>
      <c r="AC882" t="s">
        <v>16656</v>
      </c>
      <c r="AD882" t="s">
        <v>16657</v>
      </c>
      <c r="AE882" t="s">
        <v>16658</v>
      </c>
      <c r="AF882" t="s">
        <v>74</v>
      </c>
      <c r="AG882">
        <v>70</v>
      </c>
      <c r="AH882">
        <v>2</v>
      </c>
      <c r="AI882">
        <v>2</v>
      </c>
      <c r="AJ882">
        <v>5</v>
      </c>
      <c r="AK882">
        <v>17</v>
      </c>
      <c r="AL882" t="s">
        <v>6274</v>
      </c>
      <c r="AM882" t="s">
        <v>93</v>
      </c>
      <c r="AN882" t="s">
        <v>6275</v>
      </c>
      <c r="AO882" t="s">
        <v>6276</v>
      </c>
      <c r="AP882" t="s">
        <v>6277</v>
      </c>
      <c r="AQ882" t="s">
        <v>74</v>
      </c>
      <c r="AR882" t="s">
        <v>6278</v>
      </c>
      <c r="AS882" t="s">
        <v>6279</v>
      </c>
      <c r="AT882" t="s">
        <v>6625</v>
      </c>
      <c r="AU882">
        <v>2023</v>
      </c>
      <c r="AV882">
        <v>145</v>
      </c>
      <c r="AW882">
        <v>3</v>
      </c>
      <c r="AX882" t="s">
        <v>74</v>
      </c>
      <c r="AY882" t="s">
        <v>74</v>
      </c>
      <c r="AZ882" t="s">
        <v>74</v>
      </c>
      <c r="BA882" t="s">
        <v>74</v>
      </c>
      <c r="BB882" t="s">
        <v>74</v>
      </c>
      <c r="BC882" t="s">
        <v>74</v>
      </c>
      <c r="BD882" t="s">
        <v>74</v>
      </c>
      <c r="BE882" t="s">
        <v>16659</v>
      </c>
      <c r="BF882" t="str">
        <f>HYPERLINK("http://dx.doi.org/10.1115/1.4056221","http://dx.doi.org/10.1115/1.4056221")</f>
        <v>http://dx.doi.org/10.1115/1.4056221</v>
      </c>
      <c r="BG882" t="s">
        <v>74</v>
      </c>
      <c r="BH882" t="s">
        <v>74</v>
      </c>
      <c r="BI882">
        <v>13</v>
      </c>
      <c r="BJ882" t="s">
        <v>6281</v>
      </c>
      <c r="BK882" t="s">
        <v>130</v>
      </c>
      <c r="BL882" t="s">
        <v>2823</v>
      </c>
      <c r="BM882" t="s">
        <v>16660</v>
      </c>
      <c r="BN882" t="s">
        <v>74</v>
      </c>
      <c r="BO882" t="s">
        <v>646</v>
      </c>
      <c r="BP882" t="s">
        <v>74</v>
      </c>
      <c r="BQ882" t="s">
        <v>74</v>
      </c>
      <c r="BR882" t="s">
        <v>101</v>
      </c>
      <c r="BS882" t="s">
        <v>16661</v>
      </c>
      <c r="BT882" t="str">
        <f>HYPERLINK("https%3A%2F%2Fwww.webofscience.com%2Fwos%2Fwoscc%2Ffull-record%2FWOS:000938302900016","View Full Record in Web of Science")</f>
        <v>View Full Record in Web of Science</v>
      </c>
    </row>
    <row r="883" spans="1:72" x14ac:dyDescent="0.2">
      <c r="A883" t="s">
        <v>103</v>
      </c>
      <c r="B883" t="s">
        <v>16662</v>
      </c>
      <c r="C883" t="s">
        <v>74</v>
      </c>
      <c r="D883" t="s">
        <v>74</v>
      </c>
      <c r="E883" t="s">
        <v>74</v>
      </c>
      <c r="F883" t="s">
        <v>16663</v>
      </c>
      <c r="G883" t="s">
        <v>74</v>
      </c>
      <c r="H883" t="s">
        <v>74</v>
      </c>
      <c r="I883" t="s">
        <v>16664</v>
      </c>
      <c r="J883" t="s">
        <v>16665</v>
      </c>
      <c r="K883" t="s">
        <v>74</v>
      </c>
      <c r="L883" t="s">
        <v>74</v>
      </c>
      <c r="M883" t="s">
        <v>79</v>
      </c>
      <c r="N883" t="s">
        <v>108</v>
      </c>
      <c r="O883" t="s">
        <v>74</v>
      </c>
      <c r="P883" t="s">
        <v>74</v>
      </c>
      <c r="Q883" t="s">
        <v>74</v>
      </c>
      <c r="R883" t="s">
        <v>74</v>
      </c>
      <c r="S883" t="s">
        <v>74</v>
      </c>
      <c r="T883" t="s">
        <v>16666</v>
      </c>
      <c r="U883" t="s">
        <v>74</v>
      </c>
      <c r="V883" t="s">
        <v>16667</v>
      </c>
      <c r="W883" t="s">
        <v>16668</v>
      </c>
      <c r="X883" t="s">
        <v>74</v>
      </c>
      <c r="Y883" t="s">
        <v>16669</v>
      </c>
      <c r="Z883" t="s">
        <v>16670</v>
      </c>
      <c r="AA883" t="s">
        <v>74</v>
      </c>
      <c r="AB883" t="s">
        <v>74</v>
      </c>
      <c r="AC883" t="s">
        <v>74</v>
      </c>
      <c r="AD883" t="s">
        <v>74</v>
      </c>
      <c r="AE883" t="s">
        <v>74</v>
      </c>
      <c r="AF883" t="s">
        <v>74</v>
      </c>
      <c r="AG883">
        <v>7</v>
      </c>
      <c r="AH883">
        <v>0</v>
      </c>
      <c r="AI883">
        <v>0</v>
      </c>
      <c r="AJ883">
        <v>9</v>
      </c>
      <c r="AK883">
        <v>10</v>
      </c>
      <c r="AL883" t="s">
        <v>16671</v>
      </c>
      <c r="AM883" t="s">
        <v>16672</v>
      </c>
      <c r="AN883" t="s">
        <v>16673</v>
      </c>
      <c r="AO883" t="s">
        <v>16674</v>
      </c>
      <c r="AP883" t="s">
        <v>16675</v>
      </c>
      <c r="AQ883" t="s">
        <v>74</v>
      </c>
      <c r="AR883" t="s">
        <v>16676</v>
      </c>
      <c r="AS883" t="s">
        <v>16677</v>
      </c>
      <c r="AT883" t="s">
        <v>791</v>
      </c>
      <c r="AU883">
        <v>2023</v>
      </c>
      <c r="AV883">
        <v>27</v>
      </c>
      <c r="AW883">
        <v>8</v>
      </c>
      <c r="AX883" t="s">
        <v>74</v>
      </c>
      <c r="AY883" t="s">
        <v>74</v>
      </c>
      <c r="AZ883" t="s">
        <v>74</v>
      </c>
      <c r="BA883" t="s">
        <v>74</v>
      </c>
      <c r="BB883">
        <v>561</v>
      </c>
      <c r="BC883">
        <v>564</v>
      </c>
      <c r="BD883" t="s">
        <v>74</v>
      </c>
      <c r="BE883" t="s">
        <v>16678</v>
      </c>
      <c r="BF883" t="str">
        <f>HYPERLINK("http://dx.doi.org/10.5005/jp-journals-10071-24498","http://dx.doi.org/10.5005/jp-journals-10071-24498")</f>
        <v>http://dx.doi.org/10.5005/jp-journals-10071-24498</v>
      </c>
      <c r="BG883" t="s">
        <v>74</v>
      </c>
      <c r="BH883" t="s">
        <v>74</v>
      </c>
      <c r="BI883">
        <v>4</v>
      </c>
      <c r="BJ883" t="s">
        <v>16679</v>
      </c>
      <c r="BK883" t="s">
        <v>352</v>
      </c>
      <c r="BL883" t="s">
        <v>3441</v>
      </c>
      <c r="BM883" t="s">
        <v>16680</v>
      </c>
      <c r="BN883">
        <v>37636841</v>
      </c>
      <c r="BO883" t="s">
        <v>1728</v>
      </c>
      <c r="BP883" t="s">
        <v>74</v>
      </c>
      <c r="BQ883" t="s">
        <v>74</v>
      </c>
      <c r="BR883" t="s">
        <v>101</v>
      </c>
      <c r="BS883" t="s">
        <v>16681</v>
      </c>
      <c r="BT883" t="str">
        <f>HYPERLINK("https%3A%2F%2Fwww.webofscience.com%2Fwos%2Fwoscc%2Ffull-record%2FWOS:001051165500010","View Full Record in Web of Science")</f>
        <v>View Full Record in Web of Science</v>
      </c>
    </row>
    <row r="884" spans="1:72" x14ac:dyDescent="0.2">
      <c r="A884" t="s">
        <v>72</v>
      </c>
      <c r="B884" t="s">
        <v>16682</v>
      </c>
      <c r="C884" t="s">
        <v>74</v>
      </c>
      <c r="D884" t="s">
        <v>74</v>
      </c>
      <c r="E884" t="s">
        <v>284</v>
      </c>
      <c r="F884" t="s">
        <v>16683</v>
      </c>
      <c r="G884" t="s">
        <v>74</v>
      </c>
      <c r="H884" t="s">
        <v>74</v>
      </c>
      <c r="I884" t="s">
        <v>16684</v>
      </c>
      <c r="J884" t="s">
        <v>8245</v>
      </c>
      <c r="K884" t="s">
        <v>8246</v>
      </c>
      <c r="L884" t="s">
        <v>74</v>
      </c>
      <c r="M884" t="s">
        <v>79</v>
      </c>
      <c r="N884" t="s">
        <v>80</v>
      </c>
      <c r="O884" t="s">
        <v>8247</v>
      </c>
      <c r="P884" t="s">
        <v>8248</v>
      </c>
      <c r="Q884" t="s">
        <v>6017</v>
      </c>
      <c r="R884" t="s">
        <v>8249</v>
      </c>
      <c r="S884" t="s">
        <v>74</v>
      </c>
      <c r="T884" t="s">
        <v>74</v>
      </c>
      <c r="U884" t="s">
        <v>16685</v>
      </c>
      <c r="V884" t="s">
        <v>16686</v>
      </c>
      <c r="W884" t="s">
        <v>16687</v>
      </c>
      <c r="X884" t="s">
        <v>2245</v>
      </c>
      <c r="Y884" t="s">
        <v>16688</v>
      </c>
      <c r="Z884" t="s">
        <v>16689</v>
      </c>
      <c r="AA884" t="s">
        <v>74</v>
      </c>
      <c r="AB884" t="s">
        <v>74</v>
      </c>
      <c r="AC884" t="s">
        <v>74</v>
      </c>
      <c r="AD884" t="s">
        <v>74</v>
      </c>
      <c r="AE884" t="s">
        <v>74</v>
      </c>
      <c r="AF884" t="s">
        <v>74</v>
      </c>
      <c r="AG884">
        <v>82</v>
      </c>
      <c r="AH884">
        <v>4</v>
      </c>
      <c r="AI884">
        <v>4</v>
      </c>
      <c r="AJ884">
        <v>4</v>
      </c>
      <c r="AK884">
        <v>4</v>
      </c>
      <c r="AL884" t="s">
        <v>638</v>
      </c>
      <c r="AM884" t="s">
        <v>639</v>
      </c>
      <c r="AN884" t="s">
        <v>640</v>
      </c>
      <c r="AO884" t="s">
        <v>8260</v>
      </c>
      <c r="AP884" t="s">
        <v>74</v>
      </c>
      <c r="AQ884" t="s">
        <v>8261</v>
      </c>
      <c r="AR884" t="s">
        <v>8262</v>
      </c>
      <c r="AS884" t="s">
        <v>74</v>
      </c>
      <c r="AT884" t="s">
        <v>74</v>
      </c>
      <c r="AU884">
        <v>2023</v>
      </c>
      <c r="AV884" t="s">
        <v>74</v>
      </c>
      <c r="AW884" t="s">
        <v>74</v>
      </c>
      <c r="AX884" t="s">
        <v>74</v>
      </c>
      <c r="AY884" t="s">
        <v>74</v>
      </c>
      <c r="AZ884" t="s">
        <v>74</v>
      </c>
      <c r="BA884" t="s">
        <v>74</v>
      </c>
      <c r="BB884">
        <v>13142</v>
      </c>
      <c r="BC884">
        <v>13153</v>
      </c>
      <c r="BD884" t="s">
        <v>74</v>
      </c>
      <c r="BE884" t="s">
        <v>16690</v>
      </c>
      <c r="BF884" t="str">
        <f>HYPERLINK("http://dx.doi.org/10.1109/CVPR52729.2023.01263","http://dx.doi.org/10.1109/CVPR52729.2023.01263")</f>
        <v>http://dx.doi.org/10.1109/CVPR52729.2023.01263</v>
      </c>
      <c r="BG884" t="s">
        <v>74</v>
      </c>
      <c r="BH884" t="s">
        <v>74</v>
      </c>
      <c r="BI884">
        <v>12</v>
      </c>
      <c r="BJ884" t="s">
        <v>304</v>
      </c>
      <c r="BK884" t="s">
        <v>98</v>
      </c>
      <c r="BL884" t="s">
        <v>99</v>
      </c>
      <c r="BM884" t="s">
        <v>8264</v>
      </c>
      <c r="BN884" t="s">
        <v>74</v>
      </c>
      <c r="BO884" t="s">
        <v>646</v>
      </c>
      <c r="BP884" t="s">
        <v>74</v>
      </c>
      <c r="BQ884" t="s">
        <v>74</v>
      </c>
      <c r="BR884" t="s">
        <v>101</v>
      </c>
      <c r="BS884" t="s">
        <v>16691</v>
      </c>
      <c r="BT884" t="str">
        <f>HYPERLINK("https%3A%2F%2Fwww.webofscience.com%2Fwos%2Fwoscc%2Ffull-record%2FWOS:001062522105044","View Full Record in Web of Science")</f>
        <v>View Full Record in Web of Science</v>
      </c>
    </row>
    <row r="885" spans="1:72" x14ac:dyDescent="0.2">
      <c r="A885" t="s">
        <v>103</v>
      </c>
      <c r="B885" t="s">
        <v>16692</v>
      </c>
      <c r="C885" t="s">
        <v>74</v>
      </c>
      <c r="D885" t="s">
        <v>74</v>
      </c>
      <c r="E885" t="s">
        <v>74</v>
      </c>
      <c r="F885" t="s">
        <v>16693</v>
      </c>
      <c r="G885" t="s">
        <v>74</v>
      </c>
      <c r="H885" t="s">
        <v>74</v>
      </c>
      <c r="I885" t="s">
        <v>16694</v>
      </c>
      <c r="J885" t="s">
        <v>16695</v>
      </c>
      <c r="K885" t="s">
        <v>74</v>
      </c>
      <c r="L885" t="s">
        <v>74</v>
      </c>
      <c r="M885" t="s">
        <v>79</v>
      </c>
      <c r="N885" t="s">
        <v>108</v>
      </c>
      <c r="O885" t="s">
        <v>74</v>
      </c>
      <c r="P885" t="s">
        <v>74</v>
      </c>
      <c r="Q885" t="s">
        <v>74</v>
      </c>
      <c r="R885" t="s">
        <v>74</v>
      </c>
      <c r="S885" t="s">
        <v>74</v>
      </c>
      <c r="T885" t="s">
        <v>16696</v>
      </c>
      <c r="U885" t="s">
        <v>74</v>
      </c>
      <c r="V885" t="s">
        <v>16697</v>
      </c>
      <c r="W885" t="s">
        <v>16698</v>
      </c>
      <c r="X885" t="s">
        <v>16699</v>
      </c>
      <c r="Y885" t="s">
        <v>16700</v>
      </c>
      <c r="Z885" t="s">
        <v>16701</v>
      </c>
      <c r="AA885" t="s">
        <v>16702</v>
      </c>
      <c r="AB885" t="s">
        <v>16703</v>
      </c>
      <c r="AC885" t="s">
        <v>16704</v>
      </c>
      <c r="AD885" t="s">
        <v>16705</v>
      </c>
      <c r="AE885" t="s">
        <v>16706</v>
      </c>
      <c r="AF885" t="s">
        <v>74</v>
      </c>
      <c r="AG885">
        <v>34</v>
      </c>
      <c r="AH885">
        <v>0</v>
      </c>
      <c r="AI885">
        <v>0</v>
      </c>
      <c r="AJ885">
        <v>22</v>
      </c>
      <c r="AK885">
        <v>22</v>
      </c>
      <c r="AL885" t="s">
        <v>119</v>
      </c>
      <c r="AM885" t="s">
        <v>120</v>
      </c>
      <c r="AN885" t="s">
        <v>121</v>
      </c>
      <c r="AO885" t="s">
        <v>16707</v>
      </c>
      <c r="AP885" t="s">
        <v>16708</v>
      </c>
      <c r="AQ885" t="s">
        <v>74</v>
      </c>
      <c r="AR885" t="s">
        <v>16709</v>
      </c>
      <c r="AS885" t="s">
        <v>16710</v>
      </c>
      <c r="AT885" t="s">
        <v>16711</v>
      </c>
      <c r="AU885">
        <v>2023</v>
      </c>
      <c r="AV885">
        <v>282</v>
      </c>
      <c r="AW885" t="s">
        <v>74</v>
      </c>
      <c r="AX885" t="s">
        <v>74</v>
      </c>
      <c r="AY885" t="s">
        <v>74</v>
      </c>
      <c r="AZ885" t="s">
        <v>74</v>
      </c>
      <c r="BA885" t="s">
        <v>74</v>
      </c>
      <c r="BB885" t="s">
        <v>74</v>
      </c>
      <c r="BC885" t="s">
        <v>74</v>
      </c>
      <c r="BD885">
        <v>119188</v>
      </c>
      <c r="BE885" t="s">
        <v>16712</v>
      </c>
      <c r="BF885" t="str">
        <f>HYPERLINK("http://dx.doi.org/10.1016/j.ces.2023.119188","http://dx.doi.org/10.1016/j.ces.2023.119188")</f>
        <v>http://dx.doi.org/10.1016/j.ces.2023.119188</v>
      </c>
      <c r="BG885" t="s">
        <v>74</v>
      </c>
      <c r="BH885" t="s">
        <v>278</v>
      </c>
      <c r="BI885">
        <v>11</v>
      </c>
      <c r="BJ885" t="s">
        <v>16713</v>
      </c>
      <c r="BK885" t="s">
        <v>130</v>
      </c>
      <c r="BL885" t="s">
        <v>2823</v>
      </c>
      <c r="BM885" t="s">
        <v>16714</v>
      </c>
      <c r="BN885" t="s">
        <v>74</v>
      </c>
      <c r="BO885" t="s">
        <v>74</v>
      </c>
      <c r="BP885" t="s">
        <v>74</v>
      </c>
      <c r="BQ885" t="s">
        <v>74</v>
      </c>
      <c r="BR885" t="s">
        <v>101</v>
      </c>
      <c r="BS885" t="s">
        <v>16715</v>
      </c>
      <c r="BT885" t="str">
        <f>HYPERLINK("https%3A%2F%2Fwww.webofscience.com%2Fwos%2Fwoscc%2Ffull-record%2FWOS:001082637400001","View Full Record in Web of Science")</f>
        <v>View Full Record in Web of Science</v>
      </c>
    </row>
    <row r="886" spans="1:72" x14ac:dyDescent="0.2">
      <c r="A886" t="s">
        <v>103</v>
      </c>
      <c r="B886" t="s">
        <v>16716</v>
      </c>
      <c r="C886" t="s">
        <v>74</v>
      </c>
      <c r="D886" t="s">
        <v>74</v>
      </c>
      <c r="E886" t="s">
        <v>74</v>
      </c>
      <c r="F886" t="s">
        <v>16717</v>
      </c>
      <c r="G886" t="s">
        <v>74</v>
      </c>
      <c r="H886" t="s">
        <v>74</v>
      </c>
      <c r="I886" t="s">
        <v>16718</v>
      </c>
      <c r="J886" t="s">
        <v>16719</v>
      </c>
      <c r="K886" t="s">
        <v>74</v>
      </c>
      <c r="L886" t="s">
        <v>74</v>
      </c>
      <c r="M886" t="s">
        <v>79</v>
      </c>
      <c r="N886" t="s">
        <v>108</v>
      </c>
      <c r="O886" t="s">
        <v>74</v>
      </c>
      <c r="P886" t="s">
        <v>74</v>
      </c>
      <c r="Q886" t="s">
        <v>74</v>
      </c>
      <c r="R886" t="s">
        <v>74</v>
      </c>
      <c r="S886" t="s">
        <v>74</v>
      </c>
      <c r="T886" t="s">
        <v>16720</v>
      </c>
      <c r="U886" t="s">
        <v>16721</v>
      </c>
      <c r="V886" t="s">
        <v>16722</v>
      </c>
      <c r="W886" t="s">
        <v>16723</v>
      </c>
      <c r="X886" t="s">
        <v>16724</v>
      </c>
      <c r="Y886" t="s">
        <v>16725</v>
      </c>
      <c r="Z886" t="s">
        <v>16726</v>
      </c>
      <c r="AA886" t="s">
        <v>16727</v>
      </c>
      <c r="AB886" t="s">
        <v>16728</v>
      </c>
      <c r="AC886" t="s">
        <v>74</v>
      </c>
      <c r="AD886" t="s">
        <v>74</v>
      </c>
      <c r="AE886" t="s">
        <v>74</v>
      </c>
      <c r="AF886" t="s">
        <v>74</v>
      </c>
      <c r="AG886">
        <v>56</v>
      </c>
      <c r="AH886">
        <v>2</v>
      </c>
      <c r="AI886">
        <v>2</v>
      </c>
      <c r="AJ886">
        <v>67</v>
      </c>
      <c r="AK886">
        <v>109</v>
      </c>
      <c r="AL886" t="s">
        <v>343</v>
      </c>
      <c r="AM886" t="s">
        <v>93</v>
      </c>
      <c r="AN886" t="s">
        <v>344</v>
      </c>
      <c r="AO886" t="s">
        <v>16729</v>
      </c>
      <c r="AP886" t="s">
        <v>16730</v>
      </c>
      <c r="AQ886" t="s">
        <v>74</v>
      </c>
      <c r="AR886" t="s">
        <v>16731</v>
      </c>
      <c r="AS886" t="s">
        <v>16732</v>
      </c>
      <c r="AT886" t="s">
        <v>791</v>
      </c>
      <c r="AU886">
        <v>2023</v>
      </c>
      <c r="AV886">
        <v>71</v>
      </c>
      <c r="AW886">
        <v>4</v>
      </c>
      <c r="AX886" t="s">
        <v>74</v>
      </c>
      <c r="AY886" t="s">
        <v>74</v>
      </c>
      <c r="AZ886" t="s">
        <v>74</v>
      </c>
      <c r="BA886" t="s">
        <v>74</v>
      </c>
      <c r="BB886">
        <v>1709</v>
      </c>
      <c r="BC886">
        <v>1724</v>
      </c>
      <c r="BD886" t="s">
        <v>74</v>
      </c>
      <c r="BE886" t="s">
        <v>16733</v>
      </c>
      <c r="BF886" t="str">
        <f>HYPERLINK("http://dx.doi.org/10.1007/s11423-023-10239-8","http://dx.doi.org/10.1007/s11423-023-10239-8")</f>
        <v>http://dx.doi.org/10.1007/s11423-023-10239-8</v>
      </c>
      <c r="BG886" t="s">
        <v>74</v>
      </c>
      <c r="BH886" t="s">
        <v>2889</v>
      </c>
      <c r="BI886">
        <v>16</v>
      </c>
      <c r="BJ886" t="s">
        <v>423</v>
      </c>
      <c r="BK886" t="s">
        <v>159</v>
      </c>
      <c r="BL886" t="s">
        <v>423</v>
      </c>
      <c r="BM886" t="s">
        <v>16734</v>
      </c>
      <c r="BN886" t="s">
        <v>74</v>
      </c>
      <c r="BO886" t="s">
        <v>161</v>
      </c>
      <c r="BP886" t="s">
        <v>74</v>
      </c>
      <c r="BQ886" t="s">
        <v>74</v>
      </c>
      <c r="BR886" t="s">
        <v>101</v>
      </c>
      <c r="BS886" t="s">
        <v>16735</v>
      </c>
      <c r="BT886" t="str">
        <f>HYPERLINK("https%3A%2F%2Fwww.webofscience.com%2Fwos%2Fwoscc%2Ffull-record%2FWOS:000988353200001","View Full Record in Web of Science")</f>
        <v>View Full Record in Web of Science</v>
      </c>
    </row>
    <row r="887" spans="1:72" x14ac:dyDescent="0.2">
      <c r="A887" t="s">
        <v>103</v>
      </c>
      <c r="B887" t="s">
        <v>16736</v>
      </c>
      <c r="C887" t="s">
        <v>74</v>
      </c>
      <c r="D887" t="s">
        <v>74</v>
      </c>
      <c r="E887" t="s">
        <v>74</v>
      </c>
      <c r="F887" t="s">
        <v>16737</v>
      </c>
      <c r="G887" t="s">
        <v>74</v>
      </c>
      <c r="H887" t="s">
        <v>74</v>
      </c>
      <c r="I887" t="s">
        <v>16738</v>
      </c>
      <c r="J887" t="s">
        <v>16627</v>
      </c>
      <c r="K887" t="s">
        <v>74</v>
      </c>
      <c r="L887" t="s">
        <v>74</v>
      </c>
      <c r="M887" t="s">
        <v>79</v>
      </c>
      <c r="N887" t="s">
        <v>108</v>
      </c>
      <c r="O887" t="s">
        <v>74</v>
      </c>
      <c r="P887" t="s">
        <v>74</v>
      </c>
      <c r="Q887" t="s">
        <v>74</v>
      </c>
      <c r="R887" t="s">
        <v>74</v>
      </c>
      <c r="S887" t="s">
        <v>74</v>
      </c>
      <c r="T887" t="s">
        <v>16739</v>
      </c>
      <c r="U887" t="s">
        <v>16740</v>
      </c>
      <c r="V887" t="s">
        <v>16741</v>
      </c>
      <c r="W887" t="s">
        <v>16742</v>
      </c>
      <c r="X887" t="s">
        <v>16743</v>
      </c>
      <c r="Y887" t="s">
        <v>16744</v>
      </c>
      <c r="Z887" t="s">
        <v>16745</v>
      </c>
      <c r="AA887" t="s">
        <v>74</v>
      </c>
      <c r="AB887" t="s">
        <v>74</v>
      </c>
      <c r="AC887" t="s">
        <v>16746</v>
      </c>
      <c r="AD887" t="s">
        <v>16746</v>
      </c>
      <c r="AE887" t="s">
        <v>3401</v>
      </c>
      <c r="AF887" t="s">
        <v>74</v>
      </c>
      <c r="AG887">
        <v>50</v>
      </c>
      <c r="AH887">
        <v>0</v>
      </c>
      <c r="AI887">
        <v>0</v>
      </c>
      <c r="AJ887">
        <v>8</v>
      </c>
      <c r="AK887">
        <v>8</v>
      </c>
      <c r="AL887" t="s">
        <v>939</v>
      </c>
      <c r="AM887" t="s">
        <v>940</v>
      </c>
      <c r="AN887" t="s">
        <v>941</v>
      </c>
      <c r="AO887" t="s">
        <v>74</v>
      </c>
      <c r="AP887" t="s">
        <v>16640</v>
      </c>
      <c r="AQ887" t="s">
        <v>74</v>
      </c>
      <c r="AR887" t="s">
        <v>16641</v>
      </c>
      <c r="AS887" t="s">
        <v>5858</v>
      </c>
      <c r="AT887" t="s">
        <v>527</v>
      </c>
      <c r="AU887">
        <v>2023</v>
      </c>
      <c r="AV887">
        <v>11</v>
      </c>
      <c r="AW887">
        <v>23</v>
      </c>
      <c r="AX887" t="s">
        <v>74</v>
      </c>
      <c r="AY887" t="s">
        <v>74</v>
      </c>
      <c r="AZ887" t="s">
        <v>74</v>
      </c>
      <c r="BA887" t="s">
        <v>74</v>
      </c>
      <c r="BB887" t="s">
        <v>74</v>
      </c>
      <c r="BC887" t="s">
        <v>74</v>
      </c>
      <c r="BD887">
        <v>4865</v>
      </c>
      <c r="BE887" t="s">
        <v>16747</v>
      </c>
      <c r="BF887" t="str">
        <f>HYPERLINK("http://dx.doi.org/10.3390/math11234865","http://dx.doi.org/10.3390/math11234865")</f>
        <v>http://dx.doi.org/10.3390/math11234865</v>
      </c>
      <c r="BG887" t="s">
        <v>74</v>
      </c>
      <c r="BH887" t="s">
        <v>74</v>
      </c>
      <c r="BI887">
        <v>37</v>
      </c>
      <c r="BJ887" t="s">
        <v>5858</v>
      </c>
      <c r="BK887" t="s">
        <v>130</v>
      </c>
      <c r="BL887" t="s">
        <v>5858</v>
      </c>
      <c r="BM887" t="s">
        <v>16748</v>
      </c>
      <c r="BN887" t="s">
        <v>74</v>
      </c>
      <c r="BO887" t="s">
        <v>425</v>
      </c>
      <c r="BP887" t="s">
        <v>74</v>
      </c>
      <c r="BQ887" t="s">
        <v>74</v>
      </c>
      <c r="BR887" t="s">
        <v>101</v>
      </c>
      <c r="BS887" t="s">
        <v>16749</v>
      </c>
      <c r="BT887" t="str">
        <f>HYPERLINK("https%3A%2F%2Fwww.webofscience.com%2Fwos%2Fwoscc%2Ffull-record%2FWOS:001118017700001","View Full Record in Web of Science")</f>
        <v>View Full Record in Web of Science</v>
      </c>
    </row>
    <row r="888" spans="1:72" x14ac:dyDescent="0.2">
      <c r="A888" t="s">
        <v>103</v>
      </c>
      <c r="B888" t="s">
        <v>16750</v>
      </c>
      <c r="C888" t="s">
        <v>74</v>
      </c>
      <c r="D888" t="s">
        <v>74</v>
      </c>
      <c r="E888" t="s">
        <v>74</v>
      </c>
      <c r="F888" t="s">
        <v>16751</v>
      </c>
      <c r="G888" t="s">
        <v>74</v>
      </c>
      <c r="H888" t="s">
        <v>74</v>
      </c>
      <c r="I888" t="s">
        <v>16752</v>
      </c>
      <c r="J888" t="s">
        <v>2433</v>
      </c>
      <c r="K888" t="s">
        <v>74</v>
      </c>
      <c r="L888" t="s">
        <v>74</v>
      </c>
      <c r="M888" t="s">
        <v>79</v>
      </c>
      <c r="N888" t="s">
        <v>108</v>
      </c>
      <c r="O888" t="s">
        <v>74</v>
      </c>
      <c r="P888" t="s">
        <v>74</v>
      </c>
      <c r="Q888" t="s">
        <v>74</v>
      </c>
      <c r="R888" t="s">
        <v>74</v>
      </c>
      <c r="S888" t="s">
        <v>74</v>
      </c>
      <c r="T888" t="s">
        <v>16753</v>
      </c>
      <c r="U888" t="s">
        <v>16754</v>
      </c>
      <c r="V888" t="s">
        <v>16755</v>
      </c>
      <c r="W888" t="s">
        <v>16756</v>
      </c>
      <c r="X888" t="s">
        <v>16757</v>
      </c>
      <c r="Y888" t="s">
        <v>16758</v>
      </c>
      <c r="Z888" t="s">
        <v>16759</v>
      </c>
      <c r="AA888" t="s">
        <v>16760</v>
      </c>
      <c r="AB888" t="s">
        <v>74</v>
      </c>
      <c r="AC888" t="s">
        <v>16761</v>
      </c>
      <c r="AD888" t="s">
        <v>16762</v>
      </c>
      <c r="AE888" t="s">
        <v>16763</v>
      </c>
      <c r="AF888" t="s">
        <v>74</v>
      </c>
      <c r="AG888">
        <v>41</v>
      </c>
      <c r="AH888">
        <v>0</v>
      </c>
      <c r="AI888">
        <v>0</v>
      </c>
      <c r="AJ888">
        <v>0</v>
      </c>
      <c r="AK888">
        <v>0</v>
      </c>
      <c r="AL888" t="s">
        <v>939</v>
      </c>
      <c r="AM888" t="s">
        <v>940</v>
      </c>
      <c r="AN888" t="s">
        <v>941</v>
      </c>
      <c r="AO888" t="s">
        <v>74</v>
      </c>
      <c r="AP888" t="s">
        <v>2444</v>
      </c>
      <c r="AQ888" t="s">
        <v>74</v>
      </c>
      <c r="AR888" t="s">
        <v>2445</v>
      </c>
      <c r="AS888" t="s">
        <v>2446</v>
      </c>
      <c r="AT888" t="s">
        <v>771</v>
      </c>
      <c r="AU888">
        <v>2023</v>
      </c>
      <c r="AV888">
        <v>13</v>
      </c>
      <c r="AW888">
        <v>18</v>
      </c>
      <c r="AX888" t="s">
        <v>74</v>
      </c>
      <c r="AY888" t="s">
        <v>74</v>
      </c>
      <c r="AZ888" t="s">
        <v>74</v>
      </c>
      <c r="BA888" t="s">
        <v>74</v>
      </c>
      <c r="BB888" t="s">
        <v>74</v>
      </c>
      <c r="BC888" t="s">
        <v>74</v>
      </c>
      <c r="BD888">
        <v>10196</v>
      </c>
      <c r="BE888" t="s">
        <v>16764</v>
      </c>
      <c r="BF888" t="str">
        <f>HYPERLINK("http://dx.doi.org/10.3390/app131810196","http://dx.doi.org/10.3390/app131810196")</f>
        <v>http://dx.doi.org/10.3390/app131810196</v>
      </c>
      <c r="BG888" t="s">
        <v>74</v>
      </c>
      <c r="BH888" t="s">
        <v>74</v>
      </c>
      <c r="BI888">
        <v>21</v>
      </c>
      <c r="BJ888" t="s">
        <v>2448</v>
      </c>
      <c r="BK888" t="s">
        <v>130</v>
      </c>
      <c r="BL888" t="s">
        <v>2449</v>
      </c>
      <c r="BM888" t="s">
        <v>16765</v>
      </c>
      <c r="BN888" t="s">
        <v>74</v>
      </c>
      <c r="BO888" t="s">
        <v>425</v>
      </c>
      <c r="BP888" t="s">
        <v>74</v>
      </c>
      <c r="BQ888" t="s">
        <v>74</v>
      </c>
      <c r="BR888" t="s">
        <v>101</v>
      </c>
      <c r="BS888" t="s">
        <v>16766</v>
      </c>
      <c r="BT888" t="str">
        <f>HYPERLINK("https%3A%2F%2Fwww.webofscience.com%2Fwos%2Fwoscc%2Ffull-record%2FWOS:001145077000001","View Full Record in Web of Science")</f>
        <v>View Full Record in Web of Science</v>
      </c>
    </row>
    <row r="889" spans="1:72" x14ac:dyDescent="0.2">
      <c r="A889" t="s">
        <v>72</v>
      </c>
      <c r="B889" t="s">
        <v>16767</v>
      </c>
      <c r="C889" t="s">
        <v>74</v>
      </c>
      <c r="D889" t="s">
        <v>1751</v>
      </c>
      <c r="E889" t="s">
        <v>74</v>
      </c>
      <c r="F889" t="s">
        <v>16768</v>
      </c>
      <c r="G889" t="s">
        <v>74</v>
      </c>
      <c r="H889" t="s">
        <v>74</v>
      </c>
      <c r="I889" t="s">
        <v>16769</v>
      </c>
      <c r="J889" t="s">
        <v>1754</v>
      </c>
      <c r="K889" t="s">
        <v>1755</v>
      </c>
      <c r="L889" t="s">
        <v>74</v>
      </c>
      <c r="M889" t="s">
        <v>79</v>
      </c>
      <c r="N889" t="s">
        <v>80</v>
      </c>
      <c r="O889" t="s">
        <v>1756</v>
      </c>
      <c r="P889" t="s">
        <v>1757</v>
      </c>
      <c r="Q889" t="s">
        <v>1758</v>
      </c>
      <c r="R889" t="s">
        <v>1759</v>
      </c>
      <c r="S889" t="s">
        <v>74</v>
      </c>
      <c r="T889" t="s">
        <v>16770</v>
      </c>
      <c r="U889" t="s">
        <v>74</v>
      </c>
      <c r="V889" t="s">
        <v>16771</v>
      </c>
      <c r="W889" t="s">
        <v>16772</v>
      </c>
      <c r="X889" t="s">
        <v>16773</v>
      </c>
      <c r="Y889" t="s">
        <v>16774</v>
      </c>
      <c r="Z889" t="s">
        <v>74</v>
      </c>
      <c r="AA889" t="s">
        <v>74</v>
      </c>
      <c r="AB889" t="s">
        <v>74</v>
      </c>
      <c r="AC889" t="s">
        <v>74</v>
      </c>
      <c r="AD889" t="s">
        <v>74</v>
      </c>
      <c r="AE889" t="s">
        <v>74</v>
      </c>
      <c r="AF889" t="s">
        <v>74</v>
      </c>
      <c r="AG889">
        <v>8</v>
      </c>
      <c r="AH889">
        <v>0</v>
      </c>
      <c r="AI889">
        <v>0</v>
      </c>
      <c r="AJ889">
        <v>0</v>
      </c>
      <c r="AK889">
        <v>0</v>
      </c>
      <c r="AL889" t="s">
        <v>1766</v>
      </c>
      <c r="AM889" t="s">
        <v>765</v>
      </c>
      <c r="AN889" t="s">
        <v>1767</v>
      </c>
      <c r="AO889" t="s">
        <v>1768</v>
      </c>
      <c r="AP889" t="s">
        <v>1769</v>
      </c>
      <c r="AQ889" t="s">
        <v>1770</v>
      </c>
      <c r="AR889" t="s">
        <v>1771</v>
      </c>
      <c r="AS889" t="s">
        <v>74</v>
      </c>
      <c r="AT889" t="s">
        <v>74</v>
      </c>
      <c r="AU889">
        <v>2023</v>
      </c>
      <c r="AV889">
        <v>368</v>
      </c>
      <c r="AW889" t="s">
        <v>74</v>
      </c>
      <c r="AX889" t="s">
        <v>74</v>
      </c>
      <c r="AY889" t="s">
        <v>74</v>
      </c>
      <c r="AZ889" t="s">
        <v>74</v>
      </c>
      <c r="BA889" t="s">
        <v>74</v>
      </c>
      <c r="BB889">
        <v>389</v>
      </c>
      <c r="BC889">
        <v>391</v>
      </c>
      <c r="BD889" t="s">
        <v>74</v>
      </c>
      <c r="BE889" t="s">
        <v>16775</v>
      </c>
      <c r="BF889" t="str">
        <f>HYPERLINK("http://dx.doi.org/10.3233/FAIA230106","http://dx.doi.org/10.3233/FAIA230106")</f>
        <v>http://dx.doi.org/10.3233/FAIA230106</v>
      </c>
      <c r="BG889" t="s">
        <v>74</v>
      </c>
      <c r="BH889" t="s">
        <v>74</v>
      </c>
      <c r="BI889">
        <v>3</v>
      </c>
      <c r="BJ889" t="s">
        <v>304</v>
      </c>
      <c r="BK889" t="s">
        <v>98</v>
      </c>
      <c r="BL889" t="s">
        <v>99</v>
      </c>
      <c r="BM889" t="s">
        <v>1773</v>
      </c>
      <c r="BN889" t="s">
        <v>74</v>
      </c>
      <c r="BO889" t="s">
        <v>161</v>
      </c>
      <c r="BP889" t="s">
        <v>74</v>
      </c>
      <c r="BQ889" t="s">
        <v>74</v>
      </c>
      <c r="BR889" t="s">
        <v>101</v>
      </c>
      <c r="BS889" t="s">
        <v>16776</v>
      </c>
      <c r="BT889" t="str">
        <f>HYPERLINK("https%3A%2F%2Fwww.webofscience.com%2Fwos%2Fwoscc%2Ffull-record%2FWOS:001150361600035","View Full Record in Web of Science")</f>
        <v>View Full Record in Web of Science</v>
      </c>
    </row>
    <row r="890" spans="1:72" x14ac:dyDescent="0.2">
      <c r="A890" t="s">
        <v>103</v>
      </c>
      <c r="B890" t="s">
        <v>16777</v>
      </c>
      <c r="C890" t="s">
        <v>74</v>
      </c>
      <c r="D890" t="s">
        <v>74</v>
      </c>
      <c r="E890" t="s">
        <v>74</v>
      </c>
      <c r="F890" t="s">
        <v>16778</v>
      </c>
      <c r="G890" t="s">
        <v>74</v>
      </c>
      <c r="H890" t="s">
        <v>74</v>
      </c>
      <c r="I890" t="s">
        <v>16779</v>
      </c>
      <c r="J890" t="s">
        <v>6573</v>
      </c>
      <c r="K890" t="s">
        <v>74</v>
      </c>
      <c r="L890" t="s">
        <v>74</v>
      </c>
      <c r="M890" t="s">
        <v>79</v>
      </c>
      <c r="N890" t="s">
        <v>108</v>
      </c>
      <c r="O890" t="s">
        <v>74</v>
      </c>
      <c r="P890" t="s">
        <v>74</v>
      </c>
      <c r="Q890" t="s">
        <v>74</v>
      </c>
      <c r="R890" t="s">
        <v>74</v>
      </c>
      <c r="S890" t="s">
        <v>74</v>
      </c>
      <c r="T890" t="s">
        <v>16780</v>
      </c>
      <c r="U890" t="s">
        <v>16781</v>
      </c>
      <c r="V890" t="s">
        <v>16782</v>
      </c>
      <c r="W890" t="s">
        <v>16783</v>
      </c>
      <c r="X890" t="s">
        <v>16784</v>
      </c>
      <c r="Y890" t="s">
        <v>16785</v>
      </c>
      <c r="Z890" t="s">
        <v>16786</v>
      </c>
      <c r="AA890" t="s">
        <v>74</v>
      </c>
      <c r="AB890" t="s">
        <v>16787</v>
      </c>
      <c r="AC890" t="s">
        <v>74</v>
      </c>
      <c r="AD890" t="s">
        <v>74</v>
      </c>
      <c r="AE890" t="s">
        <v>74</v>
      </c>
      <c r="AF890" t="s">
        <v>74</v>
      </c>
      <c r="AG890">
        <v>49</v>
      </c>
      <c r="AH890">
        <v>0</v>
      </c>
      <c r="AI890">
        <v>0</v>
      </c>
      <c r="AJ890">
        <v>6</v>
      </c>
      <c r="AK890">
        <v>6</v>
      </c>
      <c r="AL890" t="s">
        <v>6584</v>
      </c>
      <c r="AM890" t="s">
        <v>149</v>
      </c>
      <c r="AN890" t="s">
        <v>6585</v>
      </c>
      <c r="AO890" t="s">
        <v>6586</v>
      </c>
      <c r="AP890" t="s">
        <v>6587</v>
      </c>
      <c r="AQ890" t="s">
        <v>74</v>
      </c>
      <c r="AR890" t="s">
        <v>6588</v>
      </c>
      <c r="AS890" t="s">
        <v>6589</v>
      </c>
      <c r="AT890" t="s">
        <v>126</v>
      </c>
      <c r="AU890">
        <v>2024</v>
      </c>
      <c r="AV890">
        <v>36</v>
      </c>
      <c r="AW890">
        <v>8</v>
      </c>
      <c r="AX890" t="s">
        <v>74</v>
      </c>
      <c r="AY890" t="s">
        <v>74</v>
      </c>
      <c r="AZ890" t="s">
        <v>74</v>
      </c>
      <c r="BA890" t="s">
        <v>74</v>
      </c>
      <c r="BB890">
        <v>4281</v>
      </c>
      <c r="BC890">
        <v>4291</v>
      </c>
      <c r="BD890" t="s">
        <v>74</v>
      </c>
      <c r="BE890" t="s">
        <v>16788</v>
      </c>
      <c r="BF890" t="str">
        <f>HYPERLINK("http://dx.doi.org/10.1007/s00521-023-09283-5","http://dx.doi.org/10.1007/s00521-023-09283-5")</f>
        <v>http://dx.doi.org/10.1007/s00521-023-09283-5</v>
      </c>
      <c r="BG890" t="s">
        <v>74</v>
      </c>
      <c r="BH890" t="s">
        <v>128</v>
      </c>
      <c r="BI890">
        <v>11</v>
      </c>
      <c r="BJ890" t="s">
        <v>304</v>
      </c>
      <c r="BK890" t="s">
        <v>130</v>
      </c>
      <c r="BL890" t="s">
        <v>99</v>
      </c>
      <c r="BM890" t="s">
        <v>16789</v>
      </c>
      <c r="BN890" t="s">
        <v>74</v>
      </c>
      <c r="BO890" t="s">
        <v>74</v>
      </c>
      <c r="BP890" t="s">
        <v>74</v>
      </c>
      <c r="BQ890" t="s">
        <v>74</v>
      </c>
      <c r="BR890" t="s">
        <v>101</v>
      </c>
      <c r="BS890" t="s">
        <v>16790</v>
      </c>
      <c r="BT890" t="str">
        <f>HYPERLINK("https%3A%2F%2Fwww.webofscience.com%2Fwos%2Fwoscc%2Ffull-record%2FWOS:001120798800001","View Full Record in Web of Science")</f>
        <v>View Full Record in Web of Science</v>
      </c>
    </row>
    <row r="891" spans="1:72" x14ac:dyDescent="0.2">
      <c r="A891" t="s">
        <v>103</v>
      </c>
      <c r="B891" t="s">
        <v>16791</v>
      </c>
      <c r="C891" t="s">
        <v>74</v>
      </c>
      <c r="D891" t="s">
        <v>74</v>
      </c>
      <c r="E891" t="s">
        <v>74</v>
      </c>
      <c r="F891" t="s">
        <v>16792</v>
      </c>
      <c r="G891" t="s">
        <v>74</v>
      </c>
      <c r="H891" t="s">
        <v>74</v>
      </c>
      <c r="I891" t="s">
        <v>16793</v>
      </c>
      <c r="J891" t="s">
        <v>16794</v>
      </c>
      <c r="K891" t="s">
        <v>74</v>
      </c>
      <c r="L891" t="s">
        <v>74</v>
      </c>
      <c r="M891" t="s">
        <v>79</v>
      </c>
      <c r="N891" t="s">
        <v>108</v>
      </c>
      <c r="O891" t="s">
        <v>74</v>
      </c>
      <c r="P891" t="s">
        <v>74</v>
      </c>
      <c r="Q891" t="s">
        <v>74</v>
      </c>
      <c r="R891" t="s">
        <v>74</v>
      </c>
      <c r="S891" t="s">
        <v>74</v>
      </c>
      <c r="T891" t="s">
        <v>16795</v>
      </c>
      <c r="U891" t="s">
        <v>74</v>
      </c>
      <c r="V891" t="s">
        <v>16796</v>
      </c>
      <c r="W891" t="s">
        <v>16797</v>
      </c>
      <c r="X891" t="s">
        <v>16798</v>
      </c>
      <c r="Y891" t="s">
        <v>16799</v>
      </c>
      <c r="Z891" t="s">
        <v>16800</v>
      </c>
      <c r="AA891" t="s">
        <v>16801</v>
      </c>
      <c r="AB891" t="s">
        <v>74</v>
      </c>
      <c r="AC891" t="s">
        <v>16802</v>
      </c>
      <c r="AD891" t="s">
        <v>16803</v>
      </c>
      <c r="AE891" t="s">
        <v>16804</v>
      </c>
      <c r="AF891" t="s">
        <v>74</v>
      </c>
      <c r="AG891">
        <v>36</v>
      </c>
      <c r="AH891">
        <v>1</v>
      </c>
      <c r="AI891">
        <v>1</v>
      </c>
      <c r="AJ891">
        <v>5</v>
      </c>
      <c r="AK891">
        <v>5</v>
      </c>
      <c r="AL891" t="s">
        <v>2492</v>
      </c>
      <c r="AM891" t="s">
        <v>461</v>
      </c>
      <c r="AN891" t="s">
        <v>2493</v>
      </c>
      <c r="AO891" t="s">
        <v>16805</v>
      </c>
      <c r="AP891" t="s">
        <v>74</v>
      </c>
      <c r="AQ891" t="s">
        <v>74</v>
      </c>
      <c r="AR891" t="s">
        <v>16806</v>
      </c>
      <c r="AS891" t="s">
        <v>16807</v>
      </c>
      <c r="AT891" t="s">
        <v>2779</v>
      </c>
      <c r="AU891">
        <v>2023</v>
      </c>
      <c r="AV891">
        <v>14</v>
      </c>
      <c r="AW891" t="s">
        <v>74</v>
      </c>
      <c r="AX891" t="s">
        <v>74</v>
      </c>
      <c r="AY891" t="s">
        <v>74</v>
      </c>
      <c r="AZ891" t="s">
        <v>74</v>
      </c>
      <c r="BA891" t="s">
        <v>74</v>
      </c>
      <c r="BB891" t="s">
        <v>74</v>
      </c>
      <c r="BC891" t="s">
        <v>74</v>
      </c>
      <c r="BD891">
        <v>1280496</v>
      </c>
      <c r="BE891" t="s">
        <v>16808</v>
      </c>
      <c r="BF891" t="str">
        <f>HYPERLINK("http://dx.doi.org/10.3389/fpls.2023.1280496","http://dx.doi.org/10.3389/fpls.2023.1280496")</f>
        <v>http://dx.doi.org/10.3389/fpls.2023.1280496</v>
      </c>
      <c r="BG891" t="s">
        <v>74</v>
      </c>
      <c r="BH891" t="s">
        <v>74</v>
      </c>
      <c r="BI891">
        <v>19</v>
      </c>
      <c r="BJ891" t="s">
        <v>16809</v>
      </c>
      <c r="BK891" t="s">
        <v>130</v>
      </c>
      <c r="BL891" t="s">
        <v>16809</v>
      </c>
      <c r="BM891" t="s">
        <v>16810</v>
      </c>
      <c r="BN891">
        <v>38023884</v>
      </c>
      <c r="BO891" t="s">
        <v>1728</v>
      </c>
      <c r="BP891" t="s">
        <v>74</v>
      </c>
      <c r="BQ891" t="s">
        <v>74</v>
      </c>
      <c r="BR891" t="s">
        <v>101</v>
      </c>
      <c r="BS891" t="s">
        <v>16811</v>
      </c>
      <c r="BT891" t="str">
        <f>HYPERLINK("https%3A%2F%2Fwww.webofscience.com%2Fwos%2Fwoscc%2Ffull-record%2FWOS:001106562300001","View Full Record in Web of Science")</f>
        <v>View Full Record in Web of Science</v>
      </c>
    </row>
    <row r="892" spans="1:72" x14ac:dyDescent="0.2">
      <c r="A892" t="s">
        <v>72</v>
      </c>
      <c r="B892" t="s">
        <v>16812</v>
      </c>
      <c r="C892" t="s">
        <v>74</v>
      </c>
      <c r="D892" t="s">
        <v>6011</v>
      </c>
      <c r="E892" t="s">
        <v>74</v>
      </c>
      <c r="F892" t="s">
        <v>16813</v>
      </c>
      <c r="G892" t="s">
        <v>74</v>
      </c>
      <c r="H892" t="s">
        <v>74</v>
      </c>
      <c r="I892" t="s">
        <v>16814</v>
      </c>
      <c r="J892" t="s">
        <v>16815</v>
      </c>
      <c r="K892" t="s">
        <v>312</v>
      </c>
      <c r="L892" t="s">
        <v>74</v>
      </c>
      <c r="M892" t="s">
        <v>79</v>
      </c>
      <c r="N892" t="s">
        <v>80</v>
      </c>
      <c r="O892" t="s">
        <v>6015</v>
      </c>
      <c r="P892" t="s">
        <v>6016</v>
      </c>
      <c r="Q892" t="s">
        <v>6017</v>
      </c>
      <c r="R892" t="s">
        <v>74</v>
      </c>
      <c r="S892" t="s">
        <v>74</v>
      </c>
      <c r="T892" t="s">
        <v>16816</v>
      </c>
      <c r="U892" t="s">
        <v>74</v>
      </c>
      <c r="V892" t="s">
        <v>16817</v>
      </c>
      <c r="W892" t="s">
        <v>16818</v>
      </c>
      <c r="X892" t="s">
        <v>16819</v>
      </c>
      <c r="Y892" t="s">
        <v>16820</v>
      </c>
      <c r="Z892" t="s">
        <v>16821</v>
      </c>
      <c r="AA892" t="s">
        <v>74</v>
      </c>
      <c r="AB892" t="s">
        <v>16822</v>
      </c>
      <c r="AC892" t="s">
        <v>16823</v>
      </c>
      <c r="AD892" t="s">
        <v>16824</v>
      </c>
      <c r="AE892" t="s">
        <v>16825</v>
      </c>
      <c r="AF892" t="s">
        <v>74</v>
      </c>
      <c r="AG892">
        <v>24</v>
      </c>
      <c r="AH892">
        <v>0</v>
      </c>
      <c r="AI892">
        <v>0</v>
      </c>
      <c r="AJ892">
        <v>2</v>
      </c>
      <c r="AK892">
        <v>2</v>
      </c>
      <c r="AL892" t="s">
        <v>325</v>
      </c>
      <c r="AM892" t="s">
        <v>245</v>
      </c>
      <c r="AN892" t="s">
        <v>246</v>
      </c>
      <c r="AO892" t="s">
        <v>326</v>
      </c>
      <c r="AP892" t="s">
        <v>327</v>
      </c>
      <c r="AQ892" t="s">
        <v>16826</v>
      </c>
      <c r="AR892" t="s">
        <v>329</v>
      </c>
      <c r="AS892" t="s">
        <v>74</v>
      </c>
      <c r="AT892" t="s">
        <v>74</v>
      </c>
      <c r="AU892">
        <v>2023</v>
      </c>
      <c r="AV892">
        <v>14229</v>
      </c>
      <c r="AW892" t="s">
        <v>74</v>
      </c>
      <c r="AX892" t="s">
        <v>74</v>
      </c>
      <c r="AY892" t="s">
        <v>74</v>
      </c>
      <c r="AZ892" t="s">
        <v>74</v>
      </c>
      <c r="BA892" t="s">
        <v>74</v>
      </c>
      <c r="BB892">
        <v>570</v>
      </c>
      <c r="BC892">
        <v>580</v>
      </c>
      <c r="BD892" t="s">
        <v>74</v>
      </c>
      <c r="BE892" t="s">
        <v>16827</v>
      </c>
      <c r="BF892" t="str">
        <f>HYPERLINK("http://dx.doi.org/10.1007/978-3-031-43999-5_54","http://dx.doi.org/10.1007/978-3-031-43999-5_54")</f>
        <v>http://dx.doi.org/10.1007/978-3-031-43999-5_54</v>
      </c>
      <c r="BG892" t="s">
        <v>74</v>
      </c>
      <c r="BH892" t="s">
        <v>74</v>
      </c>
      <c r="BI892">
        <v>11</v>
      </c>
      <c r="BJ892" t="s">
        <v>6029</v>
      </c>
      <c r="BK892" t="s">
        <v>98</v>
      </c>
      <c r="BL892" t="s">
        <v>6030</v>
      </c>
      <c r="BM892" t="s">
        <v>16828</v>
      </c>
      <c r="BN892" t="s">
        <v>74</v>
      </c>
      <c r="BO892" t="s">
        <v>74</v>
      </c>
      <c r="BP892" t="s">
        <v>74</v>
      </c>
      <c r="BQ892" t="s">
        <v>74</v>
      </c>
      <c r="BR892" t="s">
        <v>101</v>
      </c>
      <c r="BS892" t="s">
        <v>16829</v>
      </c>
      <c r="BT892" t="str">
        <f>HYPERLINK("https%3A%2F%2Fwww.webofscience.com%2Fwos%2Fwoscc%2Ffull-record%2FWOS:001109641000054","View Full Record in Web of Science")</f>
        <v>View Full Record in Web of Science</v>
      </c>
    </row>
    <row r="893" spans="1:72" x14ac:dyDescent="0.2">
      <c r="A893" t="s">
        <v>103</v>
      </c>
      <c r="B893" t="s">
        <v>16830</v>
      </c>
      <c r="C893" t="s">
        <v>74</v>
      </c>
      <c r="D893" t="s">
        <v>74</v>
      </c>
      <c r="E893" t="s">
        <v>74</v>
      </c>
      <c r="F893" t="s">
        <v>16831</v>
      </c>
      <c r="G893" t="s">
        <v>74</v>
      </c>
      <c r="H893" t="s">
        <v>74</v>
      </c>
      <c r="I893" t="s">
        <v>16832</v>
      </c>
      <c r="J893" t="s">
        <v>16833</v>
      </c>
      <c r="K893" t="s">
        <v>74</v>
      </c>
      <c r="L893" t="s">
        <v>74</v>
      </c>
      <c r="M893" t="s">
        <v>79</v>
      </c>
      <c r="N893" t="s">
        <v>108</v>
      </c>
      <c r="O893" t="s">
        <v>74</v>
      </c>
      <c r="P893" t="s">
        <v>74</v>
      </c>
      <c r="Q893" t="s">
        <v>74</v>
      </c>
      <c r="R893" t="s">
        <v>74</v>
      </c>
      <c r="S893" t="s">
        <v>74</v>
      </c>
      <c r="T893" t="s">
        <v>16834</v>
      </c>
      <c r="U893" t="s">
        <v>16835</v>
      </c>
      <c r="V893" t="s">
        <v>16836</v>
      </c>
      <c r="W893" t="s">
        <v>16837</v>
      </c>
      <c r="X893" t="s">
        <v>16838</v>
      </c>
      <c r="Y893" t="s">
        <v>16839</v>
      </c>
      <c r="Z893" t="s">
        <v>16840</v>
      </c>
      <c r="AA893" t="s">
        <v>16841</v>
      </c>
      <c r="AB893" t="s">
        <v>16842</v>
      </c>
      <c r="AC893" t="s">
        <v>16843</v>
      </c>
      <c r="AD893" t="s">
        <v>16844</v>
      </c>
      <c r="AE893" t="s">
        <v>16845</v>
      </c>
      <c r="AF893" t="s">
        <v>74</v>
      </c>
      <c r="AG893">
        <v>88</v>
      </c>
      <c r="AH893">
        <v>1</v>
      </c>
      <c r="AI893">
        <v>1</v>
      </c>
      <c r="AJ893">
        <v>5</v>
      </c>
      <c r="AK893">
        <v>8</v>
      </c>
      <c r="AL893" t="s">
        <v>343</v>
      </c>
      <c r="AM893" t="s">
        <v>93</v>
      </c>
      <c r="AN893" t="s">
        <v>344</v>
      </c>
      <c r="AO893" t="s">
        <v>74</v>
      </c>
      <c r="AP893" t="s">
        <v>16846</v>
      </c>
      <c r="AQ893" t="s">
        <v>74</v>
      </c>
      <c r="AR893" t="s">
        <v>16847</v>
      </c>
      <c r="AS893" t="s">
        <v>16848</v>
      </c>
      <c r="AT893" t="s">
        <v>16849</v>
      </c>
      <c r="AU893">
        <v>2023</v>
      </c>
      <c r="AV893">
        <v>12</v>
      </c>
      <c r="AW893">
        <v>1</v>
      </c>
      <c r="AX893" t="s">
        <v>74</v>
      </c>
      <c r="AY893" t="s">
        <v>74</v>
      </c>
      <c r="AZ893" t="s">
        <v>74</v>
      </c>
      <c r="BA893" t="s">
        <v>74</v>
      </c>
      <c r="BB893" t="s">
        <v>74</v>
      </c>
      <c r="BC893" t="s">
        <v>74</v>
      </c>
      <c r="BD893">
        <v>97</v>
      </c>
      <c r="BE893" t="s">
        <v>16850</v>
      </c>
      <c r="BF893" t="str">
        <f>HYPERLINK("http://dx.doi.org/10.1186/s13677-023-00473-z","http://dx.doi.org/10.1186/s13677-023-00473-z")</f>
        <v>http://dx.doi.org/10.1186/s13677-023-00473-z</v>
      </c>
      <c r="BG893" t="s">
        <v>74</v>
      </c>
      <c r="BH893" t="s">
        <v>74</v>
      </c>
      <c r="BI893">
        <v>31</v>
      </c>
      <c r="BJ893" t="s">
        <v>230</v>
      </c>
      <c r="BK893" t="s">
        <v>130</v>
      </c>
      <c r="BL893" t="s">
        <v>99</v>
      </c>
      <c r="BM893" t="s">
        <v>16851</v>
      </c>
      <c r="BN893" t="s">
        <v>74</v>
      </c>
      <c r="BO893" t="s">
        <v>425</v>
      </c>
      <c r="BP893" t="s">
        <v>74</v>
      </c>
      <c r="BQ893" t="s">
        <v>74</v>
      </c>
      <c r="BR893" t="s">
        <v>101</v>
      </c>
      <c r="BS893" t="s">
        <v>16852</v>
      </c>
      <c r="BT893" t="str">
        <f>HYPERLINK("https%3A%2F%2Fwww.webofscience.com%2Fwos%2Fwoscc%2Ffull-record%2FWOS:001020631000001","View Full Record in Web of Science")</f>
        <v>View Full Record in Web of Science</v>
      </c>
    </row>
    <row r="894" spans="1:72" x14ac:dyDescent="0.2">
      <c r="A894" t="s">
        <v>103</v>
      </c>
      <c r="B894" t="s">
        <v>16853</v>
      </c>
      <c r="C894" t="s">
        <v>74</v>
      </c>
      <c r="D894" t="s">
        <v>74</v>
      </c>
      <c r="E894" t="s">
        <v>74</v>
      </c>
      <c r="F894" t="s">
        <v>16854</v>
      </c>
      <c r="G894" t="s">
        <v>74</v>
      </c>
      <c r="H894" t="s">
        <v>74</v>
      </c>
      <c r="I894" t="s">
        <v>16855</v>
      </c>
      <c r="J894" t="s">
        <v>16856</v>
      </c>
      <c r="K894" t="s">
        <v>74</v>
      </c>
      <c r="L894" t="s">
        <v>74</v>
      </c>
      <c r="M894" t="s">
        <v>79</v>
      </c>
      <c r="N894" t="s">
        <v>108</v>
      </c>
      <c r="O894" t="s">
        <v>74</v>
      </c>
      <c r="P894" t="s">
        <v>74</v>
      </c>
      <c r="Q894" t="s">
        <v>74</v>
      </c>
      <c r="R894" t="s">
        <v>74</v>
      </c>
      <c r="S894" t="s">
        <v>74</v>
      </c>
      <c r="T894" t="s">
        <v>16857</v>
      </c>
      <c r="U894" t="s">
        <v>74</v>
      </c>
      <c r="V894" t="s">
        <v>16858</v>
      </c>
      <c r="W894" t="s">
        <v>16859</v>
      </c>
      <c r="X894" t="s">
        <v>16860</v>
      </c>
      <c r="Y894" t="s">
        <v>16861</v>
      </c>
      <c r="Z894" t="s">
        <v>16862</v>
      </c>
      <c r="AA894" t="s">
        <v>16863</v>
      </c>
      <c r="AB894" t="s">
        <v>16864</v>
      </c>
      <c r="AC894" t="s">
        <v>74</v>
      </c>
      <c r="AD894" t="s">
        <v>74</v>
      </c>
      <c r="AE894" t="s">
        <v>74</v>
      </c>
      <c r="AF894" t="s">
        <v>74</v>
      </c>
      <c r="AG894">
        <v>23</v>
      </c>
      <c r="AH894">
        <v>3</v>
      </c>
      <c r="AI894">
        <v>3</v>
      </c>
      <c r="AJ894">
        <v>49</v>
      </c>
      <c r="AK894">
        <v>49</v>
      </c>
      <c r="AL894" t="s">
        <v>939</v>
      </c>
      <c r="AM894" t="s">
        <v>940</v>
      </c>
      <c r="AN894" t="s">
        <v>941</v>
      </c>
      <c r="AO894" t="s">
        <v>74</v>
      </c>
      <c r="AP894" t="s">
        <v>16865</v>
      </c>
      <c r="AQ894" t="s">
        <v>74</v>
      </c>
      <c r="AR894" t="s">
        <v>16866</v>
      </c>
      <c r="AS894" t="s">
        <v>16867</v>
      </c>
      <c r="AT894" t="s">
        <v>771</v>
      </c>
      <c r="AU894">
        <v>2023</v>
      </c>
      <c r="AV894">
        <v>8</v>
      </c>
      <c r="AW894">
        <v>3</v>
      </c>
      <c r="AX894" t="s">
        <v>74</v>
      </c>
      <c r="AY894" t="s">
        <v>74</v>
      </c>
      <c r="AZ894" t="s">
        <v>74</v>
      </c>
      <c r="BA894" t="s">
        <v>74</v>
      </c>
      <c r="BB894" t="s">
        <v>74</v>
      </c>
      <c r="BC894" t="s">
        <v>74</v>
      </c>
      <c r="BD894">
        <v>197</v>
      </c>
      <c r="BE894" t="s">
        <v>16868</v>
      </c>
      <c r="BF894" t="str">
        <f>HYPERLINK("http://dx.doi.org/10.3390/languages8030197","http://dx.doi.org/10.3390/languages8030197")</f>
        <v>http://dx.doi.org/10.3390/languages8030197</v>
      </c>
      <c r="BG894" t="s">
        <v>74</v>
      </c>
      <c r="BH894" t="s">
        <v>74</v>
      </c>
      <c r="BI894">
        <v>18</v>
      </c>
      <c r="BJ894" t="s">
        <v>14317</v>
      </c>
      <c r="BK894" t="s">
        <v>352</v>
      </c>
      <c r="BL894" t="s">
        <v>377</v>
      </c>
      <c r="BM894" t="s">
        <v>16869</v>
      </c>
      <c r="BN894" t="s">
        <v>74</v>
      </c>
      <c r="BO894" t="s">
        <v>425</v>
      </c>
      <c r="BP894" t="s">
        <v>74</v>
      </c>
      <c r="BQ894" t="s">
        <v>74</v>
      </c>
      <c r="BR894" t="s">
        <v>101</v>
      </c>
      <c r="BS894" t="s">
        <v>16870</v>
      </c>
      <c r="BT894" t="str">
        <f>HYPERLINK("https%3A%2F%2Fwww.webofscience.com%2Fwos%2Fwoscc%2Ffull-record%2FWOS:001078813600001","View Full Record in Web of Science")</f>
        <v>View Full Record in Web of Science</v>
      </c>
    </row>
    <row r="895" spans="1:72" x14ac:dyDescent="0.2">
      <c r="A895" t="s">
        <v>72</v>
      </c>
      <c r="B895" t="s">
        <v>16871</v>
      </c>
      <c r="C895" t="s">
        <v>74</v>
      </c>
      <c r="D895" t="s">
        <v>74</v>
      </c>
      <c r="E895" t="s">
        <v>75</v>
      </c>
      <c r="F895" t="s">
        <v>16872</v>
      </c>
      <c r="G895" t="s">
        <v>74</v>
      </c>
      <c r="H895" t="s">
        <v>74</v>
      </c>
      <c r="I895" t="s">
        <v>16873</v>
      </c>
      <c r="J895" t="s">
        <v>1264</v>
      </c>
      <c r="K895" t="s">
        <v>74</v>
      </c>
      <c r="L895" t="s">
        <v>74</v>
      </c>
      <c r="M895" t="s">
        <v>79</v>
      </c>
      <c r="N895" t="s">
        <v>80</v>
      </c>
      <c r="O895" t="s">
        <v>1265</v>
      </c>
      <c r="P895" t="s">
        <v>290</v>
      </c>
      <c r="Q895" t="s">
        <v>1266</v>
      </c>
      <c r="R895" t="s">
        <v>1267</v>
      </c>
      <c r="S895" t="s">
        <v>74</v>
      </c>
      <c r="T895" t="s">
        <v>74</v>
      </c>
      <c r="U895" t="s">
        <v>74</v>
      </c>
      <c r="V895" t="s">
        <v>16874</v>
      </c>
      <c r="W895" t="s">
        <v>16875</v>
      </c>
      <c r="X895" t="s">
        <v>16876</v>
      </c>
      <c r="Y895" t="s">
        <v>16877</v>
      </c>
      <c r="Z895" t="s">
        <v>16878</v>
      </c>
      <c r="AA895" t="s">
        <v>74</v>
      </c>
      <c r="AB895" t="s">
        <v>16879</v>
      </c>
      <c r="AC895" t="s">
        <v>16880</v>
      </c>
      <c r="AD895" t="s">
        <v>16880</v>
      </c>
      <c r="AE895" t="s">
        <v>16881</v>
      </c>
      <c r="AF895" t="s">
        <v>74</v>
      </c>
      <c r="AG895">
        <v>30</v>
      </c>
      <c r="AH895">
        <v>0</v>
      </c>
      <c r="AI895">
        <v>0</v>
      </c>
      <c r="AJ895">
        <v>0</v>
      </c>
      <c r="AK895">
        <v>0</v>
      </c>
      <c r="AL895" t="s">
        <v>92</v>
      </c>
      <c r="AM895" t="s">
        <v>93</v>
      </c>
      <c r="AN895" t="s">
        <v>94</v>
      </c>
      <c r="AO895" t="s">
        <v>74</v>
      </c>
      <c r="AP895" t="s">
        <v>74</v>
      </c>
      <c r="AQ895" t="s">
        <v>1278</v>
      </c>
      <c r="AR895" t="s">
        <v>74</v>
      </c>
      <c r="AS895" t="s">
        <v>74</v>
      </c>
      <c r="AT895" t="s">
        <v>74</v>
      </c>
      <c r="AU895">
        <v>2023</v>
      </c>
      <c r="AV895" t="s">
        <v>74</v>
      </c>
      <c r="AW895" t="s">
        <v>74</v>
      </c>
      <c r="AX895" t="s">
        <v>74</v>
      </c>
      <c r="AY895" t="s">
        <v>74</v>
      </c>
      <c r="AZ895" t="s">
        <v>74</v>
      </c>
      <c r="BA895" t="s">
        <v>74</v>
      </c>
      <c r="BB895">
        <v>524</v>
      </c>
      <c r="BC895">
        <v>532</v>
      </c>
      <c r="BD895" t="s">
        <v>74</v>
      </c>
      <c r="BE895" t="s">
        <v>16882</v>
      </c>
      <c r="BF895" t="str">
        <f>HYPERLINK("http://dx.doi.org/10.1145/3604237.3626895","http://dx.doi.org/10.1145/3604237.3626895")</f>
        <v>http://dx.doi.org/10.1145/3604237.3626895</v>
      </c>
      <c r="BG895" t="s">
        <v>74</v>
      </c>
      <c r="BH895" t="s">
        <v>74</v>
      </c>
      <c r="BI895">
        <v>9</v>
      </c>
      <c r="BJ895" t="s">
        <v>1280</v>
      </c>
      <c r="BK895" t="s">
        <v>180</v>
      </c>
      <c r="BL895" t="s">
        <v>1281</v>
      </c>
      <c r="BM895" t="s">
        <v>1282</v>
      </c>
      <c r="BN895" t="s">
        <v>74</v>
      </c>
      <c r="BO895" t="s">
        <v>161</v>
      </c>
      <c r="BP895" t="s">
        <v>74</v>
      </c>
      <c r="BQ895" t="s">
        <v>74</v>
      </c>
      <c r="BR895" t="s">
        <v>101</v>
      </c>
      <c r="BS895" t="s">
        <v>16883</v>
      </c>
      <c r="BT895" t="str">
        <f>HYPERLINK("https%3A%2F%2Fwww.webofscience.com%2Fwos%2Fwoscc%2Ffull-record%2FWOS:001124982700061","View Full Record in Web of Science")</f>
        <v>View Full Record in Web of Science</v>
      </c>
    </row>
    <row r="896" spans="1:72" x14ac:dyDescent="0.2">
      <c r="A896" t="s">
        <v>103</v>
      </c>
      <c r="B896" t="s">
        <v>16884</v>
      </c>
      <c r="C896" t="s">
        <v>74</v>
      </c>
      <c r="D896" t="s">
        <v>74</v>
      </c>
      <c r="E896" t="s">
        <v>74</v>
      </c>
      <c r="F896" t="s">
        <v>16885</v>
      </c>
      <c r="G896" t="s">
        <v>74</v>
      </c>
      <c r="H896" t="s">
        <v>74</v>
      </c>
      <c r="I896" t="s">
        <v>16886</v>
      </c>
      <c r="J896" t="s">
        <v>4935</v>
      </c>
      <c r="K896" t="s">
        <v>74</v>
      </c>
      <c r="L896" t="s">
        <v>74</v>
      </c>
      <c r="M896" t="s">
        <v>79</v>
      </c>
      <c r="N896" t="s">
        <v>108</v>
      </c>
      <c r="O896" t="s">
        <v>74</v>
      </c>
      <c r="P896" t="s">
        <v>74</v>
      </c>
      <c r="Q896" t="s">
        <v>74</v>
      </c>
      <c r="R896" t="s">
        <v>74</v>
      </c>
      <c r="S896" t="s">
        <v>74</v>
      </c>
      <c r="T896" t="s">
        <v>74</v>
      </c>
      <c r="U896" t="s">
        <v>16887</v>
      </c>
      <c r="V896" t="s">
        <v>16888</v>
      </c>
      <c r="W896" t="s">
        <v>16889</v>
      </c>
      <c r="X896" t="s">
        <v>16890</v>
      </c>
      <c r="Y896" t="s">
        <v>16891</v>
      </c>
      <c r="Z896" t="s">
        <v>16892</v>
      </c>
      <c r="AA896" t="s">
        <v>16893</v>
      </c>
      <c r="AB896" t="s">
        <v>16894</v>
      </c>
      <c r="AC896" t="s">
        <v>16895</v>
      </c>
      <c r="AD896" t="s">
        <v>16896</v>
      </c>
      <c r="AE896" t="s">
        <v>16897</v>
      </c>
      <c r="AF896" t="s">
        <v>74</v>
      </c>
      <c r="AG896">
        <v>70</v>
      </c>
      <c r="AH896">
        <v>6</v>
      </c>
      <c r="AI896">
        <v>6</v>
      </c>
      <c r="AJ896">
        <v>12</v>
      </c>
      <c r="AK896">
        <v>15</v>
      </c>
      <c r="AL896" t="s">
        <v>1880</v>
      </c>
      <c r="AM896" t="s">
        <v>369</v>
      </c>
      <c r="AN896" t="s">
        <v>1881</v>
      </c>
      <c r="AO896" t="s">
        <v>4942</v>
      </c>
      <c r="AP896" t="s">
        <v>74</v>
      </c>
      <c r="AQ896" t="s">
        <v>74</v>
      </c>
      <c r="AR896" t="s">
        <v>4943</v>
      </c>
      <c r="AS896" t="s">
        <v>4944</v>
      </c>
      <c r="AT896" t="s">
        <v>16898</v>
      </c>
      <c r="AU896">
        <v>2023</v>
      </c>
      <c r="AV896">
        <v>6</v>
      </c>
      <c r="AW896">
        <v>1</v>
      </c>
      <c r="AX896" t="s">
        <v>74</v>
      </c>
      <c r="AY896" t="s">
        <v>74</v>
      </c>
      <c r="AZ896" t="s">
        <v>74</v>
      </c>
      <c r="BA896" t="s">
        <v>74</v>
      </c>
      <c r="BB896" t="s">
        <v>74</v>
      </c>
      <c r="BC896" t="s">
        <v>74</v>
      </c>
      <c r="BD896">
        <v>98</v>
      </c>
      <c r="BE896" t="s">
        <v>16899</v>
      </c>
      <c r="BF896" t="str">
        <f>HYPERLINK("http://dx.doi.org/10.1038/s41746-023-00834-7","http://dx.doi.org/10.1038/s41746-023-00834-7")</f>
        <v>http://dx.doi.org/10.1038/s41746-023-00834-7</v>
      </c>
      <c r="BG896" t="s">
        <v>74</v>
      </c>
      <c r="BH896" t="s">
        <v>74</v>
      </c>
      <c r="BI896">
        <v>18</v>
      </c>
      <c r="BJ896" t="s">
        <v>4947</v>
      </c>
      <c r="BK896" t="s">
        <v>130</v>
      </c>
      <c r="BL896" t="s">
        <v>4947</v>
      </c>
      <c r="BM896" t="s">
        <v>16900</v>
      </c>
      <c r="BN896">
        <v>37244963</v>
      </c>
      <c r="BO896" t="s">
        <v>14333</v>
      </c>
      <c r="BP896" t="s">
        <v>74</v>
      </c>
      <c r="BQ896" t="s">
        <v>74</v>
      </c>
      <c r="BR896" t="s">
        <v>101</v>
      </c>
      <c r="BS896" t="s">
        <v>16901</v>
      </c>
      <c r="BT896" t="str">
        <f>HYPERLINK("https%3A%2F%2Fwww.webofscience.com%2Fwos%2Fwoscc%2Ffull-record%2FWOS:000995767300001","View Full Record in Web of Science")</f>
        <v>View Full Record in Web of Science</v>
      </c>
    </row>
    <row r="897" spans="1:72" x14ac:dyDescent="0.2">
      <c r="A897" t="s">
        <v>103</v>
      </c>
      <c r="B897" t="s">
        <v>16902</v>
      </c>
      <c r="C897" t="s">
        <v>74</v>
      </c>
      <c r="D897" t="s">
        <v>74</v>
      </c>
      <c r="E897" t="s">
        <v>74</v>
      </c>
      <c r="F897" t="s">
        <v>16903</v>
      </c>
      <c r="G897" t="s">
        <v>74</v>
      </c>
      <c r="H897" t="s">
        <v>74</v>
      </c>
      <c r="I897" t="s">
        <v>16904</v>
      </c>
      <c r="J897" t="s">
        <v>16905</v>
      </c>
      <c r="K897" t="s">
        <v>74</v>
      </c>
      <c r="L897" t="s">
        <v>74</v>
      </c>
      <c r="M897" t="s">
        <v>13100</v>
      </c>
      <c r="N897" t="s">
        <v>108</v>
      </c>
      <c r="O897" t="s">
        <v>74</v>
      </c>
      <c r="P897" t="s">
        <v>74</v>
      </c>
      <c r="Q897" t="s">
        <v>74</v>
      </c>
      <c r="R897" t="s">
        <v>74</v>
      </c>
      <c r="S897" t="s">
        <v>74</v>
      </c>
      <c r="T897" t="s">
        <v>74</v>
      </c>
      <c r="U897" t="s">
        <v>74</v>
      </c>
      <c r="V897" t="s">
        <v>16906</v>
      </c>
      <c r="W897" t="s">
        <v>16907</v>
      </c>
      <c r="X897" t="s">
        <v>16908</v>
      </c>
      <c r="Y897" t="s">
        <v>16909</v>
      </c>
      <c r="Z897" t="s">
        <v>74</v>
      </c>
      <c r="AA897" t="s">
        <v>74</v>
      </c>
      <c r="AB897" t="s">
        <v>74</v>
      </c>
      <c r="AC897" t="s">
        <v>74</v>
      </c>
      <c r="AD897" t="s">
        <v>74</v>
      </c>
      <c r="AE897" t="s">
        <v>74</v>
      </c>
      <c r="AF897" t="s">
        <v>74</v>
      </c>
      <c r="AG897">
        <v>3</v>
      </c>
      <c r="AH897">
        <v>0</v>
      </c>
      <c r="AI897">
        <v>0</v>
      </c>
      <c r="AJ897">
        <v>0</v>
      </c>
      <c r="AK897">
        <v>0</v>
      </c>
      <c r="AL897" t="s">
        <v>16910</v>
      </c>
      <c r="AM897" t="s">
        <v>93</v>
      </c>
      <c r="AN897" t="s">
        <v>16911</v>
      </c>
      <c r="AO897" t="s">
        <v>16912</v>
      </c>
      <c r="AP897" t="s">
        <v>74</v>
      </c>
      <c r="AQ897" t="s">
        <v>74</v>
      </c>
      <c r="AR897" t="s">
        <v>16913</v>
      </c>
      <c r="AS897" t="s">
        <v>16914</v>
      </c>
      <c r="AT897" t="s">
        <v>74</v>
      </c>
      <c r="AU897">
        <v>2023</v>
      </c>
      <c r="AV897">
        <v>21</v>
      </c>
      <c r="AW897">
        <v>2</v>
      </c>
      <c r="AX897" t="s">
        <v>74</v>
      </c>
      <c r="AY897" t="s">
        <v>74</v>
      </c>
      <c r="AZ897" t="s">
        <v>74</v>
      </c>
      <c r="BA897" t="s">
        <v>74</v>
      </c>
      <c r="BB897">
        <v>141</v>
      </c>
      <c r="BC897">
        <v>145</v>
      </c>
      <c r="BD897" t="s">
        <v>74</v>
      </c>
      <c r="BE897" t="s">
        <v>74</v>
      </c>
      <c r="BF897" t="s">
        <v>74</v>
      </c>
      <c r="BG897" t="s">
        <v>74</v>
      </c>
      <c r="BH897" t="s">
        <v>74</v>
      </c>
      <c r="BI897">
        <v>5</v>
      </c>
      <c r="BJ897" t="s">
        <v>2330</v>
      </c>
      <c r="BK897" t="s">
        <v>352</v>
      </c>
      <c r="BL897" t="s">
        <v>2331</v>
      </c>
      <c r="BM897" t="s">
        <v>16915</v>
      </c>
      <c r="BN897" t="s">
        <v>74</v>
      </c>
      <c r="BO897" t="s">
        <v>74</v>
      </c>
      <c r="BP897" t="s">
        <v>74</v>
      </c>
      <c r="BQ897" t="s">
        <v>74</v>
      </c>
      <c r="BR897" t="s">
        <v>101</v>
      </c>
      <c r="BS897" t="s">
        <v>16916</v>
      </c>
      <c r="BT897" t="str">
        <f>HYPERLINK("https%3A%2F%2Fwww.webofscience.com%2Fwos%2Fwoscc%2Ffull-record%2FWOS:001167535100021","View Full Record in Web of Science")</f>
        <v>View Full Record in Web of Science</v>
      </c>
    </row>
    <row r="898" spans="1:72" x14ac:dyDescent="0.2">
      <c r="A898" t="s">
        <v>72</v>
      </c>
      <c r="B898" t="s">
        <v>16917</v>
      </c>
      <c r="C898" t="s">
        <v>74</v>
      </c>
      <c r="D898" t="s">
        <v>74</v>
      </c>
      <c r="E898" t="s">
        <v>75</v>
      </c>
      <c r="F898" t="s">
        <v>16918</v>
      </c>
      <c r="G898" t="s">
        <v>74</v>
      </c>
      <c r="H898" t="s">
        <v>74</v>
      </c>
      <c r="I898" t="s">
        <v>16919</v>
      </c>
      <c r="J898" t="s">
        <v>1264</v>
      </c>
      <c r="K898" t="s">
        <v>74</v>
      </c>
      <c r="L898" t="s">
        <v>74</v>
      </c>
      <c r="M898" t="s">
        <v>79</v>
      </c>
      <c r="N898" t="s">
        <v>80</v>
      </c>
      <c r="O898" t="s">
        <v>1265</v>
      </c>
      <c r="P898" t="s">
        <v>290</v>
      </c>
      <c r="Q898" t="s">
        <v>1266</v>
      </c>
      <c r="R898" t="s">
        <v>1267</v>
      </c>
      <c r="S898" t="s">
        <v>74</v>
      </c>
      <c r="T898" t="s">
        <v>16920</v>
      </c>
      <c r="U898" t="s">
        <v>74</v>
      </c>
      <c r="V898" t="s">
        <v>16921</v>
      </c>
      <c r="W898" t="s">
        <v>16922</v>
      </c>
      <c r="X898" t="s">
        <v>1271</v>
      </c>
      <c r="Y898" t="s">
        <v>16923</v>
      </c>
      <c r="Z898" t="s">
        <v>16924</v>
      </c>
      <c r="AA898" t="s">
        <v>74</v>
      </c>
      <c r="AB898" t="s">
        <v>16925</v>
      </c>
      <c r="AC898" t="s">
        <v>16926</v>
      </c>
      <c r="AD898" t="s">
        <v>16927</v>
      </c>
      <c r="AE898" t="s">
        <v>16928</v>
      </c>
      <c r="AF898" t="s">
        <v>74</v>
      </c>
      <c r="AG898">
        <v>37</v>
      </c>
      <c r="AH898">
        <v>0</v>
      </c>
      <c r="AI898">
        <v>0</v>
      </c>
      <c r="AJ898">
        <v>1</v>
      </c>
      <c r="AK898">
        <v>1</v>
      </c>
      <c r="AL898" t="s">
        <v>92</v>
      </c>
      <c r="AM898" t="s">
        <v>93</v>
      </c>
      <c r="AN898" t="s">
        <v>94</v>
      </c>
      <c r="AO898" t="s">
        <v>74</v>
      </c>
      <c r="AP898" t="s">
        <v>74</v>
      </c>
      <c r="AQ898" t="s">
        <v>1278</v>
      </c>
      <c r="AR898" t="s">
        <v>74</v>
      </c>
      <c r="AS898" t="s">
        <v>74</v>
      </c>
      <c r="AT898" t="s">
        <v>74</v>
      </c>
      <c r="AU898">
        <v>2023</v>
      </c>
      <c r="AV898" t="s">
        <v>74</v>
      </c>
      <c r="AW898" t="s">
        <v>74</v>
      </c>
      <c r="AX898" t="s">
        <v>74</v>
      </c>
      <c r="AY898" t="s">
        <v>74</v>
      </c>
      <c r="AZ898" t="s">
        <v>74</v>
      </c>
      <c r="BA898" t="s">
        <v>74</v>
      </c>
      <c r="BB898">
        <v>583</v>
      </c>
      <c r="BC898">
        <v>591</v>
      </c>
      <c r="BD898" t="s">
        <v>74</v>
      </c>
      <c r="BE898" t="s">
        <v>16929</v>
      </c>
      <c r="BF898" t="str">
        <f>HYPERLINK("http://dx.doi.org/10.1145/3604237.3626880","http://dx.doi.org/10.1145/3604237.3626880")</f>
        <v>http://dx.doi.org/10.1145/3604237.3626880</v>
      </c>
      <c r="BG898" t="s">
        <v>74</v>
      </c>
      <c r="BH898" t="s">
        <v>74</v>
      </c>
      <c r="BI898">
        <v>9</v>
      </c>
      <c r="BJ898" t="s">
        <v>1280</v>
      </c>
      <c r="BK898" t="s">
        <v>180</v>
      </c>
      <c r="BL898" t="s">
        <v>1281</v>
      </c>
      <c r="BM898" t="s">
        <v>1282</v>
      </c>
      <c r="BN898" t="s">
        <v>74</v>
      </c>
      <c r="BO898" t="s">
        <v>646</v>
      </c>
      <c r="BP898" t="s">
        <v>74</v>
      </c>
      <c r="BQ898" t="s">
        <v>74</v>
      </c>
      <c r="BR898" t="s">
        <v>101</v>
      </c>
      <c r="BS898" t="s">
        <v>16930</v>
      </c>
      <c r="BT898" t="str">
        <f>HYPERLINK("https%3A%2F%2Fwww.webofscience.com%2Fwos%2Fwoscc%2Ffull-record%2FWOS:001124982700068","View Full Record in Web of Science")</f>
        <v>View Full Record in Web of Science</v>
      </c>
    </row>
    <row r="899" spans="1:72" x14ac:dyDescent="0.2">
      <c r="A899" t="s">
        <v>103</v>
      </c>
      <c r="B899" t="s">
        <v>16931</v>
      </c>
      <c r="C899" t="s">
        <v>74</v>
      </c>
      <c r="D899" t="s">
        <v>74</v>
      </c>
      <c r="E899" t="s">
        <v>74</v>
      </c>
      <c r="F899" t="s">
        <v>16932</v>
      </c>
      <c r="G899" t="s">
        <v>74</v>
      </c>
      <c r="H899" t="s">
        <v>74</v>
      </c>
      <c r="I899" t="s">
        <v>16933</v>
      </c>
      <c r="J899" t="s">
        <v>16934</v>
      </c>
      <c r="K899" t="s">
        <v>74</v>
      </c>
      <c r="L899" t="s">
        <v>74</v>
      </c>
      <c r="M899" t="s">
        <v>79</v>
      </c>
      <c r="N899" t="s">
        <v>108</v>
      </c>
      <c r="O899" t="s">
        <v>74</v>
      </c>
      <c r="P899" t="s">
        <v>74</v>
      </c>
      <c r="Q899" t="s">
        <v>74</v>
      </c>
      <c r="R899" t="s">
        <v>74</v>
      </c>
      <c r="S899" t="s">
        <v>74</v>
      </c>
      <c r="T899" t="s">
        <v>16935</v>
      </c>
      <c r="U899" t="s">
        <v>16936</v>
      </c>
      <c r="V899" t="s">
        <v>16937</v>
      </c>
      <c r="W899" t="s">
        <v>16938</v>
      </c>
      <c r="X899" t="s">
        <v>16939</v>
      </c>
      <c r="Y899" t="s">
        <v>16940</v>
      </c>
      <c r="Z899" t="s">
        <v>16941</v>
      </c>
      <c r="AA899" t="s">
        <v>74</v>
      </c>
      <c r="AB899" t="s">
        <v>16942</v>
      </c>
      <c r="AC899" t="s">
        <v>16943</v>
      </c>
      <c r="AD899" t="s">
        <v>16943</v>
      </c>
      <c r="AE899" t="s">
        <v>16944</v>
      </c>
      <c r="AF899" t="s">
        <v>74</v>
      </c>
      <c r="AG899">
        <v>139</v>
      </c>
      <c r="AH899">
        <v>2</v>
      </c>
      <c r="AI899">
        <v>2</v>
      </c>
      <c r="AJ899">
        <v>9</v>
      </c>
      <c r="AK899">
        <v>9</v>
      </c>
      <c r="AL899" t="s">
        <v>764</v>
      </c>
      <c r="AM899" t="s">
        <v>765</v>
      </c>
      <c r="AN899" t="s">
        <v>766</v>
      </c>
      <c r="AO899" t="s">
        <v>74</v>
      </c>
      <c r="AP899" t="s">
        <v>16945</v>
      </c>
      <c r="AQ899" t="s">
        <v>74</v>
      </c>
      <c r="AR899" t="s">
        <v>16946</v>
      </c>
      <c r="AS899" t="s">
        <v>16947</v>
      </c>
      <c r="AT899" t="s">
        <v>126</v>
      </c>
      <c r="AU899">
        <v>2024</v>
      </c>
      <c r="AV899">
        <v>17</v>
      </c>
      <c r="AW899" t="s">
        <v>74</v>
      </c>
      <c r="AX899" t="s">
        <v>74</v>
      </c>
      <c r="AY899" t="s">
        <v>74</v>
      </c>
      <c r="AZ899" t="s">
        <v>74</v>
      </c>
      <c r="BA899" t="s">
        <v>74</v>
      </c>
      <c r="BB899" t="s">
        <v>74</v>
      </c>
      <c r="BC899" t="s">
        <v>74</v>
      </c>
      <c r="BD899">
        <v>100300</v>
      </c>
      <c r="BE899" t="s">
        <v>16948</v>
      </c>
      <c r="BF899" t="str">
        <f>HYPERLINK("http://dx.doi.org/10.1016/j.dibe.2023.100300","http://dx.doi.org/10.1016/j.dibe.2023.100300")</f>
        <v>http://dx.doi.org/10.1016/j.dibe.2023.100300</v>
      </c>
      <c r="BG899" t="s">
        <v>74</v>
      </c>
      <c r="BH899" t="s">
        <v>128</v>
      </c>
      <c r="BI899">
        <v>29</v>
      </c>
      <c r="BJ899" t="s">
        <v>13051</v>
      </c>
      <c r="BK899" t="s">
        <v>130</v>
      </c>
      <c r="BL899" t="s">
        <v>13052</v>
      </c>
      <c r="BM899" t="s">
        <v>16949</v>
      </c>
      <c r="BN899" t="s">
        <v>74</v>
      </c>
      <c r="BO899" t="s">
        <v>1711</v>
      </c>
      <c r="BP899" t="s">
        <v>74</v>
      </c>
      <c r="BQ899" t="s">
        <v>74</v>
      </c>
      <c r="BR899" t="s">
        <v>101</v>
      </c>
      <c r="BS899" t="s">
        <v>16950</v>
      </c>
      <c r="BT899" t="str">
        <f>HYPERLINK("https%3A%2F%2Fwww.webofscience.com%2Fwos%2Fwoscc%2Ffull-record%2FWOS:001147477500001","View Full Record in Web of Science")</f>
        <v>View Full Record in Web of Science</v>
      </c>
    </row>
    <row r="900" spans="1:72" x14ac:dyDescent="0.2">
      <c r="A900" t="s">
        <v>103</v>
      </c>
      <c r="B900" t="s">
        <v>16951</v>
      </c>
      <c r="C900" t="s">
        <v>74</v>
      </c>
      <c r="D900" t="s">
        <v>74</v>
      </c>
      <c r="E900" t="s">
        <v>74</v>
      </c>
      <c r="F900" t="s">
        <v>16952</v>
      </c>
      <c r="G900" t="s">
        <v>74</v>
      </c>
      <c r="H900" t="s">
        <v>74</v>
      </c>
      <c r="I900" t="s">
        <v>16953</v>
      </c>
      <c r="J900" t="s">
        <v>11393</v>
      </c>
      <c r="K900" t="s">
        <v>74</v>
      </c>
      <c r="L900" t="s">
        <v>74</v>
      </c>
      <c r="M900" t="s">
        <v>79</v>
      </c>
      <c r="N900" t="s">
        <v>108</v>
      </c>
      <c r="O900" t="s">
        <v>74</v>
      </c>
      <c r="P900" t="s">
        <v>74</v>
      </c>
      <c r="Q900" t="s">
        <v>74</v>
      </c>
      <c r="R900" t="s">
        <v>74</v>
      </c>
      <c r="S900" t="s">
        <v>74</v>
      </c>
      <c r="T900" t="s">
        <v>16954</v>
      </c>
      <c r="U900" t="s">
        <v>16955</v>
      </c>
      <c r="V900" t="s">
        <v>16956</v>
      </c>
      <c r="W900" t="s">
        <v>16957</v>
      </c>
      <c r="X900" t="s">
        <v>13580</v>
      </c>
      <c r="Y900" t="s">
        <v>16958</v>
      </c>
      <c r="Z900" t="s">
        <v>16959</v>
      </c>
      <c r="AA900" t="s">
        <v>16960</v>
      </c>
      <c r="AB900" t="s">
        <v>16961</v>
      </c>
      <c r="AC900" t="s">
        <v>16962</v>
      </c>
      <c r="AD900" t="s">
        <v>16963</v>
      </c>
      <c r="AE900" t="s">
        <v>16964</v>
      </c>
      <c r="AF900" t="s">
        <v>74</v>
      </c>
      <c r="AG900">
        <v>88</v>
      </c>
      <c r="AH900">
        <v>3</v>
      </c>
      <c r="AI900">
        <v>3</v>
      </c>
      <c r="AJ900">
        <v>13</v>
      </c>
      <c r="AK900">
        <v>21</v>
      </c>
      <c r="AL900" t="s">
        <v>638</v>
      </c>
      <c r="AM900" t="s">
        <v>639</v>
      </c>
      <c r="AN900" t="s">
        <v>1557</v>
      </c>
      <c r="AO900" t="s">
        <v>11403</v>
      </c>
      <c r="AP900" t="s">
        <v>11404</v>
      </c>
      <c r="AQ900" t="s">
        <v>74</v>
      </c>
      <c r="AR900" t="s">
        <v>11405</v>
      </c>
      <c r="AS900" t="s">
        <v>11406</v>
      </c>
      <c r="AT900" t="s">
        <v>6824</v>
      </c>
      <c r="AU900">
        <v>2023</v>
      </c>
      <c r="AV900">
        <v>35</v>
      </c>
      <c r="AW900">
        <v>7</v>
      </c>
      <c r="AX900" t="s">
        <v>74</v>
      </c>
      <c r="AY900" t="s">
        <v>74</v>
      </c>
      <c r="AZ900" t="s">
        <v>74</v>
      </c>
      <c r="BA900" t="s">
        <v>74</v>
      </c>
      <c r="BB900">
        <v>7118</v>
      </c>
      <c r="BC900">
        <v>7137</v>
      </c>
      <c r="BD900" t="s">
        <v>74</v>
      </c>
      <c r="BE900" t="s">
        <v>16965</v>
      </c>
      <c r="BF900" t="str">
        <f>HYPERLINK("http://dx.doi.org/10.1109/TKDE.2022.3185115","http://dx.doi.org/10.1109/TKDE.2022.3185115")</f>
        <v>http://dx.doi.org/10.1109/TKDE.2022.3185115</v>
      </c>
      <c r="BG900" t="s">
        <v>74</v>
      </c>
      <c r="BH900" t="s">
        <v>74</v>
      </c>
      <c r="BI900">
        <v>20</v>
      </c>
      <c r="BJ900" t="s">
        <v>11408</v>
      </c>
      <c r="BK900" t="s">
        <v>130</v>
      </c>
      <c r="BL900" t="s">
        <v>906</v>
      </c>
      <c r="BM900" t="s">
        <v>16966</v>
      </c>
      <c r="BN900" t="s">
        <v>74</v>
      </c>
      <c r="BO900" t="s">
        <v>74</v>
      </c>
      <c r="BP900" t="s">
        <v>74</v>
      </c>
      <c r="BQ900" t="s">
        <v>74</v>
      </c>
      <c r="BR900" t="s">
        <v>101</v>
      </c>
      <c r="BS900" t="s">
        <v>16967</v>
      </c>
      <c r="BT900" t="str">
        <f>HYPERLINK("https%3A%2F%2Fwww.webofscience.com%2Fwos%2Fwoscc%2Ffull-record%2FWOS:001004293600043","View Full Record in Web of Science")</f>
        <v>View Full Record in Web of Science</v>
      </c>
    </row>
    <row r="901" spans="1:72" x14ac:dyDescent="0.2">
      <c r="A901" t="s">
        <v>103</v>
      </c>
      <c r="B901" t="s">
        <v>16968</v>
      </c>
      <c r="C901" t="s">
        <v>74</v>
      </c>
      <c r="D901" t="s">
        <v>74</v>
      </c>
      <c r="E901" t="s">
        <v>74</v>
      </c>
      <c r="F901" t="s">
        <v>16969</v>
      </c>
      <c r="G901" t="s">
        <v>74</v>
      </c>
      <c r="H901" t="s">
        <v>74</v>
      </c>
      <c r="I901" t="s">
        <v>16970</v>
      </c>
      <c r="J901" t="s">
        <v>14597</v>
      </c>
      <c r="K901" t="s">
        <v>74</v>
      </c>
      <c r="L901" t="s">
        <v>74</v>
      </c>
      <c r="M901" t="s">
        <v>79</v>
      </c>
      <c r="N901" t="s">
        <v>108</v>
      </c>
      <c r="O901" t="s">
        <v>74</v>
      </c>
      <c r="P901" t="s">
        <v>74</v>
      </c>
      <c r="Q901" t="s">
        <v>74</v>
      </c>
      <c r="R901" t="s">
        <v>74</v>
      </c>
      <c r="S901" t="s">
        <v>74</v>
      </c>
      <c r="T901" t="s">
        <v>16971</v>
      </c>
      <c r="U901" t="s">
        <v>16972</v>
      </c>
      <c r="V901" t="s">
        <v>16973</v>
      </c>
      <c r="W901" t="s">
        <v>16974</v>
      </c>
      <c r="X901" t="s">
        <v>9393</v>
      </c>
      <c r="Y901" t="s">
        <v>16975</v>
      </c>
      <c r="Z901" t="s">
        <v>16976</v>
      </c>
      <c r="AA901" t="s">
        <v>16977</v>
      </c>
      <c r="AB901" t="s">
        <v>16978</v>
      </c>
      <c r="AC901" t="s">
        <v>16979</v>
      </c>
      <c r="AD901" t="s">
        <v>16980</v>
      </c>
      <c r="AE901" t="s">
        <v>16981</v>
      </c>
      <c r="AF901" t="s">
        <v>74</v>
      </c>
      <c r="AG901">
        <v>46</v>
      </c>
      <c r="AH901">
        <v>0</v>
      </c>
      <c r="AI901">
        <v>0</v>
      </c>
      <c r="AJ901">
        <v>4</v>
      </c>
      <c r="AK901">
        <v>4</v>
      </c>
      <c r="AL901" t="s">
        <v>119</v>
      </c>
      <c r="AM901" t="s">
        <v>120</v>
      </c>
      <c r="AN901" t="s">
        <v>121</v>
      </c>
      <c r="AO901" t="s">
        <v>14609</v>
      </c>
      <c r="AP901" t="s">
        <v>14610</v>
      </c>
      <c r="AQ901" t="s">
        <v>74</v>
      </c>
      <c r="AR901" t="s">
        <v>14597</v>
      </c>
      <c r="AS901" t="s">
        <v>14611</v>
      </c>
      <c r="AT901" t="s">
        <v>251</v>
      </c>
      <c r="AU901">
        <v>2024</v>
      </c>
      <c r="AV901">
        <v>170</v>
      </c>
      <c r="AW901" t="s">
        <v>74</v>
      </c>
      <c r="AX901" t="s">
        <v>74</v>
      </c>
      <c r="AY901" t="s">
        <v>74</v>
      </c>
      <c r="AZ901" t="s">
        <v>74</v>
      </c>
      <c r="BA901" t="s">
        <v>74</v>
      </c>
      <c r="BB901">
        <v>578</v>
      </c>
      <c r="BC901">
        <v>595</v>
      </c>
      <c r="BD901" t="s">
        <v>74</v>
      </c>
      <c r="BE901" t="s">
        <v>16982</v>
      </c>
      <c r="BF901" t="str">
        <f>HYPERLINK("http://dx.doi.org/10.1016/j.neunet.2023.11.045","http://dx.doi.org/10.1016/j.neunet.2023.11.045")</f>
        <v>http://dx.doi.org/10.1016/j.neunet.2023.11.045</v>
      </c>
      <c r="BG901" t="s">
        <v>74</v>
      </c>
      <c r="BH901" t="s">
        <v>128</v>
      </c>
      <c r="BI901">
        <v>18</v>
      </c>
      <c r="BJ901" t="s">
        <v>14613</v>
      </c>
      <c r="BK901" t="s">
        <v>130</v>
      </c>
      <c r="BL901" t="s">
        <v>14614</v>
      </c>
      <c r="BM901" t="s">
        <v>16983</v>
      </c>
      <c r="BN901">
        <v>38052152</v>
      </c>
      <c r="BO901" t="s">
        <v>2722</v>
      </c>
      <c r="BP901" t="s">
        <v>74</v>
      </c>
      <c r="BQ901" t="s">
        <v>74</v>
      </c>
      <c r="BR901" t="s">
        <v>101</v>
      </c>
      <c r="BS901" t="s">
        <v>16984</v>
      </c>
      <c r="BT901" t="str">
        <f>HYPERLINK("https%3A%2F%2Fwww.webofscience.com%2Fwos%2Fwoscc%2Ffull-record%2FWOS:001132001300001","View Full Record in Web of Science")</f>
        <v>View Full Record in Web of Science</v>
      </c>
    </row>
    <row r="902" spans="1:72" x14ac:dyDescent="0.2">
      <c r="A902" t="s">
        <v>72</v>
      </c>
      <c r="B902" t="s">
        <v>16985</v>
      </c>
      <c r="C902" t="s">
        <v>74</v>
      </c>
      <c r="D902" t="s">
        <v>16986</v>
      </c>
      <c r="E902" t="s">
        <v>74</v>
      </c>
      <c r="F902" t="s">
        <v>16987</v>
      </c>
      <c r="G902" t="s">
        <v>74</v>
      </c>
      <c r="H902" t="s">
        <v>74</v>
      </c>
      <c r="I902" t="s">
        <v>16988</v>
      </c>
      <c r="J902" t="s">
        <v>16989</v>
      </c>
      <c r="K902" t="s">
        <v>16990</v>
      </c>
      <c r="L902" t="s">
        <v>74</v>
      </c>
      <c r="M902" t="s">
        <v>79</v>
      </c>
      <c r="N902" t="s">
        <v>80</v>
      </c>
      <c r="O902" t="s">
        <v>13149</v>
      </c>
      <c r="P902" t="s">
        <v>13150</v>
      </c>
      <c r="Q902" t="s">
        <v>13151</v>
      </c>
      <c r="R902" t="s">
        <v>13152</v>
      </c>
      <c r="S902" t="s">
        <v>74</v>
      </c>
      <c r="T902" t="s">
        <v>16991</v>
      </c>
      <c r="U902" t="s">
        <v>16992</v>
      </c>
      <c r="V902" t="s">
        <v>16993</v>
      </c>
      <c r="W902" t="s">
        <v>16994</v>
      </c>
      <c r="X902" t="s">
        <v>16995</v>
      </c>
      <c r="Y902" t="s">
        <v>16996</v>
      </c>
      <c r="Z902" t="s">
        <v>16997</v>
      </c>
      <c r="AA902" t="s">
        <v>74</v>
      </c>
      <c r="AB902" t="s">
        <v>74</v>
      </c>
      <c r="AC902" t="s">
        <v>16998</v>
      </c>
      <c r="AD902" t="s">
        <v>16999</v>
      </c>
      <c r="AE902" t="s">
        <v>17000</v>
      </c>
      <c r="AF902" t="s">
        <v>74</v>
      </c>
      <c r="AG902">
        <v>36</v>
      </c>
      <c r="AH902">
        <v>0</v>
      </c>
      <c r="AI902">
        <v>0</v>
      </c>
      <c r="AJ902">
        <v>1</v>
      </c>
      <c r="AK902">
        <v>1</v>
      </c>
      <c r="AL902" t="s">
        <v>638</v>
      </c>
      <c r="AM902" t="s">
        <v>639</v>
      </c>
      <c r="AN902" t="s">
        <v>640</v>
      </c>
      <c r="AO902" t="s">
        <v>17001</v>
      </c>
      <c r="AP902" t="s">
        <v>74</v>
      </c>
      <c r="AQ902" t="s">
        <v>17002</v>
      </c>
      <c r="AR902" t="s">
        <v>17003</v>
      </c>
      <c r="AS902" t="s">
        <v>74</v>
      </c>
      <c r="AT902" t="s">
        <v>74</v>
      </c>
      <c r="AU902">
        <v>2023</v>
      </c>
      <c r="AV902" t="s">
        <v>74</v>
      </c>
      <c r="AW902" t="s">
        <v>74</v>
      </c>
      <c r="AX902" t="s">
        <v>74</v>
      </c>
      <c r="AY902" t="s">
        <v>74</v>
      </c>
      <c r="AZ902" t="s">
        <v>74</v>
      </c>
      <c r="BA902" t="s">
        <v>74</v>
      </c>
      <c r="BB902">
        <v>688</v>
      </c>
      <c r="BC902">
        <v>697</v>
      </c>
      <c r="BD902" t="s">
        <v>74</v>
      </c>
      <c r="BE902" t="s">
        <v>17004</v>
      </c>
      <c r="BF902" t="str">
        <f>HYPERLINK("http://dx.doi.org/10.1109/ICDM58522.2023.00078","http://dx.doi.org/10.1109/ICDM58522.2023.00078")</f>
        <v>http://dx.doi.org/10.1109/ICDM58522.2023.00078</v>
      </c>
      <c r="BG902" t="s">
        <v>74</v>
      </c>
      <c r="BH902" t="s">
        <v>74</v>
      </c>
      <c r="BI902">
        <v>10</v>
      </c>
      <c r="BJ902" t="s">
        <v>6374</v>
      </c>
      <c r="BK902" t="s">
        <v>98</v>
      </c>
      <c r="BL902" t="s">
        <v>99</v>
      </c>
      <c r="BM902" t="s">
        <v>17005</v>
      </c>
      <c r="BN902" t="s">
        <v>74</v>
      </c>
      <c r="BO902" t="s">
        <v>646</v>
      </c>
      <c r="BP902" t="s">
        <v>74</v>
      </c>
      <c r="BQ902" t="s">
        <v>74</v>
      </c>
      <c r="BR902" t="s">
        <v>101</v>
      </c>
      <c r="BS902" t="s">
        <v>17006</v>
      </c>
      <c r="BT902" t="str">
        <f>HYPERLINK("https%3A%2F%2Fwww.webofscience.com%2Fwos%2Fwoscc%2Ffull-record%2FWOS:001165180100070","View Full Record in Web of Science")</f>
        <v>View Full Record in Web of Science</v>
      </c>
    </row>
    <row r="903" spans="1:72" x14ac:dyDescent="0.2">
      <c r="A903" t="s">
        <v>103</v>
      </c>
      <c r="B903" t="s">
        <v>17007</v>
      </c>
      <c r="C903" t="s">
        <v>74</v>
      </c>
      <c r="D903" t="s">
        <v>74</v>
      </c>
      <c r="E903" t="s">
        <v>74</v>
      </c>
      <c r="F903" t="s">
        <v>17008</v>
      </c>
      <c r="G903" t="s">
        <v>74</v>
      </c>
      <c r="H903" t="s">
        <v>74</v>
      </c>
      <c r="I903" t="s">
        <v>17009</v>
      </c>
      <c r="J903" t="s">
        <v>17010</v>
      </c>
      <c r="K903" t="s">
        <v>74</v>
      </c>
      <c r="L903" t="s">
        <v>74</v>
      </c>
      <c r="M903" t="s">
        <v>79</v>
      </c>
      <c r="N903" t="s">
        <v>108</v>
      </c>
      <c r="O903" t="s">
        <v>74</v>
      </c>
      <c r="P903" t="s">
        <v>74</v>
      </c>
      <c r="Q903" t="s">
        <v>74</v>
      </c>
      <c r="R903" t="s">
        <v>74</v>
      </c>
      <c r="S903" t="s">
        <v>74</v>
      </c>
      <c r="T903" t="s">
        <v>17011</v>
      </c>
      <c r="U903" t="s">
        <v>17012</v>
      </c>
      <c r="V903" t="s">
        <v>17013</v>
      </c>
      <c r="W903" t="s">
        <v>17014</v>
      </c>
      <c r="X903" t="s">
        <v>17015</v>
      </c>
      <c r="Y903" t="s">
        <v>17016</v>
      </c>
      <c r="Z903" t="s">
        <v>17017</v>
      </c>
      <c r="AA903" t="s">
        <v>17018</v>
      </c>
      <c r="AB903" t="s">
        <v>17019</v>
      </c>
      <c r="AC903" t="s">
        <v>74</v>
      </c>
      <c r="AD903" t="s">
        <v>74</v>
      </c>
      <c r="AE903" t="s">
        <v>74</v>
      </c>
      <c r="AF903" t="s">
        <v>74</v>
      </c>
      <c r="AG903">
        <v>40</v>
      </c>
      <c r="AH903">
        <v>1</v>
      </c>
      <c r="AI903">
        <v>1</v>
      </c>
      <c r="AJ903">
        <v>60</v>
      </c>
      <c r="AK903">
        <v>60</v>
      </c>
      <c r="AL903" t="s">
        <v>737</v>
      </c>
      <c r="AM903" t="s">
        <v>738</v>
      </c>
      <c r="AN903" t="s">
        <v>739</v>
      </c>
      <c r="AO903" t="s">
        <v>17020</v>
      </c>
      <c r="AP903" t="s">
        <v>17021</v>
      </c>
      <c r="AQ903" t="s">
        <v>74</v>
      </c>
      <c r="AR903" t="s">
        <v>17022</v>
      </c>
      <c r="AS903" t="s">
        <v>17023</v>
      </c>
      <c r="AT903" t="s">
        <v>17024</v>
      </c>
      <c r="AU903">
        <v>2023</v>
      </c>
      <c r="AV903">
        <v>30</v>
      </c>
      <c r="AW903">
        <v>9</v>
      </c>
      <c r="AX903" t="s">
        <v>74</v>
      </c>
      <c r="AY903" t="s">
        <v>74</v>
      </c>
      <c r="AZ903" t="s">
        <v>253</v>
      </c>
      <c r="BA903" t="s">
        <v>74</v>
      </c>
      <c r="BB903">
        <v>1141</v>
      </c>
      <c r="BC903">
        <v>1155</v>
      </c>
      <c r="BD903" t="s">
        <v>74</v>
      </c>
      <c r="BE903" t="s">
        <v>17025</v>
      </c>
      <c r="BF903" t="str">
        <f>HYPERLINK("http://dx.doi.org/10.1080/13662716.2023.2272724","http://dx.doi.org/10.1080/13662716.2023.2272724")</f>
        <v>http://dx.doi.org/10.1080/13662716.2023.2272724</v>
      </c>
      <c r="BG903" t="s">
        <v>74</v>
      </c>
      <c r="BH903" t="s">
        <v>1886</v>
      </c>
      <c r="BI903">
        <v>15</v>
      </c>
      <c r="BJ903" t="s">
        <v>17026</v>
      </c>
      <c r="BK903" t="s">
        <v>159</v>
      </c>
      <c r="BL903" t="s">
        <v>470</v>
      </c>
      <c r="BM903" t="s">
        <v>17027</v>
      </c>
      <c r="BN903" t="s">
        <v>74</v>
      </c>
      <c r="BO903" t="s">
        <v>1237</v>
      </c>
      <c r="BP903" t="s">
        <v>74</v>
      </c>
      <c r="BQ903" t="s">
        <v>74</v>
      </c>
      <c r="BR903" t="s">
        <v>101</v>
      </c>
      <c r="BS903" t="s">
        <v>17028</v>
      </c>
      <c r="BT903" t="str">
        <f>HYPERLINK("https%3A%2F%2Fwww.webofscience.com%2Fwos%2Fwoscc%2Ffull-record%2FWOS:001088272000001","View Full Record in Web of Science")</f>
        <v>View Full Record in Web of Science</v>
      </c>
    </row>
    <row r="904" spans="1:72" x14ac:dyDescent="0.2">
      <c r="A904" t="s">
        <v>103</v>
      </c>
      <c r="B904" t="s">
        <v>17029</v>
      </c>
      <c r="C904" t="s">
        <v>74</v>
      </c>
      <c r="D904" t="s">
        <v>74</v>
      </c>
      <c r="E904" t="s">
        <v>74</v>
      </c>
      <c r="F904" t="s">
        <v>17030</v>
      </c>
      <c r="G904" t="s">
        <v>74</v>
      </c>
      <c r="H904" t="s">
        <v>74</v>
      </c>
      <c r="I904" t="s">
        <v>17031</v>
      </c>
      <c r="J904" t="s">
        <v>13753</v>
      </c>
      <c r="K904" t="s">
        <v>74</v>
      </c>
      <c r="L904" t="s">
        <v>74</v>
      </c>
      <c r="M904" t="s">
        <v>79</v>
      </c>
      <c r="N904" t="s">
        <v>108</v>
      </c>
      <c r="O904" t="s">
        <v>74</v>
      </c>
      <c r="P904" t="s">
        <v>74</v>
      </c>
      <c r="Q904" t="s">
        <v>74</v>
      </c>
      <c r="R904" t="s">
        <v>74</v>
      </c>
      <c r="S904" t="s">
        <v>74</v>
      </c>
      <c r="T904" t="s">
        <v>17032</v>
      </c>
      <c r="U904" t="s">
        <v>10352</v>
      </c>
      <c r="V904" t="s">
        <v>17033</v>
      </c>
      <c r="W904" t="s">
        <v>17034</v>
      </c>
      <c r="X904" t="s">
        <v>17035</v>
      </c>
      <c r="Y904" t="s">
        <v>17036</v>
      </c>
      <c r="Z904" t="s">
        <v>17037</v>
      </c>
      <c r="AA904" t="s">
        <v>17038</v>
      </c>
      <c r="AB904" t="s">
        <v>17039</v>
      </c>
      <c r="AC904" t="s">
        <v>17040</v>
      </c>
      <c r="AD904" t="s">
        <v>17041</v>
      </c>
      <c r="AE904" t="s">
        <v>17042</v>
      </c>
      <c r="AF904" t="s">
        <v>74</v>
      </c>
      <c r="AG904">
        <v>112</v>
      </c>
      <c r="AH904">
        <v>2</v>
      </c>
      <c r="AI904">
        <v>2</v>
      </c>
      <c r="AJ904">
        <v>32</v>
      </c>
      <c r="AK904">
        <v>33</v>
      </c>
      <c r="AL904" t="s">
        <v>764</v>
      </c>
      <c r="AM904" t="s">
        <v>765</v>
      </c>
      <c r="AN904" t="s">
        <v>766</v>
      </c>
      <c r="AO904" t="s">
        <v>13762</v>
      </c>
      <c r="AP904" t="s">
        <v>13763</v>
      </c>
      <c r="AQ904" t="s">
        <v>74</v>
      </c>
      <c r="AR904" t="s">
        <v>13764</v>
      </c>
      <c r="AS904" t="s">
        <v>13765</v>
      </c>
      <c r="AT904" t="s">
        <v>276</v>
      </c>
      <c r="AU904">
        <v>2023</v>
      </c>
      <c r="AV904">
        <v>155</v>
      </c>
      <c r="AW904" t="s">
        <v>74</v>
      </c>
      <c r="AX904" t="s">
        <v>74</v>
      </c>
      <c r="AY904" t="s">
        <v>74</v>
      </c>
      <c r="AZ904" t="s">
        <v>74</v>
      </c>
      <c r="BA904" t="s">
        <v>74</v>
      </c>
      <c r="BB904" t="s">
        <v>74</v>
      </c>
      <c r="BC904" t="s">
        <v>74</v>
      </c>
      <c r="BD904">
        <v>105058</v>
      </c>
      <c r="BE904" t="s">
        <v>17043</v>
      </c>
      <c r="BF904" t="str">
        <f>HYPERLINK("http://dx.doi.org/10.1016/j.autcon.2023.105058","http://dx.doi.org/10.1016/j.autcon.2023.105058")</f>
        <v>http://dx.doi.org/10.1016/j.autcon.2023.105058</v>
      </c>
      <c r="BG904" t="s">
        <v>74</v>
      </c>
      <c r="BH904" t="s">
        <v>255</v>
      </c>
      <c r="BI904">
        <v>20</v>
      </c>
      <c r="BJ904" t="s">
        <v>13051</v>
      </c>
      <c r="BK904" t="s">
        <v>130</v>
      </c>
      <c r="BL904" t="s">
        <v>13052</v>
      </c>
      <c r="BM904" t="s">
        <v>17044</v>
      </c>
      <c r="BN904" t="s">
        <v>74</v>
      </c>
      <c r="BO904" t="s">
        <v>74</v>
      </c>
      <c r="BP904" t="s">
        <v>74</v>
      </c>
      <c r="BQ904" t="s">
        <v>74</v>
      </c>
      <c r="BR904" t="s">
        <v>101</v>
      </c>
      <c r="BS904" t="s">
        <v>17045</v>
      </c>
      <c r="BT904" t="str">
        <f>HYPERLINK("https%3A%2F%2Fwww.webofscience.com%2Fwos%2Fwoscc%2Ffull-record%2FWOS:001063284700001","View Full Record in Web of Science")</f>
        <v>View Full Record in Web of Science</v>
      </c>
    </row>
    <row r="905" spans="1:72" x14ac:dyDescent="0.2">
      <c r="A905" t="s">
        <v>72</v>
      </c>
      <c r="B905" t="s">
        <v>17046</v>
      </c>
      <c r="C905" t="s">
        <v>74</v>
      </c>
      <c r="D905" t="s">
        <v>74</v>
      </c>
      <c r="E905" t="s">
        <v>284</v>
      </c>
      <c r="F905" t="s">
        <v>17047</v>
      </c>
      <c r="G905" t="s">
        <v>74</v>
      </c>
      <c r="H905" t="s">
        <v>74</v>
      </c>
      <c r="I905" t="s">
        <v>17048</v>
      </c>
      <c r="J905" t="s">
        <v>15616</v>
      </c>
      <c r="K905" t="s">
        <v>15617</v>
      </c>
      <c r="L905" t="s">
        <v>74</v>
      </c>
      <c r="M905" t="s">
        <v>79</v>
      </c>
      <c r="N905" t="s">
        <v>80</v>
      </c>
      <c r="O905" t="s">
        <v>15618</v>
      </c>
      <c r="P905" t="s">
        <v>15619</v>
      </c>
      <c r="Q905" t="s">
        <v>15620</v>
      </c>
      <c r="R905" t="s">
        <v>15621</v>
      </c>
      <c r="S905" t="s">
        <v>74</v>
      </c>
      <c r="T905" t="s">
        <v>17049</v>
      </c>
      <c r="U905" t="s">
        <v>74</v>
      </c>
      <c r="V905" t="s">
        <v>17050</v>
      </c>
      <c r="W905" t="s">
        <v>17051</v>
      </c>
      <c r="X905" t="s">
        <v>74</v>
      </c>
      <c r="Y905" t="s">
        <v>17052</v>
      </c>
      <c r="Z905" t="s">
        <v>17053</v>
      </c>
      <c r="AA905" t="s">
        <v>74</v>
      </c>
      <c r="AB905" t="s">
        <v>74</v>
      </c>
      <c r="AC905" t="s">
        <v>74</v>
      </c>
      <c r="AD905" t="s">
        <v>74</v>
      </c>
      <c r="AE905" t="s">
        <v>74</v>
      </c>
      <c r="AF905" t="s">
        <v>74</v>
      </c>
      <c r="AG905">
        <v>27</v>
      </c>
      <c r="AH905">
        <v>0</v>
      </c>
      <c r="AI905">
        <v>0</v>
      </c>
      <c r="AJ905">
        <v>2</v>
      </c>
      <c r="AK905">
        <v>2</v>
      </c>
      <c r="AL905" t="s">
        <v>284</v>
      </c>
      <c r="AM905" t="s">
        <v>93</v>
      </c>
      <c r="AN905" t="s">
        <v>299</v>
      </c>
      <c r="AO905" t="s">
        <v>15630</v>
      </c>
      <c r="AP905" t="s">
        <v>74</v>
      </c>
      <c r="AQ905" t="s">
        <v>15631</v>
      </c>
      <c r="AR905" t="s">
        <v>15632</v>
      </c>
      <c r="AS905" t="s">
        <v>74</v>
      </c>
      <c r="AT905" t="s">
        <v>74</v>
      </c>
      <c r="AU905">
        <v>2023</v>
      </c>
      <c r="AV905" t="s">
        <v>74</v>
      </c>
      <c r="AW905" t="s">
        <v>74</v>
      </c>
      <c r="AX905" t="s">
        <v>74</v>
      </c>
      <c r="AY905" t="s">
        <v>74</v>
      </c>
      <c r="AZ905" t="s">
        <v>74</v>
      </c>
      <c r="BA905" t="s">
        <v>74</v>
      </c>
      <c r="BB905" t="s">
        <v>74</v>
      </c>
      <c r="BC905" t="s">
        <v>74</v>
      </c>
      <c r="BD905" t="s">
        <v>74</v>
      </c>
      <c r="BE905" t="s">
        <v>17054</v>
      </c>
      <c r="BF905" t="str">
        <f>HYPERLINK("http://dx.doi.org/10.1109/IJCNN54540.2023.1019199","http://dx.doi.org/10.1109/IJCNN54540.2023.1019199")</f>
        <v>http://dx.doi.org/10.1109/IJCNN54540.2023.1019199</v>
      </c>
      <c r="BG905" t="s">
        <v>74</v>
      </c>
      <c r="BH905" t="s">
        <v>74</v>
      </c>
      <c r="BI905">
        <v>7</v>
      </c>
      <c r="BJ905" t="s">
        <v>15634</v>
      </c>
      <c r="BK905" t="s">
        <v>98</v>
      </c>
      <c r="BL905" t="s">
        <v>906</v>
      </c>
      <c r="BM905" t="s">
        <v>15635</v>
      </c>
      <c r="BN905" t="s">
        <v>74</v>
      </c>
      <c r="BO905" t="s">
        <v>74</v>
      </c>
      <c r="BP905" t="s">
        <v>74</v>
      </c>
      <c r="BQ905" t="s">
        <v>74</v>
      </c>
      <c r="BR905" t="s">
        <v>101</v>
      </c>
      <c r="BS905" t="s">
        <v>17055</v>
      </c>
      <c r="BT905" t="str">
        <f>HYPERLINK("https%3A%2F%2Fwww.webofscience.com%2Fwos%2Fwoscc%2Ffull-record%2FWOS:001046198707059","View Full Record in Web of Science")</f>
        <v>View Full Record in Web of Science</v>
      </c>
    </row>
    <row r="906" spans="1:72" x14ac:dyDescent="0.2">
      <c r="A906" t="s">
        <v>103</v>
      </c>
      <c r="B906" t="s">
        <v>17056</v>
      </c>
      <c r="C906" t="s">
        <v>74</v>
      </c>
      <c r="D906" t="s">
        <v>74</v>
      </c>
      <c r="E906" t="s">
        <v>74</v>
      </c>
      <c r="F906" t="s">
        <v>17057</v>
      </c>
      <c r="G906" t="s">
        <v>74</v>
      </c>
      <c r="H906" t="s">
        <v>74</v>
      </c>
      <c r="I906" t="s">
        <v>17058</v>
      </c>
      <c r="J906" t="s">
        <v>1370</v>
      </c>
      <c r="K906" t="s">
        <v>74</v>
      </c>
      <c r="L906" t="s">
        <v>74</v>
      </c>
      <c r="M906" t="s">
        <v>79</v>
      </c>
      <c r="N906" t="s">
        <v>108</v>
      </c>
      <c r="O906" t="s">
        <v>74</v>
      </c>
      <c r="P906" t="s">
        <v>74</v>
      </c>
      <c r="Q906" t="s">
        <v>74</v>
      </c>
      <c r="R906" t="s">
        <v>74</v>
      </c>
      <c r="S906" t="s">
        <v>74</v>
      </c>
      <c r="T906" t="s">
        <v>17059</v>
      </c>
      <c r="U906" t="s">
        <v>17060</v>
      </c>
      <c r="V906" t="s">
        <v>17061</v>
      </c>
      <c r="W906" t="s">
        <v>17062</v>
      </c>
      <c r="X906" t="s">
        <v>17063</v>
      </c>
      <c r="Y906" t="s">
        <v>17064</v>
      </c>
      <c r="Z906" t="s">
        <v>17065</v>
      </c>
      <c r="AA906" t="s">
        <v>74</v>
      </c>
      <c r="AB906" t="s">
        <v>17066</v>
      </c>
      <c r="AC906" t="s">
        <v>17067</v>
      </c>
      <c r="AD906" t="s">
        <v>17068</v>
      </c>
      <c r="AE906" t="s">
        <v>17069</v>
      </c>
      <c r="AF906" t="s">
        <v>74</v>
      </c>
      <c r="AG906">
        <v>70</v>
      </c>
      <c r="AH906">
        <v>1</v>
      </c>
      <c r="AI906">
        <v>1</v>
      </c>
      <c r="AJ906">
        <v>10</v>
      </c>
      <c r="AK906">
        <v>10</v>
      </c>
      <c r="AL906" t="s">
        <v>1379</v>
      </c>
      <c r="AM906" t="s">
        <v>1380</v>
      </c>
      <c r="AN906" t="s">
        <v>1381</v>
      </c>
      <c r="AO906" t="s">
        <v>1382</v>
      </c>
      <c r="AP906" t="s">
        <v>74</v>
      </c>
      <c r="AQ906" t="s">
        <v>74</v>
      </c>
      <c r="AR906" t="s">
        <v>1370</v>
      </c>
      <c r="AS906" t="s">
        <v>1383</v>
      </c>
      <c r="AT906" t="s">
        <v>74</v>
      </c>
      <c r="AU906">
        <v>2023</v>
      </c>
      <c r="AV906">
        <v>11</v>
      </c>
      <c r="AW906" t="s">
        <v>74</v>
      </c>
      <c r="AX906" t="s">
        <v>74</v>
      </c>
      <c r="AY906" t="s">
        <v>74</v>
      </c>
      <c r="AZ906" t="s">
        <v>74</v>
      </c>
      <c r="BA906" t="s">
        <v>74</v>
      </c>
      <c r="BB906">
        <v>114936</v>
      </c>
      <c r="BC906">
        <v>114951</v>
      </c>
      <c r="BD906" t="s">
        <v>74</v>
      </c>
      <c r="BE906" t="s">
        <v>17070</v>
      </c>
      <c r="BF906" t="str">
        <f>HYPERLINK("http://dx.doi.org/10.1109/ACCESS.2023.3325727","http://dx.doi.org/10.1109/ACCESS.2023.3325727")</f>
        <v>http://dx.doi.org/10.1109/ACCESS.2023.3325727</v>
      </c>
      <c r="BG906" t="s">
        <v>74</v>
      </c>
      <c r="BH906" t="s">
        <v>74</v>
      </c>
      <c r="BI906">
        <v>16</v>
      </c>
      <c r="BJ906" t="s">
        <v>1385</v>
      </c>
      <c r="BK906" t="s">
        <v>130</v>
      </c>
      <c r="BL906" t="s">
        <v>1386</v>
      </c>
      <c r="BM906" t="s">
        <v>17071</v>
      </c>
      <c r="BN906" t="s">
        <v>74</v>
      </c>
      <c r="BO906" t="s">
        <v>425</v>
      </c>
      <c r="BP906" t="s">
        <v>74</v>
      </c>
      <c r="BQ906" t="s">
        <v>74</v>
      </c>
      <c r="BR906" t="s">
        <v>101</v>
      </c>
      <c r="BS906" t="s">
        <v>17072</v>
      </c>
      <c r="BT906" t="str">
        <f>HYPERLINK("https%3A%2F%2Fwww.webofscience.com%2Fwos%2Fwoscc%2Ffull-record%2FWOS:001091400300001","View Full Record in Web of Science")</f>
        <v>View Full Record in Web of Science</v>
      </c>
    </row>
    <row r="907" spans="1:72" x14ac:dyDescent="0.2">
      <c r="A907" t="s">
        <v>103</v>
      </c>
      <c r="B907" t="s">
        <v>17073</v>
      </c>
      <c r="C907" t="s">
        <v>74</v>
      </c>
      <c r="D907" t="s">
        <v>74</v>
      </c>
      <c r="E907" t="s">
        <v>74</v>
      </c>
      <c r="F907" t="s">
        <v>17074</v>
      </c>
      <c r="G907" t="s">
        <v>74</v>
      </c>
      <c r="H907" t="s">
        <v>74</v>
      </c>
      <c r="I907" t="s">
        <v>17075</v>
      </c>
      <c r="J907" t="s">
        <v>17076</v>
      </c>
      <c r="K907" t="s">
        <v>74</v>
      </c>
      <c r="L907" t="s">
        <v>74</v>
      </c>
      <c r="M907" t="s">
        <v>79</v>
      </c>
      <c r="N907" t="s">
        <v>108</v>
      </c>
      <c r="O907" t="s">
        <v>74</v>
      </c>
      <c r="P907" t="s">
        <v>74</v>
      </c>
      <c r="Q907" t="s">
        <v>74</v>
      </c>
      <c r="R907" t="s">
        <v>74</v>
      </c>
      <c r="S907" t="s">
        <v>74</v>
      </c>
      <c r="T907" t="s">
        <v>74</v>
      </c>
      <c r="U907" t="s">
        <v>74</v>
      </c>
      <c r="V907" t="s">
        <v>17077</v>
      </c>
      <c r="W907" t="s">
        <v>17078</v>
      </c>
      <c r="X907" t="s">
        <v>74</v>
      </c>
      <c r="Y907" t="s">
        <v>17079</v>
      </c>
      <c r="Z907" t="s">
        <v>17080</v>
      </c>
      <c r="AA907" t="s">
        <v>74</v>
      </c>
      <c r="AB907" t="s">
        <v>74</v>
      </c>
      <c r="AC907" t="s">
        <v>74</v>
      </c>
      <c r="AD907" t="s">
        <v>74</v>
      </c>
      <c r="AE907" t="s">
        <v>74</v>
      </c>
      <c r="AF907" t="s">
        <v>74</v>
      </c>
      <c r="AG907">
        <v>15</v>
      </c>
      <c r="AH907">
        <v>0</v>
      </c>
      <c r="AI907">
        <v>0</v>
      </c>
      <c r="AJ907">
        <v>0</v>
      </c>
      <c r="AK907">
        <v>0</v>
      </c>
      <c r="AL907" t="s">
        <v>17081</v>
      </c>
      <c r="AM907" t="s">
        <v>17082</v>
      </c>
      <c r="AN907" t="s">
        <v>17083</v>
      </c>
      <c r="AO907" t="s">
        <v>17084</v>
      </c>
      <c r="AP907" t="s">
        <v>74</v>
      </c>
      <c r="AQ907" t="s">
        <v>74</v>
      </c>
      <c r="AR907" t="s">
        <v>17085</v>
      </c>
      <c r="AS907" t="s">
        <v>17086</v>
      </c>
      <c r="AT907" t="s">
        <v>615</v>
      </c>
      <c r="AU907">
        <v>2023</v>
      </c>
      <c r="AV907">
        <v>81</v>
      </c>
      <c r="AW907">
        <v>7</v>
      </c>
      <c r="AX907" t="s">
        <v>74</v>
      </c>
      <c r="AY907" t="s">
        <v>74</v>
      </c>
      <c r="AZ907" t="s">
        <v>74</v>
      </c>
      <c r="BA907" t="s">
        <v>74</v>
      </c>
      <c r="BB907">
        <v>28</v>
      </c>
      <c r="BC907">
        <v>34</v>
      </c>
      <c r="BD907" t="s">
        <v>74</v>
      </c>
      <c r="BE907" t="s">
        <v>17087</v>
      </c>
      <c r="BF907" t="str">
        <f>HYPERLINK("http://dx.doi.org/10.32548/2023.me-04361","http://dx.doi.org/10.32548/2023.me-04361")</f>
        <v>http://dx.doi.org/10.32548/2023.me-04361</v>
      </c>
      <c r="BG907" t="s">
        <v>74</v>
      </c>
      <c r="BH907" t="s">
        <v>74</v>
      </c>
      <c r="BI907">
        <v>7</v>
      </c>
      <c r="BJ907" t="s">
        <v>17088</v>
      </c>
      <c r="BK907" t="s">
        <v>130</v>
      </c>
      <c r="BL907" t="s">
        <v>3847</v>
      </c>
      <c r="BM907" t="s">
        <v>17089</v>
      </c>
      <c r="BN907" t="s">
        <v>74</v>
      </c>
      <c r="BO907" t="s">
        <v>74</v>
      </c>
      <c r="BP907" t="s">
        <v>74</v>
      </c>
      <c r="BQ907" t="s">
        <v>74</v>
      </c>
      <c r="BR907" t="s">
        <v>101</v>
      </c>
      <c r="BS907" t="s">
        <v>17090</v>
      </c>
      <c r="BT907" t="str">
        <f>HYPERLINK("https%3A%2F%2Fwww.webofscience.com%2Fwos%2Fwoscc%2Ffull-record%2FWOS:001178984600004","View Full Record in Web of Science")</f>
        <v>View Full Record in Web of Science</v>
      </c>
    </row>
    <row r="908" spans="1:72" x14ac:dyDescent="0.2">
      <c r="A908" t="s">
        <v>103</v>
      </c>
      <c r="B908" t="s">
        <v>17091</v>
      </c>
      <c r="C908" t="s">
        <v>74</v>
      </c>
      <c r="D908" t="s">
        <v>74</v>
      </c>
      <c r="E908" t="s">
        <v>74</v>
      </c>
      <c r="F908" t="s">
        <v>17092</v>
      </c>
      <c r="G908" t="s">
        <v>74</v>
      </c>
      <c r="H908" t="s">
        <v>74</v>
      </c>
      <c r="I908" t="s">
        <v>17093</v>
      </c>
      <c r="J908" t="s">
        <v>10711</v>
      </c>
      <c r="K908" t="s">
        <v>74</v>
      </c>
      <c r="L908" t="s">
        <v>74</v>
      </c>
      <c r="M908" t="s">
        <v>79</v>
      </c>
      <c r="N908" t="s">
        <v>108</v>
      </c>
      <c r="O908" t="s">
        <v>74</v>
      </c>
      <c r="P908" t="s">
        <v>74</v>
      </c>
      <c r="Q908" t="s">
        <v>74</v>
      </c>
      <c r="R908" t="s">
        <v>74</v>
      </c>
      <c r="S908" t="s">
        <v>74</v>
      </c>
      <c r="T908" t="s">
        <v>74</v>
      </c>
      <c r="U908" t="s">
        <v>17094</v>
      </c>
      <c r="V908" t="s">
        <v>17095</v>
      </c>
      <c r="W908" t="s">
        <v>17096</v>
      </c>
      <c r="X908" t="s">
        <v>17097</v>
      </c>
      <c r="Y908" t="s">
        <v>17098</v>
      </c>
      <c r="Z908" t="s">
        <v>17099</v>
      </c>
      <c r="AA908" t="s">
        <v>17100</v>
      </c>
      <c r="AB908" t="s">
        <v>17101</v>
      </c>
      <c r="AC908" t="s">
        <v>74</v>
      </c>
      <c r="AD908" t="s">
        <v>74</v>
      </c>
      <c r="AE908" t="s">
        <v>74</v>
      </c>
      <c r="AF908" t="s">
        <v>74</v>
      </c>
      <c r="AG908">
        <v>61</v>
      </c>
      <c r="AH908">
        <v>0</v>
      </c>
      <c r="AI908">
        <v>0</v>
      </c>
      <c r="AJ908">
        <v>6</v>
      </c>
      <c r="AK908">
        <v>9</v>
      </c>
      <c r="AL908" t="s">
        <v>1880</v>
      </c>
      <c r="AM908" t="s">
        <v>369</v>
      </c>
      <c r="AN908" t="s">
        <v>1881</v>
      </c>
      <c r="AO908" t="s">
        <v>10723</v>
      </c>
      <c r="AP908" t="s">
        <v>74</v>
      </c>
      <c r="AQ908" t="s">
        <v>74</v>
      </c>
      <c r="AR908" t="s">
        <v>10724</v>
      </c>
      <c r="AS908" t="s">
        <v>10725</v>
      </c>
      <c r="AT908" t="s">
        <v>17102</v>
      </c>
      <c r="AU908">
        <v>2023</v>
      </c>
      <c r="AV908">
        <v>13</v>
      </c>
      <c r="AW908">
        <v>1</v>
      </c>
      <c r="AX908" t="s">
        <v>74</v>
      </c>
      <c r="AY908" t="s">
        <v>74</v>
      </c>
      <c r="AZ908" t="s">
        <v>74</v>
      </c>
      <c r="BA908" t="s">
        <v>74</v>
      </c>
      <c r="BB908" t="s">
        <v>74</v>
      </c>
      <c r="BC908" t="s">
        <v>74</v>
      </c>
      <c r="BD908">
        <v>10568</v>
      </c>
      <c r="BE908" t="s">
        <v>17103</v>
      </c>
      <c r="BF908" t="str">
        <f>HYPERLINK("http://dx.doi.org/10.1038/s41598-023-36712-1","http://dx.doi.org/10.1038/s41598-023-36712-1")</f>
        <v>http://dx.doi.org/10.1038/s41598-023-36712-1</v>
      </c>
      <c r="BG908" t="s">
        <v>74</v>
      </c>
      <c r="BH908" t="s">
        <v>74</v>
      </c>
      <c r="BI908">
        <v>15</v>
      </c>
      <c r="BJ908" t="s">
        <v>5686</v>
      </c>
      <c r="BK908" t="s">
        <v>130</v>
      </c>
      <c r="BL908" t="s">
        <v>5687</v>
      </c>
      <c r="BM908" t="s">
        <v>17104</v>
      </c>
      <c r="BN908">
        <v>37386097</v>
      </c>
      <c r="BO908" t="s">
        <v>4185</v>
      </c>
      <c r="BP908" t="s">
        <v>74</v>
      </c>
      <c r="BQ908" t="s">
        <v>74</v>
      </c>
      <c r="BR908" t="s">
        <v>101</v>
      </c>
      <c r="BS908" t="s">
        <v>17105</v>
      </c>
      <c r="BT908" t="str">
        <f>HYPERLINK("https%3A%2F%2Fwww.webofscience.com%2Fwos%2Fwoscc%2Ffull-record%2FWOS:001022752100012","View Full Record in Web of Science")</f>
        <v>View Full Record in Web of Science</v>
      </c>
    </row>
    <row r="909" spans="1:72" x14ac:dyDescent="0.2">
      <c r="A909" t="s">
        <v>103</v>
      </c>
      <c r="B909" t="s">
        <v>17106</v>
      </c>
      <c r="C909" t="s">
        <v>74</v>
      </c>
      <c r="D909" t="s">
        <v>74</v>
      </c>
      <c r="E909" t="s">
        <v>74</v>
      </c>
      <c r="F909" t="s">
        <v>17107</v>
      </c>
      <c r="G909" t="s">
        <v>74</v>
      </c>
      <c r="H909" t="s">
        <v>74</v>
      </c>
      <c r="I909" t="s">
        <v>17108</v>
      </c>
      <c r="J909" t="s">
        <v>17109</v>
      </c>
      <c r="K909" t="s">
        <v>74</v>
      </c>
      <c r="L909" t="s">
        <v>74</v>
      </c>
      <c r="M909" t="s">
        <v>79</v>
      </c>
      <c r="N909" t="s">
        <v>108</v>
      </c>
      <c r="O909" t="s">
        <v>74</v>
      </c>
      <c r="P909" t="s">
        <v>74</v>
      </c>
      <c r="Q909" t="s">
        <v>74</v>
      </c>
      <c r="R909" t="s">
        <v>74</v>
      </c>
      <c r="S909" t="s">
        <v>74</v>
      </c>
      <c r="T909" t="s">
        <v>17110</v>
      </c>
      <c r="U909" t="s">
        <v>74</v>
      </c>
      <c r="V909" t="s">
        <v>17111</v>
      </c>
      <c r="W909" t="s">
        <v>17112</v>
      </c>
      <c r="X909" t="s">
        <v>17113</v>
      </c>
      <c r="Y909" t="s">
        <v>17114</v>
      </c>
      <c r="Z909" t="s">
        <v>17115</v>
      </c>
      <c r="AA909" t="s">
        <v>17116</v>
      </c>
      <c r="AB909" t="s">
        <v>17117</v>
      </c>
      <c r="AC909" t="s">
        <v>17118</v>
      </c>
      <c r="AD909" t="s">
        <v>17119</v>
      </c>
      <c r="AE909" t="s">
        <v>17120</v>
      </c>
      <c r="AF909" t="s">
        <v>74</v>
      </c>
      <c r="AG909">
        <v>26</v>
      </c>
      <c r="AH909">
        <v>7</v>
      </c>
      <c r="AI909">
        <v>7</v>
      </c>
      <c r="AJ909">
        <v>71</v>
      </c>
      <c r="AK909">
        <v>89</v>
      </c>
      <c r="AL909" t="s">
        <v>3165</v>
      </c>
      <c r="AM909" t="s">
        <v>3166</v>
      </c>
      <c r="AN909" t="s">
        <v>3167</v>
      </c>
      <c r="AO909" t="s">
        <v>17121</v>
      </c>
      <c r="AP909" t="s">
        <v>17122</v>
      </c>
      <c r="AQ909" t="s">
        <v>74</v>
      </c>
      <c r="AR909" t="s">
        <v>17123</v>
      </c>
      <c r="AS909" t="s">
        <v>17124</v>
      </c>
      <c r="AT909" t="s">
        <v>251</v>
      </c>
      <c r="AU909">
        <v>2024</v>
      </c>
      <c r="AV909">
        <v>28</v>
      </c>
      <c r="AW909">
        <v>1</v>
      </c>
      <c r="AX909" t="s">
        <v>74</v>
      </c>
      <c r="AY909" t="s">
        <v>74</v>
      </c>
      <c r="AZ909" t="s">
        <v>74</v>
      </c>
      <c r="BA909" t="s">
        <v>74</v>
      </c>
      <c r="BB909">
        <v>206</v>
      </c>
      <c r="BC909">
        <v>211</v>
      </c>
      <c r="BD909" t="s">
        <v>74</v>
      </c>
      <c r="BE909" t="s">
        <v>17125</v>
      </c>
      <c r="BF909" t="str">
        <f>HYPERLINK("http://dx.doi.org/10.1111/eje.12937","http://dx.doi.org/10.1111/eje.12937")</f>
        <v>http://dx.doi.org/10.1111/eje.12937</v>
      </c>
      <c r="BG909" t="s">
        <v>74</v>
      </c>
      <c r="BH909" t="s">
        <v>255</v>
      </c>
      <c r="BI909">
        <v>6</v>
      </c>
      <c r="BJ909" t="s">
        <v>17126</v>
      </c>
      <c r="BK909" t="s">
        <v>130</v>
      </c>
      <c r="BL909" t="s">
        <v>17127</v>
      </c>
      <c r="BM909" t="s">
        <v>17128</v>
      </c>
      <c r="BN909">
        <v>37550893</v>
      </c>
      <c r="BO909" t="s">
        <v>1214</v>
      </c>
      <c r="BP909" t="s">
        <v>74</v>
      </c>
      <c r="BQ909" t="s">
        <v>74</v>
      </c>
      <c r="BR909" t="s">
        <v>101</v>
      </c>
      <c r="BS909" t="s">
        <v>17129</v>
      </c>
      <c r="BT909" t="str">
        <f>HYPERLINK("https%3A%2F%2Fwww.webofscience.com%2Fwos%2Fwoscc%2Ffull-record%2FWOS:001044142100001","View Full Record in Web of Science")</f>
        <v>View Full Record in Web of Science</v>
      </c>
    </row>
    <row r="910" spans="1:72" x14ac:dyDescent="0.2">
      <c r="A910" t="s">
        <v>72</v>
      </c>
      <c r="B910" t="s">
        <v>17130</v>
      </c>
      <c r="C910" t="s">
        <v>74</v>
      </c>
      <c r="D910" t="s">
        <v>17131</v>
      </c>
      <c r="E910" t="s">
        <v>74</v>
      </c>
      <c r="F910" t="s">
        <v>17132</v>
      </c>
      <c r="G910" t="s">
        <v>74</v>
      </c>
      <c r="H910" t="s">
        <v>74</v>
      </c>
      <c r="I910" t="s">
        <v>17133</v>
      </c>
      <c r="J910" t="s">
        <v>17134</v>
      </c>
      <c r="K910" t="s">
        <v>312</v>
      </c>
      <c r="L910" t="s">
        <v>74</v>
      </c>
      <c r="M910" t="s">
        <v>79</v>
      </c>
      <c r="N910" t="s">
        <v>80</v>
      </c>
      <c r="O910" t="s">
        <v>17135</v>
      </c>
      <c r="P910" t="s">
        <v>17136</v>
      </c>
      <c r="Q910" t="s">
        <v>17137</v>
      </c>
      <c r="R910" t="s">
        <v>74</v>
      </c>
      <c r="S910" t="s">
        <v>74</v>
      </c>
      <c r="T910" t="s">
        <v>17138</v>
      </c>
      <c r="U910" t="s">
        <v>74</v>
      </c>
      <c r="V910" t="s">
        <v>17139</v>
      </c>
      <c r="W910" t="s">
        <v>17140</v>
      </c>
      <c r="X910" t="s">
        <v>17141</v>
      </c>
      <c r="Y910" t="s">
        <v>17142</v>
      </c>
      <c r="Z910" t="s">
        <v>17143</v>
      </c>
      <c r="AA910" t="s">
        <v>17144</v>
      </c>
      <c r="AB910" t="s">
        <v>74</v>
      </c>
      <c r="AC910" t="s">
        <v>17145</v>
      </c>
      <c r="AD910" t="s">
        <v>17146</v>
      </c>
      <c r="AE910" t="s">
        <v>17147</v>
      </c>
      <c r="AF910" t="s">
        <v>74</v>
      </c>
      <c r="AG910">
        <v>42</v>
      </c>
      <c r="AH910">
        <v>0</v>
      </c>
      <c r="AI910">
        <v>0</v>
      </c>
      <c r="AJ910">
        <v>2</v>
      </c>
      <c r="AK910">
        <v>3</v>
      </c>
      <c r="AL910" t="s">
        <v>325</v>
      </c>
      <c r="AM910" t="s">
        <v>245</v>
      </c>
      <c r="AN910" t="s">
        <v>246</v>
      </c>
      <c r="AO910" t="s">
        <v>326</v>
      </c>
      <c r="AP910" t="s">
        <v>327</v>
      </c>
      <c r="AQ910" t="s">
        <v>17148</v>
      </c>
      <c r="AR910" t="s">
        <v>329</v>
      </c>
      <c r="AS910" t="s">
        <v>74</v>
      </c>
      <c r="AT910" t="s">
        <v>74</v>
      </c>
      <c r="AU910">
        <v>2023</v>
      </c>
      <c r="AV910">
        <v>13823</v>
      </c>
      <c r="AW910" t="s">
        <v>74</v>
      </c>
      <c r="AX910" t="s">
        <v>74</v>
      </c>
      <c r="AY910" t="s">
        <v>74</v>
      </c>
      <c r="AZ910" t="s">
        <v>74</v>
      </c>
      <c r="BA910" t="s">
        <v>74</v>
      </c>
      <c r="BB910">
        <v>3</v>
      </c>
      <c r="BC910">
        <v>11</v>
      </c>
      <c r="BD910" t="s">
        <v>74</v>
      </c>
      <c r="BE910" t="s">
        <v>17149</v>
      </c>
      <c r="BF910" t="str">
        <f>HYPERLINK("http://dx.doi.org/10.1007/978-3-031-25046-0_1","http://dx.doi.org/10.1007/978-3-031-25046-0_1")</f>
        <v>http://dx.doi.org/10.1007/978-3-031-25046-0_1</v>
      </c>
      <c r="BG910" t="s">
        <v>74</v>
      </c>
      <c r="BH910" t="s">
        <v>74</v>
      </c>
      <c r="BI910">
        <v>9</v>
      </c>
      <c r="BJ910" t="s">
        <v>17150</v>
      </c>
      <c r="BK910" t="s">
        <v>98</v>
      </c>
      <c r="BL910" t="s">
        <v>13489</v>
      </c>
      <c r="BM910" t="s">
        <v>17151</v>
      </c>
      <c r="BN910" t="s">
        <v>74</v>
      </c>
      <c r="BO910" t="s">
        <v>74</v>
      </c>
      <c r="BP910" t="s">
        <v>74</v>
      </c>
      <c r="BQ910" t="s">
        <v>74</v>
      </c>
      <c r="BR910" t="s">
        <v>101</v>
      </c>
      <c r="BS910" t="s">
        <v>17152</v>
      </c>
      <c r="BT910" t="str">
        <f>HYPERLINK("https%3A%2F%2Fwww.webofscience.com%2Fwos%2Fwoscc%2Ffull-record%2FWOS:000968077300001","View Full Record in Web of Science")</f>
        <v>View Full Record in Web of Science</v>
      </c>
    </row>
    <row r="911" spans="1:72" x14ac:dyDescent="0.2">
      <c r="A911" t="s">
        <v>103</v>
      </c>
      <c r="B911" t="s">
        <v>17153</v>
      </c>
      <c r="C911" t="s">
        <v>74</v>
      </c>
      <c r="D911" t="s">
        <v>74</v>
      </c>
      <c r="E911" t="s">
        <v>74</v>
      </c>
      <c r="F911" t="s">
        <v>17154</v>
      </c>
      <c r="G911" t="s">
        <v>74</v>
      </c>
      <c r="H911" t="s">
        <v>74</v>
      </c>
      <c r="I911" t="s">
        <v>17155</v>
      </c>
      <c r="J911" t="s">
        <v>17156</v>
      </c>
      <c r="K911" t="s">
        <v>74</v>
      </c>
      <c r="L911" t="s">
        <v>74</v>
      </c>
      <c r="M911" t="s">
        <v>79</v>
      </c>
      <c r="N911" t="s">
        <v>108</v>
      </c>
      <c r="O911" t="s">
        <v>74</v>
      </c>
      <c r="P911" t="s">
        <v>74</v>
      </c>
      <c r="Q911" t="s">
        <v>74</v>
      </c>
      <c r="R911" t="s">
        <v>74</v>
      </c>
      <c r="S911" t="s">
        <v>74</v>
      </c>
      <c r="T911" t="s">
        <v>17157</v>
      </c>
      <c r="U911" t="s">
        <v>17158</v>
      </c>
      <c r="V911" t="s">
        <v>17159</v>
      </c>
      <c r="W911" t="s">
        <v>17160</v>
      </c>
      <c r="X911" t="s">
        <v>17161</v>
      </c>
      <c r="Y911" t="s">
        <v>17162</v>
      </c>
      <c r="Z911" t="s">
        <v>17163</v>
      </c>
      <c r="AA911" t="s">
        <v>74</v>
      </c>
      <c r="AB911" t="s">
        <v>17164</v>
      </c>
      <c r="AC911" t="s">
        <v>74</v>
      </c>
      <c r="AD911" t="s">
        <v>74</v>
      </c>
      <c r="AE911" t="s">
        <v>74</v>
      </c>
      <c r="AF911" t="s">
        <v>74</v>
      </c>
      <c r="AG911">
        <v>75</v>
      </c>
      <c r="AH911">
        <v>3</v>
      </c>
      <c r="AI911">
        <v>3</v>
      </c>
      <c r="AJ911">
        <v>7</v>
      </c>
      <c r="AK911">
        <v>11</v>
      </c>
      <c r="AL911" t="s">
        <v>764</v>
      </c>
      <c r="AM911" t="s">
        <v>765</v>
      </c>
      <c r="AN911" t="s">
        <v>766</v>
      </c>
      <c r="AO911" t="s">
        <v>17165</v>
      </c>
      <c r="AP911" t="s">
        <v>74</v>
      </c>
      <c r="AQ911" t="s">
        <v>74</v>
      </c>
      <c r="AR911" t="s">
        <v>17166</v>
      </c>
      <c r="AS911" t="s">
        <v>17167</v>
      </c>
      <c r="AT911" t="s">
        <v>445</v>
      </c>
      <c r="AU911">
        <v>2023</v>
      </c>
      <c r="AV911">
        <v>52</v>
      </c>
      <c r="AW911" t="s">
        <v>74</v>
      </c>
      <c r="AX911" t="s">
        <v>74</v>
      </c>
      <c r="AY911" t="s">
        <v>74</v>
      </c>
      <c r="AZ911" t="s">
        <v>74</v>
      </c>
      <c r="BA911" t="s">
        <v>74</v>
      </c>
      <c r="BB911" t="s">
        <v>74</v>
      </c>
      <c r="BC911" t="s">
        <v>74</v>
      </c>
      <c r="BD911">
        <v>103568</v>
      </c>
      <c r="BE911" t="s">
        <v>17168</v>
      </c>
      <c r="BF911" t="str">
        <f>HYPERLINK("http://dx.doi.org/10.1016/j.jwpe.2023.103568","http://dx.doi.org/10.1016/j.jwpe.2023.103568")</f>
        <v>http://dx.doi.org/10.1016/j.jwpe.2023.103568</v>
      </c>
      <c r="BG911" t="s">
        <v>74</v>
      </c>
      <c r="BH911" t="s">
        <v>2647</v>
      </c>
      <c r="BI911">
        <v>20</v>
      </c>
      <c r="BJ911" t="s">
        <v>17169</v>
      </c>
      <c r="BK911" t="s">
        <v>130</v>
      </c>
      <c r="BL911" t="s">
        <v>17170</v>
      </c>
      <c r="BM911" t="s">
        <v>17171</v>
      </c>
      <c r="BN911" t="s">
        <v>74</v>
      </c>
      <c r="BO911" t="s">
        <v>74</v>
      </c>
      <c r="BP911" t="s">
        <v>74</v>
      </c>
      <c r="BQ911" t="s">
        <v>74</v>
      </c>
      <c r="BR911" t="s">
        <v>101</v>
      </c>
      <c r="BS911" t="s">
        <v>17172</v>
      </c>
      <c r="BT911" t="str">
        <f>HYPERLINK("https%3A%2F%2Fwww.webofscience.com%2Fwos%2Fwoscc%2Ffull-record%2FWOS:000947914400001","View Full Record in Web of Science")</f>
        <v>View Full Record in Web of Science</v>
      </c>
    </row>
    <row r="912" spans="1:72" x14ac:dyDescent="0.2">
      <c r="A912" t="s">
        <v>72</v>
      </c>
      <c r="B912" t="s">
        <v>17173</v>
      </c>
      <c r="C912" t="s">
        <v>74</v>
      </c>
      <c r="D912" t="s">
        <v>74</v>
      </c>
      <c r="E912" t="s">
        <v>284</v>
      </c>
      <c r="F912" t="s">
        <v>17174</v>
      </c>
      <c r="G912" t="s">
        <v>74</v>
      </c>
      <c r="H912" t="s">
        <v>74</v>
      </c>
      <c r="I912" t="s">
        <v>17175</v>
      </c>
      <c r="J912" t="s">
        <v>17176</v>
      </c>
      <c r="K912" t="s">
        <v>17177</v>
      </c>
      <c r="L912" t="s">
        <v>74</v>
      </c>
      <c r="M912" t="s">
        <v>79</v>
      </c>
      <c r="N912" t="s">
        <v>80</v>
      </c>
      <c r="O912" t="s">
        <v>17178</v>
      </c>
      <c r="P912" t="s">
        <v>17179</v>
      </c>
      <c r="Q912" t="s">
        <v>17180</v>
      </c>
      <c r="R912" t="s">
        <v>17181</v>
      </c>
      <c r="S912" t="s">
        <v>74</v>
      </c>
      <c r="T912" t="s">
        <v>17182</v>
      </c>
      <c r="U912" t="s">
        <v>74</v>
      </c>
      <c r="V912" t="s">
        <v>17183</v>
      </c>
      <c r="W912" t="s">
        <v>17184</v>
      </c>
      <c r="X912" t="s">
        <v>17185</v>
      </c>
      <c r="Y912" t="s">
        <v>17186</v>
      </c>
      <c r="Z912" t="s">
        <v>17187</v>
      </c>
      <c r="AA912" t="s">
        <v>74</v>
      </c>
      <c r="AB912" t="s">
        <v>74</v>
      </c>
      <c r="AC912" t="s">
        <v>17188</v>
      </c>
      <c r="AD912" t="s">
        <v>17188</v>
      </c>
      <c r="AE912" t="s">
        <v>17189</v>
      </c>
      <c r="AF912" t="s">
        <v>74</v>
      </c>
      <c r="AG912">
        <v>33</v>
      </c>
      <c r="AH912">
        <v>0</v>
      </c>
      <c r="AI912">
        <v>0</v>
      </c>
      <c r="AJ912">
        <v>3</v>
      </c>
      <c r="AK912">
        <v>3</v>
      </c>
      <c r="AL912" t="s">
        <v>284</v>
      </c>
      <c r="AM912" t="s">
        <v>93</v>
      </c>
      <c r="AN912" t="s">
        <v>299</v>
      </c>
      <c r="AO912" t="s">
        <v>17190</v>
      </c>
      <c r="AP912" t="s">
        <v>74</v>
      </c>
      <c r="AQ912" t="s">
        <v>17191</v>
      </c>
      <c r="AR912" t="s">
        <v>17192</v>
      </c>
      <c r="AS912" t="s">
        <v>74</v>
      </c>
      <c r="AT912" t="s">
        <v>74</v>
      </c>
      <c r="AU912">
        <v>2023</v>
      </c>
      <c r="AV912" t="s">
        <v>74</v>
      </c>
      <c r="AW912" t="s">
        <v>74</v>
      </c>
      <c r="AX912" t="s">
        <v>74</v>
      </c>
      <c r="AY912" t="s">
        <v>74</v>
      </c>
      <c r="AZ912" t="s">
        <v>74</v>
      </c>
      <c r="BA912" t="s">
        <v>74</v>
      </c>
      <c r="BB912" t="s">
        <v>74</v>
      </c>
      <c r="BC912" t="s">
        <v>74</v>
      </c>
      <c r="BD912" t="s">
        <v>74</v>
      </c>
      <c r="BE912" t="s">
        <v>17193</v>
      </c>
      <c r="BF912" t="str">
        <f>HYPERLINK("http://dx.doi.org/10.1109/IV55152.2023.10186698","http://dx.doi.org/10.1109/IV55152.2023.10186698")</f>
        <v>http://dx.doi.org/10.1109/IV55152.2023.10186698</v>
      </c>
      <c r="BG912" t="s">
        <v>74</v>
      </c>
      <c r="BH912" t="s">
        <v>74</v>
      </c>
      <c r="BI912">
        <v>8</v>
      </c>
      <c r="BJ912" t="s">
        <v>17194</v>
      </c>
      <c r="BK912" t="s">
        <v>98</v>
      </c>
      <c r="BL912" t="s">
        <v>17195</v>
      </c>
      <c r="BM912" t="s">
        <v>17196</v>
      </c>
      <c r="BN912" t="s">
        <v>74</v>
      </c>
      <c r="BO912" t="s">
        <v>646</v>
      </c>
      <c r="BP912" t="s">
        <v>74</v>
      </c>
      <c r="BQ912" t="s">
        <v>74</v>
      </c>
      <c r="BR912" t="s">
        <v>101</v>
      </c>
      <c r="BS912" t="s">
        <v>17197</v>
      </c>
      <c r="BT912" t="str">
        <f>HYPERLINK("https%3A%2F%2Fwww.webofscience.com%2Fwos%2Fwoscc%2Ffull-record%2FWOS:001042247300153","View Full Record in Web of Science")</f>
        <v>View Full Record in Web of Science</v>
      </c>
    </row>
    <row r="913" spans="1:72" x14ac:dyDescent="0.2">
      <c r="A913" t="s">
        <v>103</v>
      </c>
      <c r="B913" t="s">
        <v>17198</v>
      </c>
      <c r="C913" t="s">
        <v>74</v>
      </c>
      <c r="D913" t="s">
        <v>74</v>
      </c>
      <c r="E913" t="s">
        <v>74</v>
      </c>
      <c r="F913" t="s">
        <v>17199</v>
      </c>
      <c r="G913" t="s">
        <v>74</v>
      </c>
      <c r="H913" t="s">
        <v>74</v>
      </c>
      <c r="I913" t="s">
        <v>17200</v>
      </c>
      <c r="J913" t="s">
        <v>17201</v>
      </c>
      <c r="K913" t="s">
        <v>74</v>
      </c>
      <c r="L913" t="s">
        <v>74</v>
      </c>
      <c r="M913" t="s">
        <v>79</v>
      </c>
      <c r="N913" t="s">
        <v>108</v>
      </c>
      <c r="O913" t="s">
        <v>74</v>
      </c>
      <c r="P913" t="s">
        <v>74</v>
      </c>
      <c r="Q913" t="s">
        <v>74</v>
      </c>
      <c r="R913" t="s">
        <v>74</v>
      </c>
      <c r="S913" t="s">
        <v>74</v>
      </c>
      <c r="T913" t="s">
        <v>17202</v>
      </c>
      <c r="U913" t="s">
        <v>74</v>
      </c>
      <c r="V913" t="s">
        <v>17203</v>
      </c>
      <c r="W913" t="s">
        <v>17204</v>
      </c>
      <c r="X913" t="s">
        <v>17205</v>
      </c>
      <c r="Y913" t="s">
        <v>17206</v>
      </c>
      <c r="Z913" t="s">
        <v>17207</v>
      </c>
      <c r="AA913" t="s">
        <v>74</v>
      </c>
      <c r="AB913" t="s">
        <v>17208</v>
      </c>
      <c r="AC913" t="s">
        <v>17209</v>
      </c>
      <c r="AD913" t="s">
        <v>17210</v>
      </c>
      <c r="AE913" t="s">
        <v>17211</v>
      </c>
      <c r="AF913" t="s">
        <v>74</v>
      </c>
      <c r="AG913">
        <v>23</v>
      </c>
      <c r="AH913">
        <v>2</v>
      </c>
      <c r="AI913">
        <v>2</v>
      </c>
      <c r="AJ913">
        <v>3</v>
      </c>
      <c r="AK913">
        <v>3</v>
      </c>
      <c r="AL913" t="s">
        <v>3202</v>
      </c>
      <c r="AM913" t="s">
        <v>120</v>
      </c>
      <c r="AN913" t="s">
        <v>3203</v>
      </c>
      <c r="AO913" t="s">
        <v>74</v>
      </c>
      <c r="AP913" t="s">
        <v>17212</v>
      </c>
      <c r="AQ913" t="s">
        <v>74</v>
      </c>
      <c r="AR913" t="s">
        <v>17201</v>
      </c>
      <c r="AS913" t="s">
        <v>17213</v>
      </c>
      <c r="AT913" t="s">
        <v>16150</v>
      </c>
      <c r="AU913">
        <v>2023</v>
      </c>
      <c r="AV913">
        <v>6</v>
      </c>
      <c r="AW913">
        <v>3</v>
      </c>
      <c r="AX913" t="s">
        <v>74</v>
      </c>
      <c r="AY913" t="s">
        <v>74</v>
      </c>
      <c r="AZ913" t="s">
        <v>74</v>
      </c>
      <c r="BA913" t="s">
        <v>74</v>
      </c>
      <c r="BB913" t="s">
        <v>74</v>
      </c>
      <c r="BC913" t="s">
        <v>74</v>
      </c>
      <c r="BD913" t="s">
        <v>17214</v>
      </c>
      <c r="BE913" t="s">
        <v>17215</v>
      </c>
      <c r="BF913" t="str">
        <f>HYPERLINK("http://dx.doi.org/10.1093/jamiaopen/ooad079","http://dx.doi.org/10.1093/jamiaopen/ooad079")</f>
        <v>http://dx.doi.org/10.1093/jamiaopen/ooad079</v>
      </c>
      <c r="BG913" t="s">
        <v>74</v>
      </c>
      <c r="BH913" t="s">
        <v>74</v>
      </c>
      <c r="BI913">
        <v>6</v>
      </c>
      <c r="BJ913" t="s">
        <v>4947</v>
      </c>
      <c r="BK913" t="s">
        <v>352</v>
      </c>
      <c r="BL913" t="s">
        <v>4947</v>
      </c>
      <c r="BM913" t="s">
        <v>17216</v>
      </c>
      <c r="BN913">
        <v>37655124</v>
      </c>
      <c r="BO913" t="s">
        <v>1728</v>
      </c>
      <c r="BP913" t="s">
        <v>74</v>
      </c>
      <c r="BQ913" t="s">
        <v>74</v>
      </c>
      <c r="BR913" t="s">
        <v>101</v>
      </c>
      <c r="BS913" t="s">
        <v>17217</v>
      </c>
      <c r="BT913" t="str">
        <f>HYPERLINK("https%3A%2F%2Fwww.webofscience.com%2Fwos%2Fwoscc%2Ffull-record%2FWOS:001058180100002","View Full Record in Web of Science")</f>
        <v>View Full Record in Web of Science</v>
      </c>
    </row>
    <row r="914" spans="1:72" x14ac:dyDescent="0.2">
      <c r="A914" t="s">
        <v>103</v>
      </c>
      <c r="B914" t="s">
        <v>17218</v>
      </c>
      <c r="C914" t="s">
        <v>74</v>
      </c>
      <c r="D914" t="s">
        <v>74</v>
      </c>
      <c r="E914" t="s">
        <v>74</v>
      </c>
      <c r="F914" t="s">
        <v>17219</v>
      </c>
      <c r="G914" t="s">
        <v>74</v>
      </c>
      <c r="H914" t="s">
        <v>74</v>
      </c>
      <c r="I914" t="s">
        <v>17220</v>
      </c>
      <c r="J914" t="s">
        <v>17221</v>
      </c>
      <c r="K914" t="s">
        <v>74</v>
      </c>
      <c r="L914" t="s">
        <v>74</v>
      </c>
      <c r="M914" t="s">
        <v>79</v>
      </c>
      <c r="N914" t="s">
        <v>138</v>
      </c>
      <c r="O914" t="s">
        <v>74</v>
      </c>
      <c r="P914" t="s">
        <v>74</v>
      </c>
      <c r="Q914" t="s">
        <v>74</v>
      </c>
      <c r="R914" t="s">
        <v>74</v>
      </c>
      <c r="S914" t="s">
        <v>74</v>
      </c>
      <c r="T914" t="s">
        <v>17222</v>
      </c>
      <c r="U914" t="s">
        <v>17223</v>
      </c>
      <c r="V914" t="s">
        <v>17224</v>
      </c>
      <c r="W914" t="s">
        <v>17225</v>
      </c>
      <c r="X914" t="s">
        <v>17226</v>
      </c>
      <c r="Y914" t="s">
        <v>17227</v>
      </c>
      <c r="Z914" t="s">
        <v>17228</v>
      </c>
      <c r="AA914" t="s">
        <v>74</v>
      </c>
      <c r="AB914" t="s">
        <v>74</v>
      </c>
      <c r="AC914" t="s">
        <v>17229</v>
      </c>
      <c r="AD914" t="s">
        <v>17230</v>
      </c>
      <c r="AE914" t="s">
        <v>17231</v>
      </c>
      <c r="AF914" t="s">
        <v>74</v>
      </c>
      <c r="AG914">
        <v>36</v>
      </c>
      <c r="AH914">
        <v>0</v>
      </c>
      <c r="AI914">
        <v>0</v>
      </c>
      <c r="AJ914">
        <v>2</v>
      </c>
      <c r="AK914">
        <v>2</v>
      </c>
      <c r="AL914" t="s">
        <v>3202</v>
      </c>
      <c r="AM914" t="s">
        <v>120</v>
      </c>
      <c r="AN914" t="s">
        <v>3203</v>
      </c>
      <c r="AO914" t="s">
        <v>17232</v>
      </c>
      <c r="AP914" t="s">
        <v>17233</v>
      </c>
      <c r="AQ914" t="s">
        <v>74</v>
      </c>
      <c r="AR914" t="s">
        <v>17234</v>
      </c>
      <c r="AS914" t="s">
        <v>17235</v>
      </c>
      <c r="AT914" t="s">
        <v>17236</v>
      </c>
      <c r="AU914">
        <v>2023</v>
      </c>
      <c r="AV914" t="s">
        <v>74</v>
      </c>
      <c r="AW914" t="s">
        <v>74</v>
      </c>
      <c r="AX914" t="s">
        <v>74</v>
      </c>
      <c r="AY914" t="s">
        <v>74</v>
      </c>
      <c r="AZ914" t="s">
        <v>74</v>
      </c>
      <c r="BA914" t="s">
        <v>74</v>
      </c>
      <c r="BB914" t="s">
        <v>74</v>
      </c>
      <c r="BC914" t="s">
        <v>74</v>
      </c>
      <c r="BD914" t="s">
        <v>74</v>
      </c>
      <c r="BE914" t="s">
        <v>17237</v>
      </c>
      <c r="BF914" t="str">
        <f>HYPERLINK("http://dx.doi.org/10.1093/comjnl/bxad111","http://dx.doi.org/10.1093/comjnl/bxad111")</f>
        <v>http://dx.doi.org/10.1093/comjnl/bxad111</v>
      </c>
      <c r="BG914" t="s">
        <v>74</v>
      </c>
      <c r="BH914" t="s">
        <v>157</v>
      </c>
      <c r="BI914">
        <v>10</v>
      </c>
      <c r="BJ914" t="s">
        <v>10428</v>
      </c>
      <c r="BK914" t="s">
        <v>130</v>
      </c>
      <c r="BL914" t="s">
        <v>99</v>
      </c>
      <c r="BM914" t="s">
        <v>17238</v>
      </c>
      <c r="BN914" t="s">
        <v>74</v>
      </c>
      <c r="BO914" t="s">
        <v>74</v>
      </c>
      <c r="BP914" t="s">
        <v>74</v>
      </c>
      <c r="BQ914" t="s">
        <v>74</v>
      </c>
      <c r="BR914" t="s">
        <v>101</v>
      </c>
      <c r="BS914" t="s">
        <v>17239</v>
      </c>
      <c r="BT914" t="str">
        <f>HYPERLINK("https%3A%2F%2Fwww.webofscience.com%2Fwos%2Fwoscc%2Ffull-record%2FWOS:001112149600001","View Full Record in Web of Science")</f>
        <v>View Full Record in Web of Science</v>
      </c>
    </row>
    <row r="915" spans="1:72" x14ac:dyDescent="0.2">
      <c r="A915" t="s">
        <v>72</v>
      </c>
      <c r="B915" t="s">
        <v>17240</v>
      </c>
      <c r="C915" t="s">
        <v>74</v>
      </c>
      <c r="D915" t="s">
        <v>74</v>
      </c>
      <c r="E915" t="s">
        <v>75</v>
      </c>
      <c r="F915" t="s">
        <v>17241</v>
      </c>
      <c r="G915" t="s">
        <v>74</v>
      </c>
      <c r="H915" t="s">
        <v>74</v>
      </c>
      <c r="I915" t="s">
        <v>17242</v>
      </c>
      <c r="J915" t="s">
        <v>1264</v>
      </c>
      <c r="K915" t="s">
        <v>74</v>
      </c>
      <c r="L915" t="s">
        <v>74</v>
      </c>
      <c r="M915" t="s">
        <v>79</v>
      </c>
      <c r="N915" t="s">
        <v>80</v>
      </c>
      <c r="O915" t="s">
        <v>1265</v>
      </c>
      <c r="P915" t="s">
        <v>290</v>
      </c>
      <c r="Q915" t="s">
        <v>1266</v>
      </c>
      <c r="R915" t="s">
        <v>1267</v>
      </c>
      <c r="S915" t="s">
        <v>74</v>
      </c>
      <c r="T915" t="s">
        <v>17243</v>
      </c>
      <c r="U915" t="s">
        <v>74</v>
      </c>
      <c r="V915" t="s">
        <v>17244</v>
      </c>
      <c r="W915" t="s">
        <v>17245</v>
      </c>
      <c r="X915" t="s">
        <v>17246</v>
      </c>
      <c r="Y915" t="s">
        <v>17247</v>
      </c>
      <c r="Z915" t="s">
        <v>17248</v>
      </c>
      <c r="AA915" t="s">
        <v>74</v>
      </c>
      <c r="AB915" t="s">
        <v>17249</v>
      </c>
      <c r="AC915" t="s">
        <v>17250</v>
      </c>
      <c r="AD915" t="s">
        <v>17251</v>
      </c>
      <c r="AE915" t="s">
        <v>17252</v>
      </c>
      <c r="AF915" t="s">
        <v>74</v>
      </c>
      <c r="AG915">
        <v>41</v>
      </c>
      <c r="AH915">
        <v>0</v>
      </c>
      <c r="AI915">
        <v>0</v>
      </c>
      <c r="AJ915">
        <v>1</v>
      </c>
      <c r="AK915">
        <v>1</v>
      </c>
      <c r="AL915" t="s">
        <v>92</v>
      </c>
      <c r="AM915" t="s">
        <v>93</v>
      </c>
      <c r="AN915" t="s">
        <v>94</v>
      </c>
      <c r="AO915" t="s">
        <v>74</v>
      </c>
      <c r="AP915" t="s">
        <v>74</v>
      </c>
      <c r="AQ915" t="s">
        <v>1278</v>
      </c>
      <c r="AR915" t="s">
        <v>74</v>
      </c>
      <c r="AS915" t="s">
        <v>74</v>
      </c>
      <c r="AT915" t="s">
        <v>74</v>
      </c>
      <c r="AU915">
        <v>2023</v>
      </c>
      <c r="AV915" t="s">
        <v>74</v>
      </c>
      <c r="AW915" t="s">
        <v>74</v>
      </c>
      <c r="AX915" t="s">
        <v>74</v>
      </c>
      <c r="AY915" t="s">
        <v>74</v>
      </c>
      <c r="AZ915" t="s">
        <v>74</v>
      </c>
      <c r="BA915" t="s">
        <v>74</v>
      </c>
      <c r="BB915">
        <v>219</v>
      </c>
      <c r="BC915">
        <v>226</v>
      </c>
      <c r="BD915" t="s">
        <v>74</v>
      </c>
      <c r="BE915" t="s">
        <v>17253</v>
      </c>
      <c r="BF915" t="str">
        <f>HYPERLINK("http://dx.doi.org/10.1145/3604237.3626883","http://dx.doi.org/10.1145/3604237.3626883")</f>
        <v>http://dx.doi.org/10.1145/3604237.3626883</v>
      </c>
      <c r="BG915" t="s">
        <v>74</v>
      </c>
      <c r="BH915" t="s">
        <v>74</v>
      </c>
      <c r="BI915">
        <v>8</v>
      </c>
      <c r="BJ915" t="s">
        <v>1280</v>
      </c>
      <c r="BK915" t="s">
        <v>180</v>
      </c>
      <c r="BL915" t="s">
        <v>1281</v>
      </c>
      <c r="BM915" t="s">
        <v>1282</v>
      </c>
      <c r="BN915" t="s">
        <v>74</v>
      </c>
      <c r="BO915" t="s">
        <v>161</v>
      </c>
      <c r="BP915" t="s">
        <v>74</v>
      </c>
      <c r="BQ915" t="s">
        <v>74</v>
      </c>
      <c r="BR915" t="s">
        <v>101</v>
      </c>
      <c r="BS915" t="s">
        <v>17254</v>
      </c>
      <c r="BT915" t="str">
        <f>HYPERLINK("https%3A%2F%2Fwww.webofscience.com%2Fwos%2Fwoscc%2Ffull-record%2FWOS:001124982700026","View Full Record in Web of Science")</f>
        <v>View Full Record in Web of Science</v>
      </c>
    </row>
    <row r="916" spans="1:72" x14ac:dyDescent="0.2">
      <c r="A916" t="s">
        <v>103</v>
      </c>
      <c r="B916" t="s">
        <v>17255</v>
      </c>
      <c r="C916" t="s">
        <v>74</v>
      </c>
      <c r="D916" t="s">
        <v>74</v>
      </c>
      <c r="E916" t="s">
        <v>74</v>
      </c>
      <c r="F916" t="s">
        <v>17256</v>
      </c>
      <c r="G916" t="s">
        <v>74</v>
      </c>
      <c r="H916" t="s">
        <v>74</v>
      </c>
      <c r="I916" t="s">
        <v>17257</v>
      </c>
      <c r="J916" t="s">
        <v>13656</v>
      </c>
      <c r="K916" t="s">
        <v>74</v>
      </c>
      <c r="L916" t="s">
        <v>74</v>
      </c>
      <c r="M916" t="s">
        <v>79</v>
      </c>
      <c r="N916" t="s">
        <v>108</v>
      </c>
      <c r="O916" t="s">
        <v>74</v>
      </c>
      <c r="P916" t="s">
        <v>74</v>
      </c>
      <c r="Q916" t="s">
        <v>74</v>
      </c>
      <c r="R916" t="s">
        <v>74</v>
      </c>
      <c r="S916" t="s">
        <v>74</v>
      </c>
      <c r="T916" t="s">
        <v>17258</v>
      </c>
      <c r="U916" t="s">
        <v>17259</v>
      </c>
      <c r="V916" t="s">
        <v>17260</v>
      </c>
      <c r="W916" t="s">
        <v>17261</v>
      </c>
      <c r="X916" t="s">
        <v>17262</v>
      </c>
      <c r="Y916" t="s">
        <v>17263</v>
      </c>
      <c r="Z916" t="s">
        <v>17264</v>
      </c>
      <c r="AA916" t="s">
        <v>17265</v>
      </c>
      <c r="AB916" t="s">
        <v>17266</v>
      </c>
      <c r="AC916" t="s">
        <v>17267</v>
      </c>
      <c r="AD916" t="s">
        <v>17268</v>
      </c>
      <c r="AE916" t="s">
        <v>17269</v>
      </c>
      <c r="AF916" t="s">
        <v>74</v>
      </c>
      <c r="AG916">
        <v>38</v>
      </c>
      <c r="AH916">
        <v>0</v>
      </c>
      <c r="AI916">
        <v>0</v>
      </c>
      <c r="AJ916">
        <v>1</v>
      </c>
      <c r="AK916">
        <v>4</v>
      </c>
      <c r="AL916" t="s">
        <v>3165</v>
      </c>
      <c r="AM916" t="s">
        <v>3166</v>
      </c>
      <c r="AN916" t="s">
        <v>3167</v>
      </c>
      <c r="AO916" t="s">
        <v>13664</v>
      </c>
      <c r="AP916" t="s">
        <v>13665</v>
      </c>
      <c r="AQ916" t="s">
        <v>74</v>
      </c>
      <c r="AR916" t="s">
        <v>13666</v>
      </c>
      <c r="AS916" t="s">
        <v>13667</v>
      </c>
      <c r="AT916" t="s">
        <v>276</v>
      </c>
      <c r="AU916">
        <v>2023</v>
      </c>
      <c r="AV916">
        <v>50</v>
      </c>
      <c r="AW916">
        <v>11</v>
      </c>
      <c r="AX916" t="s">
        <v>74</v>
      </c>
      <c r="AY916" t="s">
        <v>74</v>
      </c>
      <c r="AZ916" t="s">
        <v>74</v>
      </c>
      <c r="BA916" t="s">
        <v>74</v>
      </c>
      <c r="BB916">
        <v>6943</v>
      </c>
      <c r="BC916">
        <v>6954</v>
      </c>
      <c r="BD916" t="s">
        <v>74</v>
      </c>
      <c r="BE916" t="s">
        <v>17270</v>
      </c>
      <c r="BF916" t="str">
        <f>HYPERLINK("http://dx.doi.org/10.1002/mp.16482","http://dx.doi.org/10.1002/mp.16482")</f>
        <v>http://dx.doi.org/10.1002/mp.16482</v>
      </c>
      <c r="BG916" t="s">
        <v>74</v>
      </c>
      <c r="BH916" t="s">
        <v>1910</v>
      </c>
      <c r="BI916">
        <v>12</v>
      </c>
      <c r="BJ916" t="s">
        <v>5360</v>
      </c>
      <c r="BK916" t="s">
        <v>130</v>
      </c>
      <c r="BL916" t="s">
        <v>5360</v>
      </c>
      <c r="BM916" t="s">
        <v>17271</v>
      </c>
      <c r="BN916">
        <v>37264564</v>
      </c>
      <c r="BO916" t="s">
        <v>161</v>
      </c>
      <c r="BP916" t="s">
        <v>74</v>
      </c>
      <c r="BQ916" t="s">
        <v>74</v>
      </c>
      <c r="BR916" t="s">
        <v>101</v>
      </c>
      <c r="BS916" t="s">
        <v>17272</v>
      </c>
      <c r="BT916" t="str">
        <f>HYPERLINK("https%3A%2F%2Fwww.webofscience.com%2Fwos%2Fwoscc%2Ffull-record%2FWOS:001000040500001","View Full Record in Web of Science")</f>
        <v>View Full Record in Web of Science</v>
      </c>
    </row>
    <row r="917" spans="1:72" x14ac:dyDescent="0.2">
      <c r="A917" t="s">
        <v>103</v>
      </c>
      <c r="B917" t="s">
        <v>17273</v>
      </c>
      <c r="C917" t="s">
        <v>74</v>
      </c>
      <c r="D917" t="s">
        <v>74</v>
      </c>
      <c r="E917" t="s">
        <v>74</v>
      </c>
      <c r="F917" t="s">
        <v>17274</v>
      </c>
      <c r="G917" t="s">
        <v>74</v>
      </c>
      <c r="H917" t="s">
        <v>74</v>
      </c>
      <c r="I917" t="s">
        <v>17275</v>
      </c>
      <c r="J917" t="s">
        <v>17276</v>
      </c>
      <c r="K917" t="s">
        <v>74</v>
      </c>
      <c r="L917" t="s">
        <v>74</v>
      </c>
      <c r="M917" t="s">
        <v>79</v>
      </c>
      <c r="N917" t="s">
        <v>108</v>
      </c>
      <c r="O917" t="s">
        <v>74</v>
      </c>
      <c r="P917" t="s">
        <v>74</v>
      </c>
      <c r="Q917" t="s">
        <v>74</v>
      </c>
      <c r="R917" t="s">
        <v>74</v>
      </c>
      <c r="S917" t="s">
        <v>74</v>
      </c>
      <c r="T917" t="s">
        <v>17277</v>
      </c>
      <c r="U917" t="s">
        <v>17278</v>
      </c>
      <c r="V917" t="s">
        <v>17279</v>
      </c>
      <c r="W917" t="s">
        <v>17280</v>
      </c>
      <c r="X917" t="s">
        <v>17281</v>
      </c>
      <c r="Y917" t="s">
        <v>17282</v>
      </c>
      <c r="Z917" t="s">
        <v>17283</v>
      </c>
      <c r="AA917" t="s">
        <v>17284</v>
      </c>
      <c r="AB917" t="s">
        <v>17285</v>
      </c>
      <c r="AC917" t="s">
        <v>74</v>
      </c>
      <c r="AD917" t="s">
        <v>74</v>
      </c>
      <c r="AE917" t="s">
        <v>74</v>
      </c>
      <c r="AF917" t="s">
        <v>74</v>
      </c>
      <c r="AG917">
        <v>135</v>
      </c>
      <c r="AH917">
        <v>1</v>
      </c>
      <c r="AI917">
        <v>1</v>
      </c>
      <c r="AJ917">
        <v>7</v>
      </c>
      <c r="AK917">
        <v>13</v>
      </c>
      <c r="AL917" t="s">
        <v>1379</v>
      </c>
      <c r="AM917" t="s">
        <v>1380</v>
      </c>
      <c r="AN917" t="s">
        <v>1381</v>
      </c>
      <c r="AO917" t="s">
        <v>17286</v>
      </c>
      <c r="AP917" t="s">
        <v>17287</v>
      </c>
      <c r="AQ917" t="s">
        <v>74</v>
      </c>
      <c r="AR917" t="s">
        <v>17288</v>
      </c>
      <c r="AS917" t="s">
        <v>17289</v>
      </c>
      <c r="AT917" t="s">
        <v>126</v>
      </c>
      <c r="AU917">
        <v>2023</v>
      </c>
      <c r="AV917">
        <v>7</v>
      </c>
      <c r="AW917">
        <v>3</v>
      </c>
      <c r="AX917" t="s">
        <v>74</v>
      </c>
      <c r="AY917" t="s">
        <v>74</v>
      </c>
      <c r="AZ917" t="s">
        <v>74</v>
      </c>
      <c r="BA917" t="s">
        <v>74</v>
      </c>
      <c r="BB917">
        <v>213</v>
      </c>
      <c r="BC917">
        <v>224</v>
      </c>
      <c r="BD917" t="s">
        <v>74</v>
      </c>
      <c r="BE917" t="s">
        <v>17290</v>
      </c>
      <c r="BF917" t="str">
        <f>HYPERLINK("http://dx.doi.org/10.1109/TRPMS.2023.3241102","http://dx.doi.org/10.1109/TRPMS.2023.3241102")</f>
        <v>http://dx.doi.org/10.1109/TRPMS.2023.3241102</v>
      </c>
      <c r="BG917" t="s">
        <v>74</v>
      </c>
      <c r="BH917" t="s">
        <v>74</v>
      </c>
      <c r="BI917">
        <v>12</v>
      </c>
      <c r="BJ917" t="s">
        <v>5360</v>
      </c>
      <c r="BK917" t="s">
        <v>352</v>
      </c>
      <c r="BL917" t="s">
        <v>5360</v>
      </c>
      <c r="BM917" t="s">
        <v>17291</v>
      </c>
      <c r="BN917" t="s">
        <v>74</v>
      </c>
      <c r="BO917" t="s">
        <v>646</v>
      </c>
      <c r="BP917" t="s">
        <v>74</v>
      </c>
      <c r="BQ917" t="s">
        <v>74</v>
      </c>
      <c r="BR917" t="s">
        <v>101</v>
      </c>
      <c r="BS917" t="s">
        <v>17292</v>
      </c>
      <c r="BT917" t="str">
        <f>HYPERLINK("https%3A%2F%2Fwww.webofscience.com%2Fwos%2Fwoscc%2Ffull-record%2FWOS:000968739000001","View Full Record in Web of Science")</f>
        <v>View Full Record in Web of Science</v>
      </c>
    </row>
    <row r="918" spans="1:72" x14ac:dyDescent="0.2">
      <c r="A918" t="s">
        <v>103</v>
      </c>
      <c r="B918" t="s">
        <v>17293</v>
      </c>
      <c r="C918" t="s">
        <v>74</v>
      </c>
      <c r="D918" t="s">
        <v>74</v>
      </c>
      <c r="E918" t="s">
        <v>74</v>
      </c>
      <c r="F918" t="s">
        <v>17294</v>
      </c>
      <c r="G918" t="s">
        <v>74</v>
      </c>
      <c r="H918" t="s">
        <v>74</v>
      </c>
      <c r="I918" t="s">
        <v>17295</v>
      </c>
      <c r="J918" t="s">
        <v>4167</v>
      </c>
      <c r="K918" t="s">
        <v>74</v>
      </c>
      <c r="L918" t="s">
        <v>74</v>
      </c>
      <c r="M918" t="s">
        <v>79</v>
      </c>
      <c r="N918" t="s">
        <v>108</v>
      </c>
      <c r="O918" t="s">
        <v>74</v>
      </c>
      <c r="P918" t="s">
        <v>74</v>
      </c>
      <c r="Q918" t="s">
        <v>74</v>
      </c>
      <c r="R918" t="s">
        <v>74</v>
      </c>
      <c r="S918" t="s">
        <v>74</v>
      </c>
      <c r="T918" t="s">
        <v>17296</v>
      </c>
      <c r="U918" t="s">
        <v>17297</v>
      </c>
      <c r="V918" t="s">
        <v>17298</v>
      </c>
      <c r="W918" t="s">
        <v>17299</v>
      </c>
      <c r="X918" t="s">
        <v>17300</v>
      </c>
      <c r="Y918" t="s">
        <v>17301</v>
      </c>
      <c r="Z918" t="s">
        <v>17302</v>
      </c>
      <c r="AA918" t="s">
        <v>74</v>
      </c>
      <c r="AB918" t="s">
        <v>17303</v>
      </c>
      <c r="AC918" t="s">
        <v>74</v>
      </c>
      <c r="AD918" t="s">
        <v>74</v>
      </c>
      <c r="AE918" t="s">
        <v>74</v>
      </c>
      <c r="AF918" t="s">
        <v>74</v>
      </c>
      <c r="AG918">
        <v>61</v>
      </c>
      <c r="AH918">
        <v>0</v>
      </c>
      <c r="AI918">
        <v>0</v>
      </c>
      <c r="AJ918">
        <v>4</v>
      </c>
      <c r="AK918">
        <v>4</v>
      </c>
      <c r="AL918" t="s">
        <v>4176</v>
      </c>
      <c r="AM918" t="s">
        <v>4177</v>
      </c>
      <c r="AN918" t="s">
        <v>4178</v>
      </c>
      <c r="AO918" t="s">
        <v>4179</v>
      </c>
      <c r="AP918" t="s">
        <v>74</v>
      </c>
      <c r="AQ918" t="s">
        <v>74</v>
      </c>
      <c r="AR918" t="s">
        <v>4180</v>
      </c>
      <c r="AS918" t="s">
        <v>4181</v>
      </c>
      <c r="AT918" t="s">
        <v>74</v>
      </c>
      <c r="AU918">
        <v>2023</v>
      </c>
      <c r="AV918">
        <v>9</v>
      </c>
      <c r="AW918" t="s">
        <v>74</v>
      </c>
      <c r="AX918" t="s">
        <v>74</v>
      </c>
      <c r="AY918" t="s">
        <v>74</v>
      </c>
      <c r="AZ918" t="s">
        <v>74</v>
      </c>
      <c r="BA918" t="s">
        <v>74</v>
      </c>
      <c r="BB918" t="s">
        <v>74</v>
      </c>
      <c r="BC918" t="s">
        <v>74</v>
      </c>
      <c r="BD918" t="s">
        <v>17304</v>
      </c>
      <c r="BE918" t="s">
        <v>17305</v>
      </c>
      <c r="BF918" t="str">
        <f>HYPERLINK("http://dx.doi.org/10.2196/50903","http://dx.doi.org/10.2196/50903")</f>
        <v>http://dx.doi.org/10.2196/50903</v>
      </c>
      <c r="BG918" t="s">
        <v>74</v>
      </c>
      <c r="BH918" t="s">
        <v>74</v>
      </c>
      <c r="BI918">
        <v>13</v>
      </c>
      <c r="BJ918" t="s">
        <v>3308</v>
      </c>
      <c r="BK918" t="s">
        <v>352</v>
      </c>
      <c r="BL918" t="s">
        <v>423</v>
      </c>
      <c r="BM918" t="s">
        <v>17306</v>
      </c>
      <c r="BN918">
        <v>38052721</v>
      </c>
      <c r="BO918" t="s">
        <v>4185</v>
      </c>
      <c r="BP918" t="s">
        <v>74</v>
      </c>
      <c r="BQ918" t="s">
        <v>74</v>
      </c>
      <c r="BR918" t="s">
        <v>101</v>
      </c>
      <c r="BS918" t="s">
        <v>17307</v>
      </c>
      <c r="BT918" t="str">
        <f>HYPERLINK("https%3A%2F%2Fwww.webofscience.com%2Fwos%2Fwoscc%2Ffull-record%2FWOS:001145415900001","View Full Record in Web of Science")</f>
        <v>View Full Record in Web of Science</v>
      </c>
    </row>
    <row r="919" spans="1:72" x14ac:dyDescent="0.2">
      <c r="A919" t="s">
        <v>72</v>
      </c>
      <c r="B919" t="s">
        <v>17308</v>
      </c>
      <c r="C919" t="s">
        <v>74</v>
      </c>
      <c r="D919" t="s">
        <v>74</v>
      </c>
      <c r="E919" t="s">
        <v>75</v>
      </c>
      <c r="F919" t="s">
        <v>17309</v>
      </c>
      <c r="G919" t="s">
        <v>74</v>
      </c>
      <c r="H919" t="s">
        <v>74</v>
      </c>
      <c r="I919" t="s">
        <v>17310</v>
      </c>
      <c r="J919" t="s">
        <v>17311</v>
      </c>
      <c r="K919" t="s">
        <v>74</v>
      </c>
      <c r="L919" t="s">
        <v>74</v>
      </c>
      <c r="M919" t="s">
        <v>79</v>
      </c>
      <c r="N919" t="s">
        <v>80</v>
      </c>
      <c r="O919" t="s">
        <v>17312</v>
      </c>
      <c r="P919" t="s">
        <v>17313</v>
      </c>
      <c r="Q919" t="s">
        <v>2507</v>
      </c>
      <c r="R919" t="s">
        <v>2296</v>
      </c>
      <c r="S919" t="s">
        <v>74</v>
      </c>
      <c r="T919" t="s">
        <v>17314</v>
      </c>
      <c r="U919" t="s">
        <v>74</v>
      </c>
      <c r="V919" t="s">
        <v>17315</v>
      </c>
      <c r="W919" t="s">
        <v>17316</v>
      </c>
      <c r="X919" t="s">
        <v>1228</v>
      </c>
      <c r="Y919" t="s">
        <v>17317</v>
      </c>
      <c r="Z919" t="s">
        <v>17318</v>
      </c>
      <c r="AA919" t="s">
        <v>17319</v>
      </c>
      <c r="AB919" t="s">
        <v>17320</v>
      </c>
      <c r="AC919" t="s">
        <v>74</v>
      </c>
      <c r="AD919" t="s">
        <v>74</v>
      </c>
      <c r="AE919" t="s">
        <v>74</v>
      </c>
      <c r="AF919" t="s">
        <v>74</v>
      </c>
      <c r="AG919">
        <v>52</v>
      </c>
      <c r="AH919">
        <v>4</v>
      </c>
      <c r="AI919">
        <v>4</v>
      </c>
      <c r="AJ919">
        <v>4</v>
      </c>
      <c r="AK919">
        <v>4</v>
      </c>
      <c r="AL919" t="s">
        <v>92</v>
      </c>
      <c r="AM919" t="s">
        <v>93</v>
      </c>
      <c r="AN919" t="s">
        <v>94</v>
      </c>
      <c r="AO919" t="s">
        <v>74</v>
      </c>
      <c r="AP919" t="s">
        <v>74</v>
      </c>
      <c r="AQ919" t="s">
        <v>17321</v>
      </c>
      <c r="AR919" t="s">
        <v>74</v>
      </c>
      <c r="AS919" t="s">
        <v>74</v>
      </c>
      <c r="AT919" t="s">
        <v>74</v>
      </c>
      <c r="AU919">
        <v>2023</v>
      </c>
      <c r="AV919" t="s">
        <v>74</v>
      </c>
      <c r="AW919" t="s">
        <v>74</v>
      </c>
      <c r="AX919" t="s">
        <v>74</v>
      </c>
      <c r="AY919" t="s">
        <v>74</v>
      </c>
      <c r="AZ919" t="s">
        <v>74</v>
      </c>
      <c r="BA919" t="s">
        <v>74</v>
      </c>
      <c r="BB919">
        <v>78</v>
      </c>
      <c r="BC919">
        <v>92</v>
      </c>
      <c r="BD919" t="s">
        <v>74</v>
      </c>
      <c r="BE919" t="s">
        <v>17322</v>
      </c>
      <c r="BF919" t="str">
        <f>HYPERLINK("http://dx.doi.org/10.1145/3568813.3600142","http://dx.doi.org/10.1145/3568813.3600142")</f>
        <v>http://dx.doi.org/10.1145/3568813.3600142</v>
      </c>
      <c r="BG919" t="s">
        <v>74</v>
      </c>
      <c r="BH919" t="s">
        <v>74</v>
      </c>
      <c r="BI919">
        <v>15</v>
      </c>
      <c r="BJ919" t="s">
        <v>17323</v>
      </c>
      <c r="BK919" t="s">
        <v>180</v>
      </c>
      <c r="BL919" t="s">
        <v>1187</v>
      </c>
      <c r="BM919" t="s">
        <v>17324</v>
      </c>
      <c r="BN919" t="s">
        <v>74</v>
      </c>
      <c r="BO919" t="s">
        <v>2722</v>
      </c>
      <c r="BP919" t="s">
        <v>74</v>
      </c>
      <c r="BQ919" t="s">
        <v>74</v>
      </c>
      <c r="BR919" t="s">
        <v>101</v>
      </c>
      <c r="BS919" t="s">
        <v>17325</v>
      </c>
      <c r="BT919" t="str">
        <f>HYPERLINK("https%3A%2F%2Fwww.webofscience.com%2Fwos%2Fwoscc%2Ffull-record%2FWOS:001141973500006","View Full Record in Web of Science")</f>
        <v>View Full Record in Web of Science</v>
      </c>
    </row>
    <row r="920" spans="1:72" x14ac:dyDescent="0.2">
      <c r="A920" t="s">
        <v>103</v>
      </c>
      <c r="B920" t="s">
        <v>17326</v>
      </c>
      <c r="C920" t="s">
        <v>74</v>
      </c>
      <c r="D920" t="s">
        <v>74</v>
      </c>
      <c r="E920" t="s">
        <v>74</v>
      </c>
      <c r="F920" t="s">
        <v>17327</v>
      </c>
      <c r="G920" t="s">
        <v>74</v>
      </c>
      <c r="H920" t="s">
        <v>74</v>
      </c>
      <c r="I920" t="s">
        <v>17328</v>
      </c>
      <c r="J920" t="s">
        <v>10839</v>
      </c>
      <c r="K920" t="s">
        <v>74</v>
      </c>
      <c r="L920" t="s">
        <v>74</v>
      </c>
      <c r="M920" t="s">
        <v>79</v>
      </c>
      <c r="N920" t="s">
        <v>108</v>
      </c>
      <c r="O920" t="s">
        <v>74</v>
      </c>
      <c r="P920" t="s">
        <v>74</v>
      </c>
      <c r="Q920" t="s">
        <v>74</v>
      </c>
      <c r="R920" t="s">
        <v>74</v>
      </c>
      <c r="S920" t="s">
        <v>74</v>
      </c>
      <c r="T920" t="s">
        <v>17329</v>
      </c>
      <c r="U920" t="s">
        <v>17330</v>
      </c>
      <c r="V920" t="s">
        <v>17331</v>
      </c>
      <c r="W920" t="s">
        <v>17332</v>
      </c>
      <c r="X920" t="s">
        <v>17333</v>
      </c>
      <c r="Y920" t="s">
        <v>17334</v>
      </c>
      <c r="Z920" t="s">
        <v>17335</v>
      </c>
      <c r="AA920" t="s">
        <v>17336</v>
      </c>
      <c r="AB920" t="s">
        <v>17337</v>
      </c>
      <c r="AC920" t="s">
        <v>17338</v>
      </c>
      <c r="AD920" t="s">
        <v>17339</v>
      </c>
      <c r="AE920" t="s">
        <v>17340</v>
      </c>
      <c r="AF920" t="s">
        <v>74</v>
      </c>
      <c r="AG920">
        <v>36</v>
      </c>
      <c r="AH920">
        <v>2</v>
      </c>
      <c r="AI920">
        <v>2</v>
      </c>
      <c r="AJ920">
        <v>3</v>
      </c>
      <c r="AK920">
        <v>4</v>
      </c>
      <c r="AL920" t="s">
        <v>343</v>
      </c>
      <c r="AM920" t="s">
        <v>93</v>
      </c>
      <c r="AN920" t="s">
        <v>344</v>
      </c>
      <c r="AO920" t="s">
        <v>10850</v>
      </c>
      <c r="AP920" t="s">
        <v>10851</v>
      </c>
      <c r="AQ920" t="s">
        <v>74</v>
      </c>
      <c r="AR920" t="s">
        <v>10852</v>
      </c>
      <c r="AS920" t="s">
        <v>10853</v>
      </c>
      <c r="AT920" t="s">
        <v>791</v>
      </c>
      <c r="AU920">
        <v>2023</v>
      </c>
      <c r="AV920">
        <v>33</v>
      </c>
      <c r="AW920">
        <v>8</v>
      </c>
      <c r="AX920" t="s">
        <v>74</v>
      </c>
      <c r="AY920" t="s">
        <v>74</v>
      </c>
      <c r="AZ920" t="s">
        <v>74</v>
      </c>
      <c r="BA920" t="s">
        <v>74</v>
      </c>
      <c r="BB920">
        <v>5882</v>
      </c>
      <c r="BC920">
        <v>5893</v>
      </c>
      <c r="BD920" t="s">
        <v>74</v>
      </c>
      <c r="BE920" t="s">
        <v>17341</v>
      </c>
      <c r="BF920" t="str">
        <f>HYPERLINK("http://dx.doi.org/10.1007/s00330-023-09512-4","http://dx.doi.org/10.1007/s00330-023-09512-4")</f>
        <v>http://dx.doi.org/10.1007/s00330-023-09512-4</v>
      </c>
      <c r="BG920" t="s">
        <v>74</v>
      </c>
      <c r="BH920" t="s">
        <v>1431</v>
      </c>
      <c r="BI920">
        <v>12</v>
      </c>
      <c r="BJ920" t="s">
        <v>5360</v>
      </c>
      <c r="BK920" t="s">
        <v>130</v>
      </c>
      <c r="BL920" t="s">
        <v>5360</v>
      </c>
      <c r="BM920" t="s">
        <v>17342</v>
      </c>
      <c r="BN920">
        <v>36928566</v>
      </c>
      <c r="BO920" t="s">
        <v>161</v>
      </c>
      <c r="BP920" t="s">
        <v>74</v>
      </c>
      <c r="BQ920" t="s">
        <v>74</v>
      </c>
      <c r="BR920" t="s">
        <v>101</v>
      </c>
      <c r="BS920" t="s">
        <v>17343</v>
      </c>
      <c r="BT920" t="str">
        <f>HYPERLINK("https%3A%2F%2Fwww.webofscience.com%2Fwos%2Fwoscc%2Ffull-record%2FWOS:000952986200001","View Full Record in Web of Science")</f>
        <v>View Full Record in Web of Science</v>
      </c>
    </row>
    <row r="921" spans="1:72" x14ac:dyDescent="0.2">
      <c r="A921" t="s">
        <v>103</v>
      </c>
      <c r="B921" t="s">
        <v>17344</v>
      </c>
      <c r="C921" t="s">
        <v>74</v>
      </c>
      <c r="D921" t="s">
        <v>74</v>
      </c>
      <c r="E921" t="s">
        <v>74</v>
      </c>
      <c r="F921" t="s">
        <v>17345</v>
      </c>
      <c r="G921" t="s">
        <v>74</v>
      </c>
      <c r="H921" t="s">
        <v>74</v>
      </c>
      <c r="I921" t="s">
        <v>17346</v>
      </c>
      <c r="J921" t="s">
        <v>17347</v>
      </c>
      <c r="K921" t="s">
        <v>74</v>
      </c>
      <c r="L921" t="s">
        <v>74</v>
      </c>
      <c r="M921" t="s">
        <v>79</v>
      </c>
      <c r="N921" t="s">
        <v>138</v>
      </c>
      <c r="O921" t="s">
        <v>74</v>
      </c>
      <c r="P921" t="s">
        <v>74</v>
      </c>
      <c r="Q921" t="s">
        <v>74</v>
      </c>
      <c r="R921" t="s">
        <v>74</v>
      </c>
      <c r="S921" t="s">
        <v>74</v>
      </c>
      <c r="T921" t="s">
        <v>17348</v>
      </c>
      <c r="U921" t="s">
        <v>74</v>
      </c>
      <c r="V921" t="s">
        <v>17349</v>
      </c>
      <c r="W921" t="s">
        <v>17350</v>
      </c>
      <c r="X921" t="s">
        <v>17351</v>
      </c>
      <c r="Y921" t="s">
        <v>17352</v>
      </c>
      <c r="Z921" t="s">
        <v>17353</v>
      </c>
      <c r="AA921" t="s">
        <v>17354</v>
      </c>
      <c r="AB921" t="s">
        <v>17355</v>
      </c>
      <c r="AC921" t="s">
        <v>74</v>
      </c>
      <c r="AD921" t="s">
        <v>74</v>
      </c>
      <c r="AE921" t="s">
        <v>74</v>
      </c>
      <c r="AF921" t="s">
        <v>74</v>
      </c>
      <c r="AG921">
        <v>23</v>
      </c>
      <c r="AH921">
        <v>0</v>
      </c>
      <c r="AI921">
        <v>0</v>
      </c>
      <c r="AJ921">
        <v>11</v>
      </c>
      <c r="AK921">
        <v>11</v>
      </c>
      <c r="AL921" t="s">
        <v>17356</v>
      </c>
      <c r="AM921" t="s">
        <v>17357</v>
      </c>
      <c r="AN921" t="s">
        <v>17358</v>
      </c>
      <c r="AO921" t="s">
        <v>17359</v>
      </c>
      <c r="AP921" t="s">
        <v>17360</v>
      </c>
      <c r="AQ921" t="s">
        <v>74</v>
      </c>
      <c r="AR921" t="s">
        <v>17361</v>
      </c>
      <c r="AS921" t="s">
        <v>17362</v>
      </c>
      <c r="AT921" t="s">
        <v>2038</v>
      </c>
      <c r="AU921">
        <v>2023</v>
      </c>
      <c r="AV921" t="s">
        <v>74</v>
      </c>
      <c r="AW921" t="s">
        <v>74</v>
      </c>
      <c r="AX921" t="s">
        <v>74</v>
      </c>
      <c r="AY921" t="s">
        <v>74</v>
      </c>
      <c r="AZ921" t="s">
        <v>74</v>
      </c>
      <c r="BA921" t="s">
        <v>74</v>
      </c>
      <c r="BB921" t="s">
        <v>74</v>
      </c>
      <c r="BC921" t="s">
        <v>74</v>
      </c>
      <c r="BD921" t="s">
        <v>74</v>
      </c>
      <c r="BE921" t="s">
        <v>17363</v>
      </c>
      <c r="BF921" t="str">
        <f>HYPERLINK("http://dx.doi.org/10.5603/cj.97517","http://dx.doi.org/10.5603/cj.97517")</f>
        <v>http://dx.doi.org/10.5603/cj.97517</v>
      </c>
      <c r="BG921" t="s">
        <v>74</v>
      </c>
      <c r="BH921" t="s">
        <v>1886</v>
      </c>
      <c r="BI921">
        <v>9</v>
      </c>
      <c r="BJ921" t="s">
        <v>2629</v>
      </c>
      <c r="BK921" t="s">
        <v>130</v>
      </c>
      <c r="BL921" t="s">
        <v>2630</v>
      </c>
      <c r="BM921" t="s">
        <v>17364</v>
      </c>
      <c r="BN921">
        <v>37830257</v>
      </c>
      <c r="BO921" t="s">
        <v>425</v>
      </c>
      <c r="BP921" t="s">
        <v>74</v>
      </c>
      <c r="BQ921" t="s">
        <v>74</v>
      </c>
      <c r="BR921" t="s">
        <v>101</v>
      </c>
      <c r="BS921" t="s">
        <v>17365</v>
      </c>
      <c r="BT921" t="str">
        <f>HYPERLINK("https%3A%2F%2Fwww.webofscience.com%2Fwos%2Fwoscc%2Ffull-record%2FWOS:001189020200001","View Full Record in Web of Science")</f>
        <v>View Full Record in Web of Science</v>
      </c>
    </row>
    <row r="922" spans="1:72" x14ac:dyDescent="0.2">
      <c r="A922" t="s">
        <v>103</v>
      </c>
      <c r="B922" t="s">
        <v>17366</v>
      </c>
      <c r="C922" t="s">
        <v>74</v>
      </c>
      <c r="D922" t="s">
        <v>74</v>
      </c>
      <c r="E922" t="s">
        <v>74</v>
      </c>
      <c r="F922" t="s">
        <v>17367</v>
      </c>
      <c r="G922" t="s">
        <v>74</v>
      </c>
      <c r="H922" t="s">
        <v>74</v>
      </c>
      <c r="I922" t="s">
        <v>17368</v>
      </c>
      <c r="J922" t="s">
        <v>4686</v>
      </c>
      <c r="K922" t="s">
        <v>74</v>
      </c>
      <c r="L922" t="s">
        <v>74</v>
      </c>
      <c r="M922" t="s">
        <v>79</v>
      </c>
      <c r="N922" t="s">
        <v>108</v>
      </c>
      <c r="O922" t="s">
        <v>74</v>
      </c>
      <c r="P922" t="s">
        <v>74</v>
      </c>
      <c r="Q922" t="s">
        <v>74</v>
      </c>
      <c r="R922" t="s">
        <v>74</v>
      </c>
      <c r="S922" t="s">
        <v>74</v>
      </c>
      <c r="T922" t="s">
        <v>17369</v>
      </c>
      <c r="U922" t="s">
        <v>74</v>
      </c>
      <c r="V922" t="s">
        <v>17370</v>
      </c>
      <c r="W922" t="s">
        <v>17371</v>
      </c>
      <c r="X922" t="s">
        <v>17372</v>
      </c>
      <c r="Y922" t="s">
        <v>17373</v>
      </c>
      <c r="Z922" t="s">
        <v>17374</v>
      </c>
      <c r="AA922" t="s">
        <v>74</v>
      </c>
      <c r="AB922" t="s">
        <v>74</v>
      </c>
      <c r="AC922" t="s">
        <v>74</v>
      </c>
      <c r="AD922" t="s">
        <v>74</v>
      </c>
      <c r="AE922" t="s">
        <v>74</v>
      </c>
      <c r="AF922" t="s">
        <v>74</v>
      </c>
      <c r="AG922">
        <v>9</v>
      </c>
      <c r="AH922">
        <v>0</v>
      </c>
      <c r="AI922">
        <v>0</v>
      </c>
      <c r="AJ922">
        <v>1</v>
      </c>
      <c r="AK922">
        <v>1</v>
      </c>
      <c r="AL922" t="s">
        <v>2032</v>
      </c>
      <c r="AM922" t="s">
        <v>149</v>
      </c>
      <c r="AN922" t="s">
        <v>2033</v>
      </c>
      <c r="AO922" t="s">
        <v>74</v>
      </c>
      <c r="AP922" t="s">
        <v>4694</v>
      </c>
      <c r="AQ922" t="s">
        <v>74</v>
      </c>
      <c r="AR922" t="s">
        <v>4695</v>
      </c>
      <c r="AS922" t="s">
        <v>4696</v>
      </c>
      <c r="AT922" t="s">
        <v>17375</v>
      </c>
      <c r="AU922">
        <v>2023</v>
      </c>
      <c r="AV922">
        <v>15</v>
      </c>
      <c r="AW922">
        <v>8</v>
      </c>
      <c r="AX922" t="s">
        <v>74</v>
      </c>
      <c r="AY922" t="s">
        <v>74</v>
      </c>
      <c r="AZ922" t="s">
        <v>74</v>
      </c>
      <c r="BA922" t="s">
        <v>74</v>
      </c>
      <c r="BB922" t="s">
        <v>74</v>
      </c>
      <c r="BC922" t="s">
        <v>74</v>
      </c>
      <c r="BD922" t="s">
        <v>17376</v>
      </c>
      <c r="BE922" t="s">
        <v>17377</v>
      </c>
      <c r="BF922" t="str">
        <f>HYPERLINK("http://dx.doi.org/10.7759/cureus.43690","http://dx.doi.org/10.7759/cureus.43690")</f>
        <v>http://dx.doi.org/10.7759/cureus.43690</v>
      </c>
      <c r="BG922" t="s">
        <v>74</v>
      </c>
      <c r="BH922" t="s">
        <v>74</v>
      </c>
      <c r="BI922">
        <v>4</v>
      </c>
      <c r="BJ922" t="s">
        <v>3440</v>
      </c>
      <c r="BK922" t="s">
        <v>352</v>
      </c>
      <c r="BL922" t="s">
        <v>3441</v>
      </c>
      <c r="BM922" t="s">
        <v>17378</v>
      </c>
      <c r="BN922">
        <v>37724211</v>
      </c>
      <c r="BO922" t="s">
        <v>1728</v>
      </c>
      <c r="BP922" t="s">
        <v>74</v>
      </c>
      <c r="BQ922" t="s">
        <v>74</v>
      </c>
      <c r="BR922" t="s">
        <v>101</v>
      </c>
      <c r="BS922" t="s">
        <v>17379</v>
      </c>
      <c r="BT922" t="str">
        <f>HYPERLINK("https%3A%2F%2Fwww.webofscience.com%2Fwos%2Fwoscc%2Ffull-record%2FWOS:001064944100009","View Full Record in Web of Science")</f>
        <v>View Full Record in Web of Science</v>
      </c>
    </row>
    <row r="923" spans="1:72" x14ac:dyDescent="0.2">
      <c r="A923" t="s">
        <v>103</v>
      </c>
      <c r="B923" t="s">
        <v>17380</v>
      </c>
      <c r="C923" t="s">
        <v>74</v>
      </c>
      <c r="D923" t="s">
        <v>74</v>
      </c>
      <c r="E923" t="s">
        <v>74</v>
      </c>
      <c r="F923" t="s">
        <v>17381</v>
      </c>
      <c r="G923" t="s">
        <v>74</v>
      </c>
      <c r="H923" t="s">
        <v>74</v>
      </c>
      <c r="I923" t="s">
        <v>17382</v>
      </c>
      <c r="J923" t="s">
        <v>17383</v>
      </c>
      <c r="K923" t="s">
        <v>74</v>
      </c>
      <c r="L923" t="s">
        <v>74</v>
      </c>
      <c r="M923" t="s">
        <v>79</v>
      </c>
      <c r="N923" t="s">
        <v>108</v>
      </c>
      <c r="O923" t="s">
        <v>74</v>
      </c>
      <c r="P923" t="s">
        <v>74</v>
      </c>
      <c r="Q923" t="s">
        <v>74</v>
      </c>
      <c r="R923" t="s">
        <v>74</v>
      </c>
      <c r="S923" t="s">
        <v>74</v>
      </c>
      <c r="T923" t="s">
        <v>17384</v>
      </c>
      <c r="U923" t="s">
        <v>74</v>
      </c>
      <c r="V923" t="s">
        <v>17385</v>
      </c>
      <c r="W923" t="s">
        <v>17386</v>
      </c>
      <c r="X923" t="s">
        <v>17387</v>
      </c>
      <c r="Y923" t="s">
        <v>17388</v>
      </c>
      <c r="Z923" t="s">
        <v>74</v>
      </c>
      <c r="AA923" t="s">
        <v>74</v>
      </c>
      <c r="AB923" t="s">
        <v>74</v>
      </c>
      <c r="AC923" t="s">
        <v>74</v>
      </c>
      <c r="AD923" t="s">
        <v>74</v>
      </c>
      <c r="AE923" t="s">
        <v>74</v>
      </c>
      <c r="AF923" t="s">
        <v>74</v>
      </c>
      <c r="AG923">
        <v>23</v>
      </c>
      <c r="AH923">
        <v>0</v>
      </c>
      <c r="AI923">
        <v>0</v>
      </c>
      <c r="AJ923">
        <v>8</v>
      </c>
      <c r="AK923">
        <v>8</v>
      </c>
      <c r="AL923" t="s">
        <v>17389</v>
      </c>
      <c r="AM923" t="s">
        <v>4898</v>
      </c>
      <c r="AN923" t="s">
        <v>17390</v>
      </c>
      <c r="AO923" t="s">
        <v>17391</v>
      </c>
      <c r="AP923" t="s">
        <v>17392</v>
      </c>
      <c r="AQ923" t="s">
        <v>74</v>
      </c>
      <c r="AR923" t="s">
        <v>17393</v>
      </c>
      <c r="AS923" t="s">
        <v>17394</v>
      </c>
      <c r="AT923" t="s">
        <v>251</v>
      </c>
      <c r="AU923">
        <v>2024</v>
      </c>
      <c r="AV923">
        <v>56</v>
      </c>
      <c r="AW923">
        <v>2</v>
      </c>
      <c r="AX923" t="s">
        <v>74</v>
      </c>
      <c r="AY923" t="s">
        <v>74</v>
      </c>
      <c r="AZ923" t="s">
        <v>74</v>
      </c>
      <c r="BA923" t="s">
        <v>74</v>
      </c>
      <c r="BB923" t="s">
        <v>74</v>
      </c>
      <c r="BC923" t="s">
        <v>74</v>
      </c>
      <c r="BD923">
        <v>102820</v>
      </c>
      <c r="BE923" t="s">
        <v>17395</v>
      </c>
      <c r="BF923" t="str">
        <f>HYPERLINK("http://dx.doi.org/10.1016/j.aprim.2023.102820","http://dx.doi.org/10.1016/j.aprim.2023.102820")</f>
        <v>http://dx.doi.org/10.1016/j.aprim.2023.102820</v>
      </c>
      <c r="BG923" t="s">
        <v>74</v>
      </c>
      <c r="BH923" t="s">
        <v>128</v>
      </c>
      <c r="BI923">
        <v>7</v>
      </c>
      <c r="BJ923" t="s">
        <v>17396</v>
      </c>
      <c r="BK923" t="s">
        <v>130</v>
      </c>
      <c r="BL923" t="s">
        <v>3441</v>
      </c>
      <c r="BM923" t="s">
        <v>17397</v>
      </c>
      <c r="BN923">
        <v>38056048</v>
      </c>
      <c r="BO923" t="s">
        <v>1728</v>
      </c>
      <c r="BP923" t="s">
        <v>74</v>
      </c>
      <c r="BQ923" t="s">
        <v>74</v>
      </c>
      <c r="BR923" t="s">
        <v>101</v>
      </c>
      <c r="BS923" t="s">
        <v>17398</v>
      </c>
      <c r="BT923" t="str">
        <f>HYPERLINK("https%3A%2F%2Fwww.webofscience.com%2Fwos%2Fwoscc%2Ffull-record%2FWOS:001135036200001","View Full Record in Web of Science")</f>
        <v>View Full Record in Web of Science</v>
      </c>
    </row>
    <row r="924" spans="1:72" x14ac:dyDescent="0.2">
      <c r="A924" t="s">
        <v>72</v>
      </c>
      <c r="B924" t="s">
        <v>17399</v>
      </c>
      <c r="C924" t="s">
        <v>74</v>
      </c>
      <c r="D924" t="s">
        <v>13144</v>
      </c>
      <c r="E924" t="s">
        <v>74</v>
      </c>
      <c r="F924" t="s">
        <v>17400</v>
      </c>
      <c r="G924" t="s">
        <v>74</v>
      </c>
      <c r="H924" t="s">
        <v>74</v>
      </c>
      <c r="I924" t="s">
        <v>17401</v>
      </c>
      <c r="J924" t="s">
        <v>13147</v>
      </c>
      <c r="K924" t="s">
        <v>13148</v>
      </c>
      <c r="L924" t="s">
        <v>74</v>
      </c>
      <c r="M924" t="s">
        <v>79</v>
      </c>
      <c r="N924" t="s">
        <v>80</v>
      </c>
      <c r="O924" t="s">
        <v>13149</v>
      </c>
      <c r="P924" t="s">
        <v>13150</v>
      </c>
      <c r="Q924" t="s">
        <v>13151</v>
      </c>
      <c r="R924" t="s">
        <v>13152</v>
      </c>
      <c r="S924" t="s">
        <v>74</v>
      </c>
      <c r="T924" t="s">
        <v>17402</v>
      </c>
      <c r="U924" t="s">
        <v>17403</v>
      </c>
      <c r="V924" t="s">
        <v>17404</v>
      </c>
      <c r="W924" t="s">
        <v>17405</v>
      </c>
      <c r="X924" t="s">
        <v>74</v>
      </c>
      <c r="Y924" t="s">
        <v>17406</v>
      </c>
      <c r="Z924" t="s">
        <v>17407</v>
      </c>
      <c r="AA924" t="s">
        <v>74</v>
      </c>
      <c r="AB924" t="s">
        <v>74</v>
      </c>
      <c r="AC924" t="s">
        <v>74</v>
      </c>
      <c r="AD924" t="s">
        <v>74</v>
      </c>
      <c r="AE924" t="s">
        <v>74</v>
      </c>
      <c r="AF924" t="s">
        <v>74</v>
      </c>
      <c r="AG924">
        <v>40</v>
      </c>
      <c r="AH924">
        <v>0</v>
      </c>
      <c r="AI924">
        <v>0</v>
      </c>
      <c r="AJ924">
        <v>0</v>
      </c>
      <c r="AK924">
        <v>0</v>
      </c>
      <c r="AL924" t="s">
        <v>638</v>
      </c>
      <c r="AM924" t="s">
        <v>639</v>
      </c>
      <c r="AN924" t="s">
        <v>640</v>
      </c>
      <c r="AO924" t="s">
        <v>13159</v>
      </c>
      <c r="AP924" t="s">
        <v>74</v>
      </c>
      <c r="AQ924" t="s">
        <v>13160</v>
      </c>
      <c r="AR924" t="s">
        <v>13161</v>
      </c>
      <c r="AS924" t="s">
        <v>74</v>
      </c>
      <c r="AT924" t="s">
        <v>74</v>
      </c>
      <c r="AU924">
        <v>2023</v>
      </c>
      <c r="AV924" t="s">
        <v>74</v>
      </c>
      <c r="AW924" t="s">
        <v>74</v>
      </c>
      <c r="AX924" t="s">
        <v>74</v>
      </c>
      <c r="AY924" t="s">
        <v>74</v>
      </c>
      <c r="AZ924" t="s">
        <v>74</v>
      </c>
      <c r="BA924" t="s">
        <v>74</v>
      </c>
      <c r="BB924">
        <v>1535</v>
      </c>
      <c r="BC924">
        <v>1542</v>
      </c>
      <c r="BD924" t="s">
        <v>74</v>
      </c>
      <c r="BE924" t="s">
        <v>17408</v>
      </c>
      <c r="BF924" t="str">
        <f>HYPERLINK("http://dx.doi.org/10.1109/ICDMW60847.2023.00195","http://dx.doi.org/10.1109/ICDMW60847.2023.00195")</f>
        <v>http://dx.doi.org/10.1109/ICDMW60847.2023.00195</v>
      </c>
      <c r="BG924" t="s">
        <v>74</v>
      </c>
      <c r="BH924" t="s">
        <v>74</v>
      </c>
      <c r="BI924">
        <v>8</v>
      </c>
      <c r="BJ924" t="s">
        <v>6374</v>
      </c>
      <c r="BK924" t="s">
        <v>98</v>
      </c>
      <c r="BL924" t="s">
        <v>99</v>
      </c>
      <c r="BM924" t="s">
        <v>13163</v>
      </c>
      <c r="BN924" t="s">
        <v>74</v>
      </c>
      <c r="BO924" t="s">
        <v>646</v>
      </c>
      <c r="BP924" t="s">
        <v>74</v>
      </c>
      <c r="BQ924" t="s">
        <v>74</v>
      </c>
      <c r="BR924" t="s">
        <v>101</v>
      </c>
      <c r="BS924" t="s">
        <v>17409</v>
      </c>
      <c r="BT924" t="str">
        <f>HYPERLINK("https%3A%2F%2Fwww.webofscience.com%2Fwos%2Fwoscc%2Ffull-record%2FWOS:001164077500186","View Full Record in Web of Science")</f>
        <v>View Full Record in Web of Science</v>
      </c>
    </row>
    <row r="925" spans="1:72" x14ac:dyDescent="0.2">
      <c r="A925" t="s">
        <v>103</v>
      </c>
      <c r="B925" t="s">
        <v>17410</v>
      </c>
      <c r="C925" t="s">
        <v>74</v>
      </c>
      <c r="D925" t="s">
        <v>74</v>
      </c>
      <c r="E925" t="s">
        <v>74</v>
      </c>
      <c r="F925" t="s">
        <v>17411</v>
      </c>
      <c r="G925" t="s">
        <v>74</v>
      </c>
      <c r="H925" t="s">
        <v>74</v>
      </c>
      <c r="I925" t="s">
        <v>17412</v>
      </c>
      <c r="J925" t="s">
        <v>17413</v>
      </c>
      <c r="K925" t="s">
        <v>74</v>
      </c>
      <c r="L925" t="s">
        <v>74</v>
      </c>
      <c r="M925" t="s">
        <v>79</v>
      </c>
      <c r="N925" t="s">
        <v>108</v>
      </c>
      <c r="O925" t="s">
        <v>74</v>
      </c>
      <c r="P925" t="s">
        <v>74</v>
      </c>
      <c r="Q925" t="s">
        <v>74</v>
      </c>
      <c r="R925" t="s">
        <v>74</v>
      </c>
      <c r="S925" t="s">
        <v>74</v>
      </c>
      <c r="T925" t="s">
        <v>17414</v>
      </c>
      <c r="U925" t="s">
        <v>74</v>
      </c>
      <c r="V925" t="s">
        <v>17415</v>
      </c>
      <c r="W925" t="s">
        <v>17416</v>
      </c>
      <c r="X925" t="s">
        <v>17417</v>
      </c>
      <c r="Y925" t="s">
        <v>17418</v>
      </c>
      <c r="Z925" t="s">
        <v>17419</v>
      </c>
      <c r="AA925" t="s">
        <v>74</v>
      </c>
      <c r="AB925" t="s">
        <v>17420</v>
      </c>
      <c r="AC925" t="s">
        <v>74</v>
      </c>
      <c r="AD925" t="s">
        <v>74</v>
      </c>
      <c r="AE925" t="s">
        <v>74</v>
      </c>
      <c r="AF925" t="s">
        <v>74</v>
      </c>
      <c r="AG925">
        <v>6</v>
      </c>
      <c r="AH925">
        <v>1</v>
      </c>
      <c r="AI925">
        <v>1</v>
      </c>
      <c r="AJ925">
        <v>15</v>
      </c>
      <c r="AK925">
        <v>18</v>
      </c>
      <c r="AL925" t="s">
        <v>343</v>
      </c>
      <c r="AM925" t="s">
        <v>93</v>
      </c>
      <c r="AN925" t="s">
        <v>344</v>
      </c>
      <c r="AO925" t="s">
        <v>17421</v>
      </c>
      <c r="AP925" t="s">
        <v>17422</v>
      </c>
      <c r="AQ925" t="s">
        <v>74</v>
      </c>
      <c r="AR925" t="s">
        <v>17423</v>
      </c>
      <c r="AS925" t="s">
        <v>17424</v>
      </c>
      <c r="AT925" t="s">
        <v>276</v>
      </c>
      <c r="AU925">
        <v>2023</v>
      </c>
      <c r="AV925">
        <v>149</v>
      </c>
      <c r="AW925">
        <v>14</v>
      </c>
      <c r="AX925" t="s">
        <v>74</v>
      </c>
      <c r="AY925" t="s">
        <v>74</v>
      </c>
      <c r="AZ925" t="s">
        <v>74</v>
      </c>
      <c r="BA925" t="s">
        <v>74</v>
      </c>
      <c r="BB925">
        <v>13495</v>
      </c>
      <c r="BC925">
        <v>13500</v>
      </c>
      <c r="BD925" t="s">
        <v>74</v>
      </c>
      <c r="BE925" t="s">
        <v>17425</v>
      </c>
      <c r="BF925" t="str">
        <f>HYPERLINK("http://dx.doi.org/10.1007/s00432-023-05183-2","http://dx.doi.org/10.1007/s00432-023-05183-2")</f>
        <v>http://dx.doi.org/10.1007/s00432-023-05183-2</v>
      </c>
      <c r="BG925" t="s">
        <v>74</v>
      </c>
      <c r="BH925" t="s">
        <v>229</v>
      </c>
      <c r="BI925">
        <v>6</v>
      </c>
      <c r="BJ925" t="s">
        <v>6050</v>
      </c>
      <c r="BK925" t="s">
        <v>130</v>
      </c>
      <c r="BL925" t="s">
        <v>6050</v>
      </c>
      <c r="BM925" t="s">
        <v>17426</v>
      </c>
      <c r="BN925">
        <v>37462773</v>
      </c>
      <c r="BO925" t="s">
        <v>74</v>
      </c>
      <c r="BP925" t="s">
        <v>74</v>
      </c>
      <c r="BQ925" t="s">
        <v>74</v>
      </c>
      <c r="BR925" t="s">
        <v>101</v>
      </c>
      <c r="BS925" t="s">
        <v>17427</v>
      </c>
      <c r="BT925" t="str">
        <f>HYPERLINK("https%3A%2F%2Fwww.webofscience.com%2Fwos%2Fwoscc%2Ffull-record%2FWOS:001032551800004","View Full Record in Web of Science")</f>
        <v>View Full Record in Web of Science</v>
      </c>
    </row>
    <row r="926" spans="1:72" x14ac:dyDescent="0.2">
      <c r="A926" t="s">
        <v>103</v>
      </c>
      <c r="B926" t="s">
        <v>17428</v>
      </c>
      <c r="C926" t="s">
        <v>74</v>
      </c>
      <c r="D926" t="s">
        <v>74</v>
      </c>
      <c r="E926" t="s">
        <v>74</v>
      </c>
      <c r="F926" t="s">
        <v>17429</v>
      </c>
      <c r="G926" t="s">
        <v>74</v>
      </c>
      <c r="H926" t="s">
        <v>74</v>
      </c>
      <c r="I926" t="s">
        <v>17430</v>
      </c>
      <c r="J926" t="s">
        <v>4686</v>
      </c>
      <c r="K926" t="s">
        <v>74</v>
      </c>
      <c r="L926" t="s">
        <v>74</v>
      </c>
      <c r="M926" t="s">
        <v>79</v>
      </c>
      <c r="N926" t="s">
        <v>108</v>
      </c>
      <c r="O926" t="s">
        <v>74</v>
      </c>
      <c r="P926" t="s">
        <v>74</v>
      </c>
      <c r="Q926" t="s">
        <v>74</v>
      </c>
      <c r="R926" t="s">
        <v>74</v>
      </c>
      <c r="S926" t="s">
        <v>74</v>
      </c>
      <c r="T926" t="s">
        <v>17431</v>
      </c>
      <c r="U926" t="s">
        <v>74</v>
      </c>
      <c r="V926" t="s">
        <v>17432</v>
      </c>
      <c r="W926" t="s">
        <v>17433</v>
      </c>
      <c r="X926" t="s">
        <v>17434</v>
      </c>
      <c r="Y926" t="s">
        <v>17435</v>
      </c>
      <c r="Z926" t="s">
        <v>17436</v>
      </c>
      <c r="AA926" t="s">
        <v>74</v>
      </c>
      <c r="AB926" t="s">
        <v>74</v>
      </c>
      <c r="AC926" t="s">
        <v>74</v>
      </c>
      <c r="AD926" t="s">
        <v>74</v>
      </c>
      <c r="AE926" t="s">
        <v>74</v>
      </c>
      <c r="AF926" t="s">
        <v>74</v>
      </c>
      <c r="AG926">
        <v>17</v>
      </c>
      <c r="AH926">
        <v>2</v>
      </c>
      <c r="AI926">
        <v>2</v>
      </c>
      <c r="AJ926">
        <v>8</v>
      </c>
      <c r="AK926">
        <v>11</v>
      </c>
      <c r="AL926" t="s">
        <v>2032</v>
      </c>
      <c r="AM926" t="s">
        <v>149</v>
      </c>
      <c r="AN926" t="s">
        <v>2033</v>
      </c>
      <c r="AO926" t="s">
        <v>74</v>
      </c>
      <c r="AP926" t="s">
        <v>4694</v>
      </c>
      <c r="AQ926" t="s">
        <v>74</v>
      </c>
      <c r="AR926" t="s">
        <v>4695</v>
      </c>
      <c r="AS926" t="s">
        <v>4696</v>
      </c>
      <c r="AT926" t="s">
        <v>17437</v>
      </c>
      <c r="AU926">
        <v>2023</v>
      </c>
      <c r="AV926">
        <v>15</v>
      </c>
      <c r="AW926">
        <v>6</v>
      </c>
      <c r="AX926" t="s">
        <v>74</v>
      </c>
      <c r="AY926" t="s">
        <v>74</v>
      </c>
      <c r="AZ926" t="s">
        <v>74</v>
      </c>
      <c r="BA926" t="s">
        <v>74</v>
      </c>
      <c r="BB926" t="s">
        <v>74</v>
      </c>
      <c r="BC926" t="s">
        <v>74</v>
      </c>
      <c r="BD926" t="s">
        <v>74</v>
      </c>
      <c r="BE926" t="s">
        <v>17438</v>
      </c>
      <c r="BF926" t="str">
        <f>HYPERLINK("http://dx.doi.org/10.7759/cureus.40351","http://dx.doi.org/10.7759/cureus.40351")</f>
        <v>http://dx.doi.org/10.7759/cureus.40351</v>
      </c>
      <c r="BG926" t="s">
        <v>74</v>
      </c>
      <c r="BH926" t="s">
        <v>74</v>
      </c>
      <c r="BI926">
        <v>13</v>
      </c>
      <c r="BJ926" t="s">
        <v>3440</v>
      </c>
      <c r="BK926" t="s">
        <v>352</v>
      </c>
      <c r="BL926" t="s">
        <v>3441</v>
      </c>
      <c r="BM926" t="s">
        <v>17439</v>
      </c>
      <c r="BN926">
        <v>37456381</v>
      </c>
      <c r="BO926" t="s">
        <v>4185</v>
      </c>
      <c r="BP926" t="s">
        <v>74</v>
      </c>
      <c r="BQ926" t="s">
        <v>74</v>
      </c>
      <c r="BR926" t="s">
        <v>101</v>
      </c>
      <c r="BS926" t="s">
        <v>17440</v>
      </c>
      <c r="BT926" t="str">
        <f>HYPERLINK("https%3A%2F%2Fwww.webofscience.com%2Fwos%2Fwoscc%2Ffull-record%2FWOS:001032064700024","View Full Record in Web of Science")</f>
        <v>View Full Record in Web of Science</v>
      </c>
    </row>
    <row r="927" spans="1:72" x14ac:dyDescent="0.2">
      <c r="A927" t="s">
        <v>72</v>
      </c>
      <c r="B927" t="s">
        <v>17441</v>
      </c>
      <c r="C927" t="s">
        <v>74</v>
      </c>
      <c r="D927" t="s">
        <v>74</v>
      </c>
      <c r="E927" t="s">
        <v>284</v>
      </c>
      <c r="F927" t="s">
        <v>17442</v>
      </c>
      <c r="G927" t="s">
        <v>74</v>
      </c>
      <c r="H927" t="s">
        <v>74</v>
      </c>
      <c r="I927" t="s">
        <v>17443</v>
      </c>
      <c r="J927" t="s">
        <v>8245</v>
      </c>
      <c r="K927" t="s">
        <v>8246</v>
      </c>
      <c r="L927" t="s">
        <v>74</v>
      </c>
      <c r="M927" t="s">
        <v>79</v>
      </c>
      <c r="N927" t="s">
        <v>80</v>
      </c>
      <c r="O927" t="s">
        <v>8247</v>
      </c>
      <c r="P927" t="s">
        <v>8248</v>
      </c>
      <c r="Q927" t="s">
        <v>6017</v>
      </c>
      <c r="R927" t="s">
        <v>8249</v>
      </c>
      <c r="S927" t="s">
        <v>74</v>
      </c>
      <c r="T927" t="s">
        <v>74</v>
      </c>
      <c r="U927" t="s">
        <v>74</v>
      </c>
      <c r="V927" t="s">
        <v>17444</v>
      </c>
      <c r="W927" t="s">
        <v>17445</v>
      </c>
      <c r="X927" t="s">
        <v>17446</v>
      </c>
      <c r="Y927" t="s">
        <v>17447</v>
      </c>
      <c r="Z927" t="s">
        <v>17448</v>
      </c>
      <c r="AA927" t="s">
        <v>74</v>
      </c>
      <c r="AB927" t="s">
        <v>74</v>
      </c>
      <c r="AC927" t="s">
        <v>17449</v>
      </c>
      <c r="AD927" t="s">
        <v>17450</v>
      </c>
      <c r="AE927" t="s">
        <v>17451</v>
      </c>
      <c r="AF927" t="s">
        <v>74</v>
      </c>
      <c r="AG927">
        <v>68</v>
      </c>
      <c r="AH927">
        <v>1</v>
      </c>
      <c r="AI927">
        <v>1</v>
      </c>
      <c r="AJ927">
        <v>2</v>
      </c>
      <c r="AK927">
        <v>2</v>
      </c>
      <c r="AL927" t="s">
        <v>638</v>
      </c>
      <c r="AM927" t="s">
        <v>639</v>
      </c>
      <c r="AN927" t="s">
        <v>640</v>
      </c>
      <c r="AO927" t="s">
        <v>8260</v>
      </c>
      <c r="AP927" t="s">
        <v>74</v>
      </c>
      <c r="AQ927" t="s">
        <v>8261</v>
      </c>
      <c r="AR927" t="s">
        <v>8262</v>
      </c>
      <c r="AS927" t="s">
        <v>74</v>
      </c>
      <c r="AT927" t="s">
        <v>74</v>
      </c>
      <c r="AU927">
        <v>2023</v>
      </c>
      <c r="AV927" t="s">
        <v>74</v>
      </c>
      <c r="AW927" t="s">
        <v>74</v>
      </c>
      <c r="AX927" t="s">
        <v>74</v>
      </c>
      <c r="AY927" t="s">
        <v>74</v>
      </c>
      <c r="AZ927" t="s">
        <v>74</v>
      </c>
      <c r="BA927" t="s">
        <v>74</v>
      </c>
      <c r="BB927">
        <v>18423</v>
      </c>
      <c r="BC927">
        <v>18433</v>
      </c>
      <c r="BD927" t="s">
        <v>74</v>
      </c>
      <c r="BE927" t="s">
        <v>17452</v>
      </c>
      <c r="BF927" t="str">
        <f>HYPERLINK("http://dx.doi.org/10.1109/CVPR52729.2023.01767","http://dx.doi.org/10.1109/CVPR52729.2023.01767")</f>
        <v>http://dx.doi.org/10.1109/CVPR52729.2023.01767</v>
      </c>
      <c r="BG927" t="s">
        <v>74</v>
      </c>
      <c r="BH927" t="s">
        <v>74</v>
      </c>
      <c r="BI927">
        <v>11</v>
      </c>
      <c r="BJ927" t="s">
        <v>304</v>
      </c>
      <c r="BK927" t="s">
        <v>98</v>
      </c>
      <c r="BL927" t="s">
        <v>99</v>
      </c>
      <c r="BM927" t="s">
        <v>9731</v>
      </c>
      <c r="BN927" t="s">
        <v>74</v>
      </c>
      <c r="BO927" t="s">
        <v>646</v>
      </c>
      <c r="BP927" t="s">
        <v>74</v>
      </c>
      <c r="BQ927" t="s">
        <v>74</v>
      </c>
      <c r="BR927" t="s">
        <v>101</v>
      </c>
      <c r="BS927" t="s">
        <v>17453</v>
      </c>
      <c r="BT927" t="str">
        <f>HYPERLINK("https%3A%2F%2Fwww.webofscience.com%2Fwos%2Fwoscc%2Ffull-record%2FWOS:001062531302071","View Full Record in Web of Science")</f>
        <v>View Full Record in Web of Science</v>
      </c>
    </row>
    <row r="928" spans="1:72" x14ac:dyDescent="0.2">
      <c r="A928" t="s">
        <v>72</v>
      </c>
      <c r="B928" t="s">
        <v>17454</v>
      </c>
      <c r="C928" t="s">
        <v>74</v>
      </c>
      <c r="D928" t="s">
        <v>74</v>
      </c>
      <c r="E928" t="s">
        <v>75</v>
      </c>
      <c r="F928" t="s">
        <v>17455</v>
      </c>
      <c r="G928" t="s">
        <v>74</v>
      </c>
      <c r="H928" t="s">
        <v>74</v>
      </c>
      <c r="I928" t="s">
        <v>17456</v>
      </c>
      <c r="J928" t="s">
        <v>78</v>
      </c>
      <c r="K928" t="s">
        <v>74</v>
      </c>
      <c r="L928" t="s">
        <v>74</v>
      </c>
      <c r="M928" t="s">
        <v>79</v>
      </c>
      <c r="N928" t="s">
        <v>80</v>
      </c>
      <c r="O928" t="s">
        <v>81</v>
      </c>
      <c r="P928" t="s">
        <v>82</v>
      </c>
      <c r="Q928" t="s">
        <v>83</v>
      </c>
      <c r="R928" t="s">
        <v>84</v>
      </c>
      <c r="S928" t="s">
        <v>74</v>
      </c>
      <c r="T928" t="s">
        <v>17457</v>
      </c>
      <c r="U928" t="s">
        <v>74</v>
      </c>
      <c r="V928" t="s">
        <v>17458</v>
      </c>
      <c r="W928" t="s">
        <v>17459</v>
      </c>
      <c r="X928" t="s">
        <v>4063</v>
      </c>
      <c r="Y928" t="s">
        <v>17460</v>
      </c>
      <c r="Z928" t="s">
        <v>74</v>
      </c>
      <c r="AA928" t="s">
        <v>74</v>
      </c>
      <c r="AB928" t="s">
        <v>17461</v>
      </c>
      <c r="AC928" t="s">
        <v>74</v>
      </c>
      <c r="AD928" t="s">
        <v>74</v>
      </c>
      <c r="AE928" t="s">
        <v>74</v>
      </c>
      <c r="AF928" t="s">
        <v>74</v>
      </c>
      <c r="AG928">
        <v>17</v>
      </c>
      <c r="AH928">
        <v>0</v>
      </c>
      <c r="AI928">
        <v>0</v>
      </c>
      <c r="AJ928">
        <v>1</v>
      </c>
      <c r="AK928">
        <v>1</v>
      </c>
      <c r="AL928" t="s">
        <v>92</v>
      </c>
      <c r="AM928" t="s">
        <v>93</v>
      </c>
      <c r="AN928" t="s">
        <v>94</v>
      </c>
      <c r="AO928" t="s">
        <v>74</v>
      </c>
      <c r="AP928" t="s">
        <v>74</v>
      </c>
      <c r="AQ928" t="s">
        <v>95</v>
      </c>
      <c r="AR928" t="s">
        <v>74</v>
      </c>
      <c r="AS928" t="s">
        <v>74</v>
      </c>
      <c r="AT928" t="s">
        <v>74</v>
      </c>
      <c r="AU928">
        <v>2023</v>
      </c>
      <c r="AV928" t="s">
        <v>74</v>
      </c>
      <c r="AW928" t="s">
        <v>74</v>
      </c>
      <c r="AX928" t="s">
        <v>74</v>
      </c>
      <c r="AY928" t="s">
        <v>74</v>
      </c>
      <c r="AZ928" t="s">
        <v>74</v>
      </c>
      <c r="BA928" t="s">
        <v>74</v>
      </c>
      <c r="BB928" t="s">
        <v>74</v>
      </c>
      <c r="BC928" t="s">
        <v>74</v>
      </c>
      <c r="BD928">
        <v>82</v>
      </c>
      <c r="BE928" t="s">
        <v>17462</v>
      </c>
      <c r="BF928" t="str">
        <f>HYPERLINK("http://dx.doi.org/10.1145/3586182.3615790","http://dx.doi.org/10.1145/3586182.3615790")</f>
        <v>http://dx.doi.org/10.1145/3586182.3615790</v>
      </c>
      <c r="BG928" t="s">
        <v>74</v>
      </c>
      <c r="BH928" t="s">
        <v>74</v>
      </c>
      <c r="BI928">
        <v>3</v>
      </c>
      <c r="BJ928" t="s">
        <v>97</v>
      </c>
      <c r="BK928" t="s">
        <v>98</v>
      </c>
      <c r="BL928" t="s">
        <v>99</v>
      </c>
      <c r="BM928" t="s">
        <v>100</v>
      </c>
      <c r="BN928" t="s">
        <v>74</v>
      </c>
      <c r="BO928" t="s">
        <v>74</v>
      </c>
      <c r="BP928" t="s">
        <v>74</v>
      </c>
      <c r="BQ928" t="s">
        <v>74</v>
      </c>
      <c r="BR928" t="s">
        <v>101</v>
      </c>
      <c r="BS928" t="s">
        <v>17463</v>
      </c>
      <c r="BT928" t="str">
        <f>HYPERLINK("https%3A%2F%2Fwww.webofscience.com%2Fwos%2Fwoscc%2Ffull-record%2FWOS:001125107000081","View Full Record in Web of Science")</f>
        <v>View Full Record in Web of Science</v>
      </c>
    </row>
    <row r="929" spans="1:72" x14ac:dyDescent="0.2">
      <c r="A929" t="s">
        <v>103</v>
      </c>
      <c r="B929" t="s">
        <v>17464</v>
      </c>
      <c r="C929" t="s">
        <v>74</v>
      </c>
      <c r="D929" t="s">
        <v>74</v>
      </c>
      <c r="E929" t="s">
        <v>74</v>
      </c>
      <c r="F929" t="s">
        <v>17465</v>
      </c>
      <c r="G929" t="s">
        <v>74</v>
      </c>
      <c r="H929" t="s">
        <v>74</v>
      </c>
      <c r="I929" t="s">
        <v>17466</v>
      </c>
      <c r="J929" t="s">
        <v>7805</v>
      </c>
      <c r="K929" t="s">
        <v>74</v>
      </c>
      <c r="L929" t="s">
        <v>74</v>
      </c>
      <c r="M929" t="s">
        <v>79</v>
      </c>
      <c r="N929" t="s">
        <v>108</v>
      </c>
      <c r="O929" t="s">
        <v>74</v>
      </c>
      <c r="P929" t="s">
        <v>74</v>
      </c>
      <c r="Q929" t="s">
        <v>74</v>
      </c>
      <c r="R929" t="s">
        <v>74</v>
      </c>
      <c r="S929" t="s">
        <v>74</v>
      </c>
      <c r="T929" t="s">
        <v>17467</v>
      </c>
      <c r="U929" t="s">
        <v>17468</v>
      </c>
      <c r="V929" t="s">
        <v>17469</v>
      </c>
      <c r="W929" t="s">
        <v>17470</v>
      </c>
      <c r="X929" t="s">
        <v>17471</v>
      </c>
      <c r="Y929" t="s">
        <v>17472</v>
      </c>
      <c r="Z929" t="s">
        <v>17473</v>
      </c>
      <c r="AA929" t="s">
        <v>17474</v>
      </c>
      <c r="AB929" t="s">
        <v>17475</v>
      </c>
      <c r="AC929" t="s">
        <v>74</v>
      </c>
      <c r="AD929" t="s">
        <v>74</v>
      </c>
      <c r="AE929" t="s">
        <v>74</v>
      </c>
      <c r="AF929" t="s">
        <v>74</v>
      </c>
      <c r="AG929">
        <v>107</v>
      </c>
      <c r="AH929">
        <v>19</v>
      </c>
      <c r="AI929">
        <v>19</v>
      </c>
      <c r="AJ929">
        <v>18</v>
      </c>
      <c r="AK929">
        <v>37</v>
      </c>
      <c r="AL929" t="s">
        <v>1379</v>
      </c>
      <c r="AM929" t="s">
        <v>1380</v>
      </c>
      <c r="AN929" t="s">
        <v>1381</v>
      </c>
      <c r="AO929" t="s">
        <v>7816</v>
      </c>
      <c r="AP929" t="s">
        <v>7817</v>
      </c>
      <c r="AQ929" t="s">
        <v>74</v>
      </c>
      <c r="AR929" t="s">
        <v>7818</v>
      </c>
      <c r="AS929" t="s">
        <v>7819</v>
      </c>
      <c r="AT929" t="s">
        <v>251</v>
      </c>
      <c r="AU929">
        <v>2023</v>
      </c>
      <c r="AV929">
        <v>27</v>
      </c>
      <c r="AW929">
        <v>2</v>
      </c>
      <c r="AX929" t="s">
        <v>74</v>
      </c>
      <c r="AY929" t="s">
        <v>74</v>
      </c>
      <c r="AZ929" t="s">
        <v>74</v>
      </c>
      <c r="BA929" t="s">
        <v>74</v>
      </c>
      <c r="BB929">
        <v>778</v>
      </c>
      <c r="BC929">
        <v>789</v>
      </c>
      <c r="BD929" t="s">
        <v>74</v>
      </c>
      <c r="BE929" t="s">
        <v>17476</v>
      </c>
      <c r="BF929" t="str">
        <f>HYPERLINK("http://dx.doi.org/10.1109/JBHI.2022.3181823","http://dx.doi.org/10.1109/JBHI.2022.3181823")</f>
        <v>http://dx.doi.org/10.1109/JBHI.2022.3181823</v>
      </c>
      <c r="BG929" t="s">
        <v>74</v>
      </c>
      <c r="BH929" t="s">
        <v>74</v>
      </c>
      <c r="BI929">
        <v>12</v>
      </c>
      <c r="BJ929" t="s">
        <v>7821</v>
      </c>
      <c r="BK929" t="s">
        <v>130</v>
      </c>
      <c r="BL929" t="s">
        <v>7822</v>
      </c>
      <c r="BM929" t="s">
        <v>17477</v>
      </c>
      <c r="BN929">
        <v>35696470</v>
      </c>
      <c r="BO929" t="s">
        <v>646</v>
      </c>
      <c r="BP929" t="s">
        <v>1434</v>
      </c>
      <c r="BQ929" t="s">
        <v>1912</v>
      </c>
      <c r="BR929" t="s">
        <v>101</v>
      </c>
      <c r="BS929" t="s">
        <v>17478</v>
      </c>
      <c r="BT929" t="str">
        <f>HYPERLINK("https%3A%2F%2Fwww.webofscience.com%2Fwos%2Fwoscc%2Ffull-record%2FWOS:000966739000001","View Full Record in Web of Science")</f>
        <v>View Full Record in Web of Science</v>
      </c>
    </row>
    <row r="930" spans="1:72" x14ac:dyDescent="0.2">
      <c r="A930" t="s">
        <v>72</v>
      </c>
      <c r="B930" t="s">
        <v>17479</v>
      </c>
      <c r="C930" t="s">
        <v>74</v>
      </c>
      <c r="D930" t="s">
        <v>74</v>
      </c>
      <c r="E930" t="s">
        <v>75</v>
      </c>
      <c r="F930" t="s">
        <v>17480</v>
      </c>
      <c r="G930" t="s">
        <v>74</v>
      </c>
      <c r="H930" t="s">
        <v>74</v>
      </c>
      <c r="I930" t="s">
        <v>17481</v>
      </c>
      <c r="J930" t="s">
        <v>5495</v>
      </c>
      <c r="K930" t="s">
        <v>74</v>
      </c>
      <c r="L930" t="s">
        <v>74</v>
      </c>
      <c r="M930" t="s">
        <v>79</v>
      </c>
      <c r="N930" t="s">
        <v>80</v>
      </c>
      <c r="O930" t="s">
        <v>1637</v>
      </c>
      <c r="P930" t="s">
        <v>1638</v>
      </c>
      <c r="Q930" t="s">
        <v>1639</v>
      </c>
      <c r="R930" t="s">
        <v>1640</v>
      </c>
      <c r="S930" t="s">
        <v>74</v>
      </c>
      <c r="T930" t="s">
        <v>17482</v>
      </c>
      <c r="U930" t="s">
        <v>74</v>
      </c>
      <c r="V930" t="s">
        <v>17483</v>
      </c>
      <c r="W930" t="s">
        <v>17484</v>
      </c>
      <c r="X930" t="s">
        <v>17485</v>
      </c>
      <c r="Y930" t="s">
        <v>17486</v>
      </c>
      <c r="Z930" t="s">
        <v>17487</v>
      </c>
      <c r="AA930" t="s">
        <v>17488</v>
      </c>
      <c r="AB930" t="s">
        <v>17489</v>
      </c>
      <c r="AC930" t="s">
        <v>74</v>
      </c>
      <c r="AD930" t="s">
        <v>74</v>
      </c>
      <c r="AE930" t="s">
        <v>74</v>
      </c>
      <c r="AF930" t="s">
        <v>74</v>
      </c>
      <c r="AG930">
        <v>64</v>
      </c>
      <c r="AH930">
        <v>2</v>
      </c>
      <c r="AI930">
        <v>2</v>
      </c>
      <c r="AJ930">
        <v>1</v>
      </c>
      <c r="AK930">
        <v>1</v>
      </c>
      <c r="AL930" t="s">
        <v>92</v>
      </c>
      <c r="AM930" t="s">
        <v>93</v>
      </c>
      <c r="AN930" t="s">
        <v>94</v>
      </c>
      <c r="AO930" t="s">
        <v>74</v>
      </c>
      <c r="AP930" t="s">
        <v>74</v>
      </c>
      <c r="AQ930" t="s">
        <v>1651</v>
      </c>
      <c r="AR930" t="s">
        <v>74</v>
      </c>
      <c r="AS930" t="s">
        <v>74</v>
      </c>
      <c r="AT930" t="s">
        <v>74</v>
      </c>
      <c r="AU930">
        <v>2023</v>
      </c>
      <c r="AV930" t="s">
        <v>74</v>
      </c>
      <c r="AW930" t="s">
        <v>74</v>
      </c>
      <c r="AX930" t="s">
        <v>74</v>
      </c>
      <c r="AY930" t="s">
        <v>74</v>
      </c>
      <c r="AZ930" t="s">
        <v>74</v>
      </c>
      <c r="BA930" t="s">
        <v>74</v>
      </c>
      <c r="BB930" t="s">
        <v>74</v>
      </c>
      <c r="BC930" t="s">
        <v>74</v>
      </c>
      <c r="BD930" t="s">
        <v>74</v>
      </c>
      <c r="BE930" t="s">
        <v>17490</v>
      </c>
      <c r="BF930" t="str">
        <f>HYPERLINK("http://dx.doi.org/10.1145/3544548.3580907","http://dx.doi.org/10.1145/3544548.3580907")</f>
        <v>http://dx.doi.org/10.1145/3544548.3580907</v>
      </c>
      <c r="BG930" t="s">
        <v>74</v>
      </c>
      <c r="BH930" t="s">
        <v>74</v>
      </c>
      <c r="BI930">
        <v>16</v>
      </c>
      <c r="BJ930" t="s">
        <v>1653</v>
      </c>
      <c r="BK930" t="s">
        <v>98</v>
      </c>
      <c r="BL930" t="s">
        <v>1654</v>
      </c>
      <c r="BM930" t="s">
        <v>5507</v>
      </c>
      <c r="BN930" t="s">
        <v>74</v>
      </c>
      <c r="BO930" t="s">
        <v>74</v>
      </c>
      <c r="BP930" t="s">
        <v>74</v>
      </c>
      <c r="BQ930" t="s">
        <v>74</v>
      </c>
      <c r="BR930" t="s">
        <v>101</v>
      </c>
      <c r="BS930" t="s">
        <v>17491</v>
      </c>
      <c r="BT930" t="str">
        <f>HYPERLINK("https%3A%2F%2Fwww.webofscience.com%2Fwos%2Fwoscc%2Ffull-record%2FWOS:001037809504005","View Full Record in Web of Science")</f>
        <v>View Full Record in Web of Science</v>
      </c>
    </row>
    <row r="931" spans="1:72" x14ac:dyDescent="0.2">
      <c r="A931" t="s">
        <v>103</v>
      </c>
      <c r="B931" t="s">
        <v>17492</v>
      </c>
      <c r="C931" t="s">
        <v>74</v>
      </c>
      <c r="D931" t="s">
        <v>74</v>
      </c>
      <c r="E931" t="s">
        <v>74</v>
      </c>
      <c r="F931" t="s">
        <v>17493</v>
      </c>
      <c r="G931" t="s">
        <v>74</v>
      </c>
      <c r="H931" t="s">
        <v>74</v>
      </c>
      <c r="I931" t="s">
        <v>17494</v>
      </c>
      <c r="J931" t="s">
        <v>17495</v>
      </c>
      <c r="K931" t="s">
        <v>74</v>
      </c>
      <c r="L931" t="s">
        <v>74</v>
      </c>
      <c r="M931" t="s">
        <v>79</v>
      </c>
      <c r="N931" t="s">
        <v>108</v>
      </c>
      <c r="O931" t="s">
        <v>74</v>
      </c>
      <c r="P931" t="s">
        <v>74</v>
      </c>
      <c r="Q931" t="s">
        <v>74</v>
      </c>
      <c r="R931" t="s">
        <v>74</v>
      </c>
      <c r="S931" t="s">
        <v>74</v>
      </c>
      <c r="T931" t="s">
        <v>17496</v>
      </c>
      <c r="U931" t="s">
        <v>74</v>
      </c>
      <c r="V931" t="s">
        <v>17497</v>
      </c>
      <c r="W931" t="s">
        <v>17498</v>
      </c>
      <c r="X931" t="s">
        <v>9780</v>
      </c>
      <c r="Y931" t="s">
        <v>17499</v>
      </c>
      <c r="Z931" t="s">
        <v>17500</v>
      </c>
      <c r="AA931" t="s">
        <v>74</v>
      </c>
      <c r="AB931" t="s">
        <v>17501</v>
      </c>
      <c r="AC931" t="s">
        <v>74</v>
      </c>
      <c r="AD931" t="s">
        <v>74</v>
      </c>
      <c r="AE931" t="s">
        <v>74</v>
      </c>
      <c r="AF931" t="s">
        <v>74</v>
      </c>
      <c r="AG931">
        <v>10</v>
      </c>
      <c r="AH931">
        <v>1</v>
      </c>
      <c r="AI931">
        <v>1</v>
      </c>
      <c r="AJ931">
        <v>9</v>
      </c>
      <c r="AK931">
        <v>9</v>
      </c>
      <c r="AL931" t="s">
        <v>764</v>
      </c>
      <c r="AM931" t="s">
        <v>765</v>
      </c>
      <c r="AN931" t="s">
        <v>766</v>
      </c>
      <c r="AO931" t="s">
        <v>17502</v>
      </c>
      <c r="AP931" t="s">
        <v>74</v>
      </c>
      <c r="AQ931" t="s">
        <v>74</v>
      </c>
      <c r="AR931" t="s">
        <v>17503</v>
      </c>
      <c r="AS931" t="s">
        <v>17504</v>
      </c>
      <c r="AT931" t="s">
        <v>74</v>
      </c>
      <c r="AU931">
        <v>2024</v>
      </c>
      <c r="AV931">
        <v>4</v>
      </c>
      <c r="AW931" t="s">
        <v>74</v>
      </c>
      <c r="AX931" t="s">
        <v>74</v>
      </c>
      <c r="AY931" t="s">
        <v>74</v>
      </c>
      <c r="AZ931" t="s">
        <v>74</v>
      </c>
      <c r="BA931" t="s">
        <v>74</v>
      </c>
      <c r="BB931" t="s">
        <v>74</v>
      </c>
      <c r="BC931" t="s">
        <v>74</v>
      </c>
      <c r="BD931">
        <v>102715</v>
      </c>
      <c r="BE931" t="s">
        <v>17505</v>
      </c>
      <c r="BF931" t="str">
        <f>HYPERLINK("http://dx.doi.org/10.1016/j.bas.2023.102715","http://dx.doi.org/10.1016/j.bas.2023.102715")</f>
        <v>http://dx.doi.org/10.1016/j.bas.2023.102715</v>
      </c>
      <c r="BG931" t="s">
        <v>74</v>
      </c>
      <c r="BH931" t="s">
        <v>128</v>
      </c>
      <c r="BI931">
        <v>5</v>
      </c>
      <c r="BJ931" t="s">
        <v>17506</v>
      </c>
      <c r="BK931" t="s">
        <v>352</v>
      </c>
      <c r="BL931" t="s">
        <v>9430</v>
      </c>
      <c r="BM931" t="s">
        <v>17507</v>
      </c>
      <c r="BN931">
        <v>38163001</v>
      </c>
      <c r="BO931" t="s">
        <v>1728</v>
      </c>
      <c r="BP931" t="s">
        <v>74</v>
      </c>
      <c r="BQ931" t="s">
        <v>74</v>
      </c>
      <c r="BR931" t="s">
        <v>101</v>
      </c>
      <c r="BS931" t="s">
        <v>17508</v>
      </c>
      <c r="BT931" t="str">
        <f>HYPERLINK("https%3A%2F%2Fwww.webofscience.com%2Fwos%2Fwoscc%2Ffull-record%2FWOS:001132277200001","View Full Record in Web of Science")</f>
        <v>View Full Record in Web of Science</v>
      </c>
    </row>
    <row r="932" spans="1:72" x14ac:dyDescent="0.2">
      <c r="A932" t="s">
        <v>103</v>
      </c>
      <c r="B932" t="s">
        <v>17509</v>
      </c>
      <c r="C932" t="s">
        <v>74</v>
      </c>
      <c r="D932" t="s">
        <v>74</v>
      </c>
      <c r="E932" t="s">
        <v>74</v>
      </c>
      <c r="F932" t="s">
        <v>17510</v>
      </c>
      <c r="G932" t="s">
        <v>74</v>
      </c>
      <c r="H932" t="s">
        <v>74</v>
      </c>
      <c r="I932" t="s">
        <v>17511</v>
      </c>
      <c r="J932" t="s">
        <v>4108</v>
      </c>
      <c r="K932" t="s">
        <v>74</v>
      </c>
      <c r="L932" t="s">
        <v>74</v>
      </c>
      <c r="M932" t="s">
        <v>79</v>
      </c>
      <c r="N932" t="s">
        <v>138</v>
      </c>
      <c r="O932" t="s">
        <v>74</v>
      </c>
      <c r="P932" t="s">
        <v>74</v>
      </c>
      <c r="Q932" t="s">
        <v>74</v>
      </c>
      <c r="R932" t="s">
        <v>74</v>
      </c>
      <c r="S932" t="s">
        <v>74</v>
      </c>
      <c r="T932" t="s">
        <v>17512</v>
      </c>
      <c r="U932" t="s">
        <v>17513</v>
      </c>
      <c r="V932" t="s">
        <v>17514</v>
      </c>
      <c r="W932" t="s">
        <v>17515</v>
      </c>
      <c r="X932" t="s">
        <v>17516</v>
      </c>
      <c r="Y932" t="s">
        <v>17517</v>
      </c>
      <c r="Z932" t="s">
        <v>17518</v>
      </c>
      <c r="AA932" t="s">
        <v>74</v>
      </c>
      <c r="AB932" t="s">
        <v>17519</v>
      </c>
      <c r="AC932" t="s">
        <v>74</v>
      </c>
      <c r="AD932" t="s">
        <v>74</v>
      </c>
      <c r="AE932" t="s">
        <v>74</v>
      </c>
      <c r="AF932" t="s">
        <v>74</v>
      </c>
      <c r="AG932">
        <v>30</v>
      </c>
      <c r="AH932">
        <v>1</v>
      </c>
      <c r="AI932">
        <v>1</v>
      </c>
      <c r="AJ932">
        <v>6</v>
      </c>
      <c r="AK932">
        <v>6</v>
      </c>
      <c r="AL932" t="s">
        <v>343</v>
      </c>
      <c r="AM932" t="s">
        <v>521</v>
      </c>
      <c r="AN932" t="s">
        <v>522</v>
      </c>
      <c r="AO932" t="s">
        <v>4115</v>
      </c>
      <c r="AP932" t="s">
        <v>4116</v>
      </c>
      <c r="AQ932" t="s">
        <v>74</v>
      </c>
      <c r="AR932" t="s">
        <v>4117</v>
      </c>
      <c r="AS932" t="s">
        <v>4118</v>
      </c>
      <c r="AT932" t="s">
        <v>17520</v>
      </c>
      <c r="AU932">
        <v>2023</v>
      </c>
      <c r="AV932" t="s">
        <v>74</v>
      </c>
      <c r="AW932" t="s">
        <v>74</v>
      </c>
      <c r="AX932" t="s">
        <v>74</v>
      </c>
      <c r="AY932" t="s">
        <v>74</v>
      </c>
      <c r="AZ932" t="s">
        <v>74</v>
      </c>
      <c r="BA932" t="s">
        <v>74</v>
      </c>
      <c r="BB932" t="s">
        <v>74</v>
      </c>
      <c r="BC932" t="s">
        <v>74</v>
      </c>
      <c r="BD932" t="s">
        <v>74</v>
      </c>
      <c r="BE932" t="s">
        <v>17521</v>
      </c>
      <c r="BF932" t="str">
        <f>HYPERLINK("http://dx.doi.org/10.1007/s11042-023-16708-9","http://dx.doi.org/10.1007/s11042-023-16708-9")</f>
        <v>http://dx.doi.org/10.1007/s11042-023-16708-9</v>
      </c>
      <c r="BG932" t="s">
        <v>74</v>
      </c>
      <c r="BH932" t="s">
        <v>278</v>
      </c>
      <c r="BI932">
        <v>31</v>
      </c>
      <c r="BJ932" t="s">
        <v>4120</v>
      </c>
      <c r="BK932" t="s">
        <v>130</v>
      </c>
      <c r="BL932" t="s">
        <v>906</v>
      </c>
      <c r="BM932" t="s">
        <v>17522</v>
      </c>
      <c r="BN932" t="s">
        <v>74</v>
      </c>
      <c r="BO932" t="s">
        <v>74</v>
      </c>
      <c r="BP932" t="s">
        <v>74</v>
      </c>
      <c r="BQ932" t="s">
        <v>74</v>
      </c>
      <c r="BR932" t="s">
        <v>101</v>
      </c>
      <c r="BS932" t="s">
        <v>17523</v>
      </c>
      <c r="BT932" t="str">
        <f>HYPERLINK("https%3A%2F%2Fwww.webofscience.com%2Fwos%2Fwoscc%2Ffull-record%2FWOS:001075272400007","View Full Record in Web of Science")</f>
        <v>View Full Record in Web of Science</v>
      </c>
    </row>
    <row r="933" spans="1:72" x14ac:dyDescent="0.2">
      <c r="A933" t="s">
        <v>103</v>
      </c>
      <c r="B933" t="s">
        <v>17524</v>
      </c>
      <c r="C933" t="s">
        <v>74</v>
      </c>
      <c r="D933" t="s">
        <v>74</v>
      </c>
      <c r="E933" t="s">
        <v>74</v>
      </c>
      <c r="F933" t="s">
        <v>17525</v>
      </c>
      <c r="G933" t="s">
        <v>74</v>
      </c>
      <c r="H933" t="s">
        <v>74</v>
      </c>
      <c r="I933" t="s">
        <v>17526</v>
      </c>
      <c r="J933" t="s">
        <v>17527</v>
      </c>
      <c r="K933" t="s">
        <v>74</v>
      </c>
      <c r="L933" t="s">
        <v>74</v>
      </c>
      <c r="M933" t="s">
        <v>79</v>
      </c>
      <c r="N933" t="s">
        <v>108</v>
      </c>
      <c r="O933" t="s">
        <v>74</v>
      </c>
      <c r="P933" t="s">
        <v>74</v>
      </c>
      <c r="Q933" t="s">
        <v>74</v>
      </c>
      <c r="R933" t="s">
        <v>74</v>
      </c>
      <c r="S933" t="s">
        <v>74</v>
      </c>
      <c r="T933" t="s">
        <v>17528</v>
      </c>
      <c r="U933" t="s">
        <v>17529</v>
      </c>
      <c r="V933" t="s">
        <v>17530</v>
      </c>
      <c r="W933" t="s">
        <v>17531</v>
      </c>
      <c r="X933" t="s">
        <v>17532</v>
      </c>
      <c r="Y933" t="s">
        <v>17533</v>
      </c>
      <c r="Z933" t="s">
        <v>17534</v>
      </c>
      <c r="AA933" t="s">
        <v>74</v>
      </c>
      <c r="AB933" t="s">
        <v>17535</v>
      </c>
      <c r="AC933" t="s">
        <v>74</v>
      </c>
      <c r="AD933" t="s">
        <v>74</v>
      </c>
      <c r="AE933" t="s">
        <v>74</v>
      </c>
      <c r="AF933" t="s">
        <v>74</v>
      </c>
      <c r="AG933">
        <v>35</v>
      </c>
      <c r="AH933">
        <v>0</v>
      </c>
      <c r="AI933">
        <v>0</v>
      </c>
      <c r="AJ933">
        <v>8</v>
      </c>
      <c r="AK933">
        <v>13</v>
      </c>
      <c r="AL933" t="s">
        <v>343</v>
      </c>
      <c r="AM933" t="s">
        <v>93</v>
      </c>
      <c r="AN933" t="s">
        <v>344</v>
      </c>
      <c r="AO933" t="s">
        <v>17536</v>
      </c>
      <c r="AP933" t="s">
        <v>17537</v>
      </c>
      <c r="AQ933" t="s">
        <v>74</v>
      </c>
      <c r="AR933" t="s">
        <v>17538</v>
      </c>
      <c r="AS933" t="s">
        <v>17539</v>
      </c>
      <c r="AT933" t="s">
        <v>126</v>
      </c>
      <c r="AU933">
        <v>2023</v>
      </c>
      <c r="AV933">
        <v>129</v>
      </c>
      <c r="AW933">
        <v>2</v>
      </c>
      <c r="AX933" t="s">
        <v>74</v>
      </c>
      <c r="AY933" t="s">
        <v>74</v>
      </c>
      <c r="AZ933" t="s">
        <v>74</v>
      </c>
      <c r="BA933" t="s">
        <v>74</v>
      </c>
      <c r="BB933">
        <v>1451</v>
      </c>
      <c r="BC933">
        <v>1470</v>
      </c>
      <c r="BD933" t="s">
        <v>74</v>
      </c>
      <c r="BE933" t="s">
        <v>17540</v>
      </c>
      <c r="BF933" t="str">
        <f>HYPERLINK("http://dx.doi.org/10.1007/s11277-023-10198-6","http://dx.doi.org/10.1007/s11277-023-10198-6")</f>
        <v>http://dx.doi.org/10.1007/s11277-023-10198-6</v>
      </c>
      <c r="BG933" t="s">
        <v>74</v>
      </c>
      <c r="BH933" t="s">
        <v>2647</v>
      </c>
      <c r="BI933">
        <v>20</v>
      </c>
      <c r="BJ933" t="s">
        <v>256</v>
      </c>
      <c r="BK933" t="s">
        <v>130</v>
      </c>
      <c r="BL933" t="s">
        <v>256</v>
      </c>
      <c r="BM933" t="s">
        <v>17541</v>
      </c>
      <c r="BN933" t="s">
        <v>74</v>
      </c>
      <c r="BO933" t="s">
        <v>74</v>
      </c>
      <c r="BP933" t="s">
        <v>74</v>
      </c>
      <c r="BQ933" t="s">
        <v>74</v>
      </c>
      <c r="BR933" t="s">
        <v>101</v>
      </c>
      <c r="BS933" t="s">
        <v>17542</v>
      </c>
      <c r="BT933" t="str">
        <f>HYPERLINK("https%3A%2F%2Fwww.webofscience.com%2Fwos%2Fwoscc%2Ffull-record%2FWOS:000934556800002","View Full Record in Web of Science")</f>
        <v>View Full Record in Web of Science</v>
      </c>
    </row>
    <row r="934" spans="1:72" x14ac:dyDescent="0.2">
      <c r="A934" t="s">
        <v>103</v>
      </c>
      <c r="B934" t="s">
        <v>17543</v>
      </c>
      <c r="C934" t="s">
        <v>74</v>
      </c>
      <c r="D934" t="s">
        <v>74</v>
      </c>
      <c r="E934" t="s">
        <v>74</v>
      </c>
      <c r="F934" t="s">
        <v>17544</v>
      </c>
      <c r="G934" t="s">
        <v>74</v>
      </c>
      <c r="H934" t="s">
        <v>74</v>
      </c>
      <c r="I934" t="s">
        <v>17545</v>
      </c>
      <c r="J934" t="s">
        <v>17546</v>
      </c>
      <c r="K934" t="s">
        <v>74</v>
      </c>
      <c r="L934" t="s">
        <v>74</v>
      </c>
      <c r="M934" t="s">
        <v>79</v>
      </c>
      <c r="N934" t="s">
        <v>108</v>
      </c>
      <c r="O934" t="s">
        <v>74</v>
      </c>
      <c r="P934" t="s">
        <v>74</v>
      </c>
      <c r="Q934" t="s">
        <v>74</v>
      </c>
      <c r="R934" t="s">
        <v>74</v>
      </c>
      <c r="S934" t="s">
        <v>74</v>
      </c>
      <c r="T934" t="s">
        <v>17547</v>
      </c>
      <c r="U934" t="s">
        <v>74</v>
      </c>
      <c r="V934" t="s">
        <v>17548</v>
      </c>
      <c r="W934" t="s">
        <v>17549</v>
      </c>
      <c r="X934" t="s">
        <v>17550</v>
      </c>
      <c r="Y934" t="s">
        <v>17551</v>
      </c>
      <c r="Z934" t="s">
        <v>17552</v>
      </c>
      <c r="AA934" t="s">
        <v>17553</v>
      </c>
      <c r="AB934" t="s">
        <v>74</v>
      </c>
      <c r="AC934" t="s">
        <v>17554</v>
      </c>
      <c r="AD934" t="s">
        <v>17555</v>
      </c>
      <c r="AE934" t="s">
        <v>17556</v>
      </c>
      <c r="AF934" t="s">
        <v>74</v>
      </c>
      <c r="AG934">
        <v>49</v>
      </c>
      <c r="AH934">
        <v>0</v>
      </c>
      <c r="AI934">
        <v>0</v>
      </c>
      <c r="AJ934">
        <v>3</v>
      </c>
      <c r="AK934">
        <v>22</v>
      </c>
      <c r="AL934" t="s">
        <v>2492</v>
      </c>
      <c r="AM934" t="s">
        <v>461</v>
      </c>
      <c r="AN934" t="s">
        <v>2493</v>
      </c>
      <c r="AO934" t="s">
        <v>17557</v>
      </c>
      <c r="AP934" t="s">
        <v>74</v>
      </c>
      <c r="AQ934" t="s">
        <v>74</v>
      </c>
      <c r="AR934" t="s">
        <v>17558</v>
      </c>
      <c r="AS934" t="s">
        <v>17559</v>
      </c>
      <c r="AT934" t="s">
        <v>5628</v>
      </c>
      <c r="AU934">
        <v>2023</v>
      </c>
      <c r="AV934">
        <v>16</v>
      </c>
      <c r="AW934" t="s">
        <v>74</v>
      </c>
      <c r="AX934" t="s">
        <v>74</v>
      </c>
      <c r="AY934" t="s">
        <v>74</v>
      </c>
      <c r="AZ934" t="s">
        <v>74</v>
      </c>
      <c r="BA934" t="s">
        <v>74</v>
      </c>
      <c r="BB934" t="s">
        <v>74</v>
      </c>
      <c r="BC934" t="s">
        <v>74</v>
      </c>
      <c r="BD934">
        <v>1111621</v>
      </c>
      <c r="BE934" t="s">
        <v>17560</v>
      </c>
      <c r="BF934" t="str">
        <f>HYPERLINK("http://dx.doi.org/10.3389/fnbot.2022.1111621","http://dx.doi.org/10.3389/fnbot.2022.1111621")</f>
        <v>http://dx.doi.org/10.3389/fnbot.2022.1111621</v>
      </c>
      <c r="BG934" t="s">
        <v>74</v>
      </c>
      <c r="BH934" t="s">
        <v>74</v>
      </c>
      <c r="BI934">
        <v>15</v>
      </c>
      <c r="BJ934" t="s">
        <v>17561</v>
      </c>
      <c r="BK934" t="s">
        <v>130</v>
      </c>
      <c r="BL934" t="s">
        <v>17562</v>
      </c>
      <c r="BM934" t="s">
        <v>17563</v>
      </c>
      <c r="BN934">
        <v>36714154</v>
      </c>
      <c r="BO934" t="s">
        <v>4185</v>
      </c>
      <c r="BP934" t="s">
        <v>74</v>
      </c>
      <c r="BQ934" t="s">
        <v>74</v>
      </c>
      <c r="BR934" t="s">
        <v>101</v>
      </c>
      <c r="BS934" t="s">
        <v>17564</v>
      </c>
      <c r="BT934" t="str">
        <f>HYPERLINK("https%3A%2F%2Fwww.webofscience.com%2Fwos%2Fwoscc%2Ffull-record%2FWOS:000918416800001","View Full Record in Web of Science")</f>
        <v>View Full Record in Web of Science</v>
      </c>
    </row>
    <row r="935" spans="1:72" x14ac:dyDescent="0.2">
      <c r="A935" t="s">
        <v>103</v>
      </c>
      <c r="B935" t="s">
        <v>17565</v>
      </c>
      <c r="C935" t="s">
        <v>74</v>
      </c>
      <c r="D935" t="s">
        <v>74</v>
      </c>
      <c r="E935" t="s">
        <v>74</v>
      </c>
      <c r="F935" t="s">
        <v>17566</v>
      </c>
      <c r="G935" t="s">
        <v>74</v>
      </c>
      <c r="H935" t="s">
        <v>74</v>
      </c>
      <c r="I935" t="s">
        <v>17567</v>
      </c>
      <c r="J935" t="s">
        <v>17568</v>
      </c>
      <c r="K935" t="s">
        <v>74</v>
      </c>
      <c r="L935" t="s">
        <v>74</v>
      </c>
      <c r="M935" t="s">
        <v>79</v>
      </c>
      <c r="N935" t="s">
        <v>108</v>
      </c>
      <c r="O935" t="s">
        <v>74</v>
      </c>
      <c r="P935" t="s">
        <v>74</v>
      </c>
      <c r="Q935" t="s">
        <v>74</v>
      </c>
      <c r="R935" t="s">
        <v>74</v>
      </c>
      <c r="S935" t="s">
        <v>74</v>
      </c>
      <c r="T935" t="s">
        <v>17569</v>
      </c>
      <c r="U935" t="s">
        <v>74</v>
      </c>
      <c r="V935" t="s">
        <v>17570</v>
      </c>
      <c r="W935" t="s">
        <v>17571</v>
      </c>
      <c r="X935" t="s">
        <v>17572</v>
      </c>
      <c r="Y935" t="s">
        <v>17573</v>
      </c>
      <c r="Z935" t="s">
        <v>17574</v>
      </c>
      <c r="AA935" t="s">
        <v>17575</v>
      </c>
      <c r="AB935" t="s">
        <v>17576</v>
      </c>
      <c r="AC935" t="s">
        <v>74</v>
      </c>
      <c r="AD935" t="s">
        <v>74</v>
      </c>
      <c r="AE935" t="s">
        <v>74</v>
      </c>
      <c r="AF935" t="s">
        <v>74</v>
      </c>
      <c r="AG935">
        <v>76</v>
      </c>
      <c r="AH935">
        <v>3</v>
      </c>
      <c r="AI935">
        <v>3</v>
      </c>
      <c r="AJ935">
        <v>95</v>
      </c>
      <c r="AK935">
        <v>127</v>
      </c>
      <c r="AL935" t="s">
        <v>3165</v>
      </c>
      <c r="AM935" t="s">
        <v>3166</v>
      </c>
      <c r="AN935" t="s">
        <v>3167</v>
      </c>
      <c r="AO935" t="s">
        <v>17577</v>
      </c>
      <c r="AP935" t="s">
        <v>17578</v>
      </c>
      <c r="AQ935" t="s">
        <v>74</v>
      </c>
      <c r="AR935" t="s">
        <v>17579</v>
      </c>
      <c r="AS935" t="s">
        <v>17580</v>
      </c>
      <c r="AT935" t="s">
        <v>527</v>
      </c>
      <c r="AU935">
        <v>2023</v>
      </c>
      <c r="AV935">
        <v>57</v>
      </c>
      <c r="AW935">
        <v>4</v>
      </c>
      <c r="AX935" t="s">
        <v>74</v>
      </c>
      <c r="AY935" t="s">
        <v>74</v>
      </c>
      <c r="AZ935" t="s">
        <v>74</v>
      </c>
      <c r="BA935" t="s">
        <v>74</v>
      </c>
      <c r="BB935">
        <v>472</v>
      </c>
      <c r="BC935">
        <v>484</v>
      </c>
      <c r="BD935" t="s">
        <v>74</v>
      </c>
      <c r="BE935" t="s">
        <v>17581</v>
      </c>
      <c r="BF935" t="str">
        <f>HYPERLINK("http://dx.doi.org/10.1002/jocb.597","http://dx.doi.org/10.1002/jocb.597")</f>
        <v>http://dx.doi.org/10.1002/jocb.597</v>
      </c>
      <c r="BG935" t="s">
        <v>74</v>
      </c>
      <c r="BH935" t="s">
        <v>1910</v>
      </c>
      <c r="BI935">
        <v>13</v>
      </c>
      <c r="BJ935" t="s">
        <v>17582</v>
      </c>
      <c r="BK935" t="s">
        <v>159</v>
      </c>
      <c r="BL935" t="s">
        <v>1162</v>
      </c>
      <c r="BM935" t="s">
        <v>17583</v>
      </c>
      <c r="BN935" t="s">
        <v>74</v>
      </c>
      <c r="BO935" t="s">
        <v>2722</v>
      </c>
      <c r="BP935" t="s">
        <v>74</v>
      </c>
      <c r="BQ935" t="s">
        <v>74</v>
      </c>
      <c r="BR935" t="s">
        <v>101</v>
      </c>
      <c r="BS935" t="s">
        <v>17584</v>
      </c>
      <c r="BT935" t="str">
        <f>HYPERLINK("https%3A%2F%2Fwww.webofscience.com%2Fwos%2Fwoscc%2Ffull-record%2FWOS:001011183700001","View Full Record in Web of Science")</f>
        <v>View Full Record in Web of Science</v>
      </c>
    </row>
    <row r="936" spans="1:72" x14ac:dyDescent="0.2">
      <c r="A936" t="s">
        <v>103</v>
      </c>
      <c r="B936" t="s">
        <v>17585</v>
      </c>
      <c r="C936" t="s">
        <v>74</v>
      </c>
      <c r="D936" t="s">
        <v>74</v>
      </c>
      <c r="E936" t="s">
        <v>74</v>
      </c>
      <c r="F936" t="s">
        <v>17586</v>
      </c>
      <c r="G936" t="s">
        <v>74</v>
      </c>
      <c r="H936" t="s">
        <v>74</v>
      </c>
      <c r="I936" t="s">
        <v>17587</v>
      </c>
      <c r="J936" t="s">
        <v>17588</v>
      </c>
      <c r="K936" t="s">
        <v>74</v>
      </c>
      <c r="L936" t="s">
        <v>74</v>
      </c>
      <c r="M936" t="s">
        <v>79</v>
      </c>
      <c r="N936" t="s">
        <v>108</v>
      </c>
      <c r="O936" t="s">
        <v>74</v>
      </c>
      <c r="P936" t="s">
        <v>74</v>
      </c>
      <c r="Q936" t="s">
        <v>74</v>
      </c>
      <c r="R936" t="s">
        <v>74</v>
      </c>
      <c r="S936" t="s">
        <v>74</v>
      </c>
      <c r="T936" t="s">
        <v>17589</v>
      </c>
      <c r="U936" t="s">
        <v>74</v>
      </c>
      <c r="V936" t="s">
        <v>17590</v>
      </c>
      <c r="W936" t="s">
        <v>17591</v>
      </c>
      <c r="X936" t="s">
        <v>17592</v>
      </c>
      <c r="Y936" t="s">
        <v>17593</v>
      </c>
      <c r="Z936" t="s">
        <v>17594</v>
      </c>
      <c r="AA936" t="s">
        <v>17595</v>
      </c>
      <c r="AB936" t="s">
        <v>17596</v>
      </c>
      <c r="AC936" t="s">
        <v>17597</v>
      </c>
      <c r="AD936" t="s">
        <v>17598</v>
      </c>
      <c r="AE936" t="s">
        <v>17599</v>
      </c>
      <c r="AF936" t="s">
        <v>74</v>
      </c>
      <c r="AG936">
        <v>44</v>
      </c>
      <c r="AH936">
        <v>0</v>
      </c>
      <c r="AI936">
        <v>0</v>
      </c>
      <c r="AJ936">
        <v>10</v>
      </c>
      <c r="AK936">
        <v>10</v>
      </c>
      <c r="AL936" t="s">
        <v>13480</v>
      </c>
      <c r="AM936" t="s">
        <v>13481</v>
      </c>
      <c r="AN936" t="s">
        <v>13482</v>
      </c>
      <c r="AO936" t="s">
        <v>17600</v>
      </c>
      <c r="AP936" t="s">
        <v>17601</v>
      </c>
      <c r="AQ936" t="s">
        <v>74</v>
      </c>
      <c r="AR936" t="s">
        <v>17602</v>
      </c>
      <c r="AS936" t="s">
        <v>17603</v>
      </c>
      <c r="AT936" t="s">
        <v>2016</v>
      </c>
      <c r="AU936">
        <v>2024</v>
      </c>
      <c r="AV936">
        <v>238</v>
      </c>
      <c r="AW936" t="s">
        <v>74</v>
      </c>
      <c r="AX936" t="s">
        <v>74</v>
      </c>
      <c r="AY936" t="s">
        <v>74</v>
      </c>
      <c r="AZ936" t="s">
        <v>74</v>
      </c>
      <c r="BA936" t="s">
        <v>74</v>
      </c>
      <c r="BB936" t="s">
        <v>74</v>
      </c>
      <c r="BC936" t="s">
        <v>74</v>
      </c>
      <c r="BD936">
        <v>103882</v>
      </c>
      <c r="BE936" t="s">
        <v>17604</v>
      </c>
      <c r="BF936" t="str">
        <f>HYPERLINK("http://dx.doi.org/10.1016/j.cviu.2023.103882","http://dx.doi.org/10.1016/j.cviu.2023.103882")</f>
        <v>http://dx.doi.org/10.1016/j.cviu.2023.103882</v>
      </c>
      <c r="BG936" t="s">
        <v>74</v>
      </c>
      <c r="BH936" t="s">
        <v>157</v>
      </c>
      <c r="BI936">
        <v>10</v>
      </c>
      <c r="BJ936" t="s">
        <v>6627</v>
      </c>
      <c r="BK936" t="s">
        <v>130</v>
      </c>
      <c r="BL936" t="s">
        <v>906</v>
      </c>
      <c r="BM936" t="s">
        <v>17605</v>
      </c>
      <c r="BN936" t="s">
        <v>74</v>
      </c>
      <c r="BO936" t="s">
        <v>2310</v>
      </c>
      <c r="BP936" t="s">
        <v>74</v>
      </c>
      <c r="BQ936" t="s">
        <v>74</v>
      </c>
      <c r="BR936" t="s">
        <v>101</v>
      </c>
      <c r="BS936" t="s">
        <v>17606</v>
      </c>
      <c r="BT936" t="str">
        <f>HYPERLINK("https%3A%2F%2Fwww.webofscience.com%2Fwos%2Fwoscc%2Ffull-record%2FWOS:001111384000001","View Full Record in Web of Science")</f>
        <v>View Full Record in Web of Science</v>
      </c>
    </row>
    <row r="937" spans="1:72" x14ac:dyDescent="0.2">
      <c r="A937" t="s">
        <v>103</v>
      </c>
      <c r="B937" t="s">
        <v>17607</v>
      </c>
      <c r="C937" t="s">
        <v>74</v>
      </c>
      <c r="D937" t="s">
        <v>74</v>
      </c>
      <c r="E937" t="s">
        <v>74</v>
      </c>
      <c r="F937" t="s">
        <v>17608</v>
      </c>
      <c r="G937" t="s">
        <v>74</v>
      </c>
      <c r="H937" t="s">
        <v>74</v>
      </c>
      <c r="I937" t="s">
        <v>17609</v>
      </c>
      <c r="J937" t="s">
        <v>6056</v>
      </c>
      <c r="K937" t="s">
        <v>74</v>
      </c>
      <c r="L937" t="s">
        <v>74</v>
      </c>
      <c r="M937" t="s">
        <v>79</v>
      </c>
      <c r="N937" t="s">
        <v>108</v>
      </c>
      <c r="O937" t="s">
        <v>74</v>
      </c>
      <c r="P937" t="s">
        <v>74</v>
      </c>
      <c r="Q937" t="s">
        <v>74</v>
      </c>
      <c r="R937" t="s">
        <v>74</v>
      </c>
      <c r="S937" t="s">
        <v>74</v>
      </c>
      <c r="T937" t="s">
        <v>17610</v>
      </c>
      <c r="U937" t="s">
        <v>74</v>
      </c>
      <c r="V937" t="s">
        <v>17611</v>
      </c>
      <c r="W937" t="s">
        <v>17612</v>
      </c>
      <c r="X937" t="s">
        <v>17613</v>
      </c>
      <c r="Y937" t="s">
        <v>17614</v>
      </c>
      <c r="Z937" t="s">
        <v>17615</v>
      </c>
      <c r="AA937" t="s">
        <v>17616</v>
      </c>
      <c r="AB937" t="s">
        <v>17617</v>
      </c>
      <c r="AC937" t="s">
        <v>74</v>
      </c>
      <c r="AD937" t="s">
        <v>74</v>
      </c>
      <c r="AE937" t="s">
        <v>74</v>
      </c>
      <c r="AF937" t="s">
        <v>74</v>
      </c>
      <c r="AG937">
        <v>40</v>
      </c>
      <c r="AH937">
        <v>5</v>
      </c>
      <c r="AI937">
        <v>5</v>
      </c>
      <c r="AJ937">
        <v>9</v>
      </c>
      <c r="AK937">
        <v>10</v>
      </c>
      <c r="AL937" t="s">
        <v>4176</v>
      </c>
      <c r="AM937" t="s">
        <v>4177</v>
      </c>
      <c r="AN937" t="s">
        <v>4178</v>
      </c>
      <c r="AO937" t="s">
        <v>6067</v>
      </c>
      <c r="AP937" t="s">
        <v>74</v>
      </c>
      <c r="AQ937" t="s">
        <v>74</v>
      </c>
      <c r="AR937" t="s">
        <v>6068</v>
      </c>
      <c r="AS937" t="s">
        <v>6069</v>
      </c>
      <c r="AT937" t="s">
        <v>7209</v>
      </c>
      <c r="AU937">
        <v>2023</v>
      </c>
      <c r="AV937">
        <v>25</v>
      </c>
      <c r="AW937" t="s">
        <v>74</v>
      </c>
      <c r="AX937" t="s">
        <v>74</v>
      </c>
      <c r="AY937" t="s">
        <v>74</v>
      </c>
      <c r="AZ937" t="s">
        <v>74</v>
      </c>
      <c r="BA937" t="s">
        <v>74</v>
      </c>
      <c r="BB937" t="s">
        <v>74</v>
      </c>
      <c r="BC937" t="s">
        <v>74</v>
      </c>
      <c r="BD937" t="s">
        <v>17618</v>
      </c>
      <c r="BE937" t="s">
        <v>17619</v>
      </c>
      <c r="BF937" t="str">
        <f>HYPERLINK("http://dx.doi.org/10.2196/47621","http://dx.doi.org/10.2196/47621")</f>
        <v>http://dx.doi.org/10.2196/47621</v>
      </c>
      <c r="BG937" t="s">
        <v>74</v>
      </c>
      <c r="BH937" t="s">
        <v>74</v>
      </c>
      <c r="BI937">
        <v>13</v>
      </c>
      <c r="BJ937" t="s">
        <v>4947</v>
      </c>
      <c r="BK937" t="s">
        <v>130</v>
      </c>
      <c r="BL937" t="s">
        <v>4947</v>
      </c>
      <c r="BM937" t="s">
        <v>17620</v>
      </c>
      <c r="BN937">
        <v>37713254</v>
      </c>
      <c r="BO937" t="s">
        <v>9255</v>
      </c>
      <c r="BP937" t="s">
        <v>74</v>
      </c>
      <c r="BQ937" t="s">
        <v>74</v>
      </c>
      <c r="BR937" t="s">
        <v>101</v>
      </c>
      <c r="BS937" t="s">
        <v>17621</v>
      </c>
      <c r="BT937" t="str">
        <f>HYPERLINK("https%3A%2F%2Fwww.webofscience.com%2Fwos%2Fwoscc%2Ffull-record%2FWOS:001085911000003","View Full Record in Web of Science")</f>
        <v>View Full Record in Web of Science</v>
      </c>
    </row>
    <row r="938" spans="1:72" x14ac:dyDescent="0.2">
      <c r="A938" t="s">
        <v>103</v>
      </c>
      <c r="B938" t="s">
        <v>17622</v>
      </c>
      <c r="C938" t="s">
        <v>74</v>
      </c>
      <c r="D938" t="s">
        <v>74</v>
      </c>
      <c r="E938" t="s">
        <v>74</v>
      </c>
      <c r="F938" t="s">
        <v>17623</v>
      </c>
      <c r="G938" t="s">
        <v>74</v>
      </c>
      <c r="H938" t="s">
        <v>74</v>
      </c>
      <c r="I938" t="s">
        <v>17624</v>
      </c>
      <c r="J938" t="s">
        <v>17625</v>
      </c>
      <c r="K938" t="s">
        <v>74</v>
      </c>
      <c r="L938" t="s">
        <v>74</v>
      </c>
      <c r="M938" t="s">
        <v>79</v>
      </c>
      <c r="N938" t="s">
        <v>108</v>
      </c>
      <c r="O938" t="s">
        <v>74</v>
      </c>
      <c r="P938" t="s">
        <v>74</v>
      </c>
      <c r="Q938" t="s">
        <v>74</v>
      </c>
      <c r="R938" t="s">
        <v>74</v>
      </c>
      <c r="S938" t="s">
        <v>74</v>
      </c>
      <c r="T938" t="s">
        <v>17626</v>
      </c>
      <c r="U938" t="s">
        <v>74</v>
      </c>
      <c r="V938" t="s">
        <v>74</v>
      </c>
      <c r="W938" t="s">
        <v>17627</v>
      </c>
      <c r="X938" t="s">
        <v>17628</v>
      </c>
      <c r="Y938" t="s">
        <v>17629</v>
      </c>
      <c r="Z938" t="s">
        <v>17630</v>
      </c>
      <c r="AA938" t="s">
        <v>17631</v>
      </c>
      <c r="AB938" t="s">
        <v>17632</v>
      </c>
      <c r="AC938" t="s">
        <v>17633</v>
      </c>
      <c r="AD938" t="s">
        <v>17634</v>
      </c>
      <c r="AE938" t="s">
        <v>17635</v>
      </c>
      <c r="AF938" t="s">
        <v>74</v>
      </c>
      <c r="AG938">
        <v>42</v>
      </c>
      <c r="AH938">
        <v>0</v>
      </c>
      <c r="AI938">
        <v>0</v>
      </c>
      <c r="AJ938">
        <v>29</v>
      </c>
      <c r="AK938">
        <v>29</v>
      </c>
      <c r="AL938" t="s">
        <v>2492</v>
      </c>
      <c r="AM938" t="s">
        <v>461</v>
      </c>
      <c r="AN938" t="s">
        <v>2493</v>
      </c>
      <c r="AO938" t="s">
        <v>74</v>
      </c>
      <c r="AP938" t="s">
        <v>17636</v>
      </c>
      <c r="AQ938" t="s">
        <v>74</v>
      </c>
      <c r="AR938" t="s">
        <v>17637</v>
      </c>
      <c r="AS938" t="s">
        <v>17638</v>
      </c>
      <c r="AT938" t="s">
        <v>9344</v>
      </c>
      <c r="AU938">
        <v>2023</v>
      </c>
      <c r="AV938">
        <v>10</v>
      </c>
      <c r="AW938" t="s">
        <v>74</v>
      </c>
      <c r="AX938" t="s">
        <v>74</v>
      </c>
      <c r="AY938" t="s">
        <v>74</v>
      </c>
      <c r="AZ938" t="s">
        <v>74</v>
      </c>
      <c r="BA938" t="s">
        <v>74</v>
      </c>
      <c r="BB938" t="s">
        <v>74</v>
      </c>
      <c r="BC938" t="s">
        <v>74</v>
      </c>
      <c r="BD938">
        <v>1272755</v>
      </c>
      <c r="BE938" t="s">
        <v>17639</v>
      </c>
      <c r="BF938" t="str">
        <f>HYPERLINK("http://dx.doi.org/10.3389/fvets.2023.1272755","http://dx.doi.org/10.3389/fvets.2023.1272755")</f>
        <v>http://dx.doi.org/10.3389/fvets.2023.1272755</v>
      </c>
      <c r="BG938" t="s">
        <v>74</v>
      </c>
      <c r="BH938" t="s">
        <v>74</v>
      </c>
      <c r="BI938">
        <v>7</v>
      </c>
      <c r="BJ938" t="s">
        <v>17640</v>
      </c>
      <c r="BK938" t="s">
        <v>130</v>
      </c>
      <c r="BL938" t="s">
        <v>17640</v>
      </c>
      <c r="BM938" t="s">
        <v>17641</v>
      </c>
      <c r="BN938">
        <v>37869501</v>
      </c>
      <c r="BO938" t="s">
        <v>1728</v>
      </c>
      <c r="BP938" t="s">
        <v>74</v>
      </c>
      <c r="BQ938" t="s">
        <v>74</v>
      </c>
      <c r="BR938" t="s">
        <v>101</v>
      </c>
      <c r="BS938" t="s">
        <v>17642</v>
      </c>
      <c r="BT938" t="str">
        <f>HYPERLINK("https%3A%2F%2Fwww.webofscience.com%2Fwos%2Fwoscc%2Ffull-record%2FWOS:001089212500001","View Full Record in Web of Science")</f>
        <v>View Full Record in Web of Science</v>
      </c>
    </row>
    <row r="939" spans="1:72" x14ac:dyDescent="0.2">
      <c r="A939" t="s">
        <v>103</v>
      </c>
      <c r="B939" t="s">
        <v>17643</v>
      </c>
      <c r="C939" t="s">
        <v>74</v>
      </c>
      <c r="D939" t="s">
        <v>74</v>
      </c>
      <c r="E939" t="s">
        <v>74</v>
      </c>
      <c r="F939" t="s">
        <v>17644</v>
      </c>
      <c r="G939" t="s">
        <v>74</v>
      </c>
      <c r="H939" t="s">
        <v>74</v>
      </c>
      <c r="I939" t="s">
        <v>17645</v>
      </c>
      <c r="J939" t="s">
        <v>6056</v>
      </c>
      <c r="K939" t="s">
        <v>74</v>
      </c>
      <c r="L939" t="s">
        <v>74</v>
      </c>
      <c r="M939" t="s">
        <v>79</v>
      </c>
      <c r="N939" t="s">
        <v>108</v>
      </c>
      <c r="O939" t="s">
        <v>74</v>
      </c>
      <c r="P939" t="s">
        <v>74</v>
      </c>
      <c r="Q939" t="s">
        <v>74</v>
      </c>
      <c r="R939" t="s">
        <v>74</v>
      </c>
      <c r="S939" t="s">
        <v>74</v>
      </c>
      <c r="T939" t="s">
        <v>17646</v>
      </c>
      <c r="U939" t="s">
        <v>74</v>
      </c>
      <c r="V939" t="s">
        <v>17647</v>
      </c>
      <c r="W939" t="s">
        <v>17648</v>
      </c>
      <c r="X939" t="s">
        <v>17649</v>
      </c>
      <c r="Y939" t="s">
        <v>17650</v>
      </c>
      <c r="Z939" t="s">
        <v>17651</v>
      </c>
      <c r="AA939" t="s">
        <v>17652</v>
      </c>
      <c r="AB939" t="s">
        <v>17653</v>
      </c>
      <c r="AC939" t="s">
        <v>17654</v>
      </c>
      <c r="AD939" t="s">
        <v>17655</v>
      </c>
      <c r="AE939" t="s">
        <v>17656</v>
      </c>
      <c r="AF939" t="s">
        <v>74</v>
      </c>
      <c r="AG939">
        <v>34</v>
      </c>
      <c r="AH939">
        <v>1</v>
      </c>
      <c r="AI939">
        <v>1</v>
      </c>
      <c r="AJ939">
        <v>10</v>
      </c>
      <c r="AK939">
        <v>10</v>
      </c>
      <c r="AL939" t="s">
        <v>4176</v>
      </c>
      <c r="AM939" t="s">
        <v>4177</v>
      </c>
      <c r="AN939" t="s">
        <v>4178</v>
      </c>
      <c r="AO939" t="s">
        <v>6067</v>
      </c>
      <c r="AP939" t="s">
        <v>74</v>
      </c>
      <c r="AQ939" t="s">
        <v>74</v>
      </c>
      <c r="AR939" t="s">
        <v>6068</v>
      </c>
      <c r="AS939" t="s">
        <v>6069</v>
      </c>
      <c r="AT939" t="s">
        <v>3821</v>
      </c>
      <c r="AU939">
        <v>2023</v>
      </c>
      <c r="AV939">
        <v>25</v>
      </c>
      <c r="AW939" t="s">
        <v>74</v>
      </c>
      <c r="AX939" t="s">
        <v>74</v>
      </c>
      <c r="AY939" t="s">
        <v>74</v>
      </c>
      <c r="AZ939" t="s">
        <v>74</v>
      </c>
      <c r="BA939" t="s">
        <v>74</v>
      </c>
      <c r="BB939" t="s">
        <v>74</v>
      </c>
      <c r="BC939" t="s">
        <v>74</v>
      </c>
      <c r="BD939" t="s">
        <v>17657</v>
      </c>
      <c r="BE939" t="s">
        <v>17658</v>
      </c>
      <c r="BF939" t="str">
        <f>HYPERLINK("http://dx.doi.org/10.2196/49771","http://dx.doi.org/10.2196/49771")</f>
        <v>http://dx.doi.org/10.2196/49771</v>
      </c>
      <c r="BG939" t="s">
        <v>74</v>
      </c>
      <c r="BH939" t="s">
        <v>74</v>
      </c>
      <c r="BI939">
        <v>15</v>
      </c>
      <c r="BJ939" t="s">
        <v>4947</v>
      </c>
      <c r="BK939" t="s">
        <v>130</v>
      </c>
      <c r="BL939" t="s">
        <v>4947</v>
      </c>
      <c r="BM939" t="s">
        <v>17659</v>
      </c>
      <c r="BN939">
        <v>38096014</v>
      </c>
      <c r="BO939" t="s">
        <v>1728</v>
      </c>
      <c r="BP939" t="s">
        <v>74</v>
      </c>
      <c r="BQ939" t="s">
        <v>74</v>
      </c>
      <c r="BR939" t="s">
        <v>101</v>
      </c>
      <c r="BS939" t="s">
        <v>17660</v>
      </c>
      <c r="BT939" t="str">
        <f>HYPERLINK("https%3A%2F%2Fwww.webofscience.com%2Fwos%2Fwoscc%2Ffull-record%2FWOS:001126859300003","View Full Record in Web of Science")</f>
        <v>View Full Record in Web of Science</v>
      </c>
    </row>
    <row r="940" spans="1:72" x14ac:dyDescent="0.2">
      <c r="A940" t="s">
        <v>72</v>
      </c>
      <c r="B940" t="s">
        <v>17661</v>
      </c>
      <c r="C940" t="s">
        <v>74</v>
      </c>
      <c r="D940" t="s">
        <v>74</v>
      </c>
      <c r="E940" t="s">
        <v>75</v>
      </c>
      <c r="F940" t="s">
        <v>17662</v>
      </c>
      <c r="G940" t="s">
        <v>74</v>
      </c>
      <c r="H940" t="s">
        <v>74</v>
      </c>
      <c r="I940" t="s">
        <v>17663</v>
      </c>
      <c r="J940" t="s">
        <v>7482</v>
      </c>
      <c r="K940" t="s">
        <v>74</v>
      </c>
      <c r="L940" t="s">
        <v>74</v>
      </c>
      <c r="M940" t="s">
        <v>79</v>
      </c>
      <c r="N940" t="s">
        <v>80</v>
      </c>
      <c r="O940" t="s">
        <v>7483</v>
      </c>
      <c r="P940" t="s">
        <v>7484</v>
      </c>
      <c r="Q940" t="s">
        <v>7485</v>
      </c>
      <c r="R940" t="s">
        <v>74</v>
      </c>
      <c r="S940" t="s">
        <v>74</v>
      </c>
      <c r="T940" t="s">
        <v>17664</v>
      </c>
      <c r="U940" t="s">
        <v>17665</v>
      </c>
      <c r="V940" t="s">
        <v>17666</v>
      </c>
      <c r="W940" t="s">
        <v>17667</v>
      </c>
      <c r="X940" t="s">
        <v>17668</v>
      </c>
      <c r="Y940" t="s">
        <v>17669</v>
      </c>
      <c r="Z940" t="s">
        <v>17670</v>
      </c>
      <c r="AA940" t="s">
        <v>74</v>
      </c>
      <c r="AB940" t="s">
        <v>74</v>
      </c>
      <c r="AC940" t="s">
        <v>74</v>
      </c>
      <c r="AD940" t="s">
        <v>74</v>
      </c>
      <c r="AE940" t="s">
        <v>74</v>
      </c>
      <c r="AF940" t="s">
        <v>74</v>
      </c>
      <c r="AG940">
        <v>148</v>
      </c>
      <c r="AH940">
        <v>0</v>
      </c>
      <c r="AI940">
        <v>0</v>
      </c>
      <c r="AJ940">
        <v>3</v>
      </c>
      <c r="AK940">
        <v>3</v>
      </c>
      <c r="AL940" t="s">
        <v>92</v>
      </c>
      <c r="AM940" t="s">
        <v>93</v>
      </c>
      <c r="AN940" t="s">
        <v>94</v>
      </c>
      <c r="AO940" t="s">
        <v>74</v>
      </c>
      <c r="AP940" t="s">
        <v>74</v>
      </c>
      <c r="AQ940" t="s">
        <v>7493</v>
      </c>
      <c r="AR940" t="s">
        <v>74</v>
      </c>
      <c r="AS940" t="s">
        <v>74</v>
      </c>
      <c r="AT940" t="s">
        <v>74</v>
      </c>
      <c r="AU940">
        <v>2023</v>
      </c>
      <c r="AV940" t="s">
        <v>74</v>
      </c>
      <c r="AW940" t="s">
        <v>74</v>
      </c>
      <c r="AX940" t="s">
        <v>74</v>
      </c>
      <c r="AY940" t="s">
        <v>74</v>
      </c>
      <c r="AZ940" t="s">
        <v>74</v>
      </c>
      <c r="BA940" t="s">
        <v>74</v>
      </c>
      <c r="BB940" t="s">
        <v>74</v>
      </c>
      <c r="BC940" t="s">
        <v>74</v>
      </c>
      <c r="BD940">
        <v>13</v>
      </c>
      <c r="BE940" t="s">
        <v>17671</v>
      </c>
      <c r="BF940" t="str">
        <f>HYPERLINK("http://dx.doi.org/10.1145/3596671.3597650","http://dx.doi.org/10.1145/3596671.3597650")</f>
        <v>http://dx.doi.org/10.1145/3596671.3597650</v>
      </c>
      <c r="BG940" t="s">
        <v>74</v>
      </c>
      <c r="BH940" t="s">
        <v>74</v>
      </c>
      <c r="BI940">
        <v>17</v>
      </c>
      <c r="BJ940" t="s">
        <v>7495</v>
      </c>
      <c r="BK940" t="s">
        <v>180</v>
      </c>
      <c r="BL940" t="s">
        <v>7496</v>
      </c>
      <c r="BM940" t="s">
        <v>7497</v>
      </c>
      <c r="BN940" t="s">
        <v>74</v>
      </c>
      <c r="BO940" t="s">
        <v>646</v>
      </c>
      <c r="BP940" t="s">
        <v>74</v>
      </c>
      <c r="BQ940" t="s">
        <v>74</v>
      </c>
      <c r="BR940" t="s">
        <v>101</v>
      </c>
      <c r="BS940" t="s">
        <v>17672</v>
      </c>
      <c r="BT940" t="str">
        <f>HYPERLINK("https%3A%2F%2Fwww.webofscience.com%2Fwos%2Fwoscc%2Ffull-record%2FWOS:001147740200013","View Full Record in Web of Science")</f>
        <v>View Full Record in Web of Science</v>
      </c>
    </row>
    <row r="941" spans="1:72" x14ac:dyDescent="0.2">
      <c r="A941" t="s">
        <v>103</v>
      </c>
      <c r="B941" t="s">
        <v>17673</v>
      </c>
      <c r="C941" t="s">
        <v>74</v>
      </c>
      <c r="D941" t="s">
        <v>74</v>
      </c>
      <c r="E941" t="s">
        <v>74</v>
      </c>
      <c r="F941" t="s">
        <v>17674</v>
      </c>
      <c r="G941" t="s">
        <v>74</v>
      </c>
      <c r="H941" t="s">
        <v>74</v>
      </c>
      <c r="I941" t="s">
        <v>17675</v>
      </c>
      <c r="J941" t="s">
        <v>17676</v>
      </c>
      <c r="K941" t="s">
        <v>74</v>
      </c>
      <c r="L941" t="s">
        <v>74</v>
      </c>
      <c r="M941" t="s">
        <v>79</v>
      </c>
      <c r="N941" t="s">
        <v>108</v>
      </c>
      <c r="O941" t="s">
        <v>74</v>
      </c>
      <c r="P941" t="s">
        <v>74</v>
      </c>
      <c r="Q941" t="s">
        <v>74</v>
      </c>
      <c r="R941" t="s">
        <v>74</v>
      </c>
      <c r="S941" t="s">
        <v>74</v>
      </c>
      <c r="T941" t="s">
        <v>17677</v>
      </c>
      <c r="U941" t="s">
        <v>17678</v>
      </c>
      <c r="V941" t="s">
        <v>17679</v>
      </c>
      <c r="W941" t="s">
        <v>17680</v>
      </c>
      <c r="X941" t="s">
        <v>17681</v>
      </c>
      <c r="Y941" t="s">
        <v>17682</v>
      </c>
      <c r="Z941" t="s">
        <v>17683</v>
      </c>
      <c r="AA941" t="s">
        <v>74</v>
      </c>
      <c r="AB941" t="s">
        <v>17684</v>
      </c>
      <c r="AC941" t="s">
        <v>74</v>
      </c>
      <c r="AD941" t="s">
        <v>74</v>
      </c>
      <c r="AE941" t="s">
        <v>74</v>
      </c>
      <c r="AF941" t="s">
        <v>74</v>
      </c>
      <c r="AG941">
        <v>52</v>
      </c>
      <c r="AH941">
        <v>0</v>
      </c>
      <c r="AI941">
        <v>0</v>
      </c>
      <c r="AJ941">
        <v>23</v>
      </c>
      <c r="AK941">
        <v>26</v>
      </c>
      <c r="AL941" t="s">
        <v>3165</v>
      </c>
      <c r="AM941" t="s">
        <v>3166</v>
      </c>
      <c r="AN941" t="s">
        <v>3167</v>
      </c>
      <c r="AO941" t="s">
        <v>17685</v>
      </c>
      <c r="AP941" t="s">
        <v>17686</v>
      </c>
      <c r="AQ941" t="s">
        <v>74</v>
      </c>
      <c r="AR941" t="s">
        <v>17687</v>
      </c>
      <c r="AS941" t="s">
        <v>17688</v>
      </c>
      <c r="AT941" t="s">
        <v>791</v>
      </c>
      <c r="AU941">
        <v>2023</v>
      </c>
      <c r="AV941">
        <v>47</v>
      </c>
      <c r="AW941">
        <v>8</v>
      </c>
      <c r="AX941" t="s">
        <v>74</v>
      </c>
      <c r="AY941" t="s">
        <v>74</v>
      </c>
      <c r="AZ941" t="s">
        <v>74</v>
      </c>
      <c r="BA941" t="s">
        <v>74</v>
      </c>
      <c r="BB941" t="s">
        <v>74</v>
      </c>
      <c r="BC941" t="s">
        <v>74</v>
      </c>
      <c r="BD941" t="s">
        <v>17689</v>
      </c>
      <c r="BE941" t="s">
        <v>17690</v>
      </c>
      <c r="BF941" t="str">
        <f>HYPERLINK("http://dx.doi.org/10.1111/cogs.13315","http://dx.doi.org/10.1111/cogs.13315")</f>
        <v>http://dx.doi.org/10.1111/cogs.13315</v>
      </c>
      <c r="BG941" t="s">
        <v>74</v>
      </c>
      <c r="BH941" t="s">
        <v>74</v>
      </c>
      <c r="BI941">
        <v>7</v>
      </c>
      <c r="BJ941" t="s">
        <v>17691</v>
      </c>
      <c r="BK941" t="s">
        <v>159</v>
      </c>
      <c r="BL941" t="s">
        <v>1162</v>
      </c>
      <c r="BM941" t="s">
        <v>17692</v>
      </c>
      <c r="BN941">
        <v>37555649</v>
      </c>
      <c r="BO941" t="s">
        <v>161</v>
      </c>
      <c r="BP941" t="s">
        <v>74</v>
      </c>
      <c r="BQ941" t="s">
        <v>74</v>
      </c>
      <c r="BR941" t="s">
        <v>101</v>
      </c>
      <c r="BS941" t="s">
        <v>17693</v>
      </c>
      <c r="BT941" t="str">
        <f>HYPERLINK("https%3A%2F%2Fwww.webofscience.com%2Fwos%2Fwoscc%2Ffull-record%2FWOS:001044873800001","View Full Record in Web of Science")</f>
        <v>View Full Record in Web of Science</v>
      </c>
    </row>
    <row r="942" spans="1:72" x14ac:dyDescent="0.2">
      <c r="A942" t="s">
        <v>103</v>
      </c>
      <c r="B942" t="s">
        <v>17694</v>
      </c>
      <c r="C942" t="s">
        <v>74</v>
      </c>
      <c r="D942" t="s">
        <v>74</v>
      </c>
      <c r="E942" t="s">
        <v>74</v>
      </c>
      <c r="F942" t="s">
        <v>17695</v>
      </c>
      <c r="G942" t="s">
        <v>74</v>
      </c>
      <c r="H942" t="s">
        <v>74</v>
      </c>
      <c r="I942" t="s">
        <v>17696</v>
      </c>
      <c r="J942" t="s">
        <v>17697</v>
      </c>
      <c r="K942" t="s">
        <v>74</v>
      </c>
      <c r="L942" t="s">
        <v>74</v>
      </c>
      <c r="M942" t="s">
        <v>1734</v>
      </c>
      <c r="N942" t="s">
        <v>108</v>
      </c>
      <c r="O942" t="s">
        <v>74</v>
      </c>
      <c r="P942" t="s">
        <v>74</v>
      </c>
      <c r="Q942" t="s">
        <v>74</v>
      </c>
      <c r="R942" t="s">
        <v>74</v>
      </c>
      <c r="S942" t="s">
        <v>74</v>
      </c>
      <c r="T942" t="s">
        <v>17698</v>
      </c>
      <c r="U942" t="s">
        <v>74</v>
      </c>
      <c r="V942" t="s">
        <v>17699</v>
      </c>
      <c r="W942" t="s">
        <v>17700</v>
      </c>
      <c r="X942" t="s">
        <v>17701</v>
      </c>
      <c r="Y942" t="s">
        <v>17702</v>
      </c>
      <c r="Z942" t="s">
        <v>17703</v>
      </c>
      <c r="AA942" t="s">
        <v>17704</v>
      </c>
      <c r="AB942" t="s">
        <v>17705</v>
      </c>
      <c r="AC942" t="s">
        <v>74</v>
      </c>
      <c r="AD942" t="s">
        <v>74</v>
      </c>
      <c r="AE942" t="s">
        <v>74</v>
      </c>
      <c r="AF942" t="s">
        <v>74</v>
      </c>
      <c r="AG942">
        <v>35</v>
      </c>
      <c r="AH942">
        <v>0</v>
      </c>
      <c r="AI942">
        <v>0</v>
      </c>
      <c r="AJ942">
        <v>71</v>
      </c>
      <c r="AK942">
        <v>71</v>
      </c>
      <c r="AL942" t="s">
        <v>17706</v>
      </c>
      <c r="AM942" t="s">
        <v>4898</v>
      </c>
      <c r="AN942" t="s">
        <v>17707</v>
      </c>
      <c r="AO942" t="s">
        <v>17708</v>
      </c>
      <c r="AP942" t="s">
        <v>17709</v>
      </c>
      <c r="AQ942" t="s">
        <v>74</v>
      </c>
      <c r="AR942" t="s">
        <v>17710</v>
      </c>
      <c r="AS942" t="s">
        <v>17711</v>
      </c>
      <c r="AT942" t="s">
        <v>17712</v>
      </c>
      <c r="AU942">
        <v>2023</v>
      </c>
      <c r="AV942" t="s">
        <v>74</v>
      </c>
      <c r="AW942">
        <v>28</v>
      </c>
      <c r="AX942" t="s">
        <v>74</v>
      </c>
      <c r="AY942" t="s">
        <v>74</v>
      </c>
      <c r="AZ942" t="s">
        <v>74</v>
      </c>
      <c r="BA942" t="s">
        <v>74</v>
      </c>
      <c r="BB942" t="s">
        <v>74</v>
      </c>
      <c r="BC942" t="s">
        <v>74</v>
      </c>
      <c r="BD942">
        <v>43935</v>
      </c>
      <c r="BE942" t="s">
        <v>17713</v>
      </c>
      <c r="BF942" t="str">
        <f>HYPERLINK("http://dx.doi.org/10.1344/REYD2023.28.43935","http://dx.doi.org/10.1344/REYD2023.28.43935")</f>
        <v>http://dx.doi.org/10.1344/REYD2023.28.43935</v>
      </c>
      <c r="BG942" t="s">
        <v>74</v>
      </c>
      <c r="BH942" t="s">
        <v>74</v>
      </c>
      <c r="BI942">
        <v>22</v>
      </c>
      <c r="BJ942" t="s">
        <v>423</v>
      </c>
      <c r="BK942" t="s">
        <v>352</v>
      </c>
      <c r="BL942" t="s">
        <v>423</v>
      </c>
      <c r="BM942" t="s">
        <v>17714</v>
      </c>
      <c r="BN942" t="s">
        <v>74</v>
      </c>
      <c r="BO942" t="s">
        <v>1711</v>
      </c>
      <c r="BP942" t="s">
        <v>74</v>
      </c>
      <c r="BQ942" t="s">
        <v>74</v>
      </c>
      <c r="BR942" t="s">
        <v>101</v>
      </c>
      <c r="BS942" t="s">
        <v>17715</v>
      </c>
      <c r="BT942" t="str">
        <f>HYPERLINK("https%3A%2F%2Fwww.webofscience.com%2Fwos%2Fwoscc%2Ffull-record%2FWOS:001085402900007","View Full Record in Web of Science")</f>
        <v>View Full Record in Web of Science</v>
      </c>
    </row>
    <row r="943" spans="1:72" x14ac:dyDescent="0.2">
      <c r="A943" t="s">
        <v>72</v>
      </c>
      <c r="B943" t="s">
        <v>17716</v>
      </c>
      <c r="C943" t="s">
        <v>74</v>
      </c>
      <c r="D943" t="s">
        <v>74</v>
      </c>
      <c r="E943" t="s">
        <v>284</v>
      </c>
      <c r="F943" t="s">
        <v>17717</v>
      </c>
      <c r="G943" t="s">
        <v>74</v>
      </c>
      <c r="H943" t="s">
        <v>74</v>
      </c>
      <c r="I943" t="s">
        <v>17718</v>
      </c>
      <c r="J943" t="s">
        <v>17719</v>
      </c>
      <c r="K943" t="s">
        <v>17720</v>
      </c>
      <c r="L943" t="s">
        <v>74</v>
      </c>
      <c r="M943" t="s">
        <v>79</v>
      </c>
      <c r="N943" t="s">
        <v>80</v>
      </c>
      <c r="O943" t="s">
        <v>17721</v>
      </c>
      <c r="P943" t="s">
        <v>17722</v>
      </c>
      <c r="Q943" t="s">
        <v>169</v>
      </c>
      <c r="R943" t="s">
        <v>284</v>
      </c>
      <c r="S943" t="s">
        <v>74</v>
      </c>
      <c r="T943" t="s">
        <v>17723</v>
      </c>
      <c r="U943" t="s">
        <v>74</v>
      </c>
      <c r="V943" t="s">
        <v>17724</v>
      </c>
      <c r="W943" t="s">
        <v>17725</v>
      </c>
      <c r="X943" t="s">
        <v>17726</v>
      </c>
      <c r="Y943" t="s">
        <v>17727</v>
      </c>
      <c r="Z943" t="s">
        <v>74</v>
      </c>
      <c r="AA943" t="s">
        <v>74</v>
      </c>
      <c r="AB943" t="s">
        <v>74</v>
      </c>
      <c r="AC943" t="s">
        <v>74</v>
      </c>
      <c r="AD943" t="s">
        <v>74</v>
      </c>
      <c r="AE943" t="s">
        <v>74</v>
      </c>
      <c r="AF943" t="s">
        <v>74</v>
      </c>
      <c r="AG943">
        <v>29</v>
      </c>
      <c r="AH943">
        <v>0</v>
      </c>
      <c r="AI943">
        <v>0</v>
      </c>
      <c r="AJ943">
        <v>1</v>
      </c>
      <c r="AK943">
        <v>1</v>
      </c>
      <c r="AL943" t="s">
        <v>284</v>
      </c>
      <c r="AM943" t="s">
        <v>93</v>
      </c>
      <c r="AN943" t="s">
        <v>299</v>
      </c>
      <c r="AO943" t="s">
        <v>17728</v>
      </c>
      <c r="AP943" t="s">
        <v>74</v>
      </c>
      <c r="AQ943" t="s">
        <v>17729</v>
      </c>
      <c r="AR943" t="s">
        <v>17730</v>
      </c>
      <c r="AS943" t="s">
        <v>74</v>
      </c>
      <c r="AT943" t="s">
        <v>74</v>
      </c>
      <c r="AU943">
        <v>2023</v>
      </c>
      <c r="AV943" t="s">
        <v>74</v>
      </c>
      <c r="AW943" t="s">
        <v>74</v>
      </c>
      <c r="AX943" t="s">
        <v>74</v>
      </c>
      <c r="AY943" t="s">
        <v>74</v>
      </c>
      <c r="AZ943" t="s">
        <v>74</v>
      </c>
      <c r="BA943" t="s">
        <v>74</v>
      </c>
      <c r="BB943" t="s">
        <v>74</v>
      </c>
      <c r="BC943" t="s">
        <v>74</v>
      </c>
      <c r="BD943" t="s">
        <v>74</v>
      </c>
      <c r="BE943" t="s">
        <v>17731</v>
      </c>
      <c r="BF943" t="str">
        <f>HYPERLINK("http://dx.doi.org/10.1109/HPEC58863.2023.10363447","http://dx.doi.org/10.1109/HPEC58863.2023.10363447")</f>
        <v>http://dx.doi.org/10.1109/HPEC58863.2023.10363447</v>
      </c>
      <c r="BG943" t="s">
        <v>74</v>
      </c>
      <c r="BH943" t="s">
        <v>74</v>
      </c>
      <c r="BI943">
        <v>9</v>
      </c>
      <c r="BJ943" t="s">
        <v>17732</v>
      </c>
      <c r="BK943" t="s">
        <v>98</v>
      </c>
      <c r="BL943" t="s">
        <v>906</v>
      </c>
      <c r="BM943" t="s">
        <v>17733</v>
      </c>
      <c r="BN943" t="s">
        <v>74</v>
      </c>
      <c r="BO943" t="s">
        <v>646</v>
      </c>
      <c r="BP943" t="s">
        <v>74</v>
      </c>
      <c r="BQ943" t="s">
        <v>74</v>
      </c>
      <c r="BR943" t="s">
        <v>101</v>
      </c>
      <c r="BS943" t="s">
        <v>17734</v>
      </c>
      <c r="BT943" t="str">
        <f>HYPERLINK("https%3A%2F%2Fwww.webofscience.com%2Fwos%2Fwoscc%2Ffull-record%2FWOS:001156959800003","View Full Record in Web of Science")</f>
        <v>View Full Record in Web of Science</v>
      </c>
    </row>
    <row r="944" spans="1:72" x14ac:dyDescent="0.2">
      <c r="A944" t="s">
        <v>103</v>
      </c>
      <c r="B944" t="s">
        <v>17735</v>
      </c>
      <c r="C944" t="s">
        <v>74</v>
      </c>
      <c r="D944" t="s">
        <v>74</v>
      </c>
      <c r="E944" t="s">
        <v>74</v>
      </c>
      <c r="F944" t="s">
        <v>17736</v>
      </c>
      <c r="G944" t="s">
        <v>74</v>
      </c>
      <c r="H944" t="s">
        <v>74</v>
      </c>
      <c r="I944" t="s">
        <v>17737</v>
      </c>
      <c r="J944" t="s">
        <v>8654</v>
      </c>
      <c r="K944" t="s">
        <v>74</v>
      </c>
      <c r="L944" t="s">
        <v>74</v>
      </c>
      <c r="M944" t="s">
        <v>79</v>
      </c>
      <c r="N944" t="s">
        <v>108</v>
      </c>
      <c r="O944" t="s">
        <v>74</v>
      </c>
      <c r="P944" t="s">
        <v>74</v>
      </c>
      <c r="Q944" t="s">
        <v>74</v>
      </c>
      <c r="R944" t="s">
        <v>74</v>
      </c>
      <c r="S944" t="s">
        <v>74</v>
      </c>
      <c r="T944" t="s">
        <v>17738</v>
      </c>
      <c r="U944" t="s">
        <v>16324</v>
      </c>
      <c r="V944" t="s">
        <v>17739</v>
      </c>
      <c r="W944" t="s">
        <v>17740</v>
      </c>
      <c r="X944" t="s">
        <v>4515</v>
      </c>
      <c r="Y944" t="s">
        <v>17741</v>
      </c>
      <c r="Z944" t="s">
        <v>17742</v>
      </c>
      <c r="AA944" t="s">
        <v>74</v>
      </c>
      <c r="AB944" t="s">
        <v>74</v>
      </c>
      <c r="AC944" t="s">
        <v>74</v>
      </c>
      <c r="AD944" t="s">
        <v>74</v>
      </c>
      <c r="AE944" t="s">
        <v>74</v>
      </c>
      <c r="AF944" t="s">
        <v>74</v>
      </c>
      <c r="AG944">
        <v>41</v>
      </c>
      <c r="AH944">
        <v>0</v>
      </c>
      <c r="AI944">
        <v>0</v>
      </c>
      <c r="AJ944">
        <v>2</v>
      </c>
      <c r="AK944">
        <v>2</v>
      </c>
      <c r="AL944" t="s">
        <v>8663</v>
      </c>
      <c r="AM944" t="s">
        <v>149</v>
      </c>
      <c r="AN944" t="s">
        <v>8664</v>
      </c>
      <c r="AO944" t="s">
        <v>8665</v>
      </c>
      <c r="AP944" t="s">
        <v>74</v>
      </c>
      <c r="AQ944" t="s">
        <v>74</v>
      </c>
      <c r="AR944" t="s">
        <v>8666</v>
      </c>
      <c r="AS944" t="s">
        <v>8667</v>
      </c>
      <c r="AT944" t="s">
        <v>2477</v>
      </c>
      <c r="AU944">
        <v>2023</v>
      </c>
      <c r="AV944">
        <v>10</v>
      </c>
      <c r="AW944">
        <v>11</v>
      </c>
      <c r="AX944" t="s">
        <v>74</v>
      </c>
      <c r="AY944" t="s">
        <v>74</v>
      </c>
      <c r="AZ944" t="s">
        <v>74</v>
      </c>
      <c r="BA944" t="s">
        <v>74</v>
      </c>
      <c r="BB944" t="s">
        <v>74</v>
      </c>
      <c r="BC944" t="s">
        <v>74</v>
      </c>
      <c r="BD944">
        <v>230668</v>
      </c>
      <c r="BE944" t="s">
        <v>17743</v>
      </c>
      <c r="BF944" t="str">
        <f>HYPERLINK("http://dx.doi.org/10.1098/rsos.230668","http://dx.doi.org/10.1098/rsos.230668")</f>
        <v>http://dx.doi.org/10.1098/rsos.230668</v>
      </c>
      <c r="BG944" t="s">
        <v>74</v>
      </c>
      <c r="BH944" t="s">
        <v>74</v>
      </c>
      <c r="BI944">
        <v>15</v>
      </c>
      <c r="BJ944" t="s">
        <v>5686</v>
      </c>
      <c r="BK944" t="s">
        <v>130</v>
      </c>
      <c r="BL944" t="s">
        <v>5687</v>
      </c>
      <c r="BM944" t="s">
        <v>17744</v>
      </c>
      <c r="BN944">
        <v>38026012</v>
      </c>
      <c r="BO944" t="s">
        <v>4185</v>
      </c>
      <c r="BP944" t="s">
        <v>74</v>
      </c>
      <c r="BQ944" t="s">
        <v>74</v>
      </c>
      <c r="BR944" t="s">
        <v>101</v>
      </c>
      <c r="BS944" t="s">
        <v>17745</v>
      </c>
      <c r="BT944" t="str">
        <f>HYPERLINK("https%3A%2F%2Fwww.webofscience.com%2Fwos%2Fwoscc%2Ffull-record%2FWOS:001104614400001","View Full Record in Web of Science")</f>
        <v>View Full Record in Web of Science</v>
      </c>
    </row>
    <row r="945" spans="1:72" x14ac:dyDescent="0.2">
      <c r="A945" t="s">
        <v>103</v>
      </c>
      <c r="B945" t="s">
        <v>17746</v>
      </c>
      <c r="C945" t="s">
        <v>74</v>
      </c>
      <c r="D945" t="s">
        <v>74</v>
      </c>
      <c r="E945" t="s">
        <v>74</v>
      </c>
      <c r="F945" t="s">
        <v>17747</v>
      </c>
      <c r="G945" t="s">
        <v>74</v>
      </c>
      <c r="H945" t="s">
        <v>74</v>
      </c>
      <c r="I945" t="s">
        <v>17748</v>
      </c>
      <c r="J945" t="s">
        <v>17749</v>
      </c>
      <c r="K945" t="s">
        <v>74</v>
      </c>
      <c r="L945" t="s">
        <v>74</v>
      </c>
      <c r="M945" t="s">
        <v>79</v>
      </c>
      <c r="N945" t="s">
        <v>108</v>
      </c>
      <c r="O945" t="s">
        <v>74</v>
      </c>
      <c r="P945" t="s">
        <v>74</v>
      </c>
      <c r="Q945" t="s">
        <v>74</v>
      </c>
      <c r="R945" t="s">
        <v>74</v>
      </c>
      <c r="S945" t="s">
        <v>74</v>
      </c>
      <c r="T945" t="s">
        <v>17750</v>
      </c>
      <c r="U945" t="s">
        <v>17751</v>
      </c>
      <c r="V945" t="s">
        <v>17752</v>
      </c>
      <c r="W945" t="s">
        <v>17753</v>
      </c>
      <c r="X945" t="s">
        <v>17754</v>
      </c>
      <c r="Y945" t="s">
        <v>17755</v>
      </c>
      <c r="Z945" t="s">
        <v>17756</v>
      </c>
      <c r="AA945" t="s">
        <v>17757</v>
      </c>
      <c r="AB945" t="s">
        <v>17758</v>
      </c>
      <c r="AC945" t="s">
        <v>17759</v>
      </c>
      <c r="AD945" t="s">
        <v>17760</v>
      </c>
      <c r="AE945" t="s">
        <v>17761</v>
      </c>
      <c r="AF945" t="s">
        <v>74</v>
      </c>
      <c r="AG945">
        <v>41</v>
      </c>
      <c r="AH945">
        <v>0</v>
      </c>
      <c r="AI945">
        <v>0</v>
      </c>
      <c r="AJ945">
        <v>3</v>
      </c>
      <c r="AK945">
        <v>9</v>
      </c>
      <c r="AL945" t="s">
        <v>5899</v>
      </c>
      <c r="AM945" t="s">
        <v>548</v>
      </c>
      <c r="AN945" t="s">
        <v>5900</v>
      </c>
      <c r="AO945" t="s">
        <v>17762</v>
      </c>
      <c r="AP945" t="s">
        <v>17763</v>
      </c>
      <c r="AQ945" t="s">
        <v>74</v>
      </c>
      <c r="AR945" t="s">
        <v>17764</v>
      </c>
      <c r="AS945" t="s">
        <v>17765</v>
      </c>
      <c r="AT945" t="s">
        <v>16898</v>
      </c>
      <c r="AU945">
        <v>2023</v>
      </c>
      <c r="AV945">
        <v>128</v>
      </c>
      <c r="AW945">
        <v>10</v>
      </c>
      <c r="AX945" t="s">
        <v>74</v>
      </c>
      <c r="AY945" t="s">
        <v>74</v>
      </c>
      <c r="AZ945" t="s">
        <v>74</v>
      </c>
      <c r="BA945" t="s">
        <v>74</v>
      </c>
      <c r="BB945" t="s">
        <v>74</v>
      </c>
      <c r="BC945" t="s">
        <v>74</v>
      </c>
      <c r="BD945" t="s">
        <v>17766</v>
      </c>
      <c r="BE945" t="s">
        <v>17767</v>
      </c>
      <c r="BF945" t="str">
        <f>HYPERLINK("http://dx.doi.org/10.1029/2022JD038163","http://dx.doi.org/10.1029/2022JD038163")</f>
        <v>http://dx.doi.org/10.1029/2022JD038163</v>
      </c>
      <c r="BG945" t="s">
        <v>74</v>
      </c>
      <c r="BH945" t="s">
        <v>74</v>
      </c>
      <c r="BI945">
        <v>17</v>
      </c>
      <c r="BJ945" t="s">
        <v>17768</v>
      </c>
      <c r="BK945" t="s">
        <v>130</v>
      </c>
      <c r="BL945" t="s">
        <v>17768</v>
      </c>
      <c r="BM945" t="s">
        <v>17769</v>
      </c>
      <c r="BN945" t="s">
        <v>74</v>
      </c>
      <c r="BO945" t="s">
        <v>4863</v>
      </c>
      <c r="BP945" t="s">
        <v>74</v>
      </c>
      <c r="BQ945" t="s">
        <v>74</v>
      </c>
      <c r="BR945" t="s">
        <v>101</v>
      </c>
      <c r="BS945" t="s">
        <v>17770</v>
      </c>
      <c r="BT945" t="str">
        <f>HYPERLINK("https%3A%2F%2Fwww.webofscience.com%2Fwos%2Fwoscc%2Ffull-record%2FWOS:001000218800001","View Full Record in Web of Science")</f>
        <v>View Full Record in Web of Science</v>
      </c>
    </row>
    <row r="946" spans="1:72" x14ac:dyDescent="0.2">
      <c r="A946" t="s">
        <v>103</v>
      </c>
      <c r="B946" t="s">
        <v>17771</v>
      </c>
      <c r="C946" t="s">
        <v>74</v>
      </c>
      <c r="D946" t="s">
        <v>74</v>
      </c>
      <c r="E946" t="s">
        <v>74</v>
      </c>
      <c r="F946" t="s">
        <v>17772</v>
      </c>
      <c r="G946" t="s">
        <v>74</v>
      </c>
      <c r="H946" t="s">
        <v>74</v>
      </c>
      <c r="I946" t="s">
        <v>17773</v>
      </c>
      <c r="J946" t="s">
        <v>17774</v>
      </c>
      <c r="K946" t="s">
        <v>74</v>
      </c>
      <c r="L946" t="s">
        <v>74</v>
      </c>
      <c r="M946" t="s">
        <v>79</v>
      </c>
      <c r="N946" t="s">
        <v>108</v>
      </c>
      <c r="O946" t="s">
        <v>74</v>
      </c>
      <c r="P946" t="s">
        <v>74</v>
      </c>
      <c r="Q946" t="s">
        <v>74</v>
      </c>
      <c r="R946" t="s">
        <v>74</v>
      </c>
      <c r="S946" t="s">
        <v>74</v>
      </c>
      <c r="T946" t="s">
        <v>17775</v>
      </c>
      <c r="U946" t="s">
        <v>17776</v>
      </c>
      <c r="V946" t="s">
        <v>17777</v>
      </c>
      <c r="W946" t="s">
        <v>17778</v>
      </c>
      <c r="X946" t="s">
        <v>17779</v>
      </c>
      <c r="Y946" t="s">
        <v>17780</v>
      </c>
      <c r="Z946" t="s">
        <v>17781</v>
      </c>
      <c r="AA946" t="s">
        <v>74</v>
      </c>
      <c r="AB946" t="s">
        <v>74</v>
      </c>
      <c r="AC946" t="s">
        <v>74</v>
      </c>
      <c r="AD946" t="s">
        <v>74</v>
      </c>
      <c r="AE946" t="s">
        <v>74</v>
      </c>
      <c r="AF946" t="s">
        <v>74</v>
      </c>
      <c r="AG946">
        <v>29</v>
      </c>
      <c r="AH946">
        <v>0</v>
      </c>
      <c r="AI946">
        <v>0</v>
      </c>
      <c r="AJ946">
        <v>0</v>
      </c>
      <c r="AK946">
        <v>0</v>
      </c>
      <c r="AL946" t="s">
        <v>764</v>
      </c>
      <c r="AM946" t="s">
        <v>765</v>
      </c>
      <c r="AN946" t="s">
        <v>766</v>
      </c>
      <c r="AO946" t="s">
        <v>17782</v>
      </c>
      <c r="AP946" t="s">
        <v>17783</v>
      </c>
      <c r="AQ946" t="s">
        <v>74</v>
      </c>
      <c r="AR946" t="s">
        <v>17784</v>
      </c>
      <c r="AS946" t="s">
        <v>17785</v>
      </c>
      <c r="AT946" t="s">
        <v>467</v>
      </c>
      <c r="AU946">
        <v>2023</v>
      </c>
      <c r="AV946">
        <v>45</v>
      </c>
      <c r="AW946" t="s">
        <v>74</v>
      </c>
      <c r="AX946" t="s">
        <v>74</v>
      </c>
      <c r="AY946" t="s">
        <v>74</v>
      </c>
      <c r="AZ946" t="s">
        <v>74</v>
      </c>
      <c r="BA946" t="s">
        <v>74</v>
      </c>
      <c r="BB946" t="s">
        <v>74</v>
      </c>
      <c r="BC946" t="s">
        <v>74</v>
      </c>
      <c r="BD946">
        <v>100769</v>
      </c>
      <c r="BE946" t="s">
        <v>17786</v>
      </c>
      <c r="BF946" t="str">
        <f>HYPERLINK("http://dx.doi.org/10.1016/j.ascom.2023.100769","http://dx.doi.org/10.1016/j.ascom.2023.100769")</f>
        <v>http://dx.doi.org/10.1016/j.ascom.2023.100769</v>
      </c>
      <c r="BG946" t="s">
        <v>74</v>
      </c>
      <c r="BH946" t="s">
        <v>157</v>
      </c>
      <c r="BI946">
        <v>9</v>
      </c>
      <c r="BJ946" t="s">
        <v>17787</v>
      </c>
      <c r="BK946" t="s">
        <v>130</v>
      </c>
      <c r="BL946" t="s">
        <v>17788</v>
      </c>
      <c r="BM946" t="s">
        <v>17789</v>
      </c>
      <c r="BN946" t="s">
        <v>74</v>
      </c>
      <c r="BO946" t="s">
        <v>74</v>
      </c>
      <c r="BP946" t="s">
        <v>74</v>
      </c>
      <c r="BQ946" t="s">
        <v>74</v>
      </c>
      <c r="BR946" t="s">
        <v>101</v>
      </c>
      <c r="BS946" t="s">
        <v>17790</v>
      </c>
      <c r="BT946" t="str">
        <f>HYPERLINK("https%3A%2F%2Fwww.webofscience.com%2Fwos%2Fwoscc%2Ffull-record%2FWOS:001148381400001","View Full Record in Web of Science")</f>
        <v>View Full Record in Web of Science</v>
      </c>
    </row>
    <row r="947" spans="1:72" x14ac:dyDescent="0.2">
      <c r="A947" t="s">
        <v>103</v>
      </c>
      <c r="B947" t="s">
        <v>17791</v>
      </c>
      <c r="C947" t="s">
        <v>74</v>
      </c>
      <c r="D947" t="s">
        <v>74</v>
      </c>
      <c r="E947" t="s">
        <v>74</v>
      </c>
      <c r="F947" t="s">
        <v>17792</v>
      </c>
      <c r="G947" t="s">
        <v>74</v>
      </c>
      <c r="H947" t="s">
        <v>74</v>
      </c>
      <c r="I947" t="s">
        <v>17793</v>
      </c>
      <c r="J947" t="s">
        <v>6611</v>
      </c>
      <c r="K947" t="s">
        <v>74</v>
      </c>
      <c r="L947" t="s">
        <v>74</v>
      </c>
      <c r="M947" t="s">
        <v>79</v>
      </c>
      <c r="N947" t="s">
        <v>108</v>
      </c>
      <c r="O947" t="s">
        <v>74</v>
      </c>
      <c r="P947" t="s">
        <v>74</v>
      </c>
      <c r="Q947" t="s">
        <v>74</v>
      </c>
      <c r="R947" t="s">
        <v>74</v>
      </c>
      <c r="S947" t="s">
        <v>74</v>
      </c>
      <c r="T947" t="s">
        <v>17794</v>
      </c>
      <c r="U947" t="s">
        <v>74</v>
      </c>
      <c r="V947" t="s">
        <v>17795</v>
      </c>
      <c r="W947" t="s">
        <v>17796</v>
      </c>
      <c r="X947" t="s">
        <v>17797</v>
      </c>
      <c r="Y947" t="s">
        <v>17798</v>
      </c>
      <c r="Z947" t="s">
        <v>17799</v>
      </c>
      <c r="AA947" t="s">
        <v>74</v>
      </c>
      <c r="AB947" t="s">
        <v>17800</v>
      </c>
      <c r="AC947" t="s">
        <v>17801</v>
      </c>
      <c r="AD947" t="s">
        <v>17802</v>
      </c>
      <c r="AE947" t="s">
        <v>17803</v>
      </c>
      <c r="AF947" t="s">
        <v>74</v>
      </c>
      <c r="AG947">
        <v>94</v>
      </c>
      <c r="AH947">
        <v>1</v>
      </c>
      <c r="AI947">
        <v>1</v>
      </c>
      <c r="AJ947">
        <v>5</v>
      </c>
      <c r="AK947">
        <v>7</v>
      </c>
      <c r="AL947" t="s">
        <v>638</v>
      </c>
      <c r="AM947" t="s">
        <v>639</v>
      </c>
      <c r="AN947" t="s">
        <v>1557</v>
      </c>
      <c r="AO947" t="s">
        <v>6621</v>
      </c>
      <c r="AP947" t="s">
        <v>6622</v>
      </c>
      <c r="AQ947" t="s">
        <v>74</v>
      </c>
      <c r="AR947" t="s">
        <v>6623</v>
      </c>
      <c r="AS947" t="s">
        <v>6624</v>
      </c>
      <c r="AT947" t="s">
        <v>9007</v>
      </c>
      <c r="AU947">
        <v>2023</v>
      </c>
      <c r="AV947">
        <v>45</v>
      </c>
      <c r="AW947">
        <v>6</v>
      </c>
      <c r="AX947" t="s">
        <v>74</v>
      </c>
      <c r="AY947" t="s">
        <v>74</v>
      </c>
      <c r="AZ947" t="s">
        <v>74</v>
      </c>
      <c r="BA947" t="s">
        <v>74</v>
      </c>
      <c r="BB947">
        <v>7430</v>
      </c>
      <c r="BC947">
        <v>7443</v>
      </c>
      <c r="BD947" t="s">
        <v>74</v>
      </c>
      <c r="BE947" t="s">
        <v>17804</v>
      </c>
      <c r="BF947" t="str">
        <f>HYPERLINK("http://dx.doi.org/10.1109/TPAMI.2022.3225162","http://dx.doi.org/10.1109/TPAMI.2022.3225162")</f>
        <v>http://dx.doi.org/10.1109/TPAMI.2022.3225162</v>
      </c>
      <c r="BG947" t="s">
        <v>74</v>
      </c>
      <c r="BH947" t="s">
        <v>74</v>
      </c>
      <c r="BI947">
        <v>14</v>
      </c>
      <c r="BJ947" t="s">
        <v>6627</v>
      </c>
      <c r="BK947" t="s">
        <v>130</v>
      </c>
      <c r="BL947" t="s">
        <v>906</v>
      </c>
      <c r="BM947" t="s">
        <v>17805</v>
      </c>
      <c r="BN947">
        <v>36441893</v>
      </c>
      <c r="BO947" t="s">
        <v>646</v>
      </c>
      <c r="BP947" t="s">
        <v>74</v>
      </c>
      <c r="BQ947" t="s">
        <v>74</v>
      </c>
      <c r="BR947" t="s">
        <v>101</v>
      </c>
      <c r="BS947" t="s">
        <v>17806</v>
      </c>
      <c r="BT947" t="str">
        <f>HYPERLINK("https%3A%2F%2Fwww.webofscience.com%2Fwos%2Fwoscc%2Ffull-record%2FWOS:000982475600055","View Full Record in Web of Science")</f>
        <v>View Full Record in Web of Science</v>
      </c>
    </row>
    <row r="948" spans="1:72" x14ac:dyDescent="0.2">
      <c r="A948" t="s">
        <v>72</v>
      </c>
      <c r="B948" t="s">
        <v>17807</v>
      </c>
      <c r="C948" t="s">
        <v>74</v>
      </c>
      <c r="D948" t="s">
        <v>74</v>
      </c>
      <c r="E948" t="s">
        <v>92</v>
      </c>
      <c r="F948" t="s">
        <v>17808</v>
      </c>
      <c r="G948" t="s">
        <v>74</v>
      </c>
      <c r="H948" t="s">
        <v>74</v>
      </c>
      <c r="I948" t="s">
        <v>17809</v>
      </c>
      <c r="J948" t="s">
        <v>17810</v>
      </c>
      <c r="K948" t="s">
        <v>74</v>
      </c>
      <c r="L948" t="s">
        <v>74</v>
      </c>
      <c r="M948" t="s">
        <v>79</v>
      </c>
      <c r="N948" t="s">
        <v>80</v>
      </c>
      <c r="O948" t="s">
        <v>17811</v>
      </c>
      <c r="P948" t="s">
        <v>17812</v>
      </c>
      <c r="Q948" t="s">
        <v>17813</v>
      </c>
      <c r="R948" t="s">
        <v>17814</v>
      </c>
      <c r="S948" t="s">
        <v>74</v>
      </c>
      <c r="T948" t="s">
        <v>17815</v>
      </c>
      <c r="U948" t="s">
        <v>74</v>
      </c>
      <c r="V948" t="s">
        <v>17816</v>
      </c>
      <c r="W948" t="s">
        <v>17817</v>
      </c>
      <c r="X948" t="s">
        <v>17818</v>
      </c>
      <c r="Y948" t="s">
        <v>17819</v>
      </c>
      <c r="Z948" t="s">
        <v>17820</v>
      </c>
      <c r="AA948" t="s">
        <v>74</v>
      </c>
      <c r="AB948" t="s">
        <v>17821</v>
      </c>
      <c r="AC948" t="s">
        <v>17822</v>
      </c>
      <c r="AD948" t="s">
        <v>17822</v>
      </c>
      <c r="AE948" t="s">
        <v>17823</v>
      </c>
      <c r="AF948" t="s">
        <v>74</v>
      </c>
      <c r="AG948">
        <v>12</v>
      </c>
      <c r="AH948">
        <v>0</v>
      </c>
      <c r="AI948">
        <v>0</v>
      </c>
      <c r="AJ948">
        <v>2</v>
      </c>
      <c r="AK948">
        <v>2</v>
      </c>
      <c r="AL948" t="s">
        <v>92</v>
      </c>
      <c r="AM948" t="s">
        <v>93</v>
      </c>
      <c r="AN948" t="s">
        <v>94</v>
      </c>
      <c r="AO948" t="s">
        <v>74</v>
      </c>
      <c r="AP948" t="s">
        <v>74</v>
      </c>
      <c r="AQ948" t="s">
        <v>17824</v>
      </c>
      <c r="AR948" t="s">
        <v>74</v>
      </c>
      <c r="AS948" t="s">
        <v>74</v>
      </c>
      <c r="AT948" t="s">
        <v>74</v>
      </c>
      <c r="AU948">
        <v>2023</v>
      </c>
      <c r="AV948" t="s">
        <v>74</v>
      </c>
      <c r="AW948" t="s">
        <v>74</v>
      </c>
      <c r="AX948" t="s">
        <v>74</v>
      </c>
      <c r="AY948" t="s">
        <v>74</v>
      </c>
      <c r="AZ948" t="s">
        <v>74</v>
      </c>
      <c r="BA948" t="s">
        <v>74</v>
      </c>
      <c r="BB948">
        <v>372</v>
      </c>
      <c r="BC948">
        <v>377</v>
      </c>
      <c r="BD948" t="s">
        <v>74</v>
      </c>
      <c r="BE948" t="s">
        <v>17825</v>
      </c>
      <c r="BF948" t="str">
        <f>HYPERLINK("http://dx.doi.org/10.1145/3571306.3571438","http://dx.doi.org/10.1145/3571306.3571438")</f>
        <v>http://dx.doi.org/10.1145/3571306.3571438</v>
      </c>
      <c r="BG948" t="s">
        <v>74</v>
      </c>
      <c r="BH948" t="s">
        <v>74</v>
      </c>
      <c r="BI948">
        <v>6</v>
      </c>
      <c r="BJ948" t="s">
        <v>17826</v>
      </c>
      <c r="BK948" t="s">
        <v>98</v>
      </c>
      <c r="BL948" t="s">
        <v>99</v>
      </c>
      <c r="BM948" t="s">
        <v>17827</v>
      </c>
      <c r="BN948" t="s">
        <v>74</v>
      </c>
      <c r="BO948" t="s">
        <v>17828</v>
      </c>
      <c r="BP948" t="s">
        <v>74</v>
      </c>
      <c r="BQ948" t="s">
        <v>74</v>
      </c>
      <c r="BR948" t="s">
        <v>101</v>
      </c>
      <c r="BS948" t="s">
        <v>17829</v>
      </c>
      <c r="BT948" t="str">
        <f>HYPERLINK("https%3A%2F%2Fwww.webofscience.com%2Fwos%2Fwoscc%2Ffull-record%2FWOS:001098722500054","View Full Record in Web of Science")</f>
        <v>View Full Record in Web of Science</v>
      </c>
    </row>
    <row r="949" spans="1:72" x14ac:dyDescent="0.2">
      <c r="A949" t="s">
        <v>72</v>
      </c>
      <c r="B949" t="s">
        <v>17830</v>
      </c>
      <c r="C949" t="s">
        <v>74</v>
      </c>
      <c r="D949" t="s">
        <v>74</v>
      </c>
      <c r="E949" t="s">
        <v>75</v>
      </c>
      <c r="F949" t="s">
        <v>17831</v>
      </c>
      <c r="G949" t="s">
        <v>74</v>
      </c>
      <c r="H949" t="s">
        <v>74</v>
      </c>
      <c r="I949" t="s">
        <v>17832</v>
      </c>
      <c r="J949" t="s">
        <v>17833</v>
      </c>
      <c r="K949" t="s">
        <v>17834</v>
      </c>
      <c r="L949" t="s">
        <v>74</v>
      </c>
      <c r="M949" t="s">
        <v>79</v>
      </c>
      <c r="N949" t="s">
        <v>80</v>
      </c>
      <c r="O949" t="s">
        <v>17835</v>
      </c>
      <c r="P949" t="s">
        <v>17836</v>
      </c>
      <c r="Q949" t="s">
        <v>5717</v>
      </c>
      <c r="R949" t="s">
        <v>17837</v>
      </c>
      <c r="S949" t="s">
        <v>74</v>
      </c>
      <c r="T949" t="s">
        <v>17838</v>
      </c>
      <c r="U949" t="s">
        <v>74</v>
      </c>
      <c r="V949" t="s">
        <v>17839</v>
      </c>
      <c r="W949" t="s">
        <v>17840</v>
      </c>
      <c r="X949" t="s">
        <v>17841</v>
      </c>
      <c r="Y949" t="s">
        <v>17842</v>
      </c>
      <c r="Z949" t="s">
        <v>17843</v>
      </c>
      <c r="AA949" t="s">
        <v>17844</v>
      </c>
      <c r="AB949" t="s">
        <v>17845</v>
      </c>
      <c r="AC949" t="s">
        <v>74</v>
      </c>
      <c r="AD949" t="s">
        <v>74</v>
      </c>
      <c r="AE949" t="s">
        <v>74</v>
      </c>
      <c r="AF949" t="s">
        <v>74</v>
      </c>
      <c r="AG949">
        <v>50</v>
      </c>
      <c r="AH949">
        <v>0</v>
      </c>
      <c r="AI949">
        <v>0</v>
      </c>
      <c r="AJ949">
        <v>2</v>
      </c>
      <c r="AK949">
        <v>2</v>
      </c>
      <c r="AL949" t="s">
        <v>92</v>
      </c>
      <c r="AM949" t="s">
        <v>93</v>
      </c>
      <c r="AN949" t="s">
        <v>94</v>
      </c>
      <c r="AO949" t="s">
        <v>17846</v>
      </c>
      <c r="AP949" t="s">
        <v>74</v>
      </c>
      <c r="AQ949" t="s">
        <v>17847</v>
      </c>
      <c r="AR949" t="s">
        <v>17848</v>
      </c>
      <c r="AS949" t="s">
        <v>74</v>
      </c>
      <c r="AT949" t="s">
        <v>74</v>
      </c>
      <c r="AU949">
        <v>2023</v>
      </c>
      <c r="AV949" t="s">
        <v>74</v>
      </c>
      <c r="AW949" t="s">
        <v>74</v>
      </c>
      <c r="AX949" t="s">
        <v>74</v>
      </c>
      <c r="AY949" t="s">
        <v>74</v>
      </c>
      <c r="AZ949" t="s">
        <v>74</v>
      </c>
      <c r="BA949" t="s">
        <v>74</v>
      </c>
      <c r="BB949">
        <v>1161</v>
      </c>
      <c r="BC949">
        <v>1173</v>
      </c>
      <c r="BD949" t="s">
        <v>74</v>
      </c>
      <c r="BE949" t="s">
        <v>17849</v>
      </c>
      <c r="BF949" t="str">
        <f>HYPERLINK("http://dx.doi.org/10.1145/3579371.3589351","http://dx.doi.org/10.1145/3579371.3589351")</f>
        <v>http://dx.doi.org/10.1145/3579371.3589351</v>
      </c>
      <c r="BG949" t="s">
        <v>74</v>
      </c>
      <c r="BH949" t="s">
        <v>74</v>
      </c>
      <c r="BI949">
        <v>13</v>
      </c>
      <c r="BJ949" t="s">
        <v>17826</v>
      </c>
      <c r="BK949" t="s">
        <v>98</v>
      </c>
      <c r="BL949" t="s">
        <v>99</v>
      </c>
      <c r="BM949" t="s">
        <v>17850</v>
      </c>
      <c r="BN949" t="s">
        <v>74</v>
      </c>
      <c r="BO949" t="s">
        <v>646</v>
      </c>
      <c r="BP949" t="s">
        <v>74</v>
      </c>
      <c r="BQ949" t="s">
        <v>74</v>
      </c>
      <c r="BR949" t="s">
        <v>101</v>
      </c>
      <c r="BS949" t="s">
        <v>17851</v>
      </c>
      <c r="BT949" t="str">
        <f>HYPERLINK("https%3A%2F%2Fwww.webofscience.com%2Fwos%2Fwoscc%2Ffull-record%2FWOS:001098723900083","View Full Record in Web of Science")</f>
        <v>View Full Record in Web of Science</v>
      </c>
    </row>
    <row r="950" spans="1:72" x14ac:dyDescent="0.2">
      <c r="A950" t="s">
        <v>103</v>
      </c>
      <c r="B950" t="s">
        <v>17852</v>
      </c>
      <c r="C950" t="s">
        <v>74</v>
      </c>
      <c r="D950" t="s">
        <v>74</v>
      </c>
      <c r="E950" t="s">
        <v>74</v>
      </c>
      <c r="F950" t="s">
        <v>17853</v>
      </c>
      <c r="G950" t="s">
        <v>74</v>
      </c>
      <c r="H950" t="s">
        <v>74</v>
      </c>
      <c r="I950" t="s">
        <v>17854</v>
      </c>
      <c r="J950" t="s">
        <v>5102</v>
      </c>
      <c r="K950" t="s">
        <v>74</v>
      </c>
      <c r="L950" t="s">
        <v>74</v>
      </c>
      <c r="M950" t="s">
        <v>79</v>
      </c>
      <c r="N950" t="s">
        <v>108</v>
      </c>
      <c r="O950" t="s">
        <v>74</v>
      </c>
      <c r="P950" t="s">
        <v>74</v>
      </c>
      <c r="Q950" t="s">
        <v>74</v>
      </c>
      <c r="R950" t="s">
        <v>74</v>
      </c>
      <c r="S950" t="s">
        <v>74</v>
      </c>
      <c r="T950" t="s">
        <v>17855</v>
      </c>
      <c r="U950" t="s">
        <v>74</v>
      </c>
      <c r="V950" t="s">
        <v>17856</v>
      </c>
      <c r="W950" t="s">
        <v>17857</v>
      </c>
      <c r="X950" t="s">
        <v>17858</v>
      </c>
      <c r="Y950" t="s">
        <v>17859</v>
      </c>
      <c r="Z950" t="s">
        <v>17860</v>
      </c>
      <c r="AA950" t="s">
        <v>17861</v>
      </c>
      <c r="AB950" t="s">
        <v>17862</v>
      </c>
      <c r="AC950" t="s">
        <v>17863</v>
      </c>
      <c r="AD950" t="s">
        <v>17863</v>
      </c>
      <c r="AE950" t="s">
        <v>17864</v>
      </c>
      <c r="AF950" t="s">
        <v>74</v>
      </c>
      <c r="AG950">
        <v>29</v>
      </c>
      <c r="AH950">
        <v>1</v>
      </c>
      <c r="AI950">
        <v>1</v>
      </c>
      <c r="AJ950">
        <v>38</v>
      </c>
      <c r="AK950">
        <v>38</v>
      </c>
      <c r="AL950" t="s">
        <v>5111</v>
      </c>
      <c r="AM950" t="s">
        <v>5112</v>
      </c>
      <c r="AN950" t="s">
        <v>5113</v>
      </c>
      <c r="AO950" t="s">
        <v>5114</v>
      </c>
      <c r="AP950" t="s">
        <v>74</v>
      </c>
      <c r="AQ950" t="s">
        <v>74</v>
      </c>
      <c r="AR950" t="s">
        <v>5115</v>
      </c>
      <c r="AS950" t="s">
        <v>5116</v>
      </c>
      <c r="AT950" t="s">
        <v>74</v>
      </c>
      <c r="AU950">
        <v>2023</v>
      </c>
      <c r="AV950">
        <v>97</v>
      </c>
      <c r="AW950">
        <v>5</v>
      </c>
      <c r="AX950" t="s">
        <v>74</v>
      </c>
      <c r="AY950" t="s">
        <v>74</v>
      </c>
      <c r="AZ950" t="s">
        <v>74</v>
      </c>
      <c r="BA950" t="s">
        <v>74</v>
      </c>
      <c r="BB950">
        <v>181</v>
      </c>
      <c r="BC950">
        <v>202</v>
      </c>
      <c r="BD950" t="s">
        <v>74</v>
      </c>
      <c r="BE950" t="s">
        <v>17865</v>
      </c>
      <c r="BF950" t="str">
        <f>HYPERLINK("http://dx.doi.org/10.33407/itlt.v97i5.5395","http://dx.doi.org/10.33407/itlt.v97i5.5395")</f>
        <v>http://dx.doi.org/10.33407/itlt.v97i5.5395</v>
      </c>
      <c r="BG950" t="s">
        <v>74</v>
      </c>
      <c r="BH950" t="s">
        <v>74</v>
      </c>
      <c r="BI950">
        <v>22</v>
      </c>
      <c r="BJ950" t="s">
        <v>423</v>
      </c>
      <c r="BK950" t="s">
        <v>352</v>
      </c>
      <c r="BL950" t="s">
        <v>423</v>
      </c>
      <c r="BM950" t="s">
        <v>17866</v>
      </c>
      <c r="BN950" t="s">
        <v>74</v>
      </c>
      <c r="BO950" t="s">
        <v>425</v>
      </c>
      <c r="BP950" t="s">
        <v>74</v>
      </c>
      <c r="BQ950" t="s">
        <v>74</v>
      </c>
      <c r="BR950" t="s">
        <v>101</v>
      </c>
      <c r="BS950" t="s">
        <v>17867</v>
      </c>
      <c r="BT950" t="str">
        <f>HYPERLINK("https%3A%2F%2Fwww.webofscience.com%2Fwos%2Fwoscc%2Ffull-record%2FWOS:001097734800011","View Full Record in Web of Science")</f>
        <v>View Full Record in Web of Science</v>
      </c>
    </row>
    <row r="951" spans="1:72" x14ac:dyDescent="0.2">
      <c r="A951" t="s">
        <v>103</v>
      </c>
      <c r="B951" t="s">
        <v>17868</v>
      </c>
      <c r="C951" t="s">
        <v>74</v>
      </c>
      <c r="D951" t="s">
        <v>74</v>
      </c>
      <c r="E951" t="s">
        <v>74</v>
      </c>
      <c r="F951" t="s">
        <v>17869</v>
      </c>
      <c r="G951" t="s">
        <v>74</v>
      </c>
      <c r="H951" t="s">
        <v>74</v>
      </c>
      <c r="I951" t="s">
        <v>17870</v>
      </c>
      <c r="J951" t="s">
        <v>10711</v>
      </c>
      <c r="K951" t="s">
        <v>74</v>
      </c>
      <c r="L951" t="s">
        <v>74</v>
      </c>
      <c r="M951" t="s">
        <v>79</v>
      </c>
      <c r="N951" t="s">
        <v>108</v>
      </c>
      <c r="O951" t="s">
        <v>74</v>
      </c>
      <c r="P951" t="s">
        <v>74</v>
      </c>
      <c r="Q951" t="s">
        <v>74</v>
      </c>
      <c r="R951" t="s">
        <v>74</v>
      </c>
      <c r="S951" t="s">
        <v>74</v>
      </c>
      <c r="T951" t="s">
        <v>74</v>
      </c>
      <c r="U951" t="s">
        <v>74</v>
      </c>
      <c r="V951" t="s">
        <v>17871</v>
      </c>
      <c r="W951" t="s">
        <v>17872</v>
      </c>
      <c r="X951" t="s">
        <v>17873</v>
      </c>
      <c r="Y951" t="s">
        <v>17874</v>
      </c>
      <c r="Z951" t="s">
        <v>17875</v>
      </c>
      <c r="AA951" t="s">
        <v>17876</v>
      </c>
      <c r="AB951" t="s">
        <v>74</v>
      </c>
      <c r="AC951" t="s">
        <v>7884</v>
      </c>
      <c r="AD951" t="s">
        <v>7884</v>
      </c>
      <c r="AE951" t="s">
        <v>17877</v>
      </c>
      <c r="AF951" t="s">
        <v>74</v>
      </c>
      <c r="AG951">
        <v>29</v>
      </c>
      <c r="AH951">
        <v>7</v>
      </c>
      <c r="AI951">
        <v>7</v>
      </c>
      <c r="AJ951">
        <v>21</v>
      </c>
      <c r="AK951">
        <v>22</v>
      </c>
      <c r="AL951" t="s">
        <v>1880</v>
      </c>
      <c r="AM951" t="s">
        <v>369</v>
      </c>
      <c r="AN951" t="s">
        <v>1881</v>
      </c>
      <c r="AO951" t="s">
        <v>10723</v>
      </c>
      <c r="AP951" t="s">
        <v>74</v>
      </c>
      <c r="AQ951" t="s">
        <v>74</v>
      </c>
      <c r="AR951" t="s">
        <v>10724</v>
      </c>
      <c r="AS951" t="s">
        <v>10725</v>
      </c>
      <c r="AT951" t="s">
        <v>17878</v>
      </c>
      <c r="AU951">
        <v>2023</v>
      </c>
      <c r="AV951">
        <v>13</v>
      </c>
      <c r="AW951">
        <v>1</v>
      </c>
      <c r="AX951" t="s">
        <v>74</v>
      </c>
      <c r="AY951" t="s">
        <v>74</v>
      </c>
      <c r="AZ951" t="s">
        <v>74</v>
      </c>
      <c r="BA951" t="s">
        <v>74</v>
      </c>
      <c r="BB951" t="s">
        <v>74</v>
      </c>
      <c r="BC951" t="s">
        <v>74</v>
      </c>
      <c r="BD951">
        <v>13601</v>
      </c>
      <c r="BE951" t="s">
        <v>17879</v>
      </c>
      <c r="BF951" t="str">
        <f>HYPERLINK("http://dx.doi.org/10.1038/s41598-023-40858-3","http://dx.doi.org/10.1038/s41598-023-40858-3")</f>
        <v>http://dx.doi.org/10.1038/s41598-023-40858-3</v>
      </c>
      <c r="BG951" t="s">
        <v>74</v>
      </c>
      <c r="BH951" t="s">
        <v>74</v>
      </c>
      <c r="BI951">
        <v>10</v>
      </c>
      <c r="BJ951" t="s">
        <v>5686</v>
      </c>
      <c r="BK951" t="s">
        <v>130</v>
      </c>
      <c r="BL951" t="s">
        <v>5687</v>
      </c>
      <c r="BM951" t="s">
        <v>17880</v>
      </c>
      <c r="BN951">
        <v>37709769</v>
      </c>
      <c r="BO951" t="s">
        <v>4185</v>
      </c>
      <c r="BP951" t="s">
        <v>74</v>
      </c>
      <c r="BQ951" t="s">
        <v>74</v>
      </c>
      <c r="BR951" t="s">
        <v>101</v>
      </c>
      <c r="BS951" t="s">
        <v>17881</v>
      </c>
      <c r="BT951" t="str">
        <f>HYPERLINK("https%3A%2F%2Fwww.webofscience.com%2Fwos%2Fwoscc%2Ffull-record%2FWOS:001138618500001","View Full Record in Web of Science")</f>
        <v>View Full Record in Web of Science</v>
      </c>
    </row>
    <row r="952" spans="1:72" x14ac:dyDescent="0.2">
      <c r="A952" t="s">
        <v>103</v>
      </c>
      <c r="B952" t="s">
        <v>17882</v>
      </c>
      <c r="C952" t="s">
        <v>74</v>
      </c>
      <c r="D952" t="s">
        <v>74</v>
      </c>
      <c r="E952" t="s">
        <v>74</v>
      </c>
      <c r="F952" t="s">
        <v>17883</v>
      </c>
      <c r="G952" t="s">
        <v>74</v>
      </c>
      <c r="H952" t="s">
        <v>74</v>
      </c>
      <c r="I952" t="s">
        <v>17884</v>
      </c>
      <c r="J952" t="s">
        <v>17885</v>
      </c>
      <c r="K952" t="s">
        <v>74</v>
      </c>
      <c r="L952" t="s">
        <v>74</v>
      </c>
      <c r="M952" t="s">
        <v>79</v>
      </c>
      <c r="N952" t="s">
        <v>108</v>
      </c>
      <c r="O952" t="s">
        <v>74</v>
      </c>
      <c r="P952" t="s">
        <v>74</v>
      </c>
      <c r="Q952" t="s">
        <v>74</v>
      </c>
      <c r="R952" t="s">
        <v>74</v>
      </c>
      <c r="S952" t="s">
        <v>74</v>
      </c>
      <c r="T952" t="s">
        <v>17886</v>
      </c>
      <c r="U952" t="s">
        <v>17887</v>
      </c>
      <c r="V952" t="s">
        <v>17888</v>
      </c>
      <c r="W952" t="s">
        <v>17889</v>
      </c>
      <c r="X952" t="s">
        <v>17890</v>
      </c>
      <c r="Y952" t="s">
        <v>17891</v>
      </c>
      <c r="Z952" t="s">
        <v>7199</v>
      </c>
      <c r="AA952" t="s">
        <v>17892</v>
      </c>
      <c r="AB952" t="s">
        <v>17893</v>
      </c>
      <c r="AC952" t="s">
        <v>17894</v>
      </c>
      <c r="AD952" t="s">
        <v>17895</v>
      </c>
      <c r="AE952" t="s">
        <v>17896</v>
      </c>
      <c r="AF952" t="s">
        <v>74</v>
      </c>
      <c r="AG952">
        <v>96</v>
      </c>
      <c r="AH952">
        <v>1</v>
      </c>
      <c r="AI952">
        <v>1</v>
      </c>
      <c r="AJ952">
        <v>6</v>
      </c>
      <c r="AK952">
        <v>17</v>
      </c>
      <c r="AL952" t="s">
        <v>8334</v>
      </c>
      <c r="AM952" t="s">
        <v>8335</v>
      </c>
      <c r="AN952" t="s">
        <v>8336</v>
      </c>
      <c r="AO952" t="s">
        <v>17897</v>
      </c>
      <c r="AP952" t="s">
        <v>17898</v>
      </c>
      <c r="AQ952" t="s">
        <v>74</v>
      </c>
      <c r="AR952" t="s">
        <v>17899</v>
      </c>
      <c r="AS952" t="s">
        <v>17900</v>
      </c>
      <c r="AT952" t="s">
        <v>74</v>
      </c>
      <c r="AU952">
        <v>2023</v>
      </c>
      <c r="AV952">
        <v>32</v>
      </c>
      <c r="AW952">
        <v>4</v>
      </c>
      <c r="AX952" t="s">
        <v>74</v>
      </c>
      <c r="AY952" t="s">
        <v>74</v>
      </c>
      <c r="AZ952" t="s">
        <v>74</v>
      </c>
      <c r="BA952" t="s">
        <v>74</v>
      </c>
      <c r="BB952">
        <v>636</v>
      </c>
      <c r="BC952">
        <v>649</v>
      </c>
      <c r="BD952" t="s">
        <v>74</v>
      </c>
      <c r="BE952" t="s">
        <v>17901</v>
      </c>
      <c r="BF952" t="str">
        <f>HYPERLINK("http://dx.doi.org/10.1071/WF22216","http://dx.doi.org/10.1071/WF22216")</f>
        <v>http://dx.doi.org/10.1071/WF22216</v>
      </c>
      <c r="BG952" t="s">
        <v>74</v>
      </c>
      <c r="BH952" t="s">
        <v>2647</v>
      </c>
      <c r="BI952">
        <v>14</v>
      </c>
      <c r="BJ952" t="s">
        <v>17902</v>
      </c>
      <c r="BK952" t="s">
        <v>130</v>
      </c>
      <c r="BL952" t="s">
        <v>17902</v>
      </c>
      <c r="BM952" t="s">
        <v>17903</v>
      </c>
      <c r="BN952" t="s">
        <v>74</v>
      </c>
      <c r="BO952" t="s">
        <v>74</v>
      </c>
      <c r="BP952" t="s">
        <v>74</v>
      </c>
      <c r="BQ952" t="s">
        <v>74</v>
      </c>
      <c r="BR952" t="s">
        <v>101</v>
      </c>
      <c r="BS952" t="s">
        <v>17904</v>
      </c>
      <c r="BT952" t="str">
        <f>HYPERLINK("https%3A%2F%2Fwww.webofscience.com%2Fwos%2Fwoscc%2Ffull-record%2FWOS:000925703200001","View Full Record in Web of Science")</f>
        <v>View Full Record in Web of Science</v>
      </c>
    </row>
    <row r="953" spans="1:72" x14ac:dyDescent="0.2">
      <c r="A953" t="s">
        <v>72</v>
      </c>
      <c r="B953" t="s">
        <v>17905</v>
      </c>
      <c r="C953" t="s">
        <v>74</v>
      </c>
      <c r="D953" t="s">
        <v>74</v>
      </c>
      <c r="E953" t="s">
        <v>75</v>
      </c>
      <c r="F953" t="s">
        <v>17906</v>
      </c>
      <c r="G953" t="s">
        <v>74</v>
      </c>
      <c r="H953" t="s">
        <v>74</v>
      </c>
      <c r="I953" t="s">
        <v>17907</v>
      </c>
      <c r="J953" t="s">
        <v>2961</v>
      </c>
      <c r="K953" t="s">
        <v>74</v>
      </c>
      <c r="L953" t="s">
        <v>74</v>
      </c>
      <c r="M953" t="s">
        <v>79</v>
      </c>
      <c r="N953" t="s">
        <v>80</v>
      </c>
      <c r="O953" t="s">
        <v>2962</v>
      </c>
      <c r="P953" t="s">
        <v>2963</v>
      </c>
      <c r="Q953" t="s">
        <v>2964</v>
      </c>
      <c r="R953" t="s">
        <v>2965</v>
      </c>
      <c r="S953" t="s">
        <v>74</v>
      </c>
      <c r="T953" t="s">
        <v>17908</v>
      </c>
      <c r="U953" t="s">
        <v>74</v>
      </c>
      <c r="V953" t="s">
        <v>17909</v>
      </c>
      <c r="W953" t="s">
        <v>17910</v>
      </c>
      <c r="X953" t="s">
        <v>17911</v>
      </c>
      <c r="Y953" t="s">
        <v>17912</v>
      </c>
      <c r="Z953" t="s">
        <v>17913</v>
      </c>
      <c r="AA953" t="s">
        <v>74</v>
      </c>
      <c r="AB953" t="s">
        <v>74</v>
      </c>
      <c r="AC953" t="s">
        <v>74</v>
      </c>
      <c r="AD953" t="s">
        <v>74</v>
      </c>
      <c r="AE953" t="s">
        <v>74</v>
      </c>
      <c r="AF953" t="s">
        <v>74</v>
      </c>
      <c r="AG953">
        <v>4</v>
      </c>
      <c r="AH953">
        <v>1</v>
      </c>
      <c r="AI953">
        <v>1</v>
      </c>
      <c r="AJ953">
        <v>1</v>
      </c>
      <c r="AK953">
        <v>1</v>
      </c>
      <c r="AL953" t="s">
        <v>92</v>
      </c>
      <c r="AM953" t="s">
        <v>93</v>
      </c>
      <c r="AN953" t="s">
        <v>94</v>
      </c>
      <c r="AO953" t="s">
        <v>74</v>
      </c>
      <c r="AP953" t="s">
        <v>74</v>
      </c>
      <c r="AQ953" t="s">
        <v>2972</v>
      </c>
      <c r="AR953" t="s">
        <v>74</v>
      </c>
      <c r="AS953" t="s">
        <v>74</v>
      </c>
      <c r="AT953" t="s">
        <v>74</v>
      </c>
      <c r="AU953">
        <v>2023</v>
      </c>
      <c r="AV953" t="s">
        <v>74</v>
      </c>
      <c r="AW953" t="s">
        <v>74</v>
      </c>
      <c r="AX953" t="s">
        <v>74</v>
      </c>
      <c r="AY953" t="s">
        <v>74</v>
      </c>
      <c r="AZ953" t="s">
        <v>74</v>
      </c>
      <c r="BA953" t="s">
        <v>74</v>
      </c>
      <c r="BB953">
        <v>310</v>
      </c>
      <c r="BC953">
        <v>313</v>
      </c>
      <c r="BD953" t="s">
        <v>74</v>
      </c>
      <c r="BE953" t="s">
        <v>17914</v>
      </c>
      <c r="BF953" t="str">
        <f>HYPERLINK("http://dx.doi.org/10.1145/3543873.3587372","http://dx.doi.org/10.1145/3543873.3587372")</f>
        <v>http://dx.doi.org/10.1145/3543873.3587372</v>
      </c>
      <c r="BG953" t="s">
        <v>74</v>
      </c>
      <c r="BH953" t="s">
        <v>74</v>
      </c>
      <c r="BI953">
        <v>4</v>
      </c>
      <c r="BJ953" t="s">
        <v>1069</v>
      </c>
      <c r="BK953" t="s">
        <v>98</v>
      </c>
      <c r="BL953" t="s">
        <v>99</v>
      </c>
      <c r="BM953" t="s">
        <v>2974</v>
      </c>
      <c r="BN953" t="s">
        <v>74</v>
      </c>
      <c r="BO953" t="s">
        <v>74</v>
      </c>
      <c r="BP953" t="s">
        <v>74</v>
      </c>
      <c r="BQ953" t="s">
        <v>74</v>
      </c>
      <c r="BR953" t="s">
        <v>101</v>
      </c>
      <c r="BS953" t="s">
        <v>17915</v>
      </c>
      <c r="BT953" t="str">
        <f>HYPERLINK("https%3A%2F%2Fwww.webofscience.com%2Fwos%2Fwoscc%2Ffull-record%2FWOS:001124276300074","View Full Record in Web of Science")</f>
        <v>View Full Record in Web of Science</v>
      </c>
    </row>
    <row r="954" spans="1:72" x14ac:dyDescent="0.2">
      <c r="A954" t="s">
        <v>103</v>
      </c>
      <c r="B954" t="s">
        <v>17916</v>
      </c>
      <c r="C954" t="s">
        <v>74</v>
      </c>
      <c r="D954" t="s">
        <v>74</v>
      </c>
      <c r="E954" t="s">
        <v>74</v>
      </c>
      <c r="F954" t="s">
        <v>17917</v>
      </c>
      <c r="G954" t="s">
        <v>74</v>
      </c>
      <c r="H954" t="s">
        <v>17918</v>
      </c>
      <c r="I954" t="s">
        <v>17919</v>
      </c>
      <c r="J954" t="s">
        <v>17920</v>
      </c>
      <c r="K954" t="s">
        <v>74</v>
      </c>
      <c r="L954" t="s">
        <v>74</v>
      </c>
      <c r="M954" t="s">
        <v>79</v>
      </c>
      <c r="N954" t="s">
        <v>108</v>
      </c>
      <c r="O954" t="s">
        <v>74</v>
      </c>
      <c r="P954" t="s">
        <v>74</v>
      </c>
      <c r="Q954" t="s">
        <v>74</v>
      </c>
      <c r="R954" t="s">
        <v>74</v>
      </c>
      <c r="S954" t="s">
        <v>74</v>
      </c>
      <c r="T954" t="s">
        <v>74</v>
      </c>
      <c r="U954" t="s">
        <v>17921</v>
      </c>
      <c r="V954" t="s">
        <v>17922</v>
      </c>
      <c r="W954" t="s">
        <v>17923</v>
      </c>
      <c r="X954" t="s">
        <v>74</v>
      </c>
      <c r="Y954" t="s">
        <v>17924</v>
      </c>
      <c r="Z954" t="s">
        <v>17925</v>
      </c>
      <c r="AA954" t="s">
        <v>74</v>
      </c>
      <c r="AB954" t="s">
        <v>74</v>
      </c>
      <c r="AC954" t="s">
        <v>17926</v>
      </c>
      <c r="AD954" t="s">
        <v>17927</v>
      </c>
      <c r="AE954" t="s">
        <v>17928</v>
      </c>
      <c r="AF954" t="s">
        <v>74</v>
      </c>
      <c r="AG954">
        <v>24</v>
      </c>
      <c r="AH954">
        <v>0</v>
      </c>
      <c r="AI954">
        <v>0</v>
      </c>
      <c r="AJ954">
        <v>1</v>
      </c>
      <c r="AK954">
        <v>1</v>
      </c>
      <c r="AL954" t="s">
        <v>3165</v>
      </c>
      <c r="AM954" t="s">
        <v>3166</v>
      </c>
      <c r="AN954" t="s">
        <v>3167</v>
      </c>
      <c r="AO954" t="s">
        <v>17929</v>
      </c>
      <c r="AP954" t="s">
        <v>17930</v>
      </c>
      <c r="AQ954" t="s">
        <v>74</v>
      </c>
      <c r="AR954" t="s">
        <v>17931</v>
      </c>
      <c r="AS954" t="s">
        <v>17932</v>
      </c>
      <c r="AT954" t="s">
        <v>771</v>
      </c>
      <c r="AU954">
        <v>2023</v>
      </c>
      <c r="AV954">
        <v>114</v>
      </c>
      <c r="AW954">
        <v>3</v>
      </c>
      <c r="AX954" t="s">
        <v>74</v>
      </c>
      <c r="AY954" t="s">
        <v>74</v>
      </c>
      <c r="AZ954" t="s">
        <v>74</v>
      </c>
      <c r="BA954" t="s">
        <v>74</v>
      </c>
      <c r="BB954">
        <v>704</v>
      </c>
      <c r="BC954">
        <v>711</v>
      </c>
      <c r="BD954" t="s">
        <v>74</v>
      </c>
      <c r="BE954" t="s">
        <v>17933</v>
      </c>
      <c r="BF954" t="str">
        <f>HYPERLINK("http://dx.doi.org/10.1002/cpt.2976","http://dx.doi.org/10.1002/cpt.2976")</f>
        <v>http://dx.doi.org/10.1002/cpt.2976</v>
      </c>
      <c r="BG954" t="s">
        <v>74</v>
      </c>
      <c r="BH954" t="s">
        <v>1910</v>
      </c>
      <c r="BI954">
        <v>8</v>
      </c>
      <c r="BJ954" t="s">
        <v>1726</v>
      </c>
      <c r="BK954" t="s">
        <v>130</v>
      </c>
      <c r="BL954" t="s">
        <v>1726</v>
      </c>
      <c r="BM954" t="s">
        <v>17934</v>
      </c>
      <c r="BN954">
        <v>37326252</v>
      </c>
      <c r="BO954" t="s">
        <v>74</v>
      </c>
      <c r="BP954" t="s">
        <v>74</v>
      </c>
      <c r="BQ954" t="s">
        <v>74</v>
      </c>
      <c r="BR954" t="s">
        <v>101</v>
      </c>
      <c r="BS954" t="s">
        <v>17935</v>
      </c>
      <c r="BT954" t="str">
        <f>HYPERLINK("https%3A%2F%2Fwww.webofscience.com%2Fwos%2Fwoscc%2Ffull-record%2FWOS:001021991600001","View Full Record in Web of Science")</f>
        <v>View Full Record in Web of Science</v>
      </c>
    </row>
    <row r="955" spans="1:72" x14ac:dyDescent="0.2">
      <c r="A955" t="s">
        <v>103</v>
      </c>
      <c r="B955" t="s">
        <v>17936</v>
      </c>
      <c r="C955" t="s">
        <v>74</v>
      </c>
      <c r="D955" t="s">
        <v>74</v>
      </c>
      <c r="E955" t="s">
        <v>74</v>
      </c>
      <c r="F955" t="s">
        <v>17937</v>
      </c>
      <c r="G955" t="s">
        <v>74</v>
      </c>
      <c r="H955" t="s">
        <v>74</v>
      </c>
      <c r="I955" t="s">
        <v>17938</v>
      </c>
      <c r="J955" t="s">
        <v>10711</v>
      </c>
      <c r="K955" t="s">
        <v>74</v>
      </c>
      <c r="L955" t="s">
        <v>74</v>
      </c>
      <c r="M955" t="s">
        <v>79</v>
      </c>
      <c r="N955" t="s">
        <v>108</v>
      </c>
      <c r="O955" t="s">
        <v>74</v>
      </c>
      <c r="P955" t="s">
        <v>74</v>
      </c>
      <c r="Q955" t="s">
        <v>74</v>
      </c>
      <c r="R955" t="s">
        <v>74</v>
      </c>
      <c r="S955" t="s">
        <v>74</v>
      </c>
      <c r="T955" t="s">
        <v>74</v>
      </c>
      <c r="U955" t="s">
        <v>17939</v>
      </c>
      <c r="V955" t="s">
        <v>17940</v>
      </c>
      <c r="W955" t="s">
        <v>17941</v>
      </c>
      <c r="X955" t="s">
        <v>17942</v>
      </c>
      <c r="Y955" t="s">
        <v>17943</v>
      </c>
      <c r="Z955" t="s">
        <v>74</v>
      </c>
      <c r="AA955" t="s">
        <v>74</v>
      </c>
      <c r="AB955" t="s">
        <v>17944</v>
      </c>
      <c r="AC955" t="s">
        <v>17945</v>
      </c>
      <c r="AD955" t="s">
        <v>17946</v>
      </c>
      <c r="AE955" t="s">
        <v>3401</v>
      </c>
      <c r="AF955" t="s">
        <v>74</v>
      </c>
      <c r="AG955">
        <v>64</v>
      </c>
      <c r="AH955">
        <v>0</v>
      </c>
      <c r="AI955">
        <v>0</v>
      </c>
      <c r="AJ955">
        <v>2</v>
      </c>
      <c r="AK955">
        <v>2</v>
      </c>
      <c r="AL955" t="s">
        <v>1880</v>
      </c>
      <c r="AM955" t="s">
        <v>369</v>
      </c>
      <c r="AN955" t="s">
        <v>1881</v>
      </c>
      <c r="AO955" t="s">
        <v>10723</v>
      </c>
      <c r="AP955" t="s">
        <v>74</v>
      </c>
      <c r="AQ955" t="s">
        <v>74</v>
      </c>
      <c r="AR955" t="s">
        <v>10724</v>
      </c>
      <c r="AS955" t="s">
        <v>10725</v>
      </c>
      <c r="AT955" t="s">
        <v>17947</v>
      </c>
      <c r="AU955">
        <v>2023</v>
      </c>
      <c r="AV955">
        <v>13</v>
      </c>
      <c r="AW955">
        <v>1</v>
      </c>
      <c r="AX955" t="s">
        <v>74</v>
      </c>
      <c r="AY955" t="s">
        <v>74</v>
      </c>
      <c r="AZ955" t="s">
        <v>74</v>
      </c>
      <c r="BA955" t="s">
        <v>74</v>
      </c>
      <c r="BB955" t="s">
        <v>74</v>
      </c>
      <c r="BC955" t="s">
        <v>74</v>
      </c>
      <c r="BD955">
        <v>22710</v>
      </c>
      <c r="BE955" t="s">
        <v>17948</v>
      </c>
      <c r="BF955" t="str">
        <f>HYPERLINK("http://dx.doi.org/10.1038/s41598-023-49574-4","http://dx.doi.org/10.1038/s41598-023-49574-4")</f>
        <v>http://dx.doi.org/10.1038/s41598-023-49574-4</v>
      </c>
      <c r="BG955" t="s">
        <v>74</v>
      </c>
      <c r="BH955" t="s">
        <v>74</v>
      </c>
      <c r="BI955">
        <v>16</v>
      </c>
      <c r="BJ955" t="s">
        <v>5686</v>
      </c>
      <c r="BK955" t="s">
        <v>130</v>
      </c>
      <c r="BL955" t="s">
        <v>5687</v>
      </c>
      <c r="BM955" t="s">
        <v>17949</v>
      </c>
      <c r="BN955">
        <v>38123604</v>
      </c>
      <c r="BO955" t="s">
        <v>4337</v>
      </c>
      <c r="BP955" t="s">
        <v>74</v>
      </c>
      <c r="BQ955" t="s">
        <v>74</v>
      </c>
      <c r="BR955" t="s">
        <v>101</v>
      </c>
      <c r="BS955" t="s">
        <v>17950</v>
      </c>
      <c r="BT955" t="str">
        <f>HYPERLINK("https%3A%2F%2Fwww.webofscience.com%2Fwos%2Fwoscc%2Ffull-record%2FWOS:001131708100004","View Full Record in Web of Science")</f>
        <v>View Full Record in Web of Science</v>
      </c>
    </row>
    <row r="956" spans="1:72" x14ac:dyDescent="0.2">
      <c r="A956" t="s">
        <v>103</v>
      </c>
      <c r="B956" t="s">
        <v>17951</v>
      </c>
      <c r="C956" t="s">
        <v>74</v>
      </c>
      <c r="D956" t="s">
        <v>74</v>
      </c>
      <c r="E956" t="s">
        <v>74</v>
      </c>
      <c r="F956" t="s">
        <v>17952</v>
      </c>
      <c r="G956" t="s">
        <v>74</v>
      </c>
      <c r="H956" t="s">
        <v>74</v>
      </c>
      <c r="I956" t="s">
        <v>17953</v>
      </c>
      <c r="J956" t="s">
        <v>7461</v>
      </c>
      <c r="K956" t="s">
        <v>74</v>
      </c>
      <c r="L956" t="s">
        <v>74</v>
      </c>
      <c r="M956" t="s">
        <v>79</v>
      </c>
      <c r="N956" t="s">
        <v>108</v>
      </c>
      <c r="O956" t="s">
        <v>74</v>
      </c>
      <c r="P956" t="s">
        <v>74</v>
      </c>
      <c r="Q956" t="s">
        <v>74</v>
      </c>
      <c r="R956" t="s">
        <v>74</v>
      </c>
      <c r="S956" t="s">
        <v>74</v>
      </c>
      <c r="T956" t="s">
        <v>17954</v>
      </c>
      <c r="U956" t="s">
        <v>17955</v>
      </c>
      <c r="V956" t="s">
        <v>17956</v>
      </c>
      <c r="W956" t="s">
        <v>17957</v>
      </c>
      <c r="X956" t="s">
        <v>17958</v>
      </c>
      <c r="Y956" t="s">
        <v>17959</v>
      </c>
      <c r="Z956" t="s">
        <v>17960</v>
      </c>
      <c r="AA956" t="s">
        <v>17961</v>
      </c>
      <c r="AB956" t="s">
        <v>17962</v>
      </c>
      <c r="AC956" t="s">
        <v>74</v>
      </c>
      <c r="AD956" t="s">
        <v>74</v>
      </c>
      <c r="AE956" t="s">
        <v>74</v>
      </c>
      <c r="AF956" t="s">
        <v>74</v>
      </c>
      <c r="AG956">
        <v>38</v>
      </c>
      <c r="AH956">
        <v>3</v>
      </c>
      <c r="AI956">
        <v>3</v>
      </c>
      <c r="AJ956">
        <v>0</v>
      </c>
      <c r="AK956">
        <v>3</v>
      </c>
      <c r="AL956" t="s">
        <v>939</v>
      </c>
      <c r="AM956" t="s">
        <v>940</v>
      </c>
      <c r="AN956" t="s">
        <v>941</v>
      </c>
      <c r="AO956" t="s">
        <v>74</v>
      </c>
      <c r="AP956" t="s">
        <v>7471</v>
      </c>
      <c r="AQ956" t="s">
        <v>74</v>
      </c>
      <c r="AR956" t="s">
        <v>7472</v>
      </c>
      <c r="AS956" t="s">
        <v>7473</v>
      </c>
      <c r="AT956" t="s">
        <v>2016</v>
      </c>
      <c r="AU956">
        <v>2023</v>
      </c>
      <c r="AV956">
        <v>23</v>
      </c>
      <c r="AW956">
        <v>2</v>
      </c>
      <c r="AX956" t="s">
        <v>74</v>
      </c>
      <c r="AY956" t="s">
        <v>74</v>
      </c>
      <c r="AZ956" t="s">
        <v>74</v>
      </c>
      <c r="BA956" t="s">
        <v>74</v>
      </c>
      <c r="BB956" t="s">
        <v>74</v>
      </c>
      <c r="BC956" t="s">
        <v>74</v>
      </c>
      <c r="BD956">
        <v>826</v>
      </c>
      <c r="BE956" t="s">
        <v>17963</v>
      </c>
      <c r="BF956" t="str">
        <f>HYPERLINK("http://dx.doi.org/10.3390/s23020826","http://dx.doi.org/10.3390/s23020826")</f>
        <v>http://dx.doi.org/10.3390/s23020826</v>
      </c>
      <c r="BG956" t="s">
        <v>74</v>
      </c>
      <c r="BH956" t="s">
        <v>74</v>
      </c>
      <c r="BI956">
        <v>15</v>
      </c>
      <c r="BJ956" t="s">
        <v>7475</v>
      </c>
      <c r="BK956" t="s">
        <v>130</v>
      </c>
      <c r="BL956" t="s">
        <v>7476</v>
      </c>
      <c r="BM956" t="s">
        <v>17964</v>
      </c>
      <c r="BN956">
        <v>36679622</v>
      </c>
      <c r="BO956" t="s">
        <v>1728</v>
      </c>
      <c r="BP956" t="s">
        <v>74</v>
      </c>
      <c r="BQ956" t="s">
        <v>74</v>
      </c>
      <c r="BR956" t="s">
        <v>101</v>
      </c>
      <c r="BS956" t="s">
        <v>17965</v>
      </c>
      <c r="BT956" t="str">
        <f>HYPERLINK("https%3A%2F%2Fwww.webofscience.com%2Fwos%2Fwoscc%2Ffull-record%2FWOS:000927270400001","View Full Record in Web of Science")</f>
        <v>View Full Record in Web of Science</v>
      </c>
    </row>
    <row r="957" spans="1:72" x14ac:dyDescent="0.2">
      <c r="A957" t="s">
        <v>72</v>
      </c>
      <c r="B957" t="s">
        <v>17966</v>
      </c>
      <c r="C957" t="s">
        <v>74</v>
      </c>
      <c r="D957" t="s">
        <v>74</v>
      </c>
      <c r="E957" t="s">
        <v>75</v>
      </c>
      <c r="F957" t="s">
        <v>17967</v>
      </c>
      <c r="G957" t="s">
        <v>74</v>
      </c>
      <c r="H957" t="s">
        <v>74</v>
      </c>
      <c r="I957" t="s">
        <v>17968</v>
      </c>
      <c r="J957" t="s">
        <v>1264</v>
      </c>
      <c r="K957" t="s">
        <v>74</v>
      </c>
      <c r="L957" t="s">
        <v>74</v>
      </c>
      <c r="M957" t="s">
        <v>79</v>
      </c>
      <c r="N957" t="s">
        <v>80</v>
      </c>
      <c r="O957" t="s">
        <v>1265</v>
      </c>
      <c r="P957" t="s">
        <v>290</v>
      </c>
      <c r="Q957" t="s">
        <v>1266</v>
      </c>
      <c r="R957" t="s">
        <v>1267</v>
      </c>
      <c r="S957" t="s">
        <v>74</v>
      </c>
      <c r="T957" t="s">
        <v>17969</v>
      </c>
      <c r="U957" t="s">
        <v>17970</v>
      </c>
      <c r="V957" t="s">
        <v>17971</v>
      </c>
      <c r="W957" t="s">
        <v>17972</v>
      </c>
      <c r="X957" t="s">
        <v>17973</v>
      </c>
      <c r="Y957" t="s">
        <v>17974</v>
      </c>
      <c r="Z957" t="s">
        <v>17975</v>
      </c>
      <c r="AA957" t="s">
        <v>74</v>
      </c>
      <c r="AB957" t="s">
        <v>17976</v>
      </c>
      <c r="AC957" t="s">
        <v>17977</v>
      </c>
      <c r="AD957" t="s">
        <v>17978</v>
      </c>
      <c r="AE957" t="s">
        <v>17979</v>
      </c>
      <c r="AF957" t="s">
        <v>74</v>
      </c>
      <c r="AG957">
        <v>41</v>
      </c>
      <c r="AH957">
        <v>0</v>
      </c>
      <c r="AI957">
        <v>0</v>
      </c>
      <c r="AJ957">
        <v>0</v>
      </c>
      <c r="AK957">
        <v>0</v>
      </c>
      <c r="AL957" t="s">
        <v>92</v>
      </c>
      <c r="AM957" t="s">
        <v>93</v>
      </c>
      <c r="AN957" t="s">
        <v>94</v>
      </c>
      <c r="AO957" t="s">
        <v>74</v>
      </c>
      <c r="AP957" t="s">
        <v>74</v>
      </c>
      <c r="AQ957" t="s">
        <v>1278</v>
      </c>
      <c r="AR957" t="s">
        <v>74</v>
      </c>
      <c r="AS957" t="s">
        <v>74</v>
      </c>
      <c r="AT957" t="s">
        <v>74</v>
      </c>
      <c r="AU957">
        <v>2023</v>
      </c>
      <c r="AV957" t="s">
        <v>74</v>
      </c>
      <c r="AW957" t="s">
        <v>74</v>
      </c>
      <c r="AX957" t="s">
        <v>74</v>
      </c>
      <c r="AY957" t="s">
        <v>74</v>
      </c>
      <c r="AZ957" t="s">
        <v>74</v>
      </c>
      <c r="BA957" t="s">
        <v>74</v>
      </c>
      <c r="BB957">
        <v>288</v>
      </c>
      <c r="BC957">
        <v>296</v>
      </c>
      <c r="BD957" t="s">
        <v>74</v>
      </c>
      <c r="BE957" t="s">
        <v>17980</v>
      </c>
      <c r="BF957" t="str">
        <f>HYPERLINK("http://dx.doi.org/10.1145/3604237.3626857","http://dx.doi.org/10.1145/3604237.3626857")</f>
        <v>http://dx.doi.org/10.1145/3604237.3626857</v>
      </c>
      <c r="BG957" t="s">
        <v>74</v>
      </c>
      <c r="BH957" t="s">
        <v>74</v>
      </c>
      <c r="BI957">
        <v>9</v>
      </c>
      <c r="BJ957" t="s">
        <v>1280</v>
      </c>
      <c r="BK957" t="s">
        <v>180</v>
      </c>
      <c r="BL957" t="s">
        <v>1281</v>
      </c>
      <c r="BM957" t="s">
        <v>1282</v>
      </c>
      <c r="BN957" t="s">
        <v>74</v>
      </c>
      <c r="BO957" t="s">
        <v>74</v>
      </c>
      <c r="BP957" t="s">
        <v>74</v>
      </c>
      <c r="BQ957" t="s">
        <v>74</v>
      </c>
      <c r="BR957" t="s">
        <v>101</v>
      </c>
      <c r="BS957" t="s">
        <v>17981</v>
      </c>
      <c r="BT957" t="str">
        <f>HYPERLINK("https%3A%2F%2Fwww.webofscience.com%2Fwos%2Fwoscc%2Ffull-record%2FWOS:001124982700034","View Full Record in Web of Science")</f>
        <v>View Full Record in Web of Science</v>
      </c>
    </row>
    <row r="958" spans="1:72" x14ac:dyDescent="0.2">
      <c r="A958" t="s">
        <v>103</v>
      </c>
      <c r="B958" t="s">
        <v>17982</v>
      </c>
      <c r="C958" t="s">
        <v>74</v>
      </c>
      <c r="D958" t="s">
        <v>74</v>
      </c>
      <c r="E958" t="s">
        <v>74</v>
      </c>
      <c r="F958" t="s">
        <v>17983</v>
      </c>
      <c r="G958" t="s">
        <v>74</v>
      </c>
      <c r="H958" t="s">
        <v>74</v>
      </c>
      <c r="I958" t="s">
        <v>17984</v>
      </c>
      <c r="J958" t="s">
        <v>17985</v>
      </c>
      <c r="K958" t="s">
        <v>74</v>
      </c>
      <c r="L958" t="s">
        <v>74</v>
      </c>
      <c r="M958" t="s">
        <v>79</v>
      </c>
      <c r="N958" t="s">
        <v>108</v>
      </c>
      <c r="O958" t="s">
        <v>74</v>
      </c>
      <c r="P958" t="s">
        <v>74</v>
      </c>
      <c r="Q958" t="s">
        <v>74</v>
      </c>
      <c r="R958" t="s">
        <v>74</v>
      </c>
      <c r="S958" t="s">
        <v>74</v>
      </c>
      <c r="T958" t="s">
        <v>17986</v>
      </c>
      <c r="U958" t="s">
        <v>17987</v>
      </c>
      <c r="V958" t="s">
        <v>17988</v>
      </c>
      <c r="W958" t="s">
        <v>17989</v>
      </c>
      <c r="X958" t="s">
        <v>17990</v>
      </c>
      <c r="Y958" t="s">
        <v>17991</v>
      </c>
      <c r="Z958" t="s">
        <v>17992</v>
      </c>
      <c r="AA958" t="s">
        <v>17993</v>
      </c>
      <c r="AB958" t="s">
        <v>17994</v>
      </c>
      <c r="AC958" t="s">
        <v>17995</v>
      </c>
      <c r="AD958" t="s">
        <v>17996</v>
      </c>
      <c r="AE958" t="s">
        <v>17997</v>
      </c>
      <c r="AF958" t="s">
        <v>74</v>
      </c>
      <c r="AG958">
        <v>78</v>
      </c>
      <c r="AH958">
        <v>0</v>
      </c>
      <c r="AI958">
        <v>0</v>
      </c>
      <c r="AJ958">
        <v>14</v>
      </c>
      <c r="AK958">
        <v>14</v>
      </c>
      <c r="AL958" t="s">
        <v>764</v>
      </c>
      <c r="AM958" t="s">
        <v>765</v>
      </c>
      <c r="AN958" t="s">
        <v>766</v>
      </c>
      <c r="AO958" t="s">
        <v>17998</v>
      </c>
      <c r="AP958" t="s">
        <v>17999</v>
      </c>
      <c r="AQ958" t="s">
        <v>74</v>
      </c>
      <c r="AR958" t="s">
        <v>18000</v>
      </c>
      <c r="AS958" t="s">
        <v>18001</v>
      </c>
      <c r="AT958" t="s">
        <v>276</v>
      </c>
      <c r="AU958">
        <v>2023</v>
      </c>
      <c r="AV958">
        <v>124</v>
      </c>
      <c r="AW958" t="s">
        <v>74</v>
      </c>
      <c r="AX958" t="s">
        <v>74</v>
      </c>
      <c r="AY958" t="s">
        <v>74</v>
      </c>
      <c r="AZ958" t="s">
        <v>74</v>
      </c>
      <c r="BA958" t="s">
        <v>74</v>
      </c>
      <c r="BB958" t="s">
        <v>74</v>
      </c>
      <c r="BC958" t="s">
        <v>74</v>
      </c>
      <c r="BD958">
        <v>103496</v>
      </c>
      <c r="BE958" t="s">
        <v>18002</v>
      </c>
      <c r="BF958" t="str">
        <f>HYPERLINK("http://dx.doi.org/10.1016/j.jag.2023.103496","http://dx.doi.org/10.1016/j.jag.2023.103496")</f>
        <v>http://dx.doi.org/10.1016/j.jag.2023.103496</v>
      </c>
      <c r="BG958" t="s">
        <v>74</v>
      </c>
      <c r="BH958" t="s">
        <v>278</v>
      </c>
      <c r="BI958">
        <v>17</v>
      </c>
      <c r="BJ958" t="s">
        <v>15679</v>
      </c>
      <c r="BK958" t="s">
        <v>130</v>
      </c>
      <c r="BL958" t="s">
        <v>15679</v>
      </c>
      <c r="BM958" t="s">
        <v>18003</v>
      </c>
      <c r="BN958" t="s">
        <v>74</v>
      </c>
      <c r="BO958" t="s">
        <v>425</v>
      </c>
      <c r="BP958" t="s">
        <v>74</v>
      </c>
      <c r="BQ958" t="s">
        <v>74</v>
      </c>
      <c r="BR958" t="s">
        <v>101</v>
      </c>
      <c r="BS958" t="s">
        <v>18004</v>
      </c>
      <c r="BT958" t="str">
        <f>HYPERLINK("https%3A%2F%2Fwww.webofscience.com%2Fwos%2Fwoscc%2Ffull-record%2FWOS:001097248200001","View Full Record in Web of Science")</f>
        <v>View Full Record in Web of Science</v>
      </c>
    </row>
    <row r="959" spans="1:72" x14ac:dyDescent="0.2">
      <c r="A959" t="s">
        <v>103</v>
      </c>
      <c r="B959" t="s">
        <v>18005</v>
      </c>
      <c r="C959" t="s">
        <v>74</v>
      </c>
      <c r="D959" t="s">
        <v>74</v>
      </c>
      <c r="E959" t="s">
        <v>74</v>
      </c>
      <c r="F959" t="s">
        <v>18006</v>
      </c>
      <c r="G959" t="s">
        <v>74</v>
      </c>
      <c r="H959" t="s">
        <v>74</v>
      </c>
      <c r="I959" t="s">
        <v>18007</v>
      </c>
      <c r="J959" t="s">
        <v>18008</v>
      </c>
      <c r="K959" t="s">
        <v>74</v>
      </c>
      <c r="L959" t="s">
        <v>74</v>
      </c>
      <c r="M959" t="s">
        <v>79</v>
      </c>
      <c r="N959" t="s">
        <v>138</v>
      </c>
      <c r="O959" t="s">
        <v>74</v>
      </c>
      <c r="P959" t="s">
        <v>74</v>
      </c>
      <c r="Q959" t="s">
        <v>74</v>
      </c>
      <c r="R959" t="s">
        <v>74</v>
      </c>
      <c r="S959" t="s">
        <v>74</v>
      </c>
      <c r="T959" t="s">
        <v>74</v>
      </c>
      <c r="U959" t="s">
        <v>74</v>
      </c>
      <c r="V959" t="s">
        <v>18009</v>
      </c>
      <c r="W959" t="s">
        <v>18010</v>
      </c>
      <c r="X959" t="s">
        <v>5214</v>
      </c>
      <c r="Y959" t="s">
        <v>18011</v>
      </c>
      <c r="Z959" t="s">
        <v>18012</v>
      </c>
      <c r="AA959" t="s">
        <v>74</v>
      </c>
      <c r="AB959" t="s">
        <v>74</v>
      </c>
      <c r="AC959" t="s">
        <v>5214</v>
      </c>
      <c r="AD959" t="s">
        <v>5214</v>
      </c>
      <c r="AE959" t="s">
        <v>3401</v>
      </c>
      <c r="AF959" t="s">
        <v>74</v>
      </c>
      <c r="AG959">
        <v>19</v>
      </c>
      <c r="AH959">
        <v>0</v>
      </c>
      <c r="AI959">
        <v>0</v>
      </c>
      <c r="AJ959">
        <v>1</v>
      </c>
      <c r="AK959">
        <v>1</v>
      </c>
      <c r="AL959" t="s">
        <v>18013</v>
      </c>
      <c r="AM959" t="s">
        <v>2622</v>
      </c>
      <c r="AN959" t="s">
        <v>18014</v>
      </c>
      <c r="AO959" t="s">
        <v>18015</v>
      </c>
      <c r="AP959" t="s">
        <v>18016</v>
      </c>
      <c r="AQ959" t="s">
        <v>74</v>
      </c>
      <c r="AR959" t="s">
        <v>18017</v>
      </c>
      <c r="AS959" t="s">
        <v>18018</v>
      </c>
      <c r="AT959" t="s">
        <v>155</v>
      </c>
      <c r="AU959">
        <v>2023</v>
      </c>
      <c r="AV959" t="s">
        <v>74</v>
      </c>
      <c r="AW959" t="s">
        <v>74</v>
      </c>
      <c r="AX959" t="s">
        <v>74</v>
      </c>
      <c r="AY959" t="s">
        <v>74</v>
      </c>
      <c r="AZ959" t="s">
        <v>74</v>
      </c>
      <c r="BA959" t="s">
        <v>74</v>
      </c>
      <c r="BB959" t="s">
        <v>74</v>
      </c>
      <c r="BC959" t="s">
        <v>74</v>
      </c>
      <c r="BD959" t="s">
        <v>74</v>
      </c>
      <c r="BE959" t="s">
        <v>18019</v>
      </c>
      <c r="BF959" t="str">
        <f>HYPERLINK("http://dx.doi.org/10.1007/s41245-023-00230-9","http://dx.doi.org/10.1007/s41245-023-00230-9")</f>
        <v>http://dx.doi.org/10.1007/s41245-023-00230-9</v>
      </c>
      <c r="BG959" t="s">
        <v>74</v>
      </c>
      <c r="BH959" t="s">
        <v>157</v>
      </c>
      <c r="BI959">
        <v>8</v>
      </c>
      <c r="BJ959" t="s">
        <v>18020</v>
      </c>
      <c r="BK959" t="s">
        <v>2649</v>
      </c>
      <c r="BL959" t="s">
        <v>8185</v>
      </c>
      <c r="BM959" t="s">
        <v>18021</v>
      </c>
      <c r="BN959" t="s">
        <v>74</v>
      </c>
      <c r="BO959" t="s">
        <v>161</v>
      </c>
      <c r="BP959" t="s">
        <v>74</v>
      </c>
      <c r="BQ959" t="s">
        <v>74</v>
      </c>
      <c r="BR959" t="s">
        <v>101</v>
      </c>
      <c r="BS959" t="s">
        <v>18022</v>
      </c>
      <c r="BT959" t="str">
        <f>HYPERLINK("https%3A%2F%2Fwww.webofscience.com%2Fwos%2Fwoscc%2Ffull-record%2FWOS:001122732800001","View Full Record in Web of Science")</f>
        <v>View Full Record in Web of Science</v>
      </c>
    </row>
    <row r="960" spans="1:72" x14ac:dyDescent="0.2">
      <c r="A960" t="s">
        <v>103</v>
      </c>
      <c r="B960" t="s">
        <v>18023</v>
      </c>
      <c r="C960" t="s">
        <v>74</v>
      </c>
      <c r="D960" t="s">
        <v>74</v>
      </c>
      <c r="E960" t="s">
        <v>74</v>
      </c>
      <c r="F960" t="s">
        <v>18024</v>
      </c>
      <c r="G960" t="s">
        <v>74</v>
      </c>
      <c r="H960" t="s">
        <v>74</v>
      </c>
      <c r="I960" t="s">
        <v>18025</v>
      </c>
      <c r="J960" t="s">
        <v>18026</v>
      </c>
      <c r="K960" t="s">
        <v>74</v>
      </c>
      <c r="L960" t="s">
        <v>74</v>
      </c>
      <c r="M960" t="s">
        <v>79</v>
      </c>
      <c r="N960" t="s">
        <v>108</v>
      </c>
      <c r="O960" t="s">
        <v>74</v>
      </c>
      <c r="P960" t="s">
        <v>74</v>
      </c>
      <c r="Q960" t="s">
        <v>74</v>
      </c>
      <c r="R960" t="s">
        <v>74</v>
      </c>
      <c r="S960" t="s">
        <v>74</v>
      </c>
      <c r="T960" t="s">
        <v>18027</v>
      </c>
      <c r="U960" t="s">
        <v>74</v>
      </c>
      <c r="V960" t="s">
        <v>18028</v>
      </c>
      <c r="W960" t="s">
        <v>18029</v>
      </c>
      <c r="X960" t="s">
        <v>18030</v>
      </c>
      <c r="Y960" t="s">
        <v>18031</v>
      </c>
      <c r="Z960" t="s">
        <v>18032</v>
      </c>
      <c r="AA960" t="s">
        <v>18033</v>
      </c>
      <c r="AB960" t="s">
        <v>18034</v>
      </c>
      <c r="AC960" t="s">
        <v>18035</v>
      </c>
      <c r="AD960" t="s">
        <v>18036</v>
      </c>
      <c r="AE960" t="s">
        <v>18037</v>
      </c>
      <c r="AF960" t="s">
        <v>74</v>
      </c>
      <c r="AG960">
        <v>53</v>
      </c>
      <c r="AH960">
        <v>6</v>
      </c>
      <c r="AI960">
        <v>6</v>
      </c>
      <c r="AJ960">
        <v>7</v>
      </c>
      <c r="AK960">
        <v>7</v>
      </c>
      <c r="AL960" t="s">
        <v>638</v>
      </c>
      <c r="AM960" t="s">
        <v>639</v>
      </c>
      <c r="AN960" t="s">
        <v>1557</v>
      </c>
      <c r="AO960" t="s">
        <v>18038</v>
      </c>
      <c r="AP960" t="s">
        <v>74</v>
      </c>
      <c r="AQ960" t="s">
        <v>74</v>
      </c>
      <c r="AR960" t="s">
        <v>18039</v>
      </c>
      <c r="AS960" t="s">
        <v>18040</v>
      </c>
      <c r="AT960" t="s">
        <v>18041</v>
      </c>
      <c r="AU960">
        <v>2023</v>
      </c>
      <c r="AV960">
        <v>10</v>
      </c>
      <c r="AW960">
        <v>5</v>
      </c>
      <c r="AX960" t="s">
        <v>74</v>
      </c>
      <c r="AY960" t="s">
        <v>74</v>
      </c>
      <c r="AZ960" t="s">
        <v>74</v>
      </c>
      <c r="BA960" t="s">
        <v>74</v>
      </c>
      <c r="BB960">
        <v>2584</v>
      </c>
      <c r="BC960">
        <v>2596</v>
      </c>
      <c r="BD960" t="s">
        <v>74</v>
      </c>
      <c r="BE960" t="s">
        <v>18042</v>
      </c>
      <c r="BF960" t="str">
        <f>HYPERLINK("http://dx.doi.org/10.1109/TNSE.2022.3190765","http://dx.doi.org/10.1109/TNSE.2022.3190765")</f>
        <v>http://dx.doi.org/10.1109/TNSE.2022.3190765</v>
      </c>
      <c r="BG960" t="s">
        <v>74</v>
      </c>
      <c r="BH960" t="s">
        <v>74</v>
      </c>
      <c r="BI960">
        <v>13</v>
      </c>
      <c r="BJ960" t="s">
        <v>10368</v>
      </c>
      <c r="BK960" t="s">
        <v>130</v>
      </c>
      <c r="BL960" t="s">
        <v>4562</v>
      </c>
      <c r="BM960" t="s">
        <v>18043</v>
      </c>
      <c r="BN960" t="s">
        <v>74</v>
      </c>
      <c r="BO960" t="s">
        <v>74</v>
      </c>
      <c r="BP960" t="s">
        <v>74</v>
      </c>
      <c r="BQ960" t="s">
        <v>74</v>
      </c>
      <c r="BR960" t="s">
        <v>101</v>
      </c>
      <c r="BS960" t="s">
        <v>18044</v>
      </c>
      <c r="BT960" t="str">
        <f>HYPERLINK("https%3A%2F%2Fwww.webofscience.com%2Fwos%2Fwoscc%2Ffull-record%2FWOS:001071466900017","View Full Record in Web of Science")</f>
        <v>View Full Record in Web of Science</v>
      </c>
    </row>
    <row r="961" spans="1:72" x14ac:dyDescent="0.2">
      <c r="A961" t="s">
        <v>103</v>
      </c>
      <c r="B961" t="s">
        <v>18045</v>
      </c>
      <c r="C961" t="s">
        <v>74</v>
      </c>
      <c r="D961" t="s">
        <v>74</v>
      </c>
      <c r="E961" t="s">
        <v>74</v>
      </c>
      <c r="F961" t="s">
        <v>18046</v>
      </c>
      <c r="G961" t="s">
        <v>74</v>
      </c>
      <c r="H961" t="s">
        <v>74</v>
      </c>
      <c r="I961" t="s">
        <v>18047</v>
      </c>
      <c r="J961" t="s">
        <v>17588</v>
      </c>
      <c r="K961" t="s">
        <v>74</v>
      </c>
      <c r="L961" t="s">
        <v>74</v>
      </c>
      <c r="M961" t="s">
        <v>79</v>
      </c>
      <c r="N961" t="s">
        <v>108</v>
      </c>
      <c r="O961" t="s">
        <v>74</v>
      </c>
      <c r="P961" t="s">
        <v>74</v>
      </c>
      <c r="Q961" t="s">
        <v>74</v>
      </c>
      <c r="R961" t="s">
        <v>74</v>
      </c>
      <c r="S961" t="s">
        <v>74</v>
      </c>
      <c r="T961" t="s">
        <v>18048</v>
      </c>
      <c r="U961" t="s">
        <v>74</v>
      </c>
      <c r="V961" t="s">
        <v>18049</v>
      </c>
      <c r="W961" t="s">
        <v>18050</v>
      </c>
      <c r="X961" t="s">
        <v>18051</v>
      </c>
      <c r="Y961" t="s">
        <v>18052</v>
      </c>
      <c r="Z961" t="s">
        <v>18053</v>
      </c>
      <c r="AA961" t="s">
        <v>18054</v>
      </c>
      <c r="AB961" t="s">
        <v>18055</v>
      </c>
      <c r="AC961" t="s">
        <v>18056</v>
      </c>
      <c r="AD961" t="s">
        <v>18057</v>
      </c>
      <c r="AE961" t="s">
        <v>18058</v>
      </c>
      <c r="AF961" t="s">
        <v>74</v>
      </c>
      <c r="AG961">
        <v>52</v>
      </c>
      <c r="AH961">
        <v>0</v>
      </c>
      <c r="AI961">
        <v>0</v>
      </c>
      <c r="AJ961">
        <v>4</v>
      </c>
      <c r="AK961">
        <v>4</v>
      </c>
      <c r="AL961" t="s">
        <v>13480</v>
      </c>
      <c r="AM961" t="s">
        <v>13481</v>
      </c>
      <c r="AN961" t="s">
        <v>13482</v>
      </c>
      <c r="AO961" t="s">
        <v>17600</v>
      </c>
      <c r="AP961" t="s">
        <v>17601</v>
      </c>
      <c r="AQ961" t="s">
        <v>74</v>
      </c>
      <c r="AR961" t="s">
        <v>17602</v>
      </c>
      <c r="AS961" t="s">
        <v>17603</v>
      </c>
      <c r="AT961" t="s">
        <v>467</v>
      </c>
      <c r="AU961">
        <v>2023</v>
      </c>
      <c r="AV961">
        <v>235</v>
      </c>
      <c r="AW961" t="s">
        <v>74</v>
      </c>
      <c r="AX961" t="s">
        <v>74</v>
      </c>
      <c r="AY961" t="s">
        <v>74</v>
      </c>
      <c r="AZ961" t="s">
        <v>74</v>
      </c>
      <c r="BA961" t="s">
        <v>74</v>
      </c>
      <c r="BB961" t="s">
        <v>74</v>
      </c>
      <c r="BC961" t="s">
        <v>74</v>
      </c>
      <c r="BD961">
        <v>103778</v>
      </c>
      <c r="BE961" t="s">
        <v>18059</v>
      </c>
      <c r="BF961" t="str">
        <f>HYPERLINK("http://dx.doi.org/10.1016/j.cviu.2023.103778","http://dx.doi.org/10.1016/j.cviu.2023.103778")</f>
        <v>http://dx.doi.org/10.1016/j.cviu.2023.103778</v>
      </c>
      <c r="BG961" t="s">
        <v>74</v>
      </c>
      <c r="BH961" t="s">
        <v>229</v>
      </c>
      <c r="BI961">
        <v>10</v>
      </c>
      <c r="BJ961" t="s">
        <v>6627</v>
      </c>
      <c r="BK961" t="s">
        <v>130</v>
      </c>
      <c r="BL961" t="s">
        <v>906</v>
      </c>
      <c r="BM961" t="s">
        <v>18060</v>
      </c>
      <c r="BN961" t="s">
        <v>74</v>
      </c>
      <c r="BO961" t="s">
        <v>4286</v>
      </c>
      <c r="BP961" t="s">
        <v>74</v>
      </c>
      <c r="BQ961" t="s">
        <v>74</v>
      </c>
      <c r="BR961" t="s">
        <v>101</v>
      </c>
      <c r="BS961" t="s">
        <v>18061</v>
      </c>
      <c r="BT961" t="str">
        <f>HYPERLINK("https%3A%2F%2Fwww.webofscience.com%2Fwos%2Fwoscc%2Ffull-record%2FWOS:001047495100001","View Full Record in Web of Science")</f>
        <v>View Full Record in Web of Science</v>
      </c>
    </row>
    <row r="962" spans="1:72" x14ac:dyDescent="0.2">
      <c r="A962" t="s">
        <v>103</v>
      </c>
      <c r="B962" t="s">
        <v>18062</v>
      </c>
      <c r="C962" t="s">
        <v>74</v>
      </c>
      <c r="D962" t="s">
        <v>74</v>
      </c>
      <c r="E962" t="s">
        <v>74</v>
      </c>
      <c r="F962" t="s">
        <v>18063</v>
      </c>
      <c r="G962" t="s">
        <v>74</v>
      </c>
      <c r="H962" t="s">
        <v>74</v>
      </c>
      <c r="I962" t="s">
        <v>18064</v>
      </c>
      <c r="J962" t="s">
        <v>18065</v>
      </c>
      <c r="K962" t="s">
        <v>74</v>
      </c>
      <c r="L962" t="s">
        <v>74</v>
      </c>
      <c r="M962" t="s">
        <v>79</v>
      </c>
      <c r="N962" t="s">
        <v>108</v>
      </c>
      <c r="O962" t="s">
        <v>74</v>
      </c>
      <c r="P962" t="s">
        <v>74</v>
      </c>
      <c r="Q962" t="s">
        <v>74</v>
      </c>
      <c r="R962" t="s">
        <v>74</v>
      </c>
      <c r="S962" t="s">
        <v>74</v>
      </c>
      <c r="T962" t="s">
        <v>18066</v>
      </c>
      <c r="U962" t="s">
        <v>74</v>
      </c>
      <c r="V962" t="s">
        <v>18067</v>
      </c>
      <c r="W962" t="s">
        <v>18068</v>
      </c>
      <c r="X962" t="s">
        <v>18069</v>
      </c>
      <c r="Y962" t="s">
        <v>18070</v>
      </c>
      <c r="Z962" t="s">
        <v>18071</v>
      </c>
      <c r="AA962" t="s">
        <v>74</v>
      </c>
      <c r="AB962" t="s">
        <v>18072</v>
      </c>
      <c r="AC962" t="s">
        <v>18073</v>
      </c>
      <c r="AD962" t="s">
        <v>18074</v>
      </c>
      <c r="AE962" t="s">
        <v>18075</v>
      </c>
      <c r="AF962" t="s">
        <v>74</v>
      </c>
      <c r="AG962">
        <v>35</v>
      </c>
      <c r="AH962">
        <v>2</v>
      </c>
      <c r="AI962">
        <v>2</v>
      </c>
      <c r="AJ962">
        <v>28</v>
      </c>
      <c r="AK962">
        <v>44</v>
      </c>
      <c r="AL962" t="s">
        <v>1379</v>
      </c>
      <c r="AM962" t="s">
        <v>1380</v>
      </c>
      <c r="AN962" t="s">
        <v>1381</v>
      </c>
      <c r="AO962" t="s">
        <v>18076</v>
      </c>
      <c r="AP962" t="s">
        <v>74</v>
      </c>
      <c r="AQ962" t="s">
        <v>74</v>
      </c>
      <c r="AR962" t="s">
        <v>18077</v>
      </c>
      <c r="AS962" t="s">
        <v>18078</v>
      </c>
      <c r="AT962" t="s">
        <v>4461</v>
      </c>
      <c r="AU962">
        <v>2023</v>
      </c>
      <c r="AV962">
        <v>8</v>
      </c>
      <c r="AW962">
        <v>5</v>
      </c>
      <c r="AX962" t="s">
        <v>74</v>
      </c>
      <c r="AY962" t="s">
        <v>74</v>
      </c>
      <c r="AZ962" t="s">
        <v>74</v>
      </c>
      <c r="BA962" t="s">
        <v>74</v>
      </c>
      <c r="BB962">
        <v>2708</v>
      </c>
      <c r="BC962">
        <v>2715</v>
      </c>
      <c r="BD962" t="s">
        <v>74</v>
      </c>
      <c r="BE962" t="s">
        <v>18079</v>
      </c>
      <c r="BF962" t="str">
        <f>HYPERLINK("http://dx.doi.org/10.1109/LRA.2023.3258685","http://dx.doi.org/10.1109/LRA.2023.3258685")</f>
        <v>http://dx.doi.org/10.1109/LRA.2023.3258685</v>
      </c>
      <c r="BG962" t="s">
        <v>74</v>
      </c>
      <c r="BH962" t="s">
        <v>74</v>
      </c>
      <c r="BI962">
        <v>8</v>
      </c>
      <c r="BJ962" t="s">
        <v>18080</v>
      </c>
      <c r="BK962" t="s">
        <v>130</v>
      </c>
      <c r="BL962" t="s">
        <v>18080</v>
      </c>
      <c r="BM962" t="s">
        <v>18081</v>
      </c>
      <c r="BN962" t="s">
        <v>74</v>
      </c>
      <c r="BO962" t="s">
        <v>208</v>
      </c>
      <c r="BP962" t="s">
        <v>74</v>
      </c>
      <c r="BQ962" t="s">
        <v>74</v>
      </c>
      <c r="BR962" t="s">
        <v>101</v>
      </c>
      <c r="BS962" t="s">
        <v>18082</v>
      </c>
      <c r="BT962" t="str">
        <f>HYPERLINK("https%3A%2F%2Fwww.webofscience.com%2Fwos%2Fwoscc%2Ffull-record%2FWOS:000960675100007","View Full Record in Web of Science")</f>
        <v>View Full Record in Web of Science</v>
      </c>
    </row>
    <row r="963" spans="1:72" x14ac:dyDescent="0.2">
      <c r="A963" t="s">
        <v>103</v>
      </c>
      <c r="B963" t="s">
        <v>18083</v>
      </c>
      <c r="C963" t="s">
        <v>74</v>
      </c>
      <c r="D963" t="s">
        <v>74</v>
      </c>
      <c r="E963" t="s">
        <v>74</v>
      </c>
      <c r="F963" t="s">
        <v>18084</v>
      </c>
      <c r="G963" t="s">
        <v>74</v>
      </c>
      <c r="H963" t="s">
        <v>74</v>
      </c>
      <c r="I963" t="s">
        <v>18085</v>
      </c>
      <c r="J963" t="s">
        <v>18065</v>
      </c>
      <c r="K963" t="s">
        <v>74</v>
      </c>
      <c r="L963" t="s">
        <v>74</v>
      </c>
      <c r="M963" t="s">
        <v>79</v>
      </c>
      <c r="N963" t="s">
        <v>108</v>
      </c>
      <c r="O963" t="s">
        <v>74</v>
      </c>
      <c r="P963" t="s">
        <v>74</v>
      </c>
      <c r="Q963" t="s">
        <v>74</v>
      </c>
      <c r="R963" t="s">
        <v>74</v>
      </c>
      <c r="S963" t="s">
        <v>74</v>
      </c>
      <c r="T963" t="s">
        <v>18086</v>
      </c>
      <c r="U963" t="s">
        <v>74</v>
      </c>
      <c r="V963" t="s">
        <v>18087</v>
      </c>
      <c r="W963" t="s">
        <v>18088</v>
      </c>
      <c r="X963" t="s">
        <v>18089</v>
      </c>
      <c r="Y963" t="s">
        <v>18090</v>
      </c>
      <c r="Z963" t="s">
        <v>18091</v>
      </c>
      <c r="AA963" t="s">
        <v>18092</v>
      </c>
      <c r="AB963" t="s">
        <v>18093</v>
      </c>
      <c r="AC963" t="s">
        <v>18094</v>
      </c>
      <c r="AD963" t="s">
        <v>18095</v>
      </c>
      <c r="AE963" t="s">
        <v>18096</v>
      </c>
      <c r="AF963" t="s">
        <v>74</v>
      </c>
      <c r="AG963">
        <v>31</v>
      </c>
      <c r="AH963">
        <v>3</v>
      </c>
      <c r="AI963">
        <v>3</v>
      </c>
      <c r="AJ963">
        <v>8</v>
      </c>
      <c r="AK963">
        <v>25</v>
      </c>
      <c r="AL963" t="s">
        <v>1379</v>
      </c>
      <c r="AM963" t="s">
        <v>1380</v>
      </c>
      <c r="AN963" t="s">
        <v>1381</v>
      </c>
      <c r="AO963" t="s">
        <v>18076</v>
      </c>
      <c r="AP963" t="s">
        <v>74</v>
      </c>
      <c r="AQ963" t="s">
        <v>74</v>
      </c>
      <c r="AR963" t="s">
        <v>18077</v>
      </c>
      <c r="AS963" t="s">
        <v>18078</v>
      </c>
      <c r="AT963" t="s">
        <v>251</v>
      </c>
      <c r="AU963">
        <v>2023</v>
      </c>
      <c r="AV963">
        <v>8</v>
      </c>
      <c r="AW963">
        <v>2</v>
      </c>
      <c r="AX963" t="s">
        <v>74</v>
      </c>
      <c r="AY963" t="s">
        <v>74</v>
      </c>
      <c r="AZ963" t="s">
        <v>74</v>
      </c>
      <c r="BA963" t="s">
        <v>74</v>
      </c>
      <c r="BB963">
        <v>696</v>
      </c>
      <c r="BC963">
        <v>703</v>
      </c>
      <c r="BD963" t="s">
        <v>74</v>
      </c>
      <c r="BE963" t="s">
        <v>18097</v>
      </c>
      <c r="BF963" t="str">
        <f>HYPERLINK("http://dx.doi.org/10.1109/LRA.2022.3230325","http://dx.doi.org/10.1109/LRA.2022.3230325")</f>
        <v>http://dx.doi.org/10.1109/LRA.2022.3230325</v>
      </c>
      <c r="BG963" t="s">
        <v>74</v>
      </c>
      <c r="BH963" t="s">
        <v>74</v>
      </c>
      <c r="BI963">
        <v>8</v>
      </c>
      <c r="BJ963" t="s">
        <v>18080</v>
      </c>
      <c r="BK963" t="s">
        <v>130</v>
      </c>
      <c r="BL963" t="s">
        <v>18080</v>
      </c>
      <c r="BM963" t="s">
        <v>18098</v>
      </c>
      <c r="BN963" t="s">
        <v>74</v>
      </c>
      <c r="BO963" t="s">
        <v>646</v>
      </c>
      <c r="BP963" t="s">
        <v>74</v>
      </c>
      <c r="BQ963" t="s">
        <v>74</v>
      </c>
      <c r="BR963" t="s">
        <v>101</v>
      </c>
      <c r="BS963" t="s">
        <v>18099</v>
      </c>
      <c r="BT963" t="str">
        <f>HYPERLINK("https%3A%2F%2Fwww.webofscience.com%2Fwos%2Fwoscc%2Ffull-record%2FWOS:000905729200005","View Full Record in Web of Science")</f>
        <v>View Full Record in Web of Science</v>
      </c>
    </row>
    <row r="964" spans="1:72" x14ac:dyDescent="0.2">
      <c r="A964" t="s">
        <v>103</v>
      </c>
      <c r="B964" t="s">
        <v>18100</v>
      </c>
      <c r="C964" t="s">
        <v>74</v>
      </c>
      <c r="D964" t="s">
        <v>74</v>
      </c>
      <c r="E964" t="s">
        <v>74</v>
      </c>
      <c r="F964" t="s">
        <v>18101</v>
      </c>
      <c r="G964" t="s">
        <v>74</v>
      </c>
      <c r="H964" t="s">
        <v>74</v>
      </c>
      <c r="I964" t="s">
        <v>18102</v>
      </c>
      <c r="J964" t="s">
        <v>18103</v>
      </c>
      <c r="K964" t="s">
        <v>74</v>
      </c>
      <c r="L964" t="s">
        <v>74</v>
      </c>
      <c r="M964" t="s">
        <v>79</v>
      </c>
      <c r="N964" t="s">
        <v>108</v>
      </c>
      <c r="O964" t="s">
        <v>74</v>
      </c>
      <c r="P964" t="s">
        <v>74</v>
      </c>
      <c r="Q964" t="s">
        <v>74</v>
      </c>
      <c r="R964" t="s">
        <v>74</v>
      </c>
      <c r="S964" t="s">
        <v>74</v>
      </c>
      <c r="T964" t="s">
        <v>18104</v>
      </c>
      <c r="U964" t="s">
        <v>18105</v>
      </c>
      <c r="V964" t="s">
        <v>18106</v>
      </c>
      <c r="W964" t="s">
        <v>18107</v>
      </c>
      <c r="X964" t="s">
        <v>18108</v>
      </c>
      <c r="Y964" t="s">
        <v>18109</v>
      </c>
      <c r="Z964" t="s">
        <v>18110</v>
      </c>
      <c r="AA964" t="s">
        <v>74</v>
      </c>
      <c r="AB964" t="s">
        <v>74</v>
      </c>
      <c r="AC964" t="s">
        <v>18111</v>
      </c>
      <c r="AD964" t="s">
        <v>18112</v>
      </c>
      <c r="AE964" t="s">
        <v>18113</v>
      </c>
      <c r="AF964" t="s">
        <v>74</v>
      </c>
      <c r="AG964">
        <v>61</v>
      </c>
      <c r="AH964">
        <v>0</v>
      </c>
      <c r="AI964">
        <v>0</v>
      </c>
      <c r="AJ964">
        <v>12</v>
      </c>
      <c r="AK964">
        <v>21</v>
      </c>
      <c r="AL964" t="s">
        <v>939</v>
      </c>
      <c r="AM964" t="s">
        <v>940</v>
      </c>
      <c r="AN964" t="s">
        <v>941</v>
      </c>
      <c r="AO964" t="s">
        <v>74</v>
      </c>
      <c r="AP964" t="s">
        <v>18114</v>
      </c>
      <c r="AQ964" t="s">
        <v>74</v>
      </c>
      <c r="AR964" t="s">
        <v>18115</v>
      </c>
      <c r="AS964" t="s">
        <v>18116</v>
      </c>
      <c r="AT964" t="s">
        <v>615</v>
      </c>
      <c r="AU964">
        <v>2023</v>
      </c>
      <c r="AV964">
        <v>25</v>
      </c>
      <c r="AW964">
        <v>7</v>
      </c>
      <c r="AX964" t="s">
        <v>74</v>
      </c>
      <c r="AY964" t="s">
        <v>74</v>
      </c>
      <c r="AZ964" t="s">
        <v>74</v>
      </c>
      <c r="BA964" t="s">
        <v>74</v>
      </c>
      <c r="BB964" t="s">
        <v>74</v>
      </c>
      <c r="BC964" t="s">
        <v>74</v>
      </c>
      <c r="BD964">
        <v>974</v>
      </c>
      <c r="BE964" t="s">
        <v>18117</v>
      </c>
      <c r="BF964" t="str">
        <f>HYPERLINK("http://dx.doi.org/10.3390/e25070974","http://dx.doi.org/10.3390/e25070974")</f>
        <v>http://dx.doi.org/10.3390/e25070974</v>
      </c>
      <c r="BG964" t="s">
        <v>74</v>
      </c>
      <c r="BH964" t="s">
        <v>74</v>
      </c>
      <c r="BI964">
        <v>12</v>
      </c>
      <c r="BJ964" t="s">
        <v>10510</v>
      </c>
      <c r="BK964" t="s">
        <v>130</v>
      </c>
      <c r="BL964" t="s">
        <v>6827</v>
      </c>
      <c r="BM964" t="s">
        <v>18118</v>
      </c>
      <c r="BN964">
        <v>37509921</v>
      </c>
      <c r="BO964" t="s">
        <v>4185</v>
      </c>
      <c r="BP964" t="s">
        <v>74</v>
      </c>
      <c r="BQ964" t="s">
        <v>74</v>
      </c>
      <c r="BR964" t="s">
        <v>101</v>
      </c>
      <c r="BS964" t="s">
        <v>18119</v>
      </c>
      <c r="BT964" t="str">
        <f>HYPERLINK("https%3A%2F%2Fwww.webofscience.com%2Fwos%2Fwoscc%2Ffull-record%2FWOS:001036299000001","View Full Record in Web of Science")</f>
        <v>View Full Record in Web of Science</v>
      </c>
    </row>
    <row r="965" spans="1:72" x14ac:dyDescent="0.2">
      <c r="A965" t="s">
        <v>103</v>
      </c>
      <c r="B965" t="s">
        <v>18120</v>
      </c>
      <c r="C965" t="s">
        <v>74</v>
      </c>
      <c r="D965" t="s">
        <v>74</v>
      </c>
      <c r="E965" t="s">
        <v>74</v>
      </c>
      <c r="F965" t="s">
        <v>18121</v>
      </c>
      <c r="G965" t="s">
        <v>74</v>
      </c>
      <c r="H965" t="s">
        <v>74</v>
      </c>
      <c r="I965" t="s">
        <v>18122</v>
      </c>
      <c r="J965" t="s">
        <v>1370</v>
      </c>
      <c r="K965" t="s">
        <v>74</v>
      </c>
      <c r="L965" t="s">
        <v>74</v>
      </c>
      <c r="M965" t="s">
        <v>79</v>
      </c>
      <c r="N965" t="s">
        <v>108</v>
      </c>
      <c r="O965" t="s">
        <v>74</v>
      </c>
      <c r="P965" t="s">
        <v>74</v>
      </c>
      <c r="Q965" t="s">
        <v>74</v>
      </c>
      <c r="R965" t="s">
        <v>74</v>
      </c>
      <c r="S965" t="s">
        <v>74</v>
      </c>
      <c r="T965" t="s">
        <v>18123</v>
      </c>
      <c r="U965" t="s">
        <v>18124</v>
      </c>
      <c r="V965" t="s">
        <v>18125</v>
      </c>
      <c r="W965" t="s">
        <v>18126</v>
      </c>
      <c r="X965" t="s">
        <v>18127</v>
      </c>
      <c r="Y965" t="s">
        <v>18128</v>
      </c>
      <c r="Z965" t="s">
        <v>18129</v>
      </c>
      <c r="AA965" t="s">
        <v>18130</v>
      </c>
      <c r="AB965" t="s">
        <v>18131</v>
      </c>
      <c r="AC965" t="s">
        <v>74</v>
      </c>
      <c r="AD965" t="s">
        <v>74</v>
      </c>
      <c r="AE965" t="s">
        <v>74</v>
      </c>
      <c r="AF965" t="s">
        <v>74</v>
      </c>
      <c r="AG965">
        <v>112</v>
      </c>
      <c r="AH965">
        <v>0</v>
      </c>
      <c r="AI965">
        <v>0</v>
      </c>
      <c r="AJ965">
        <v>5</v>
      </c>
      <c r="AK965">
        <v>5</v>
      </c>
      <c r="AL965" t="s">
        <v>1379</v>
      </c>
      <c r="AM965" t="s">
        <v>1380</v>
      </c>
      <c r="AN965" t="s">
        <v>1381</v>
      </c>
      <c r="AO965" t="s">
        <v>1382</v>
      </c>
      <c r="AP965" t="s">
        <v>74</v>
      </c>
      <c r="AQ965" t="s">
        <v>74</v>
      </c>
      <c r="AR965" t="s">
        <v>1370</v>
      </c>
      <c r="AS965" t="s">
        <v>1383</v>
      </c>
      <c r="AT965" t="s">
        <v>74</v>
      </c>
      <c r="AU965">
        <v>2023</v>
      </c>
      <c r="AV965">
        <v>11</v>
      </c>
      <c r="AW965" t="s">
        <v>74</v>
      </c>
      <c r="AX965" t="s">
        <v>74</v>
      </c>
      <c r="AY965" t="s">
        <v>74</v>
      </c>
      <c r="AZ965" t="s">
        <v>74</v>
      </c>
      <c r="BA965" t="s">
        <v>74</v>
      </c>
      <c r="BB965">
        <v>137999</v>
      </c>
      <c r="BC965">
        <v>138019</v>
      </c>
      <c r="BD965" t="s">
        <v>74</v>
      </c>
      <c r="BE965" t="s">
        <v>18132</v>
      </c>
      <c r="BF965" t="str">
        <f>HYPERLINK("http://dx.doi.org/10.1109/ACCESS.2023.3339375","http://dx.doi.org/10.1109/ACCESS.2023.3339375")</f>
        <v>http://dx.doi.org/10.1109/ACCESS.2023.3339375</v>
      </c>
      <c r="BG965" t="s">
        <v>74</v>
      </c>
      <c r="BH965" t="s">
        <v>74</v>
      </c>
      <c r="BI965">
        <v>21</v>
      </c>
      <c r="BJ965" t="s">
        <v>1385</v>
      </c>
      <c r="BK965" t="s">
        <v>130</v>
      </c>
      <c r="BL965" t="s">
        <v>1386</v>
      </c>
      <c r="BM965" t="s">
        <v>18133</v>
      </c>
      <c r="BN965" t="s">
        <v>74</v>
      </c>
      <c r="BO965" t="s">
        <v>425</v>
      </c>
      <c r="BP965" t="s">
        <v>74</v>
      </c>
      <c r="BQ965" t="s">
        <v>74</v>
      </c>
      <c r="BR965" t="s">
        <v>101</v>
      </c>
      <c r="BS965" t="s">
        <v>18134</v>
      </c>
      <c r="BT965" t="str">
        <f>HYPERLINK("https%3A%2F%2Fwww.webofscience.com%2Fwos%2Fwoscc%2Ffull-record%2FWOS:001126101800001","View Full Record in Web of Science")</f>
        <v>View Full Record in Web of Science</v>
      </c>
    </row>
    <row r="966" spans="1:72" x14ac:dyDescent="0.2">
      <c r="A966" t="s">
        <v>72</v>
      </c>
      <c r="B966" t="s">
        <v>18135</v>
      </c>
      <c r="C966" t="s">
        <v>74</v>
      </c>
      <c r="D966" t="s">
        <v>74</v>
      </c>
      <c r="E966" t="s">
        <v>75</v>
      </c>
      <c r="F966" t="s">
        <v>18136</v>
      </c>
      <c r="G966" t="s">
        <v>74</v>
      </c>
      <c r="H966" t="s">
        <v>74</v>
      </c>
      <c r="I966" t="s">
        <v>18137</v>
      </c>
      <c r="J966" t="s">
        <v>18138</v>
      </c>
      <c r="K966" t="s">
        <v>74</v>
      </c>
      <c r="L966" t="s">
        <v>74</v>
      </c>
      <c r="M966" t="s">
        <v>79</v>
      </c>
      <c r="N966" t="s">
        <v>80</v>
      </c>
      <c r="O966" t="s">
        <v>18139</v>
      </c>
      <c r="P966" t="s">
        <v>18140</v>
      </c>
      <c r="Q966" t="s">
        <v>2789</v>
      </c>
      <c r="R966" t="s">
        <v>2092</v>
      </c>
      <c r="S966" t="s">
        <v>74</v>
      </c>
      <c r="T966" t="s">
        <v>18141</v>
      </c>
      <c r="U966" t="s">
        <v>74</v>
      </c>
      <c r="V966" t="s">
        <v>18142</v>
      </c>
      <c r="W966" t="s">
        <v>18143</v>
      </c>
      <c r="X966" t="s">
        <v>10906</v>
      </c>
      <c r="Y966" t="s">
        <v>18144</v>
      </c>
      <c r="Z966" t="s">
        <v>74</v>
      </c>
      <c r="AA966" t="s">
        <v>74</v>
      </c>
      <c r="AB966" t="s">
        <v>74</v>
      </c>
      <c r="AC966" t="s">
        <v>74</v>
      </c>
      <c r="AD966" t="s">
        <v>74</v>
      </c>
      <c r="AE966" t="s">
        <v>74</v>
      </c>
      <c r="AF966" t="s">
        <v>74</v>
      </c>
      <c r="AG966">
        <v>25</v>
      </c>
      <c r="AH966">
        <v>0</v>
      </c>
      <c r="AI966">
        <v>0</v>
      </c>
      <c r="AJ966">
        <v>5</v>
      </c>
      <c r="AK966">
        <v>5</v>
      </c>
      <c r="AL966" t="s">
        <v>92</v>
      </c>
      <c r="AM966" t="s">
        <v>93</v>
      </c>
      <c r="AN966" t="s">
        <v>94</v>
      </c>
      <c r="AO966" t="s">
        <v>74</v>
      </c>
      <c r="AP966" t="s">
        <v>74</v>
      </c>
      <c r="AQ966" t="s">
        <v>18145</v>
      </c>
      <c r="AR966" t="s">
        <v>74</v>
      </c>
      <c r="AS966" t="s">
        <v>74</v>
      </c>
      <c r="AT966" t="s">
        <v>74</v>
      </c>
      <c r="AU966">
        <v>2023</v>
      </c>
      <c r="AV966" t="s">
        <v>74</v>
      </c>
      <c r="AW966" t="s">
        <v>74</v>
      </c>
      <c r="AX966" t="s">
        <v>74</v>
      </c>
      <c r="AY966" t="s">
        <v>74</v>
      </c>
      <c r="AZ966" t="s">
        <v>74</v>
      </c>
      <c r="BA966" t="s">
        <v>74</v>
      </c>
      <c r="BB966">
        <v>33</v>
      </c>
      <c r="BC966">
        <v>40</v>
      </c>
      <c r="BD966" t="s">
        <v>74</v>
      </c>
      <c r="BE966" t="s">
        <v>18146</v>
      </c>
      <c r="BF966" t="str">
        <f>HYPERLINK("http://dx.doi.org/10.1145/3626111.3628212","http://dx.doi.org/10.1145/3626111.3628212")</f>
        <v>http://dx.doi.org/10.1145/3626111.3628212</v>
      </c>
      <c r="BG966" t="s">
        <v>74</v>
      </c>
      <c r="BH966" t="s">
        <v>74</v>
      </c>
      <c r="BI966">
        <v>8</v>
      </c>
      <c r="BJ966" t="s">
        <v>9307</v>
      </c>
      <c r="BK966" t="s">
        <v>98</v>
      </c>
      <c r="BL966" t="s">
        <v>644</v>
      </c>
      <c r="BM966" t="s">
        <v>18147</v>
      </c>
      <c r="BN966" t="s">
        <v>74</v>
      </c>
      <c r="BO966" t="s">
        <v>74</v>
      </c>
      <c r="BP966" t="s">
        <v>74</v>
      </c>
      <c r="BQ966" t="s">
        <v>74</v>
      </c>
      <c r="BR966" t="s">
        <v>101</v>
      </c>
      <c r="BS966" t="s">
        <v>18148</v>
      </c>
      <c r="BT966" t="str">
        <f>HYPERLINK("https%3A%2F%2Fwww.webofscience.com%2Fwos%2Fwoscc%2Ffull-record%2FWOS:001124843800005","View Full Record in Web of Science")</f>
        <v>View Full Record in Web of Science</v>
      </c>
    </row>
    <row r="967" spans="1:72" x14ac:dyDescent="0.2">
      <c r="A967" t="s">
        <v>103</v>
      </c>
      <c r="B967" t="s">
        <v>18149</v>
      </c>
      <c r="C967" t="s">
        <v>74</v>
      </c>
      <c r="D967" t="s">
        <v>74</v>
      </c>
      <c r="E967" t="s">
        <v>74</v>
      </c>
      <c r="F967" t="s">
        <v>18150</v>
      </c>
      <c r="G967" t="s">
        <v>74</v>
      </c>
      <c r="H967" t="s">
        <v>74</v>
      </c>
      <c r="I967" t="s">
        <v>18151</v>
      </c>
      <c r="J967" t="s">
        <v>18152</v>
      </c>
      <c r="K967" t="s">
        <v>74</v>
      </c>
      <c r="L967" t="s">
        <v>74</v>
      </c>
      <c r="M967" t="s">
        <v>79</v>
      </c>
      <c r="N967" t="s">
        <v>138</v>
      </c>
      <c r="O967" t="s">
        <v>74</v>
      </c>
      <c r="P967" t="s">
        <v>74</v>
      </c>
      <c r="Q967" t="s">
        <v>74</v>
      </c>
      <c r="R967" t="s">
        <v>74</v>
      </c>
      <c r="S967" t="s">
        <v>74</v>
      </c>
      <c r="T967" t="s">
        <v>18153</v>
      </c>
      <c r="U967" t="s">
        <v>18154</v>
      </c>
      <c r="V967" t="s">
        <v>18155</v>
      </c>
      <c r="W967" t="s">
        <v>18156</v>
      </c>
      <c r="X967" t="s">
        <v>18157</v>
      </c>
      <c r="Y967" t="s">
        <v>18158</v>
      </c>
      <c r="Z967" t="s">
        <v>18159</v>
      </c>
      <c r="AA967" t="s">
        <v>74</v>
      </c>
      <c r="AB967" t="s">
        <v>74</v>
      </c>
      <c r="AC967" t="s">
        <v>74</v>
      </c>
      <c r="AD967" t="s">
        <v>74</v>
      </c>
      <c r="AE967" t="s">
        <v>74</v>
      </c>
      <c r="AF967" t="s">
        <v>74</v>
      </c>
      <c r="AG967">
        <v>31</v>
      </c>
      <c r="AH967">
        <v>0</v>
      </c>
      <c r="AI967">
        <v>0</v>
      </c>
      <c r="AJ967">
        <v>14</v>
      </c>
      <c r="AK967">
        <v>14</v>
      </c>
      <c r="AL967" t="s">
        <v>220</v>
      </c>
      <c r="AM967" t="s">
        <v>221</v>
      </c>
      <c r="AN967" t="s">
        <v>222</v>
      </c>
      <c r="AO967" t="s">
        <v>18160</v>
      </c>
      <c r="AP967" t="s">
        <v>18161</v>
      </c>
      <c r="AQ967" t="s">
        <v>74</v>
      </c>
      <c r="AR967" t="s">
        <v>18162</v>
      </c>
      <c r="AS967" t="s">
        <v>18163</v>
      </c>
      <c r="AT967" t="s">
        <v>2872</v>
      </c>
      <c r="AU967">
        <v>2023</v>
      </c>
      <c r="AV967" t="s">
        <v>74</v>
      </c>
      <c r="AW967" t="s">
        <v>74</v>
      </c>
      <c r="AX967" t="s">
        <v>74</v>
      </c>
      <c r="AY967" t="s">
        <v>74</v>
      </c>
      <c r="AZ967" t="s">
        <v>74</v>
      </c>
      <c r="BA967" t="s">
        <v>74</v>
      </c>
      <c r="BB967" t="s">
        <v>74</v>
      </c>
      <c r="BC967" t="s">
        <v>74</v>
      </c>
      <c r="BD967" t="s">
        <v>74</v>
      </c>
      <c r="BE967" t="s">
        <v>18164</v>
      </c>
      <c r="BF967" t="str">
        <f>HYPERLINK("http://dx.doi.org/10.1080/08989621.2023.2273377","http://dx.doi.org/10.1080/08989621.2023.2273377")</f>
        <v>http://dx.doi.org/10.1080/08989621.2023.2273377</v>
      </c>
      <c r="BG967" t="s">
        <v>74</v>
      </c>
      <c r="BH967" t="s">
        <v>157</v>
      </c>
      <c r="BI967">
        <v>22</v>
      </c>
      <c r="BJ967" t="s">
        <v>18165</v>
      </c>
      <c r="BK967" t="s">
        <v>130</v>
      </c>
      <c r="BL967" t="s">
        <v>18165</v>
      </c>
      <c r="BM967" t="s">
        <v>18166</v>
      </c>
      <c r="BN967">
        <v>37877216</v>
      </c>
      <c r="BO967" t="s">
        <v>74</v>
      </c>
      <c r="BP967" t="s">
        <v>74</v>
      </c>
      <c r="BQ967" t="s">
        <v>74</v>
      </c>
      <c r="BR967" t="s">
        <v>101</v>
      </c>
      <c r="BS967" t="s">
        <v>18167</v>
      </c>
      <c r="BT967" t="str">
        <f>HYPERLINK("https%3A%2F%2Fwww.webofscience.com%2Fwos%2Fwoscc%2Ffull-record%2FWOS:001100141400001","View Full Record in Web of Science")</f>
        <v>View Full Record in Web of Science</v>
      </c>
    </row>
    <row r="968" spans="1:72" x14ac:dyDescent="0.2">
      <c r="A968" t="s">
        <v>103</v>
      </c>
      <c r="B968" t="s">
        <v>18168</v>
      </c>
      <c r="C968" t="s">
        <v>74</v>
      </c>
      <c r="D968" t="s">
        <v>74</v>
      </c>
      <c r="E968" t="s">
        <v>74</v>
      </c>
      <c r="F968" t="s">
        <v>18169</v>
      </c>
      <c r="G968" t="s">
        <v>74</v>
      </c>
      <c r="H968" t="s">
        <v>74</v>
      </c>
      <c r="I968" t="s">
        <v>18170</v>
      </c>
      <c r="J968" t="s">
        <v>18171</v>
      </c>
      <c r="K968" t="s">
        <v>74</v>
      </c>
      <c r="L968" t="s">
        <v>74</v>
      </c>
      <c r="M968" t="s">
        <v>79</v>
      </c>
      <c r="N968" t="s">
        <v>138</v>
      </c>
      <c r="O968" t="s">
        <v>74</v>
      </c>
      <c r="P968" t="s">
        <v>74</v>
      </c>
      <c r="Q968" t="s">
        <v>74</v>
      </c>
      <c r="R968" t="s">
        <v>74</v>
      </c>
      <c r="S968" t="s">
        <v>74</v>
      </c>
      <c r="T968" t="s">
        <v>74</v>
      </c>
      <c r="U968" t="s">
        <v>74</v>
      </c>
      <c r="V968" t="s">
        <v>18172</v>
      </c>
      <c r="W968" t="s">
        <v>18173</v>
      </c>
      <c r="X968" t="s">
        <v>15493</v>
      </c>
      <c r="Y968" t="s">
        <v>18174</v>
      </c>
      <c r="Z968" t="s">
        <v>18175</v>
      </c>
      <c r="AA968" t="s">
        <v>74</v>
      </c>
      <c r="AB968" t="s">
        <v>18176</v>
      </c>
      <c r="AC968" t="s">
        <v>18177</v>
      </c>
      <c r="AD968" t="s">
        <v>18177</v>
      </c>
      <c r="AE968" t="s">
        <v>18177</v>
      </c>
      <c r="AF968" t="s">
        <v>74</v>
      </c>
      <c r="AG968">
        <v>28</v>
      </c>
      <c r="AH968">
        <v>3</v>
      </c>
      <c r="AI968">
        <v>3</v>
      </c>
      <c r="AJ968">
        <v>11</v>
      </c>
      <c r="AK968">
        <v>11</v>
      </c>
      <c r="AL968" t="s">
        <v>2032</v>
      </c>
      <c r="AM968" t="s">
        <v>149</v>
      </c>
      <c r="AN968" t="s">
        <v>2033</v>
      </c>
      <c r="AO968" t="s">
        <v>18178</v>
      </c>
      <c r="AP968" t="s">
        <v>18179</v>
      </c>
      <c r="AQ968" t="s">
        <v>74</v>
      </c>
      <c r="AR968" t="s">
        <v>18180</v>
      </c>
      <c r="AS968" t="s">
        <v>18181</v>
      </c>
      <c r="AT968" t="s">
        <v>18182</v>
      </c>
      <c r="AU968">
        <v>2023</v>
      </c>
      <c r="AV968" t="s">
        <v>74</v>
      </c>
      <c r="AW968" t="s">
        <v>74</v>
      </c>
      <c r="AX968" t="s">
        <v>74</v>
      </c>
      <c r="AY968" t="s">
        <v>74</v>
      </c>
      <c r="AZ968" t="s">
        <v>74</v>
      </c>
      <c r="BA968" t="s">
        <v>74</v>
      </c>
      <c r="BB968" t="s">
        <v>74</v>
      </c>
      <c r="BC968" t="s">
        <v>74</v>
      </c>
      <c r="BD968" t="s">
        <v>74</v>
      </c>
      <c r="BE968" t="s">
        <v>18183</v>
      </c>
      <c r="BF968" t="str">
        <f>HYPERLINK("http://dx.doi.org/10.1038/s41366-023-01410-5","http://dx.doi.org/10.1038/s41366-023-01410-5")</f>
        <v>http://dx.doi.org/10.1038/s41366-023-01410-5</v>
      </c>
      <c r="BG968" t="s">
        <v>74</v>
      </c>
      <c r="BH968" t="s">
        <v>157</v>
      </c>
      <c r="BI968">
        <v>5</v>
      </c>
      <c r="BJ968" t="s">
        <v>18184</v>
      </c>
      <c r="BK968" t="s">
        <v>130</v>
      </c>
      <c r="BL968" t="s">
        <v>18184</v>
      </c>
      <c r="BM968" t="s">
        <v>18185</v>
      </c>
      <c r="BN968">
        <v>37951982</v>
      </c>
      <c r="BO968" t="s">
        <v>74</v>
      </c>
      <c r="BP968" t="s">
        <v>74</v>
      </c>
      <c r="BQ968" t="s">
        <v>74</v>
      </c>
      <c r="BR968" t="s">
        <v>101</v>
      </c>
      <c r="BS968" t="s">
        <v>18186</v>
      </c>
      <c r="BT968" t="str">
        <f>HYPERLINK("https%3A%2F%2Fwww.webofscience.com%2Fwos%2Fwoscc%2Ffull-record%2FWOS:001100476500001","View Full Record in Web of Science")</f>
        <v>View Full Record in Web of Science</v>
      </c>
    </row>
    <row r="969" spans="1:72" x14ac:dyDescent="0.2">
      <c r="A969" t="s">
        <v>72</v>
      </c>
      <c r="B969" t="s">
        <v>18187</v>
      </c>
      <c r="C969" t="s">
        <v>74</v>
      </c>
      <c r="D969" t="s">
        <v>74</v>
      </c>
      <c r="E969" t="s">
        <v>75</v>
      </c>
      <c r="F969" t="s">
        <v>18188</v>
      </c>
      <c r="G969" t="s">
        <v>74</v>
      </c>
      <c r="H969" t="s">
        <v>74</v>
      </c>
      <c r="I969" t="s">
        <v>18189</v>
      </c>
      <c r="J969" t="s">
        <v>1636</v>
      </c>
      <c r="K969" t="s">
        <v>74</v>
      </c>
      <c r="L969" t="s">
        <v>74</v>
      </c>
      <c r="M969" t="s">
        <v>79</v>
      </c>
      <c r="N969" t="s">
        <v>80</v>
      </c>
      <c r="O969" t="s">
        <v>1637</v>
      </c>
      <c r="P969" t="s">
        <v>1638</v>
      </c>
      <c r="Q969" t="s">
        <v>1639</v>
      </c>
      <c r="R969" t="s">
        <v>1640</v>
      </c>
      <c r="S969" t="s">
        <v>74</v>
      </c>
      <c r="T969" t="s">
        <v>18190</v>
      </c>
      <c r="U969" t="s">
        <v>74</v>
      </c>
      <c r="V969" t="s">
        <v>18191</v>
      </c>
      <c r="W969" t="s">
        <v>18192</v>
      </c>
      <c r="X969" t="s">
        <v>18193</v>
      </c>
      <c r="Y969" t="s">
        <v>18194</v>
      </c>
      <c r="Z969" t="s">
        <v>18195</v>
      </c>
      <c r="AA969" t="s">
        <v>74</v>
      </c>
      <c r="AB969" t="s">
        <v>18196</v>
      </c>
      <c r="AC969" t="s">
        <v>18197</v>
      </c>
      <c r="AD969" t="s">
        <v>18198</v>
      </c>
      <c r="AE969" t="s">
        <v>18199</v>
      </c>
      <c r="AF969" t="s">
        <v>74</v>
      </c>
      <c r="AG969">
        <v>61</v>
      </c>
      <c r="AH969">
        <v>0</v>
      </c>
      <c r="AI969">
        <v>0</v>
      </c>
      <c r="AJ969">
        <v>5</v>
      </c>
      <c r="AK969">
        <v>5</v>
      </c>
      <c r="AL969" t="s">
        <v>92</v>
      </c>
      <c r="AM969" t="s">
        <v>93</v>
      </c>
      <c r="AN969" t="s">
        <v>94</v>
      </c>
      <c r="AO969" t="s">
        <v>74</v>
      </c>
      <c r="AP969" t="s">
        <v>74</v>
      </c>
      <c r="AQ969" t="s">
        <v>1651</v>
      </c>
      <c r="AR969" t="s">
        <v>74</v>
      </c>
      <c r="AS969" t="s">
        <v>74</v>
      </c>
      <c r="AT969" t="s">
        <v>74</v>
      </c>
      <c r="AU969">
        <v>2023</v>
      </c>
      <c r="AV969" t="s">
        <v>74</v>
      </c>
      <c r="AW969" t="s">
        <v>74</v>
      </c>
      <c r="AX969" t="s">
        <v>74</v>
      </c>
      <c r="AY969" t="s">
        <v>74</v>
      </c>
      <c r="AZ969" t="s">
        <v>74</v>
      </c>
      <c r="BA969" t="s">
        <v>74</v>
      </c>
      <c r="BB969" t="s">
        <v>74</v>
      </c>
      <c r="BC969" t="s">
        <v>74</v>
      </c>
      <c r="BD969" t="s">
        <v>74</v>
      </c>
      <c r="BE969" t="s">
        <v>18200</v>
      </c>
      <c r="BF969" t="str">
        <f>HYPERLINK("http://dx.doi.org/10.1145/3544548.3581429","http://dx.doi.org/10.1145/3544548.3581429")</f>
        <v>http://dx.doi.org/10.1145/3544548.3581429</v>
      </c>
      <c r="BG969" t="s">
        <v>74</v>
      </c>
      <c r="BH969" t="s">
        <v>74</v>
      </c>
      <c r="BI969">
        <v>14</v>
      </c>
      <c r="BJ969" t="s">
        <v>1653</v>
      </c>
      <c r="BK969" t="s">
        <v>98</v>
      </c>
      <c r="BL969" t="s">
        <v>1654</v>
      </c>
      <c r="BM969" t="s">
        <v>1655</v>
      </c>
      <c r="BN969" t="s">
        <v>74</v>
      </c>
      <c r="BO969" t="s">
        <v>74</v>
      </c>
      <c r="BP969" t="s">
        <v>74</v>
      </c>
      <c r="BQ969" t="s">
        <v>74</v>
      </c>
      <c r="BR969" t="s">
        <v>101</v>
      </c>
      <c r="BS969" t="s">
        <v>18201</v>
      </c>
      <c r="BT969" t="str">
        <f>HYPERLINK("https%3A%2F%2Fwww.webofscience.com%2Fwos%2Fwoscc%2Ffull-record%2FWOS:001048393805019","View Full Record in Web of Science")</f>
        <v>View Full Record in Web of Science</v>
      </c>
    </row>
    <row r="970" spans="1:72" x14ac:dyDescent="0.2">
      <c r="A970" t="s">
        <v>103</v>
      </c>
      <c r="B970" t="s">
        <v>18202</v>
      </c>
      <c r="C970" t="s">
        <v>74</v>
      </c>
      <c r="D970" t="s">
        <v>74</v>
      </c>
      <c r="E970" t="s">
        <v>74</v>
      </c>
      <c r="F970" t="s">
        <v>18203</v>
      </c>
      <c r="G970" t="s">
        <v>74</v>
      </c>
      <c r="H970" t="s">
        <v>74</v>
      </c>
      <c r="I970" t="s">
        <v>18204</v>
      </c>
      <c r="J970" t="s">
        <v>18103</v>
      </c>
      <c r="K970" t="s">
        <v>74</v>
      </c>
      <c r="L970" t="s">
        <v>74</v>
      </c>
      <c r="M970" t="s">
        <v>79</v>
      </c>
      <c r="N970" t="s">
        <v>108</v>
      </c>
      <c r="O970" t="s">
        <v>74</v>
      </c>
      <c r="P970" t="s">
        <v>74</v>
      </c>
      <c r="Q970" t="s">
        <v>74</v>
      </c>
      <c r="R970" t="s">
        <v>74</v>
      </c>
      <c r="S970" t="s">
        <v>74</v>
      </c>
      <c r="T970" t="s">
        <v>18205</v>
      </c>
      <c r="U970" t="s">
        <v>18206</v>
      </c>
      <c r="V970" t="s">
        <v>18207</v>
      </c>
      <c r="W970" t="s">
        <v>18208</v>
      </c>
      <c r="X970" t="s">
        <v>18209</v>
      </c>
      <c r="Y970" t="s">
        <v>18210</v>
      </c>
      <c r="Z970" t="s">
        <v>18211</v>
      </c>
      <c r="AA970" t="s">
        <v>18212</v>
      </c>
      <c r="AB970" t="s">
        <v>18213</v>
      </c>
      <c r="AC970" t="s">
        <v>18214</v>
      </c>
      <c r="AD970" t="s">
        <v>18215</v>
      </c>
      <c r="AE970" t="s">
        <v>18216</v>
      </c>
      <c r="AF970" t="s">
        <v>74</v>
      </c>
      <c r="AG970">
        <v>55</v>
      </c>
      <c r="AH970">
        <v>0</v>
      </c>
      <c r="AI970">
        <v>0</v>
      </c>
      <c r="AJ970">
        <v>3</v>
      </c>
      <c r="AK970">
        <v>3</v>
      </c>
      <c r="AL970" t="s">
        <v>939</v>
      </c>
      <c r="AM970" t="s">
        <v>940</v>
      </c>
      <c r="AN970" t="s">
        <v>941</v>
      </c>
      <c r="AO970" t="s">
        <v>74</v>
      </c>
      <c r="AP970" t="s">
        <v>18114</v>
      </c>
      <c r="AQ970" t="s">
        <v>74</v>
      </c>
      <c r="AR970" t="s">
        <v>18115</v>
      </c>
      <c r="AS970" t="s">
        <v>18116</v>
      </c>
      <c r="AT970" t="s">
        <v>467</v>
      </c>
      <c r="AU970">
        <v>2023</v>
      </c>
      <c r="AV970">
        <v>25</v>
      </c>
      <c r="AW970">
        <v>10</v>
      </c>
      <c r="AX970" t="s">
        <v>74</v>
      </c>
      <c r="AY970" t="s">
        <v>74</v>
      </c>
      <c r="AZ970" t="s">
        <v>74</v>
      </c>
      <c r="BA970" t="s">
        <v>74</v>
      </c>
      <c r="BB970" t="s">
        <v>74</v>
      </c>
      <c r="BC970" t="s">
        <v>74</v>
      </c>
      <c r="BD970">
        <v>1367</v>
      </c>
      <c r="BE970" t="s">
        <v>18217</v>
      </c>
      <c r="BF970" t="str">
        <f>HYPERLINK("http://dx.doi.org/10.3390/e25101367","http://dx.doi.org/10.3390/e25101367")</f>
        <v>http://dx.doi.org/10.3390/e25101367</v>
      </c>
      <c r="BG970" t="s">
        <v>74</v>
      </c>
      <c r="BH970" t="s">
        <v>74</v>
      </c>
      <c r="BI970">
        <v>18</v>
      </c>
      <c r="BJ970" t="s">
        <v>10510</v>
      </c>
      <c r="BK970" t="s">
        <v>130</v>
      </c>
      <c r="BL970" t="s">
        <v>6827</v>
      </c>
      <c r="BM970" t="s">
        <v>18218</v>
      </c>
      <c r="BN970">
        <v>37895489</v>
      </c>
      <c r="BO970" t="s">
        <v>13536</v>
      </c>
      <c r="BP970" t="s">
        <v>74</v>
      </c>
      <c r="BQ970" t="s">
        <v>74</v>
      </c>
      <c r="BR970" t="s">
        <v>101</v>
      </c>
      <c r="BS970" t="s">
        <v>18219</v>
      </c>
      <c r="BT970" t="str">
        <f>HYPERLINK("https%3A%2F%2Fwww.webofscience.com%2Fwos%2Fwoscc%2Ffull-record%2FWOS:001095449000001","View Full Record in Web of Science")</f>
        <v>View Full Record in Web of Science</v>
      </c>
    </row>
    <row r="971" spans="1:72" x14ac:dyDescent="0.2">
      <c r="A971" t="s">
        <v>103</v>
      </c>
      <c r="B971" t="s">
        <v>18220</v>
      </c>
      <c r="C971" t="s">
        <v>74</v>
      </c>
      <c r="D971" t="s">
        <v>74</v>
      </c>
      <c r="E971" t="s">
        <v>74</v>
      </c>
      <c r="F971" t="s">
        <v>18221</v>
      </c>
      <c r="G971" t="s">
        <v>74</v>
      </c>
      <c r="H971" t="s">
        <v>74</v>
      </c>
      <c r="I971" t="s">
        <v>18222</v>
      </c>
      <c r="J971" t="s">
        <v>10667</v>
      </c>
      <c r="K971" t="s">
        <v>74</v>
      </c>
      <c r="L971" t="s">
        <v>74</v>
      </c>
      <c r="M971" t="s">
        <v>79</v>
      </c>
      <c r="N971" t="s">
        <v>108</v>
      </c>
      <c r="O971" t="s">
        <v>74</v>
      </c>
      <c r="P971" t="s">
        <v>74</v>
      </c>
      <c r="Q971" t="s">
        <v>74</v>
      </c>
      <c r="R971" t="s">
        <v>74</v>
      </c>
      <c r="S971" t="s">
        <v>74</v>
      </c>
      <c r="T971" t="s">
        <v>18223</v>
      </c>
      <c r="U971" t="s">
        <v>18224</v>
      </c>
      <c r="V971" t="s">
        <v>18225</v>
      </c>
      <c r="W971" t="s">
        <v>18226</v>
      </c>
      <c r="X971" t="s">
        <v>4691</v>
      </c>
      <c r="Y971" t="s">
        <v>18227</v>
      </c>
      <c r="Z971" t="s">
        <v>18228</v>
      </c>
      <c r="AA971" t="s">
        <v>74</v>
      </c>
      <c r="AB971" t="s">
        <v>18229</v>
      </c>
      <c r="AC971" t="s">
        <v>18230</v>
      </c>
      <c r="AD971" t="s">
        <v>18231</v>
      </c>
      <c r="AE971" t="s">
        <v>18232</v>
      </c>
      <c r="AF971" t="s">
        <v>74</v>
      </c>
      <c r="AG971">
        <v>76</v>
      </c>
      <c r="AH971">
        <v>0</v>
      </c>
      <c r="AI971">
        <v>0</v>
      </c>
      <c r="AJ971">
        <v>3</v>
      </c>
      <c r="AK971">
        <v>3</v>
      </c>
      <c r="AL971" t="s">
        <v>3202</v>
      </c>
      <c r="AM971" t="s">
        <v>120</v>
      </c>
      <c r="AN971" t="s">
        <v>3203</v>
      </c>
      <c r="AO971" t="s">
        <v>74</v>
      </c>
      <c r="AP971" t="s">
        <v>10679</v>
      </c>
      <c r="AQ971" t="s">
        <v>74</v>
      </c>
      <c r="AR971" t="s">
        <v>10667</v>
      </c>
      <c r="AS971" t="s">
        <v>10680</v>
      </c>
      <c r="AT971" t="s">
        <v>18233</v>
      </c>
      <c r="AU971">
        <v>2023</v>
      </c>
      <c r="AV971">
        <v>3</v>
      </c>
      <c r="AW971">
        <v>1</v>
      </c>
      <c r="AX971" t="s">
        <v>74</v>
      </c>
      <c r="AY971" t="s">
        <v>74</v>
      </c>
      <c r="AZ971" t="s">
        <v>74</v>
      </c>
      <c r="BA971" t="s">
        <v>74</v>
      </c>
      <c r="BB971" t="s">
        <v>74</v>
      </c>
      <c r="BC971" t="s">
        <v>74</v>
      </c>
      <c r="BD971" t="s">
        <v>18234</v>
      </c>
      <c r="BE971" t="s">
        <v>18235</v>
      </c>
      <c r="BF971" t="str">
        <f>HYPERLINK("http://dx.doi.org/10.1093/pnasnexus/pgae004","http://dx.doi.org/10.1093/pnasnexus/pgae004")</f>
        <v>http://dx.doi.org/10.1093/pnasnexus/pgae004</v>
      </c>
      <c r="BG971" t="s">
        <v>74</v>
      </c>
      <c r="BH971" t="s">
        <v>74</v>
      </c>
      <c r="BI971">
        <v>9</v>
      </c>
      <c r="BJ971" t="s">
        <v>10682</v>
      </c>
      <c r="BK971" t="s">
        <v>352</v>
      </c>
      <c r="BL971" t="s">
        <v>10683</v>
      </c>
      <c r="BM971" t="s">
        <v>18236</v>
      </c>
      <c r="BN971">
        <v>38264146</v>
      </c>
      <c r="BO971" t="s">
        <v>425</v>
      </c>
      <c r="BP971" t="s">
        <v>74</v>
      </c>
      <c r="BQ971" t="s">
        <v>74</v>
      </c>
      <c r="BR971" t="s">
        <v>101</v>
      </c>
      <c r="BS971" t="s">
        <v>18237</v>
      </c>
      <c r="BT971" t="str">
        <f>HYPERLINK("https%3A%2F%2Fwww.webofscience.com%2Fwos%2Fwoscc%2Ffull-record%2FWOS:001150697000002","View Full Record in Web of Science")</f>
        <v>View Full Record in Web of Science</v>
      </c>
    </row>
    <row r="972" spans="1:72" x14ac:dyDescent="0.2">
      <c r="A972" t="s">
        <v>103</v>
      </c>
      <c r="B972" t="s">
        <v>18238</v>
      </c>
      <c r="C972" t="s">
        <v>74</v>
      </c>
      <c r="D972" t="s">
        <v>74</v>
      </c>
      <c r="E972" t="s">
        <v>74</v>
      </c>
      <c r="F972" t="s">
        <v>18239</v>
      </c>
      <c r="G972" t="s">
        <v>74</v>
      </c>
      <c r="H972" t="s">
        <v>74</v>
      </c>
      <c r="I972" t="s">
        <v>18240</v>
      </c>
      <c r="J972" t="s">
        <v>18241</v>
      </c>
      <c r="K972" t="s">
        <v>74</v>
      </c>
      <c r="L972" t="s">
        <v>74</v>
      </c>
      <c r="M972" t="s">
        <v>79</v>
      </c>
      <c r="N972" t="s">
        <v>138</v>
      </c>
      <c r="O972" t="s">
        <v>74</v>
      </c>
      <c r="P972" t="s">
        <v>74</v>
      </c>
      <c r="Q972" t="s">
        <v>74</v>
      </c>
      <c r="R972" t="s">
        <v>74</v>
      </c>
      <c r="S972" t="s">
        <v>74</v>
      </c>
      <c r="T972" t="s">
        <v>18242</v>
      </c>
      <c r="U972" t="s">
        <v>18243</v>
      </c>
      <c r="V972" t="s">
        <v>18244</v>
      </c>
      <c r="W972" t="s">
        <v>18245</v>
      </c>
      <c r="X972" t="s">
        <v>18246</v>
      </c>
      <c r="Y972" t="s">
        <v>18247</v>
      </c>
      <c r="Z972" t="s">
        <v>18248</v>
      </c>
      <c r="AA972" t="s">
        <v>74</v>
      </c>
      <c r="AB972" t="s">
        <v>18249</v>
      </c>
      <c r="AC972" t="s">
        <v>18250</v>
      </c>
      <c r="AD972" t="s">
        <v>18250</v>
      </c>
      <c r="AE972" t="s">
        <v>18250</v>
      </c>
      <c r="AF972" t="s">
        <v>74</v>
      </c>
      <c r="AG972">
        <v>35</v>
      </c>
      <c r="AH972">
        <v>1</v>
      </c>
      <c r="AI972">
        <v>1</v>
      </c>
      <c r="AJ972">
        <v>16</v>
      </c>
      <c r="AK972">
        <v>16</v>
      </c>
      <c r="AL972" t="s">
        <v>438</v>
      </c>
      <c r="AM972" t="s">
        <v>439</v>
      </c>
      <c r="AN972" t="s">
        <v>440</v>
      </c>
      <c r="AO972" t="s">
        <v>18251</v>
      </c>
      <c r="AP972" t="s">
        <v>18252</v>
      </c>
      <c r="AQ972" t="s">
        <v>74</v>
      </c>
      <c r="AR972" t="s">
        <v>18253</v>
      </c>
      <c r="AS972" t="s">
        <v>18254</v>
      </c>
      <c r="AT972" t="s">
        <v>2362</v>
      </c>
      <c r="AU972">
        <v>2023</v>
      </c>
      <c r="AV972" t="s">
        <v>74</v>
      </c>
      <c r="AW972" t="s">
        <v>74</v>
      </c>
      <c r="AX972" t="s">
        <v>74</v>
      </c>
      <c r="AY972" t="s">
        <v>74</v>
      </c>
      <c r="AZ972" t="s">
        <v>74</v>
      </c>
      <c r="BA972" t="s">
        <v>74</v>
      </c>
      <c r="BB972" t="s">
        <v>74</v>
      </c>
      <c r="BC972" t="s">
        <v>74</v>
      </c>
      <c r="BD972" t="s">
        <v>74</v>
      </c>
      <c r="BE972" t="s">
        <v>18255</v>
      </c>
      <c r="BF972" t="str">
        <f>HYPERLINK("http://dx.doi.org/10.1177/10525629231201843","http://dx.doi.org/10.1177/10525629231201843")</f>
        <v>http://dx.doi.org/10.1177/10525629231201843</v>
      </c>
      <c r="BG972" t="s">
        <v>74</v>
      </c>
      <c r="BH972" t="s">
        <v>1886</v>
      </c>
      <c r="BI972">
        <v>20</v>
      </c>
      <c r="BJ972" t="s">
        <v>423</v>
      </c>
      <c r="BK972" t="s">
        <v>352</v>
      </c>
      <c r="BL972" t="s">
        <v>423</v>
      </c>
      <c r="BM972" t="s">
        <v>18256</v>
      </c>
      <c r="BN972" t="s">
        <v>74</v>
      </c>
      <c r="BO972" t="s">
        <v>161</v>
      </c>
      <c r="BP972" t="s">
        <v>74</v>
      </c>
      <c r="BQ972" t="s">
        <v>74</v>
      </c>
      <c r="BR972" t="s">
        <v>101</v>
      </c>
      <c r="BS972" t="s">
        <v>18257</v>
      </c>
      <c r="BT972" t="str">
        <f>HYPERLINK("https%3A%2F%2Fwww.webofscience.com%2Fwos%2Fwoscc%2Ffull-record%2FWOS:001083022300001","View Full Record in Web of Science")</f>
        <v>View Full Record in Web of Science</v>
      </c>
    </row>
    <row r="973" spans="1:72" x14ac:dyDescent="0.2">
      <c r="A973" t="s">
        <v>72</v>
      </c>
      <c r="B973" t="s">
        <v>18258</v>
      </c>
      <c r="C973" t="s">
        <v>74</v>
      </c>
      <c r="D973" t="s">
        <v>6011</v>
      </c>
      <c r="E973" t="s">
        <v>74</v>
      </c>
      <c r="F973" t="s">
        <v>18259</v>
      </c>
      <c r="G973" t="s">
        <v>74</v>
      </c>
      <c r="H973" t="s">
        <v>74</v>
      </c>
      <c r="I973" t="s">
        <v>18260</v>
      </c>
      <c r="J973" t="s">
        <v>18261</v>
      </c>
      <c r="K973" t="s">
        <v>312</v>
      </c>
      <c r="L973" t="s">
        <v>74</v>
      </c>
      <c r="M973" t="s">
        <v>79</v>
      </c>
      <c r="N973" t="s">
        <v>80</v>
      </c>
      <c r="O973" t="s">
        <v>6015</v>
      </c>
      <c r="P973" t="s">
        <v>6016</v>
      </c>
      <c r="Q973" t="s">
        <v>6017</v>
      </c>
      <c r="R973" t="s">
        <v>74</v>
      </c>
      <c r="S973" t="s">
        <v>74</v>
      </c>
      <c r="T973" t="s">
        <v>18262</v>
      </c>
      <c r="U973" t="s">
        <v>74</v>
      </c>
      <c r="V973" t="s">
        <v>18263</v>
      </c>
      <c r="W973" t="s">
        <v>18264</v>
      </c>
      <c r="X973" t="s">
        <v>18265</v>
      </c>
      <c r="Y973" t="s">
        <v>18266</v>
      </c>
      <c r="Z973" t="s">
        <v>18267</v>
      </c>
      <c r="AA973" t="s">
        <v>74</v>
      </c>
      <c r="AB973" t="s">
        <v>18268</v>
      </c>
      <c r="AC973" t="s">
        <v>18269</v>
      </c>
      <c r="AD973" t="s">
        <v>18269</v>
      </c>
      <c r="AE973" t="s">
        <v>18270</v>
      </c>
      <c r="AF973" t="s">
        <v>74</v>
      </c>
      <c r="AG973">
        <v>15</v>
      </c>
      <c r="AH973">
        <v>0</v>
      </c>
      <c r="AI973">
        <v>0</v>
      </c>
      <c r="AJ973">
        <v>0</v>
      </c>
      <c r="AK973">
        <v>0</v>
      </c>
      <c r="AL973" t="s">
        <v>325</v>
      </c>
      <c r="AM973" t="s">
        <v>245</v>
      </c>
      <c r="AN973" t="s">
        <v>246</v>
      </c>
      <c r="AO973" t="s">
        <v>326</v>
      </c>
      <c r="AP973" t="s">
        <v>327</v>
      </c>
      <c r="AQ973" t="s">
        <v>18271</v>
      </c>
      <c r="AR973" t="s">
        <v>329</v>
      </c>
      <c r="AS973" t="s">
        <v>74</v>
      </c>
      <c r="AT973" t="s">
        <v>74</v>
      </c>
      <c r="AU973">
        <v>2023</v>
      </c>
      <c r="AV973">
        <v>14227</v>
      </c>
      <c r="AW973" t="s">
        <v>74</v>
      </c>
      <c r="AX973" t="s">
        <v>74</v>
      </c>
      <c r="AY973" t="s">
        <v>74</v>
      </c>
      <c r="AZ973" t="s">
        <v>74</v>
      </c>
      <c r="BA973" t="s">
        <v>74</v>
      </c>
      <c r="BB973">
        <v>666</v>
      </c>
      <c r="BC973">
        <v>675</v>
      </c>
      <c r="BD973" t="s">
        <v>74</v>
      </c>
      <c r="BE973" t="s">
        <v>18272</v>
      </c>
      <c r="BF973" t="str">
        <f>HYPERLINK("http://dx.doi.org/10.1007/978-3-031-43993-3_64","http://dx.doi.org/10.1007/978-3-031-43993-3_64")</f>
        <v>http://dx.doi.org/10.1007/978-3-031-43993-3_64</v>
      </c>
      <c r="BG973" t="s">
        <v>74</v>
      </c>
      <c r="BH973" t="s">
        <v>74</v>
      </c>
      <c r="BI973">
        <v>10</v>
      </c>
      <c r="BJ973" t="s">
        <v>18273</v>
      </c>
      <c r="BK973" t="s">
        <v>98</v>
      </c>
      <c r="BL973" t="s">
        <v>18274</v>
      </c>
      <c r="BM973" t="s">
        <v>18275</v>
      </c>
      <c r="BN973" t="s">
        <v>74</v>
      </c>
      <c r="BO973" t="s">
        <v>74</v>
      </c>
      <c r="BP973" t="s">
        <v>74</v>
      </c>
      <c r="BQ973" t="s">
        <v>74</v>
      </c>
      <c r="BR973" t="s">
        <v>101</v>
      </c>
      <c r="BS973" t="s">
        <v>18276</v>
      </c>
      <c r="BT973" t="str">
        <f>HYPERLINK("https%3A%2F%2Fwww.webofscience.com%2Fwos%2Fwoscc%2Ffull-record%2FWOS:001109637500064","View Full Record in Web of Science")</f>
        <v>View Full Record in Web of Science</v>
      </c>
    </row>
    <row r="974" spans="1:72" x14ac:dyDescent="0.2">
      <c r="A974" t="s">
        <v>103</v>
      </c>
      <c r="B974" t="s">
        <v>18277</v>
      </c>
      <c r="C974" t="s">
        <v>74</v>
      </c>
      <c r="D974" t="s">
        <v>74</v>
      </c>
      <c r="E974" t="s">
        <v>74</v>
      </c>
      <c r="F974" t="s">
        <v>18278</v>
      </c>
      <c r="G974" t="s">
        <v>74</v>
      </c>
      <c r="H974" t="s">
        <v>74</v>
      </c>
      <c r="I974" t="s">
        <v>18279</v>
      </c>
      <c r="J974" t="s">
        <v>18280</v>
      </c>
      <c r="K974" t="s">
        <v>74</v>
      </c>
      <c r="L974" t="s">
        <v>74</v>
      </c>
      <c r="M974" t="s">
        <v>79</v>
      </c>
      <c r="N974" t="s">
        <v>108</v>
      </c>
      <c r="O974" t="s">
        <v>74</v>
      </c>
      <c r="P974" t="s">
        <v>74</v>
      </c>
      <c r="Q974" t="s">
        <v>74</v>
      </c>
      <c r="R974" t="s">
        <v>74</v>
      </c>
      <c r="S974" t="s">
        <v>74</v>
      </c>
      <c r="T974" t="s">
        <v>18281</v>
      </c>
      <c r="U974" t="s">
        <v>74</v>
      </c>
      <c r="V974" t="s">
        <v>18282</v>
      </c>
      <c r="W974" t="s">
        <v>18283</v>
      </c>
      <c r="X974" t="s">
        <v>18284</v>
      </c>
      <c r="Y974" t="s">
        <v>18285</v>
      </c>
      <c r="Z974" t="s">
        <v>18286</v>
      </c>
      <c r="AA974" t="s">
        <v>18287</v>
      </c>
      <c r="AB974" t="s">
        <v>18288</v>
      </c>
      <c r="AC974" t="s">
        <v>18289</v>
      </c>
      <c r="AD974" t="s">
        <v>18289</v>
      </c>
      <c r="AE974" t="s">
        <v>18290</v>
      </c>
      <c r="AF974" t="s">
        <v>74</v>
      </c>
      <c r="AG974">
        <v>7</v>
      </c>
      <c r="AH974">
        <v>2</v>
      </c>
      <c r="AI974">
        <v>2</v>
      </c>
      <c r="AJ974">
        <v>10</v>
      </c>
      <c r="AK974">
        <v>10</v>
      </c>
      <c r="AL974" t="s">
        <v>13201</v>
      </c>
      <c r="AM974" t="s">
        <v>221</v>
      </c>
      <c r="AN974" t="s">
        <v>13202</v>
      </c>
      <c r="AO974" t="s">
        <v>18291</v>
      </c>
      <c r="AP974" t="s">
        <v>74</v>
      </c>
      <c r="AQ974" t="s">
        <v>74</v>
      </c>
      <c r="AR974" t="s">
        <v>18292</v>
      </c>
      <c r="AS974" t="s">
        <v>18293</v>
      </c>
      <c r="AT974" t="s">
        <v>467</v>
      </c>
      <c r="AU974">
        <v>2023</v>
      </c>
      <c r="AV974">
        <v>85</v>
      </c>
      <c r="AW974">
        <v>10</v>
      </c>
      <c r="AX974" t="s">
        <v>74</v>
      </c>
      <c r="AY974" t="s">
        <v>74</v>
      </c>
      <c r="AZ974" t="s">
        <v>74</v>
      </c>
      <c r="BA974" t="s">
        <v>74</v>
      </c>
      <c r="BB974">
        <v>5275</v>
      </c>
      <c r="BC974">
        <v>5278</v>
      </c>
      <c r="BD974" t="s">
        <v>74</v>
      </c>
      <c r="BE974" t="s">
        <v>18294</v>
      </c>
      <c r="BF974" t="str">
        <f>HYPERLINK("http://dx.doi.org/10.1097/MS9.0000000000001228","http://dx.doi.org/10.1097/MS9.0000000000001228")</f>
        <v>http://dx.doi.org/10.1097/MS9.0000000000001228</v>
      </c>
      <c r="BG974" t="s">
        <v>74</v>
      </c>
      <c r="BH974" t="s">
        <v>74</v>
      </c>
      <c r="BI974">
        <v>4</v>
      </c>
      <c r="BJ974" t="s">
        <v>3440</v>
      </c>
      <c r="BK974" t="s">
        <v>352</v>
      </c>
      <c r="BL974" t="s">
        <v>3441</v>
      </c>
      <c r="BM974" t="s">
        <v>18295</v>
      </c>
      <c r="BN974">
        <v>37811040</v>
      </c>
      <c r="BO974" t="s">
        <v>1728</v>
      </c>
      <c r="BP974" t="s">
        <v>74</v>
      </c>
      <c r="BQ974" t="s">
        <v>74</v>
      </c>
      <c r="BR974" t="s">
        <v>101</v>
      </c>
      <c r="BS974" t="s">
        <v>18296</v>
      </c>
      <c r="BT974" t="str">
        <f>HYPERLINK("https%3A%2F%2Fwww.webofscience.com%2Fwos%2Fwoscc%2Ffull-record%2FWOS:001079998200104","View Full Record in Web of Science")</f>
        <v>View Full Record in Web of Science</v>
      </c>
    </row>
    <row r="975" spans="1:72" x14ac:dyDescent="0.2">
      <c r="A975" t="s">
        <v>72</v>
      </c>
      <c r="B975" t="s">
        <v>18297</v>
      </c>
      <c r="C975" t="s">
        <v>74</v>
      </c>
      <c r="D975" t="s">
        <v>8562</v>
      </c>
      <c r="E975" t="s">
        <v>74</v>
      </c>
      <c r="F975" t="s">
        <v>18298</v>
      </c>
      <c r="G975" t="s">
        <v>74</v>
      </c>
      <c r="H975" t="s">
        <v>74</v>
      </c>
      <c r="I975" t="s">
        <v>18299</v>
      </c>
      <c r="J975" t="s">
        <v>10597</v>
      </c>
      <c r="K975" t="s">
        <v>1034</v>
      </c>
      <c r="L975" t="s">
        <v>74</v>
      </c>
      <c r="M975" t="s">
        <v>79</v>
      </c>
      <c r="N975" t="s">
        <v>80</v>
      </c>
      <c r="O975" t="s">
        <v>8566</v>
      </c>
      <c r="P975" t="s">
        <v>8567</v>
      </c>
      <c r="Q975" t="s">
        <v>8568</v>
      </c>
      <c r="R975" t="s">
        <v>8569</v>
      </c>
      <c r="S975" t="s">
        <v>74</v>
      </c>
      <c r="T975" t="s">
        <v>18300</v>
      </c>
      <c r="U975" t="s">
        <v>74</v>
      </c>
      <c r="V975" t="s">
        <v>18301</v>
      </c>
      <c r="W975" t="s">
        <v>18302</v>
      </c>
      <c r="X975" t="s">
        <v>18303</v>
      </c>
      <c r="Y975" t="s">
        <v>18304</v>
      </c>
      <c r="Z975" t="s">
        <v>18305</v>
      </c>
      <c r="AA975" t="s">
        <v>18306</v>
      </c>
      <c r="AB975" t="s">
        <v>74</v>
      </c>
      <c r="AC975" t="s">
        <v>18307</v>
      </c>
      <c r="AD975" t="s">
        <v>18308</v>
      </c>
      <c r="AE975" t="s">
        <v>18309</v>
      </c>
      <c r="AF975" t="s">
        <v>74</v>
      </c>
      <c r="AG975">
        <v>35</v>
      </c>
      <c r="AH975">
        <v>0</v>
      </c>
      <c r="AI975">
        <v>0</v>
      </c>
      <c r="AJ975">
        <v>3</v>
      </c>
      <c r="AK975">
        <v>5</v>
      </c>
      <c r="AL975" t="s">
        <v>325</v>
      </c>
      <c r="AM975" t="s">
        <v>245</v>
      </c>
      <c r="AN975" t="s">
        <v>246</v>
      </c>
      <c r="AO975" t="s">
        <v>1042</v>
      </c>
      <c r="AP975" t="s">
        <v>327</v>
      </c>
      <c r="AQ975" t="s">
        <v>10606</v>
      </c>
      <c r="AR975" t="s">
        <v>1044</v>
      </c>
      <c r="AS975" t="s">
        <v>74</v>
      </c>
      <c r="AT975" t="s">
        <v>74</v>
      </c>
      <c r="AU975">
        <v>2023</v>
      </c>
      <c r="AV975">
        <v>13715</v>
      </c>
      <c r="AW975" t="s">
        <v>74</v>
      </c>
      <c r="AX975" t="s">
        <v>74</v>
      </c>
      <c r="AY975" t="s">
        <v>74</v>
      </c>
      <c r="AZ975" t="s">
        <v>74</v>
      </c>
      <c r="BA975" t="s">
        <v>74</v>
      </c>
      <c r="BB975">
        <v>340</v>
      </c>
      <c r="BC975">
        <v>356</v>
      </c>
      <c r="BD975" t="s">
        <v>74</v>
      </c>
      <c r="BE975" t="s">
        <v>18310</v>
      </c>
      <c r="BF975" t="str">
        <f>HYPERLINK("http://dx.doi.org/10.1007/978-3-031-26409-2_21","http://dx.doi.org/10.1007/978-3-031-26409-2_21")</f>
        <v>http://dx.doi.org/10.1007/978-3-031-26409-2_21</v>
      </c>
      <c r="BG975" t="s">
        <v>74</v>
      </c>
      <c r="BH975" t="s">
        <v>74</v>
      </c>
      <c r="BI975">
        <v>17</v>
      </c>
      <c r="BJ975" t="s">
        <v>331</v>
      </c>
      <c r="BK975" t="s">
        <v>98</v>
      </c>
      <c r="BL975" t="s">
        <v>99</v>
      </c>
      <c r="BM975" t="s">
        <v>10608</v>
      </c>
      <c r="BN975" t="s">
        <v>74</v>
      </c>
      <c r="BO975" t="s">
        <v>74</v>
      </c>
      <c r="BP975" t="s">
        <v>74</v>
      </c>
      <c r="BQ975" t="s">
        <v>74</v>
      </c>
      <c r="BR975" t="s">
        <v>101</v>
      </c>
      <c r="BS975" t="s">
        <v>18311</v>
      </c>
      <c r="BT975" t="str">
        <f>HYPERLINK("https%3A%2F%2Fwww.webofscience.com%2Fwos%2Fwoscc%2Ffull-record%2FWOS:000999043300021","View Full Record in Web of Science")</f>
        <v>View Full Record in Web of Science</v>
      </c>
    </row>
    <row r="976" spans="1:72" x14ac:dyDescent="0.2">
      <c r="A976" t="s">
        <v>103</v>
      </c>
      <c r="B976" t="s">
        <v>18312</v>
      </c>
      <c r="C976" t="s">
        <v>74</v>
      </c>
      <c r="D976" t="s">
        <v>74</v>
      </c>
      <c r="E976" t="s">
        <v>74</v>
      </c>
      <c r="F976" t="s">
        <v>18313</v>
      </c>
      <c r="G976" t="s">
        <v>74</v>
      </c>
      <c r="H976" t="s">
        <v>74</v>
      </c>
      <c r="I976" t="s">
        <v>18314</v>
      </c>
      <c r="J976" t="s">
        <v>18315</v>
      </c>
      <c r="K976" t="s">
        <v>74</v>
      </c>
      <c r="L976" t="s">
        <v>74</v>
      </c>
      <c r="M976" t="s">
        <v>79</v>
      </c>
      <c r="N976" t="s">
        <v>138</v>
      </c>
      <c r="O976" t="s">
        <v>74</v>
      </c>
      <c r="P976" t="s">
        <v>74</v>
      </c>
      <c r="Q976" t="s">
        <v>74</v>
      </c>
      <c r="R976" t="s">
        <v>74</v>
      </c>
      <c r="S976" t="s">
        <v>74</v>
      </c>
      <c r="T976" t="s">
        <v>18316</v>
      </c>
      <c r="U976" t="s">
        <v>16781</v>
      </c>
      <c r="V976" t="s">
        <v>18317</v>
      </c>
      <c r="W976" t="s">
        <v>18318</v>
      </c>
      <c r="X976" t="s">
        <v>74</v>
      </c>
      <c r="Y976" t="s">
        <v>18319</v>
      </c>
      <c r="Z976" t="s">
        <v>18320</v>
      </c>
      <c r="AA976" t="s">
        <v>74</v>
      </c>
      <c r="AB976" t="s">
        <v>74</v>
      </c>
      <c r="AC976" t="s">
        <v>18321</v>
      </c>
      <c r="AD976" t="s">
        <v>18322</v>
      </c>
      <c r="AE976" t="s">
        <v>18323</v>
      </c>
      <c r="AF976" t="s">
        <v>74</v>
      </c>
      <c r="AG976">
        <v>49</v>
      </c>
      <c r="AH976">
        <v>0</v>
      </c>
      <c r="AI976">
        <v>0</v>
      </c>
      <c r="AJ976">
        <v>6</v>
      </c>
      <c r="AK976">
        <v>10</v>
      </c>
      <c r="AL976" t="s">
        <v>438</v>
      </c>
      <c r="AM976" t="s">
        <v>439</v>
      </c>
      <c r="AN976" t="s">
        <v>440</v>
      </c>
      <c r="AO976" t="s">
        <v>18324</v>
      </c>
      <c r="AP976" t="s">
        <v>74</v>
      </c>
      <c r="AQ976" t="s">
        <v>74</v>
      </c>
      <c r="AR976" t="s">
        <v>18325</v>
      </c>
      <c r="AS976" t="s">
        <v>18326</v>
      </c>
      <c r="AT976" t="s">
        <v>18327</v>
      </c>
      <c r="AU976">
        <v>2023</v>
      </c>
      <c r="AV976" t="s">
        <v>74</v>
      </c>
      <c r="AW976" t="s">
        <v>74</v>
      </c>
      <c r="AX976" t="s">
        <v>74</v>
      </c>
      <c r="AY976" t="s">
        <v>74</v>
      </c>
      <c r="AZ976" t="s">
        <v>74</v>
      </c>
      <c r="BA976" t="s">
        <v>74</v>
      </c>
      <c r="BB976" t="s">
        <v>74</v>
      </c>
      <c r="BC976" t="s">
        <v>74</v>
      </c>
      <c r="BD976" t="s">
        <v>74</v>
      </c>
      <c r="BE976" t="s">
        <v>18328</v>
      </c>
      <c r="BF976" t="str">
        <f>HYPERLINK("http://dx.doi.org/10.1177/24723444221147972","http://dx.doi.org/10.1177/24723444221147972")</f>
        <v>http://dx.doi.org/10.1177/24723444221147972</v>
      </c>
      <c r="BG976" t="s">
        <v>74</v>
      </c>
      <c r="BH976" t="s">
        <v>2647</v>
      </c>
      <c r="BI976">
        <v>13</v>
      </c>
      <c r="BJ976" t="s">
        <v>7857</v>
      </c>
      <c r="BK976" t="s">
        <v>130</v>
      </c>
      <c r="BL976" t="s">
        <v>3847</v>
      </c>
      <c r="BM976" t="s">
        <v>18329</v>
      </c>
      <c r="BN976" t="s">
        <v>74</v>
      </c>
      <c r="BO976" t="s">
        <v>1237</v>
      </c>
      <c r="BP976" t="s">
        <v>74</v>
      </c>
      <c r="BQ976" t="s">
        <v>74</v>
      </c>
      <c r="BR976" t="s">
        <v>101</v>
      </c>
      <c r="BS976" t="s">
        <v>18330</v>
      </c>
      <c r="BT976" t="str">
        <f>HYPERLINK("https%3A%2F%2Fwww.webofscience.com%2Fwos%2Fwoscc%2Ffull-record%2FWOS:000967929600001","View Full Record in Web of Science")</f>
        <v>View Full Record in Web of Science</v>
      </c>
    </row>
    <row r="977" spans="1:72" x14ac:dyDescent="0.2">
      <c r="A977" t="s">
        <v>103</v>
      </c>
      <c r="B977" t="s">
        <v>18331</v>
      </c>
      <c r="C977" t="s">
        <v>74</v>
      </c>
      <c r="D977" t="s">
        <v>74</v>
      </c>
      <c r="E977" t="s">
        <v>74</v>
      </c>
      <c r="F977" t="s">
        <v>18332</v>
      </c>
      <c r="G977" t="s">
        <v>74</v>
      </c>
      <c r="H977" t="s">
        <v>74</v>
      </c>
      <c r="I977" t="s">
        <v>18333</v>
      </c>
      <c r="J977" t="s">
        <v>18334</v>
      </c>
      <c r="K977" t="s">
        <v>74</v>
      </c>
      <c r="L977" t="s">
        <v>74</v>
      </c>
      <c r="M977" t="s">
        <v>79</v>
      </c>
      <c r="N977" t="s">
        <v>108</v>
      </c>
      <c r="O977" t="s">
        <v>74</v>
      </c>
      <c r="P977" t="s">
        <v>74</v>
      </c>
      <c r="Q977" t="s">
        <v>74</v>
      </c>
      <c r="R977" t="s">
        <v>74</v>
      </c>
      <c r="S977" t="s">
        <v>74</v>
      </c>
      <c r="T977" t="s">
        <v>74</v>
      </c>
      <c r="U977" t="s">
        <v>18335</v>
      </c>
      <c r="V977" t="s">
        <v>18336</v>
      </c>
      <c r="W977" t="s">
        <v>18337</v>
      </c>
      <c r="X977" t="s">
        <v>18338</v>
      </c>
      <c r="Y977" t="s">
        <v>18339</v>
      </c>
      <c r="Z977" t="s">
        <v>18340</v>
      </c>
      <c r="AA977" t="s">
        <v>74</v>
      </c>
      <c r="AB977" t="s">
        <v>74</v>
      </c>
      <c r="AC977" t="s">
        <v>74</v>
      </c>
      <c r="AD977" t="s">
        <v>74</v>
      </c>
      <c r="AE977" t="s">
        <v>74</v>
      </c>
      <c r="AF977" t="s">
        <v>74</v>
      </c>
      <c r="AG977">
        <v>70</v>
      </c>
      <c r="AH977">
        <v>2</v>
      </c>
      <c r="AI977">
        <v>2</v>
      </c>
      <c r="AJ977">
        <v>2</v>
      </c>
      <c r="AK977">
        <v>2</v>
      </c>
      <c r="AL977" t="s">
        <v>18341</v>
      </c>
      <c r="AM977" t="s">
        <v>221</v>
      </c>
      <c r="AN977" t="s">
        <v>18342</v>
      </c>
      <c r="AO977" t="s">
        <v>18343</v>
      </c>
      <c r="AP977" t="s">
        <v>18344</v>
      </c>
      <c r="AQ977" t="s">
        <v>74</v>
      </c>
      <c r="AR977" t="s">
        <v>18345</v>
      </c>
      <c r="AS977" t="s">
        <v>18346</v>
      </c>
      <c r="AT977" t="s">
        <v>467</v>
      </c>
      <c r="AU977">
        <v>2023</v>
      </c>
      <c r="AV977">
        <v>33</v>
      </c>
      <c r="AW977">
        <v>4</v>
      </c>
      <c r="AX977" t="s">
        <v>74</v>
      </c>
      <c r="AY977" t="s">
        <v>74</v>
      </c>
      <c r="AZ977" t="s">
        <v>74</v>
      </c>
      <c r="BA977" t="s">
        <v>74</v>
      </c>
      <c r="BB977">
        <v>386</v>
      </c>
      <c r="BC977">
        <v>394</v>
      </c>
      <c r="BD977" t="s">
        <v>74</v>
      </c>
      <c r="BE977" t="s">
        <v>18347</v>
      </c>
      <c r="BF977" t="str">
        <f>HYPERLINK("http://dx.doi.org/10.1016/j.semradonc.2023.06.004","http://dx.doi.org/10.1016/j.semradonc.2023.06.004")</f>
        <v>http://dx.doi.org/10.1016/j.semradonc.2023.06.004</v>
      </c>
      <c r="BG977" t="s">
        <v>74</v>
      </c>
      <c r="BH977" t="s">
        <v>278</v>
      </c>
      <c r="BI977">
        <v>9</v>
      </c>
      <c r="BJ977" t="s">
        <v>18348</v>
      </c>
      <c r="BK977" t="s">
        <v>130</v>
      </c>
      <c r="BL977" t="s">
        <v>18348</v>
      </c>
      <c r="BM977" t="s">
        <v>18349</v>
      </c>
      <c r="BN977">
        <v>37684068</v>
      </c>
      <c r="BO977" t="s">
        <v>1237</v>
      </c>
      <c r="BP977" t="s">
        <v>74</v>
      </c>
      <c r="BQ977" t="s">
        <v>74</v>
      </c>
      <c r="BR977" t="s">
        <v>101</v>
      </c>
      <c r="BS977" t="s">
        <v>18350</v>
      </c>
      <c r="BT977" t="str">
        <f>HYPERLINK("https%3A%2F%2Fwww.webofscience.com%2Fwos%2Fwoscc%2Ffull-record%2FWOS:001077395800001","View Full Record in Web of Science")</f>
        <v>View Full Record in Web of Science</v>
      </c>
    </row>
    <row r="978" spans="1:72" x14ac:dyDescent="0.2">
      <c r="A978" t="s">
        <v>72</v>
      </c>
      <c r="B978" t="s">
        <v>18351</v>
      </c>
      <c r="C978" t="s">
        <v>74</v>
      </c>
      <c r="D978" t="s">
        <v>74</v>
      </c>
      <c r="E978" t="s">
        <v>284</v>
      </c>
      <c r="F978" t="s">
        <v>18352</v>
      </c>
      <c r="G978" t="s">
        <v>74</v>
      </c>
      <c r="H978" t="s">
        <v>74</v>
      </c>
      <c r="I978" t="s">
        <v>18353</v>
      </c>
      <c r="J978" t="s">
        <v>11243</v>
      </c>
      <c r="K978" t="s">
        <v>11244</v>
      </c>
      <c r="L978" t="s">
        <v>74</v>
      </c>
      <c r="M978" t="s">
        <v>79</v>
      </c>
      <c r="N978" t="s">
        <v>80</v>
      </c>
      <c r="O978" t="s">
        <v>11245</v>
      </c>
      <c r="P978" t="s">
        <v>11246</v>
      </c>
      <c r="Q978" t="s">
        <v>11247</v>
      </c>
      <c r="R978" t="s">
        <v>11248</v>
      </c>
      <c r="S978" t="s">
        <v>74</v>
      </c>
      <c r="T978" t="s">
        <v>18354</v>
      </c>
      <c r="U978" t="s">
        <v>74</v>
      </c>
      <c r="V978" t="s">
        <v>18355</v>
      </c>
      <c r="W978" t="s">
        <v>18356</v>
      </c>
      <c r="X978" t="s">
        <v>18357</v>
      </c>
      <c r="Y978" t="s">
        <v>18358</v>
      </c>
      <c r="Z978" t="s">
        <v>18359</v>
      </c>
      <c r="AA978" t="s">
        <v>18360</v>
      </c>
      <c r="AB978" t="s">
        <v>18361</v>
      </c>
      <c r="AC978" t="s">
        <v>18362</v>
      </c>
      <c r="AD978" t="s">
        <v>18363</v>
      </c>
      <c r="AE978" t="s">
        <v>18364</v>
      </c>
      <c r="AF978" t="s">
        <v>74</v>
      </c>
      <c r="AG978">
        <v>23</v>
      </c>
      <c r="AH978">
        <v>0</v>
      </c>
      <c r="AI978">
        <v>0</v>
      </c>
      <c r="AJ978">
        <v>5</v>
      </c>
      <c r="AK978">
        <v>5</v>
      </c>
      <c r="AL978" t="s">
        <v>284</v>
      </c>
      <c r="AM978" t="s">
        <v>93</v>
      </c>
      <c r="AN978" t="s">
        <v>299</v>
      </c>
      <c r="AO978" t="s">
        <v>11260</v>
      </c>
      <c r="AP978" t="s">
        <v>74</v>
      </c>
      <c r="AQ978" t="s">
        <v>11261</v>
      </c>
      <c r="AR978" t="s">
        <v>11262</v>
      </c>
      <c r="AS978" t="s">
        <v>74</v>
      </c>
      <c r="AT978" t="s">
        <v>74</v>
      </c>
      <c r="AU978">
        <v>2023</v>
      </c>
      <c r="AV978" t="s">
        <v>74</v>
      </c>
      <c r="AW978" t="s">
        <v>74</v>
      </c>
      <c r="AX978" t="s">
        <v>74</v>
      </c>
      <c r="AY978" t="s">
        <v>74</v>
      </c>
      <c r="AZ978" t="s">
        <v>74</v>
      </c>
      <c r="BA978" t="s">
        <v>74</v>
      </c>
      <c r="BB978">
        <v>182</v>
      </c>
      <c r="BC978">
        <v>187</v>
      </c>
      <c r="BD978" t="s">
        <v>74</v>
      </c>
      <c r="BE978" t="s">
        <v>18365</v>
      </c>
      <c r="BF978" t="str">
        <f>HYPERLINK("http://dx.doi.org/10.1109/ICAIIC57133.2023.10067042","http://dx.doi.org/10.1109/ICAIIC57133.2023.10067042")</f>
        <v>http://dx.doi.org/10.1109/ICAIIC57133.2023.10067042</v>
      </c>
      <c r="BG978" t="s">
        <v>74</v>
      </c>
      <c r="BH978" t="s">
        <v>74</v>
      </c>
      <c r="BI978">
        <v>6</v>
      </c>
      <c r="BJ978" t="s">
        <v>11264</v>
      </c>
      <c r="BK978" t="s">
        <v>98</v>
      </c>
      <c r="BL978" t="s">
        <v>906</v>
      </c>
      <c r="BM978" t="s">
        <v>11265</v>
      </c>
      <c r="BN978" t="s">
        <v>74</v>
      </c>
      <c r="BO978" t="s">
        <v>3333</v>
      </c>
      <c r="BP978" t="s">
        <v>74</v>
      </c>
      <c r="BQ978" t="s">
        <v>74</v>
      </c>
      <c r="BR978" t="s">
        <v>101</v>
      </c>
      <c r="BS978" t="s">
        <v>18366</v>
      </c>
      <c r="BT978" t="str">
        <f>HYPERLINK("https%3A%2F%2Fwww.webofscience.com%2Fwos%2Fwoscc%2Ffull-record%2FWOS:001012997600035","View Full Record in Web of Science")</f>
        <v>View Full Record in Web of Science</v>
      </c>
    </row>
    <row r="979" spans="1:72" x14ac:dyDescent="0.2">
      <c r="A979" t="s">
        <v>103</v>
      </c>
      <c r="B979" t="s">
        <v>18367</v>
      </c>
      <c r="C979" t="s">
        <v>74</v>
      </c>
      <c r="D979" t="s">
        <v>74</v>
      </c>
      <c r="E979" t="s">
        <v>74</v>
      </c>
      <c r="F979" t="s">
        <v>18368</v>
      </c>
      <c r="G979" t="s">
        <v>74</v>
      </c>
      <c r="H979" t="s">
        <v>74</v>
      </c>
      <c r="I979" t="s">
        <v>18369</v>
      </c>
      <c r="J979" t="s">
        <v>18370</v>
      </c>
      <c r="K979" t="s">
        <v>74</v>
      </c>
      <c r="L979" t="s">
        <v>74</v>
      </c>
      <c r="M979" t="s">
        <v>79</v>
      </c>
      <c r="N979" t="s">
        <v>108</v>
      </c>
      <c r="O979" t="s">
        <v>74</v>
      </c>
      <c r="P979" t="s">
        <v>74</v>
      </c>
      <c r="Q979" t="s">
        <v>74</v>
      </c>
      <c r="R979" t="s">
        <v>74</v>
      </c>
      <c r="S979" t="s">
        <v>74</v>
      </c>
      <c r="T979" t="s">
        <v>74</v>
      </c>
      <c r="U979" t="s">
        <v>18371</v>
      </c>
      <c r="V979" t="s">
        <v>18372</v>
      </c>
      <c r="W979" t="s">
        <v>18373</v>
      </c>
      <c r="X979" t="s">
        <v>18374</v>
      </c>
      <c r="Y979" t="s">
        <v>18375</v>
      </c>
      <c r="Z979" t="s">
        <v>18376</v>
      </c>
      <c r="AA979" t="s">
        <v>18377</v>
      </c>
      <c r="AB979" t="s">
        <v>18378</v>
      </c>
      <c r="AC979" t="s">
        <v>74</v>
      </c>
      <c r="AD979" t="s">
        <v>74</v>
      </c>
      <c r="AE979" t="s">
        <v>74</v>
      </c>
      <c r="AF979" t="s">
        <v>74</v>
      </c>
      <c r="AG979">
        <v>26</v>
      </c>
      <c r="AH979">
        <v>1</v>
      </c>
      <c r="AI979">
        <v>1</v>
      </c>
      <c r="AJ979">
        <v>8</v>
      </c>
      <c r="AK979">
        <v>8</v>
      </c>
      <c r="AL979" t="s">
        <v>3165</v>
      </c>
      <c r="AM979" t="s">
        <v>3166</v>
      </c>
      <c r="AN979" t="s">
        <v>3167</v>
      </c>
      <c r="AO979" t="s">
        <v>74</v>
      </c>
      <c r="AP979" t="s">
        <v>18379</v>
      </c>
      <c r="AQ979" t="s">
        <v>74</v>
      </c>
      <c r="AR979" t="s">
        <v>18380</v>
      </c>
      <c r="AS979" t="s">
        <v>18381</v>
      </c>
      <c r="AT979" t="s">
        <v>527</v>
      </c>
      <c r="AU979">
        <v>2023</v>
      </c>
      <c r="AV979">
        <v>7</v>
      </c>
      <c r="AW979">
        <v>6</v>
      </c>
      <c r="AX979" t="s">
        <v>74</v>
      </c>
      <c r="AY979" t="s">
        <v>74</v>
      </c>
      <c r="AZ979" t="s">
        <v>74</v>
      </c>
      <c r="BA979" t="s">
        <v>74</v>
      </c>
      <c r="BB979" t="s">
        <v>74</v>
      </c>
      <c r="BC979" t="s">
        <v>74</v>
      </c>
      <c r="BD979" t="s">
        <v>74</v>
      </c>
      <c r="BE979" t="s">
        <v>18382</v>
      </c>
      <c r="BF979" t="str">
        <f>HYPERLINK("http://dx.doi.org/10.1002/aet2.10924","http://dx.doi.org/10.1002/aet2.10924")</f>
        <v>http://dx.doi.org/10.1002/aet2.10924</v>
      </c>
      <c r="BG979" t="s">
        <v>74</v>
      </c>
      <c r="BH979" t="s">
        <v>74</v>
      </c>
      <c r="BI979">
        <v>9</v>
      </c>
      <c r="BJ979" t="s">
        <v>18383</v>
      </c>
      <c r="BK979" t="s">
        <v>352</v>
      </c>
      <c r="BL979" t="s">
        <v>18384</v>
      </c>
      <c r="BM979" t="s">
        <v>18385</v>
      </c>
      <c r="BN979">
        <v>38046089</v>
      </c>
      <c r="BO979" t="s">
        <v>161</v>
      </c>
      <c r="BP979" t="s">
        <v>74</v>
      </c>
      <c r="BQ979" t="s">
        <v>74</v>
      </c>
      <c r="BR979" t="s">
        <v>101</v>
      </c>
      <c r="BS979" t="s">
        <v>18386</v>
      </c>
      <c r="BT979" t="str">
        <f>HYPERLINK("https%3A%2F%2Fwww.webofscience.com%2Fwos%2Fwoscc%2Ffull-record%2FWOS:001111135100001","View Full Record in Web of Science")</f>
        <v>View Full Record in Web of Science</v>
      </c>
    </row>
    <row r="980" spans="1:72" x14ac:dyDescent="0.2">
      <c r="A980" t="s">
        <v>103</v>
      </c>
      <c r="B980" t="s">
        <v>18387</v>
      </c>
      <c r="C980" t="s">
        <v>74</v>
      </c>
      <c r="D980" t="s">
        <v>74</v>
      </c>
      <c r="E980" t="s">
        <v>74</v>
      </c>
      <c r="F980" t="s">
        <v>18388</v>
      </c>
      <c r="G980" t="s">
        <v>74</v>
      </c>
      <c r="H980" t="s">
        <v>74</v>
      </c>
      <c r="I980" t="s">
        <v>18389</v>
      </c>
      <c r="J980" t="s">
        <v>262</v>
      </c>
      <c r="K980" t="s">
        <v>74</v>
      </c>
      <c r="L980" t="s">
        <v>74</v>
      </c>
      <c r="M980" t="s">
        <v>79</v>
      </c>
      <c r="N980" t="s">
        <v>108</v>
      </c>
      <c r="O980" t="s">
        <v>74</v>
      </c>
      <c r="P980" t="s">
        <v>74</v>
      </c>
      <c r="Q980" t="s">
        <v>74</v>
      </c>
      <c r="R980" t="s">
        <v>74</v>
      </c>
      <c r="S980" t="s">
        <v>74</v>
      </c>
      <c r="T980" t="s">
        <v>18390</v>
      </c>
      <c r="U980" t="s">
        <v>18391</v>
      </c>
      <c r="V980" t="s">
        <v>18392</v>
      </c>
      <c r="W980" t="s">
        <v>18393</v>
      </c>
      <c r="X980" t="s">
        <v>18394</v>
      </c>
      <c r="Y980" t="s">
        <v>18395</v>
      </c>
      <c r="Z980" t="s">
        <v>18396</v>
      </c>
      <c r="AA980" t="s">
        <v>18397</v>
      </c>
      <c r="AB980" t="s">
        <v>74</v>
      </c>
      <c r="AC980" t="s">
        <v>18398</v>
      </c>
      <c r="AD980" t="s">
        <v>18399</v>
      </c>
      <c r="AE980" t="s">
        <v>18400</v>
      </c>
      <c r="AF980" t="s">
        <v>74</v>
      </c>
      <c r="AG980">
        <v>143</v>
      </c>
      <c r="AH980">
        <v>8</v>
      </c>
      <c r="AI980">
        <v>8</v>
      </c>
      <c r="AJ980">
        <v>225</v>
      </c>
      <c r="AK980">
        <v>225</v>
      </c>
      <c r="AL980" t="s">
        <v>270</v>
      </c>
      <c r="AM980" t="s">
        <v>120</v>
      </c>
      <c r="AN980" t="s">
        <v>271</v>
      </c>
      <c r="AO980" t="s">
        <v>272</v>
      </c>
      <c r="AP980" t="s">
        <v>273</v>
      </c>
      <c r="AQ980" t="s">
        <v>74</v>
      </c>
      <c r="AR980" t="s">
        <v>274</v>
      </c>
      <c r="AS980" t="s">
        <v>275</v>
      </c>
      <c r="AT980" t="s">
        <v>276</v>
      </c>
      <c r="AU980">
        <v>2023</v>
      </c>
      <c r="AV980">
        <v>75</v>
      </c>
      <c r="AW980" t="s">
        <v>74</v>
      </c>
      <c r="AX980" t="s">
        <v>74</v>
      </c>
      <c r="AY980" t="s">
        <v>74</v>
      </c>
      <c r="AZ980" t="s">
        <v>74</v>
      </c>
      <c r="BA980" t="s">
        <v>74</v>
      </c>
      <c r="BB980" t="s">
        <v>74</v>
      </c>
      <c r="BC980" t="s">
        <v>74</v>
      </c>
      <c r="BD980">
        <v>102362</v>
      </c>
      <c r="BE980" t="s">
        <v>18401</v>
      </c>
      <c r="BF980" t="str">
        <f>HYPERLINK("http://dx.doi.org/10.1016/j.techsoc.2023.102362","http://dx.doi.org/10.1016/j.techsoc.2023.102362")</f>
        <v>http://dx.doi.org/10.1016/j.techsoc.2023.102362</v>
      </c>
      <c r="BG980" t="s">
        <v>74</v>
      </c>
      <c r="BH980" t="s">
        <v>278</v>
      </c>
      <c r="BI980">
        <v>13</v>
      </c>
      <c r="BJ980" t="s">
        <v>279</v>
      </c>
      <c r="BK980" t="s">
        <v>159</v>
      </c>
      <c r="BL980" t="s">
        <v>280</v>
      </c>
      <c r="BM980" t="s">
        <v>18402</v>
      </c>
      <c r="BN980" t="s">
        <v>74</v>
      </c>
      <c r="BO980" t="s">
        <v>74</v>
      </c>
      <c r="BP980" t="s">
        <v>74</v>
      </c>
      <c r="BQ980" t="s">
        <v>74</v>
      </c>
      <c r="BR980" t="s">
        <v>101</v>
      </c>
      <c r="BS980" t="s">
        <v>18403</v>
      </c>
      <c r="BT980" t="str">
        <f>HYPERLINK("https%3A%2F%2Fwww.webofscience.com%2Fwos%2Fwoscc%2Ffull-record%2FWOS:001082514800001","View Full Record in Web of Science")</f>
        <v>View Full Record in Web of Science</v>
      </c>
    </row>
    <row r="981" spans="1:72" x14ac:dyDescent="0.2">
      <c r="A981" t="s">
        <v>103</v>
      </c>
      <c r="B981" t="s">
        <v>18404</v>
      </c>
      <c r="C981" t="s">
        <v>74</v>
      </c>
      <c r="D981" t="s">
        <v>74</v>
      </c>
      <c r="E981" t="s">
        <v>74</v>
      </c>
      <c r="F981" t="s">
        <v>18405</v>
      </c>
      <c r="G981" t="s">
        <v>74</v>
      </c>
      <c r="H981" t="s">
        <v>74</v>
      </c>
      <c r="I981" t="s">
        <v>18406</v>
      </c>
      <c r="J981" t="s">
        <v>1121</v>
      </c>
      <c r="K981" t="s">
        <v>74</v>
      </c>
      <c r="L981" t="s">
        <v>74</v>
      </c>
      <c r="M981" t="s">
        <v>79</v>
      </c>
      <c r="N981" t="s">
        <v>108</v>
      </c>
      <c r="O981" t="s">
        <v>74</v>
      </c>
      <c r="P981" t="s">
        <v>74</v>
      </c>
      <c r="Q981" t="s">
        <v>74</v>
      </c>
      <c r="R981" t="s">
        <v>74</v>
      </c>
      <c r="S981" t="s">
        <v>74</v>
      </c>
      <c r="T981" t="s">
        <v>18407</v>
      </c>
      <c r="U981" t="s">
        <v>18408</v>
      </c>
      <c r="V981" t="s">
        <v>18409</v>
      </c>
      <c r="W981" t="s">
        <v>18410</v>
      </c>
      <c r="X981" t="s">
        <v>18411</v>
      </c>
      <c r="Y981" t="s">
        <v>18412</v>
      </c>
      <c r="Z981" t="s">
        <v>18413</v>
      </c>
      <c r="AA981" t="s">
        <v>74</v>
      </c>
      <c r="AB981" t="s">
        <v>18414</v>
      </c>
      <c r="AC981" t="s">
        <v>18415</v>
      </c>
      <c r="AD981" t="s">
        <v>18416</v>
      </c>
      <c r="AE981" t="s">
        <v>18417</v>
      </c>
      <c r="AF981" t="s">
        <v>74</v>
      </c>
      <c r="AG981">
        <v>39</v>
      </c>
      <c r="AH981">
        <v>0</v>
      </c>
      <c r="AI981">
        <v>0</v>
      </c>
      <c r="AJ981">
        <v>31</v>
      </c>
      <c r="AK981">
        <v>31</v>
      </c>
      <c r="AL981" t="s">
        <v>1129</v>
      </c>
      <c r="AM981" t="s">
        <v>120</v>
      </c>
      <c r="AN981" t="s">
        <v>1130</v>
      </c>
      <c r="AO981" t="s">
        <v>1131</v>
      </c>
      <c r="AP981" t="s">
        <v>74</v>
      </c>
      <c r="AQ981" t="s">
        <v>74</v>
      </c>
      <c r="AR981" t="s">
        <v>1132</v>
      </c>
      <c r="AS981" t="s">
        <v>1133</v>
      </c>
      <c r="AT981" t="s">
        <v>276</v>
      </c>
      <c r="AU981">
        <v>2023</v>
      </c>
      <c r="AV981">
        <v>51</v>
      </c>
      <c r="AW981" t="s">
        <v>74</v>
      </c>
      <c r="AX981" t="s">
        <v>74</v>
      </c>
      <c r="AY981" t="s">
        <v>74</v>
      </c>
      <c r="AZ981" t="s">
        <v>74</v>
      </c>
      <c r="BA981" t="s">
        <v>74</v>
      </c>
      <c r="BB981" t="s">
        <v>74</v>
      </c>
      <c r="BC981" t="s">
        <v>74</v>
      </c>
      <c r="BD981">
        <v>105864</v>
      </c>
      <c r="BE981" t="s">
        <v>18418</v>
      </c>
      <c r="BF981" t="str">
        <f>HYPERLINK("http://dx.doi.org/10.1016/j.clsr.2023.105864","http://dx.doi.org/10.1016/j.clsr.2023.105864")</f>
        <v>http://dx.doi.org/10.1016/j.clsr.2023.105864</v>
      </c>
      <c r="BG981" t="s">
        <v>74</v>
      </c>
      <c r="BH981" t="s">
        <v>278</v>
      </c>
      <c r="BI981">
        <v>10</v>
      </c>
      <c r="BJ981" t="s">
        <v>1135</v>
      </c>
      <c r="BK981" t="s">
        <v>159</v>
      </c>
      <c r="BL981" t="s">
        <v>1136</v>
      </c>
      <c r="BM981" t="s">
        <v>18419</v>
      </c>
      <c r="BN981" t="s">
        <v>74</v>
      </c>
      <c r="BO981" t="s">
        <v>74</v>
      </c>
      <c r="BP981" t="s">
        <v>74</v>
      </c>
      <c r="BQ981" t="s">
        <v>74</v>
      </c>
      <c r="BR981" t="s">
        <v>101</v>
      </c>
      <c r="BS981" t="s">
        <v>18420</v>
      </c>
      <c r="BT981" t="str">
        <f>HYPERLINK("https%3A%2F%2Fwww.webofscience.com%2Fwos%2Fwoscc%2Ffull-record%2FWOS:001074080200001","View Full Record in Web of Science")</f>
        <v>View Full Record in Web of Science</v>
      </c>
    </row>
    <row r="982" spans="1:72" x14ac:dyDescent="0.2">
      <c r="A982" t="s">
        <v>103</v>
      </c>
      <c r="B982" t="s">
        <v>18421</v>
      </c>
      <c r="C982" t="s">
        <v>74</v>
      </c>
      <c r="D982" t="s">
        <v>74</v>
      </c>
      <c r="E982" t="s">
        <v>74</v>
      </c>
      <c r="F982" t="s">
        <v>18422</v>
      </c>
      <c r="G982" t="s">
        <v>74</v>
      </c>
      <c r="H982" t="s">
        <v>74</v>
      </c>
      <c r="I982" t="s">
        <v>18423</v>
      </c>
      <c r="J982" t="s">
        <v>11207</v>
      </c>
      <c r="K982" t="s">
        <v>74</v>
      </c>
      <c r="L982" t="s">
        <v>74</v>
      </c>
      <c r="M982" t="s">
        <v>79</v>
      </c>
      <c r="N982" t="s">
        <v>108</v>
      </c>
      <c r="O982" t="s">
        <v>74</v>
      </c>
      <c r="P982" t="s">
        <v>74</v>
      </c>
      <c r="Q982" t="s">
        <v>74</v>
      </c>
      <c r="R982" t="s">
        <v>74</v>
      </c>
      <c r="S982" t="s">
        <v>74</v>
      </c>
      <c r="T982" t="s">
        <v>74</v>
      </c>
      <c r="U982" t="s">
        <v>18424</v>
      </c>
      <c r="V982" t="s">
        <v>18425</v>
      </c>
      <c r="W982" t="s">
        <v>18426</v>
      </c>
      <c r="X982" t="s">
        <v>18427</v>
      </c>
      <c r="Y982" t="s">
        <v>18428</v>
      </c>
      <c r="Z982" t="s">
        <v>18429</v>
      </c>
      <c r="AA982" t="s">
        <v>18430</v>
      </c>
      <c r="AB982" t="s">
        <v>18431</v>
      </c>
      <c r="AC982" t="s">
        <v>18432</v>
      </c>
      <c r="AD982" t="s">
        <v>18433</v>
      </c>
      <c r="AE982" t="s">
        <v>18434</v>
      </c>
      <c r="AF982" t="s">
        <v>74</v>
      </c>
      <c r="AG982">
        <v>31</v>
      </c>
      <c r="AH982">
        <v>2</v>
      </c>
      <c r="AI982">
        <v>2</v>
      </c>
      <c r="AJ982">
        <v>14</v>
      </c>
      <c r="AK982">
        <v>14</v>
      </c>
      <c r="AL982" t="s">
        <v>547</v>
      </c>
      <c r="AM982" t="s">
        <v>548</v>
      </c>
      <c r="AN982" t="s">
        <v>549</v>
      </c>
      <c r="AO982" t="s">
        <v>11215</v>
      </c>
      <c r="AP982" t="s">
        <v>11216</v>
      </c>
      <c r="AQ982" t="s">
        <v>74</v>
      </c>
      <c r="AR982" t="s">
        <v>11217</v>
      </c>
      <c r="AS982" t="s">
        <v>11218</v>
      </c>
      <c r="AT982" t="s">
        <v>13416</v>
      </c>
      <c r="AU982">
        <v>2023</v>
      </c>
      <c r="AV982">
        <v>63</v>
      </c>
      <c r="AW982">
        <v>22</v>
      </c>
      <c r="AX982" t="s">
        <v>74</v>
      </c>
      <c r="AY982" t="s">
        <v>74</v>
      </c>
      <c r="AZ982" t="s">
        <v>74</v>
      </c>
      <c r="BA982" t="s">
        <v>74</v>
      </c>
      <c r="BB982">
        <v>7189</v>
      </c>
      <c r="BC982">
        <v>7209</v>
      </c>
      <c r="BD982" t="s">
        <v>74</v>
      </c>
      <c r="BE982" t="s">
        <v>18435</v>
      </c>
      <c r="BF982" t="str">
        <f>HYPERLINK("http://dx.doi.org/10.1021/acs.jcim.3c01429","http://dx.doi.org/10.1021/acs.jcim.3c01429")</f>
        <v>http://dx.doi.org/10.1021/acs.jcim.3c01429</v>
      </c>
      <c r="BG982" t="s">
        <v>74</v>
      </c>
      <c r="BH982" t="s">
        <v>74</v>
      </c>
      <c r="BI982">
        <v>21</v>
      </c>
      <c r="BJ982" t="s">
        <v>11221</v>
      </c>
      <c r="BK982" t="s">
        <v>130</v>
      </c>
      <c r="BL982" t="s">
        <v>11222</v>
      </c>
      <c r="BM982" t="s">
        <v>18436</v>
      </c>
      <c r="BN982">
        <v>37956228</v>
      </c>
      <c r="BO982" t="s">
        <v>646</v>
      </c>
      <c r="BP982" t="s">
        <v>74</v>
      </c>
      <c r="BQ982" t="s">
        <v>74</v>
      </c>
      <c r="BR982" t="s">
        <v>101</v>
      </c>
      <c r="BS982" t="s">
        <v>18437</v>
      </c>
      <c r="BT982" t="str">
        <f>HYPERLINK("https%3A%2F%2Fwww.webofscience.com%2Fwos%2Fwoscc%2Ffull-record%2FWOS:001141322800001","View Full Record in Web of Science")</f>
        <v>View Full Record in Web of Science</v>
      </c>
    </row>
    <row r="983" spans="1:72" x14ac:dyDescent="0.2">
      <c r="A983" t="s">
        <v>103</v>
      </c>
      <c r="B983" t="s">
        <v>18438</v>
      </c>
      <c r="C983" t="s">
        <v>74</v>
      </c>
      <c r="D983" t="s">
        <v>74</v>
      </c>
      <c r="E983" t="s">
        <v>74</v>
      </c>
      <c r="F983" t="s">
        <v>18439</v>
      </c>
      <c r="G983" t="s">
        <v>74</v>
      </c>
      <c r="H983" t="s">
        <v>74</v>
      </c>
      <c r="I983" t="s">
        <v>18440</v>
      </c>
      <c r="J983" t="s">
        <v>6056</v>
      </c>
      <c r="K983" t="s">
        <v>74</v>
      </c>
      <c r="L983" t="s">
        <v>74</v>
      </c>
      <c r="M983" t="s">
        <v>79</v>
      </c>
      <c r="N983" t="s">
        <v>108</v>
      </c>
      <c r="O983" t="s">
        <v>74</v>
      </c>
      <c r="P983" t="s">
        <v>74</v>
      </c>
      <c r="Q983" t="s">
        <v>74</v>
      </c>
      <c r="R983" t="s">
        <v>74</v>
      </c>
      <c r="S983" t="s">
        <v>74</v>
      </c>
      <c r="T983" t="s">
        <v>18441</v>
      </c>
      <c r="U983" t="s">
        <v>74</v>
      </c>
      <c r="V983" t="s">
        <v>18442</v>
      </c>
      <c r="W983" t="s">
        <v>18443</v>
      </c>
      <c r="X983" t="s">
        <v>18444</v>
      </c>
      <c r="Y983" t="s">
        <v>18445</v>
      </c>
      <c r="Z983" t="s">
        <v>18446</v>
      </c>
      <c r="AA983" t="s">
        <v>18447</v>
      </c>
      <c r="AB983" t="s">
        <v>18448</v>
      </c>
      <c r="AC983" t="s">
        <v>18449</v>
      </c>
      <c r="AD983" t="s">
        <v>18450</v>
      </c>
      <c r="AE983" t="s">
        <v>18451</v>
      </c>
      <c r="AF983" t="s">
        <v>74</v>
      </c>
      <c r="AG983">
        <v>11</v>
      </c>
      <c r="AH983">
        <v>0</v>
      </c>
      <c r="AI983">
        <v>0</v>
      </c>
      <c r="AJ983">
        <v>10</v>
      </c>
      <c r="AK983">
        <v>10</v>
      </c>
      <c r="AL983" t="s">
        <v>4176</v>
      </c>
      <c r="AM983" t="s">
        <v>4177</v>
      </c>
      <c r="AN983" t="s">
        <v>4178</v>
      </c>
      <c r="AO983" t="s">
        <v>6067</v>
      </c>
      <c r="AP983" t="s">
        <v>74</v>
      </c>
      <c r="AQ983" t="s">
        <v>74</v>
      </c>
      <c r="AR983" t="s">
        <v>6068</v>
      </c>
      <c r="AS983" t="s">
        <v>6069</v>
      </c>
      <c r="AT983" t="s">
        <v>3775</v>
      </c>
      <c r="AU983">
        <v>2023</v>
      </c>
      <c r="AV983">
        <v>25</v>
      </c>
      <c r="AW983" t="s">
        <v>74</v>
      </c>
      <c r="AX983" t="s">
        <v>74</v>
      </c>
      <c r="AY983" t="s">
        <v>74</v>
      </c>
      <c r="AZ983" t="s">
        <v>74</v>
      </c>
      <c r="BA983" t="s">
        <v>74</v>
      </c>
      <c r="BB983" t="s">
        <v>74</v>
      </c>
      <c r="BC983" t="s">
        <v>74</v>
      </c>
      <c r="BD983" t="s">
        <v>18452</v>
      </c>
      <c r="BE983" t="s">
        <v>18453</v>
      </c>
      <c r="BF983" t="str">
        <f>HYPERLINK("http://dx.doi.org/10.2196/51229","http://dx.doi.org/10.2196/51229")</f>
        <v>http://dx.doi.org/10.2196/51229</v>
      </c>
      <c r="BG983" t="s">
        <v>74</v>
      </c>
      <c r="BH983" t="s">
        <v>74</v>
      </c>
      <c r="BI983">
        <v>9</v>
      </c>
      <c r="BJ983" t="s">
        <v>4947</v>
      </c>
      <c r="BK983" t="s">
        <v>130</v>
      </c>
      <c r="BL983" t="s">
        <v>4947</v>
      </c>
      <c r="BM983" t="s">
        <v>18454</v>
      </c>
      <c r="BN983">
        <v>38145486</v>
      </c>
      <c r="BO983" t="s">
        <v>425</v>
      </c>
      <c r="BP983" t="s">
        <v>74</v>
      </c>
      <c r="BQ983" t="s">
        <v>74</v>
      </c>
      <c r="BR983" t="s">
        <v>101</v>
      </c>
      <c r="BS983" t="s">
        <v>18455</v>
      </c>
      <c r="BT983" t="str">
        <f>HYPERLINK("https%3A%2F%2Fwww.webofscience.com%2Fwos%2Fwoscc%2Ffull-record%2FWOS:001146575700003","View Full Record in Web of Science")</f>
        <v>View Full Record in Web of Science</v>
      </c>
    </row>
    <row r="984" spans="1:72" x14ac:dyDescent="0.2">
      <c r="A984" t="s">
        <v>103</v>
      </c>
      <c r="B984" t="s">
        <v>18456</v>
      </c>
      <c r="C984" t="s">
        <v>74</v>
      </c>
      <c r="D984" t="s">
        <v>74</v>
      </c>
      <c r="E984" t="s">
        <v>74</v>
      </c>
      <c r="F984" t="s">
        <v>18457</v>
      </c>
      <c r="G984" t="s">
        <v>74</v>
      </c>
      <c r="H984" t="s">
        <v>74</v>
      </c>
      <c r="I984" t="s">
        <v>18458</v>
      </c>
      <c r="J984" t="s">
        <v>18459</v>
      </c>
      <c r="K984" t="s">
        <v>74</v>
      </c>
      <c r="L984" t="s">
        <v>74</v>
      </c>
      <c r="M984" t="s">
        <v>79</v>
      </c>
      <c r="N984" t="s">
        <v>108</v>
      </c>
      <c r="O984" t="s">
        <v>74</v>
      </c>
      <c r="P984" t="s">
        <v>74</v>
      </c>
      <c r="Q984" t="s">
        <v>74</v>
      </c>
      <c r="R984" t="s">
        <v>74</v>
      </c>
      <c r="S984" t="s">
        <v>74</v>
      </c>
      <c r="T984" t="s">
        <v>74</v>
      </c>
      <c r="U984" t="s">
        <v>74</v>
      </c>
      <c r="V984" t="s">
        <v>18460</v>
      </c>
      <c r="W984" t="s">
        <v>74</v>
      </c>
      <c r="X984" t="s">
        <v>74</v>
      </c>
      <c r="Y984" t="s">
        <v>74</v>
      </c>
      <c r="Z984" t="s">
        <v>74</v>
      </c>
      <c r="AA984" t="s">
        <v>74</v>
      </c>
      <c r="AB984" t="s">
        <v>74</v>
      </c>
      <c r="AC984" t="s">
        <v>74</v>
      </c>
      <c r="AD984" t="s">
        <v>74</v>
      </c>
      <c r="AE984" t="s">
        <v>74</v>
      </c>
      <c r="AF984" t="s">
        <v>74</v>
      </c>
      <c r="AG984">
        <v>0</v>
      </c>
      <c r="AH984">
        <v>0</v>
      </c>
      <c r="AI984">
        <v>0</v>
      </c>
      <c r="AJ984">
        <v>8</v>
      </c>
      <c r="AK984">
        <v>8</v>
      </c>
      <c r="AL984" t="s">
        <v>3165</v>
      </c>
      <c r="AM984" t="s">
        <v>3166</v>
      </c>
      <c r="AN984" t="s">
        <v>3167</v>
      </c>
      <c r="AO984" t="s">
        <v>18461</v>
      </c>
      <c r="AP984" t="s">
        <v>18462</v>
      </c>
      <c r="AQ984" t="s">
        <v>74</v>
      </c>
      <c r="AR984" t="s">
        <v>18463</v>
      </c>
      <c r="AS984" t="s">
        <v>18464</v>
      </c>
      <c r="AT984" t="s">
        <v>2016</v>
      </c>
      <c r="AU984">
        <v>2023</v>
      </c>
      <c r="AV984">
        <v>29</v>
      </c>
      <c r="AW984" t="s">
        <v>252</v>
      </c>
      <c r="AX984" t="s">
        <v>74</v>
      </c>
      <c r="AY984" t="s">
        <v>74</v>
      </c>
      <c r="AZ984" t="s">
        <v>253</v>
      </c>
      <c r="BA984" t="s">
        <v>74</v>
      </c>
      <c r="BB984">
        <v>249</v>
      </c>
      <c r="BC984">
        <v>255</v>
      </c>
      <c r="BD984" t="s">
        <v>74</v>
      </c>
      <c r="BE984" t="s">
        <v>18465</v>
      </c>
      <c r="BF984" t="str">
        <f>HYPERLINK("http://dx.doi.org/10.1111/eulj.12474","http://dx.doi.org/10.1111/eulj.12474")</f>
        <v>http://dx.doi.org/10.1111/eulj.12474</v>
      </c>
      <c r="BG984" t="s">
        <v>74</v>
      </c>
      <c r="BH984" t="s">
        <v>1886</v>
      </c>
      <c r="BI984">
        <v>7</v>
      </c>
      <c r="BJ984" t="s">
        <v>1135</v>
      </c>
      <c r="BK984" t="s">
        <v>159</v>
      </c>
      <c r="BL984" t="s">
        <v>1136</v>
      </c>
      <c r="BM984" t="s">
        <v>18466</v>
      </c>
      <c r="BN984" t="s">
        <v>74</v>
      </c>
      <c r="BO984" t="s">
        <v>74</v>
      </c>
      <c r="BP984" t="s">
        <v>74</v>
      </c>
      <c r="BQ984" t="s">
        <v>74</v>
      </c>
      <c r="BR984" t="s">
        <v>101</v>
      </c>
      <c r="BS984" t="s">
        <v>18467</v>
      </c>
      <c r="BT984" t="str">
        <f>HYPERLINK("https%3A%2F%2Fwww.webofscience.com%2Fwos%2Fwoscc%2Ffull-record%2FWOS:001087555700001","View Full Record in Web of Science")</f>
        <v>View Full Record in Web of Science</v>
      </c>
    </row>
    <row r="985" spans="1:72" x14ac:dyDescent="0.2">
      <c r="A985" t="s">
        <v>103</v>
      </c>
      <c r="B985" t="s">
        <v>18468</v>
      </c>
      <c r="C985" t="s">
        <v>74</v>
      </c>
      <c r="D985" t="s">
        <v>74</v>
      </c>
      <c r="E985" t="s">
        <v>74</v>
      </c>
      <c r="F985" t="s">
        <v>18469</v>
      </c>
      <c r="G985" t="s">
        <v>74</v>
      </c>
      <c r="H985" t="s">
        <v>74</v>
      </c>
      <c r="I985" t="s">
        <v>18470</v>
      </c>
      <c r="J985" t="s">
        <v>10711</v>
      </c>
      <c r="K985" t="s">
        <v>74</v>
      </c>
      <c r="L985" t="s">
        <v>74</v>
      </c>
      <c r="M985" t="s">
        <v>79</v>
      </c>
      <c r="N985" t="s">
        <v>108</v>
      </c>
      <c r="O985" t="s">
        <v>74</v>
      </c>
      <c r="P985" t="s">
        <v>74</v>
      </c>
      <c r="Q985" t="s">
        <v>74</v>
      </c>
      <c r="R985" t="s">
        <v>74</v>
      </c>
      <c r="S985" t="s">
        <v>74</v>
      </c>
      <c r="T985" t="s">
        <v>74</v>
      </c>
      <c r="U985" t="s">
        <v>18471</v>
      </c>
      <c r="V985" t="s">
        <v>18472</v>
      </c>
      <c r="W985" t="s">
        <v>18473</v>
      </c>
      <c r="X985" t="s">
        <v>18474</v>
      </c>
      <c r="Y985" t="s">
        <v>18475</v>
      </c>
      <c r="Z985" t="s">
        <v>18476</v>
      </c>
      <c r="AA985" t="s">
        <v>18477</v>
      </c>
      <c r="AB985" t="s">
        <v>74</v>
      </c>
      <c r="AC985" t="s">
        <v>18478</v>
      </c>
      <c r="AD985" t="s">
        <v>18479</v>
      </c>
      <c r="AE985" t="s">
        <v>18480</v>
      </c>
      <c r="AF985" t="s">
        <v>74</v>
      </c>
      <c r="AG985">
        <v>41</v>
      </c>
      <c r="AH985">
        <v>0</v>
      </c>
      <c r="AI985">
        <v>0</v>
      </c>
      <c r="AJ985">
        <v>0</v>
      </c>
      <c r="AK985">
        <v>0</v>
      </c>
      <c r="AL985" t="s">
        <v>1880</v>
      </c>
      <c r="AM985" t="s">
        <v>369</v>
      </c>
      <c r="AN985" t="s">
        <v>1881</v>
      </c>
      <c r="AO985" t="s">
        <v>10723</v>
      </c>
      <c r="AP985" t="s">
        <v>74</v>
      </c>
      <c r="AQ985" t="s">
        <v>74</v>
      </c>
      <c r="AR985" t="s">
        <v>10724</v>
      </c>
      <c r="AS985" t="s">
        <v>10725</v>
      </c>
      <c r="AT985" t="s">
        <v>18481</v>
      </c>
      <c r="AU985">
        <v>2023</v>
      </c>
      <c r="AV985">
        <v>13</v>
      </c>
      <c r="AW985">
        <v>1</v>
      </c>
      <c r="AX985" t="s">
        <v>74</v>
      </c>
      <c r="AY985" t="s">
        <v>74</v>
      </c>
      <c r="AZ985" t="s">
        <v>74</v>
      </c>
      <c r="BA985" t="s">
        <v>74</v>
      </c>
      <c r="BB985" t="s">
        <v>74</v>
      </c>
      <c r="BC985" t="s">
        <v>74</v>
      </c>
      <c r="BD985">
        <v>19068</v>
      </c>
      <c r="BE985" t="s">
        <v>18482</v>
      </c>
      <c r="BF985" t="str">
        <f>HYPERLINK("http://dx.doi.org/10.1038/s41598-023-46472-7","http://dx.doi.org/10.1038/s41598-023-46472-7")</f>
        <v>http://dx.doi.org/10.1038/s41598-023-46472-7</v>
      </c>
      <c r="BG985" t="s">
        <v>74</v>
      </c>
      <c r="BH985" t="s">
        <v>74</v>
      </c>
      <c r="BI985">
        <v>12</v>
      </c>
      <c r="BJ985" t="s">
        <v>5686</v>
      </c>
      <c r="BK985" t="s">
        <v>130</v>
      </c>
      <c r="BL985" t="s">
        <v>5687</v>
      </c>
      <c r="BM985" t="s">
        <v>18483</v>
      </c>
      <c r="BN985">
        <v>37925580</v>
      </c>
      <c r="BO985" t="s">
        <v>4337</v>
      </c>
      <c r="BP985" t="s">
        <v>74</v>
      </c>
      <c r="BQ985" t="s">
        <v>74</v>
      </c>
      <c r="BR985" t="s">
        <v>101</v>
      </c>
      <c r="BS985" t="s">
        <v>18484</v>
      </c>
      <c r="BT985" t="str">
        <f>HYPERLINK("https%3A%2F%2Fwww.webofscience.com%2Fwos%2Fwoscc%2Ffull-record%2FWOS:001099663700051","View Full Record in Web of Science")</f>
        <v>View Full Record in Web of Science</v>
      </c>
    </row>
    <row r="986" spans="1:72" x14ac:dyDescent="0.2">
      <c r="A986" t="s">
        <v>103</v>
      </c>
      <c r="B986" t="s">
        <v>18485</v>
      </c>
      <c r="C986" t="s">
        <v>74</v>
      </c>
      <c r="D986" t="s">
        <v>74</v>
      </c>
      <c r="E986" t="s">
        <v>74</v>
      </c>
      <c r="F986" t="s">
        <v>18486</v>
      </c>
      <c r="G986" t="s">
        <v>74</v>
      </c>
      <c r="H986" t="s">
        <v>74</v>
      </c>
      <c r="I986" t="s">
        <v>18487</v>
      </c>
      <c r="J986" t="s">
        <v>16627</v>
      </c>
      <c r="K986" t="s">
        <v>74</v>
      </c>
      <c r="L986" t="s">
        <v>74</v>
      </c>
      <c r="M986" t="s">
        <v>79</v>
      </c>
      <c r="N986" t="s">
        <v>108</v>
      </c>
      <c r="O986" t="s">
        <v>74</v>
      </c>
      <c r="P986" t="s">
        <v>74</v>
      </c>
      <c r="Q986" t="s">
        <v>74</v>
      </c>
      <c r="R986" t="s">
        <v>74</v>
      </c>
      <c r="S986" t="s">
        <v>74</v>
      </c>
      <c r="T986" t="s">
        <v>18488</v>
      </c>
      <c r="U986" t="s">
        <v>74</v>
      </c>
      <c r="V986" t="s">
        <v>18489</v>
      </c>
      <c r="W986" t="s">
        <v>18490</v>
      </c>
      <c r="X986" t="s">
        <v>18491</v>
      </c>
      <c r="Y986" t="s">
        <v>18492</v>
      </c>
      <c r="Z986" t="s">
        <v>18493</v>
      </c>
      <c r="AA986" t="s">
        <v>74</v>
      </c>
      <c r="AB986" t="s">
        <v>74</v>
      </c>
      <c r="AC986" t="s">
        <v>18494</v>
      </c>
      <c r="AD986" t="s">
        <v>18495</v>
      </c>
      <c r="AE986" t="s">
        <v>18496</v>
      </c>
      <c r="AF986" t="s">
        <v>74</v>
      </c>
      <c r="AG986">
        <v>59</v>
      </c>
      <c r="AH986">
        <v>0</v>
      </c>
      <c r="AI986">
        <v>0</v>
      </c>
      <c r="AJ986">
        <v>11</v>
      </c>
      <c r="AK986">
        <v>11</v>
      </c>
      <c r="AL986" t="s">
        <v>939</v>
      </c>
      <c r="AM986" t="s">
        <v>940</v>
      </c>
      <c r="AN986" t="s">
        <v>941</v>
      </c>
      <c r="AO986" t="s">
        <v>74</v>
      </c>
      <c r="AP986" t="s">
        <v>16640</v>
      </c>
      <c r="AQ986" t="s">
        <v>74</v>
      </c>
      <c r="AR986" t="s">
        <v>16641</v>
      </c>
      <c r="AS986" t="s">
        <v>5858</v>
      </c>
      <c r="AT986" t="s">
        <v>615</v>
      </c>
      <c r="AU986">
        <v>2023</v>
      </c>
      <c r="AV986">
        <v>11</v>
      </c>
      <c r="AW986">
        <v>13</v>
      </c>
      <c r="AX986" t="s">
        <v>74</v>
      </c>
      <c r="AY986" t="s">
        <v>74</v>
      </c>
      <c r="AZ986" t="s">
        <v>74</v>
      </c>
      <c r="BA986" t="s">
        <v>74</v>
      </c>
      <c r="BB986" t="s">
        <v>74</v>
      </c>
      <c r="BC986" t="s">
        <v>74</v>
      </c>
      <c r="BD986">
        <v>3015</v>
      </c>
      <c r="BE986" t="s">
        <v>18497</v>
      </c>
      <c r="BF986" t="str">
        <f>HYPERLINK("http://dx.doi.org/10.3390/math11133015","http://dx.doi.org/10.3390/math11133015")</f>
        <v>http://dx.doi.org/10.3390/math11133015</v>
      </c>
      <c r="BG986" t="s">
        <v>74</v>
      </c>
      <c r="BH986" t="s">
        <v>74</v>
      </c>
      <c r="BI986">
        <v>22</v>
      </c>
      <c r="BJ986" t="s">
        <v>5858</v>
      </c>
      <c r="BK986" t="s">
        <v>130</v>
      </c>
      <c r="BL986" t="s">
        <v>5858</v>
      </c>
      <c r="BM986" t="s">
        <v>18498</v>
      </c>
      <c r="BN986" t="s">
        <v>74</v>
      </c>
      <c r="BO986" t="s">
        <v>1071</v>
      </c>
      <c r="BP986" t="s">
        <v>74</v>
      </c>
      <c r="BQ986" t="s">
        <v>74</v>
      </c>
      <c r="BR986" t="s">
        <v>101</v>
      </c>
      <c r="BS986" t="s">
        <v>18499</v>
      </c>
      <c r="BT986" t="str">
        <f>HYPERLINK("https%3A%2F%2Fwww.webofscience.com%2Fwos%2Fwoscc%2Ffull-record%2FWOS:001030224500001","View Full Record in Web of Science")</f>
        <v>View Full Record in Web of Science</v>
      </c>
    </row>
    <row r="987" spans="1:72" x14ac:dyDescent="0.2">
      <c r="A987" t="s">
        <v>103</v>
      </c>
      <c r="B987" t="s">
        <v>18500</v>
      </c>
      <c r="C987" t="s">
        <v>74</v>
      </c>
      <c r="D987" t="s">
        <v>74</v>
      </c>
      <c r="E987" t="s">
        <v>74</v>
      </c>
      <c r="F987" t="s">
        <v>18501</v>
      </c>
      <c r="G987" t="s">
        <v>74</v>
      </c>
      <c r="H987" t="s">
        <v>74</v>
      </c>
      <c r="I987" t="s">
        <v>18502</v>
      </c>
      <c r="J987" t="s">
        <v>18503</v>
      </c>
      <c r="K987" t="s">
        <v>74</v>
      </c>
      <c r="L987" t="s">
        <v>74</v>
      </c>
      <c r="M987" t="s">
        <v>79</v>
      </c>
      <c r="N987" t="s">
        <v>108</v>
      </c>
      <c r="O987" t="s">
        <v>74</v>
      </c>
      <c r="P987" t="s">
        <v>74</v>
      </c>
      <c r="Q987" t="s">
        <v>74</v>
      </c>
      <c r="R987" t="s">
        <v>74</v>
      </c>
      <c r="S987" t="s">
        <v>74</v>
      </c>
      <c r="T987" t="s">
        <v>18504</v>
      </c>
      <c r="U987" t="s">
        <v>74</v>
      </c>
      <c r="V987" t="s">
        <v>18505</v>
      </c>
      <c r="W987" t="s">
        <v>18506</v>
      </c>
      <c r="X987" t="s">
        <v>18507</v>
      </c>
      <c r="Y987" t="s">
        <v>18508</v>
      </c>
      <c r="Z987" t="s">
        <v>18509</v>
      </c>
      <c r="AA987" t="s">
        <v>74</v>
      </c>
      <c r="AB987" t="s">
        <v>18510</v>
      </c>
      <c r="AC987" t="s">
        <v>74</v>
      </c>
      <c r="AD987" t="s">
        <v>74</v>
      </c>
      <c r="AE987" t="s">
        <v>74</v>
      </c>
      <c r="AF987" t="s">
        <v>74</v>
      </c>
      <c r="AG987">
        <v>38</v>
      </c>
      <c r="AH987">
        <v>1</v>
      </c>
      <c r="AI987">
        <v>1</v>
      </c>
      <c r="AJ987">
        <v>12</v>
      </c>
      <c r="AK987">
        <v>12</v>
      </c>
      <c r="AL987" t="s">
        <v>270</v>
      </c>
      <c r="AM987" t="s">
        <v>120</v>
      </c>
      <c r="AN987" t="s">
        <v>271</v>
      </c>
      <c r="AO987" t="s">
        <v>18511</v>
      </c>
      <c r="AP987" t="s">
        <v>18512</v>
      </c>
      <c r="AQ987" t="s">
        <v>74</v>
      </c>
      <c r="AR987" t="s">
        <v>18513</v>
      </c>
      <c r="AS987" t="s">
        <v>18514</v>
      </c>
      <c r="AT987" t="s">
        <v>527</v>
      </c>
      <c r="AU987">
        <v>2023</v>
      </c>
      <c r="AV987">
        <v>59</v>
      </c>
      <c r="AW987" t="s">
        <v>74</v>
      </c>
      <c r="AX987" t="s">
        <v>74</v>
      </c>
      <c r="AY987" t="s">
        <v>74</v>
      </c>
      <c r="AZ987" t="s">
        <v>74</v>
      </c>
      <c r="BA987" t="s">
        <v>74</v>
      </c>
      <c r="BB987">
        <v>329</v>
      </c>
      <c r="BC987">
        <v>333</v>
      </c>
      <c r="BD987" t="s">
        <v>74</v>
      </c>
      <c r="BE987" t="s">
        <v>18515</v>
      </c>
      <c r="BF987" t="str">
        <f>HYPERLINK("http://dx.doi.org/10.1016/j.jdsr.2023.09.004","http://dx.doi.org/10.1016/j.jdsr.2023.09.004")</f>
        <v>http://dx.doi.org/10.1016/j.jdsr.2023.09.004</v>
      </c>
      <c r="BG987" t="s">
        <v>74</v>
      </c>
      <c r="BH987" t="s">
        <v>278</v>
      </c>
      <c r="BI987">
        <v>5</v>
      </c>
      <c r="BJ987" t="s">
        <v>12097</v>
      </c>
      <c r="BK987" t="s">
        <v>130</v>
      </c>
      <c r="BL987" t="s">
        <v>12097</v>
      </c>
      <c r="BM987" t="s">
        <v>18516</v>
      </c>
      <c r="BN987">
        <v>37811196</v>
      </c>
      <c r="BO987" t="s">
        <v>4185</v>
      </c>
      <c r="BP987" t="s">
        <v>74</v>
      </c>
      <c r="BQ987" t="s">
        <v>74</v>
      </c>
      <c r="BR987" t="s">
        <v>101</v>
      </c>
      <c r="BS987" t="s">
        <v>18517</v>
      </c>
      <c r="BT987" t="str">
        <f>HYPERLINK("https%3A%2F%2Fwww.webofscience.com%2Fwos%2Fwoscc%2Ffull-record%2FWOS:001092081200001","View Full Record in Web of Science")</f>
        <v>View Full Record in Web of Science</v>
      </c>
    </row>
    <row r="988" spans="1:72" x14ac:dyDescent="0.2">
      <c r="A988" t="s">
        <v>103</v>
      </c>
      <c r="B988" t="s">
        <v>18518</v>
      </c>
      <c r="C988" t="s">
        <v>74</v>
      </c>
      <c r="D988" t="s">
        <v>74</v>
      </c>
      <c r="E988" t="s">
        <v>74</v>
      </c>
      <c r="F988" t="s">
        <v>18519</v>
      </c>
      <c r="G988" t="s">
        <v>74</v>
      </c>
      <c r="H988" t="s">
        <v>74</v>
      </c>
      <c r="I988" t="s">
        <v>18520</v>
      </c>
      <c r="J988" t="s">
        <v>18521</v>
      </c>
      <c r="K988" t="s">
        <v>74</v>
      </c>
      <c r="L988" t="s">
        <v>74</v>
      </c>
      <c r="M988" t="s">
        <v>79</v>
      </c>
      <c r="N988" t="s">
        <v>108</v>
      </c>
      <c r="O988" t="s">
        <v>74</v>
      </c>
      <c r="P988" t="s">
        <v>74</v>
      </c>
      <c r="Q988" t="s">
        <v>74</v>
      </c>
      <c r="R988" t="s">
        <v>74</v>
      </c>
      <c r="S988" t="s">
        <v>74</v>
      </c>
      <c r="T988" t="s">
        <v>74</v>
      </c>
      <c r="U988" t="s">
        <v>18522</v>
      </c>
      <c r="V988" t="s">
        <v>18523</v>
      </c>
      <c r="W988" t="s">
        <v>18524</v>
      </c>
      <c r="X988" t="s">
        <v>18525</v>
      </c>
      <c r="Y988" t="s">
        <v>18526</v>
      </c>
      <c r="Z988" t="s">
        <v>18527</v>
      </c>
      <c r="AA988" t="s">
        <v>18528</v>
      </c>
      <c r="AB988" t="s">
        <v>18529</v>
      </c>
      <c r="AC988" t="s">
        <v>18530</v>
      </c>
      <c r="AD988" t="s">
        <v>18531</v>
      </c>
      <c r="AE988" t="s">
        <v>18532</v>
      </c>
      <c r="AF988" t="s">
        <v>74</v>
      </c>
      <c r="AG988">
        <v>39</v>
      </c>
      <c r="AH988">
        <v>0</v>
      </c>
      <c r="AI988">
        <v>0</v>
      </c>
      <c r="AJ988">
        <v>25</v>
      </c>
      <c r="AK988">
        <v>38</v>
      </c>
      <c r="AL988" t="s">
        <v>18533</v>
      </c>
      <c r="AM988" t="s">
        <v>548</v>
      </c>
      <c r="AN988" t="s">
        <v>18534</v>
      </c>
      <c r="AO988" t="s">
        <v>18535</v>
      </c>
      <c r="AP988" t="s">
        <v>74</v>
      </c>
      <c r="AQ988" t="s">
        <v>74</v>
      </c>
      <c r="AR988" t="s">
        <v>18536</v>
      </c>
      <c r="AS988" t="s">
        <v>18537</v>
      </c>
      <c r="AT988" t="s">
        <v>1708</v>
      </c>
      <c r="AU988">
        <v>2023</v>
      </c>
      <c r="AV988">
        <v>31</v>
      </c>
      <c r="AW988">
        <v>15</v>
      </c>
      <c r="AX988" t="s">
        <v>74</v>
      </c>
      <c r="AY988" t="s">
        <v>74</v>
      </c>
      <c r="AZ988" t="s">
        <v>74</v>
      </c>
      <c r="BA988" t="s">
        <v>74</v>
      </c>
      <c r="BB988">
        <v>25104</v>
      </c>
      <c r="BC988">
        <v>25116</v>
      </c>
      <c r="BD988" t="s">
        <v>74</v>
      </c>
      <c r="BE988" t="s">
        <v>18538</v>
      </c>
      <c r="BF988" t="str">
        <f>HYPERLINK("http://dx.doi.org/10.1364/OE.496706","http://dx.doi.org/10.1364/OE.496706")</f>
        <v>http://dx.doi.org/10.1364/OE.496706</v>
      </c>
      <c r="BG988" t="s">
        <v>74</v>
      </c>
      <c r="BH988" t="s">
        <v>74</v>
      </c>
      <c r="BI988">
        <v>13</v>
      </c>
      <c r="BJ988" t="s">
        <v>3823</v>
      </c>
      <c r="BK988" t="s">
        <v>130</v>
      </c>
      <c r="BL988" t="s">
        <v>3823</v>
      </c>
      <c r="BM988" t="s">
        <v>18539</v>
      </c>
      <c r="BN988">
        <v>37475323</v>
      </c>
      <c r="BO988" t="s">
        <v>425</v>
      </c>
      <c r="BP988" t="s">
        <v>74</v>
      </c>
      <c r="BQ988" t="s">
        <v>74</v>
      </c>
      <c r="BR988" t="s">
        <v>101</v>
      </c>
      <c r="BS988" t="s">
        <v>18540</v>
      </c>
      <c r="BT988" t="str">
        <f>HYPERLINK("https%3A%2F%2Fwww.webofscience.com%2Fwos%2Fwoscc%2Ffull-record%2FWOS:001044929700006","View Full Record in Web of Science")</f>
        <v>View Full Record in Web of Science</v>
      </c>
    </row>
    <row r="989" spans="1:72" x14ac:dyDescent="0.2">
      <c r="A989" t="s">
        <v>103</v>
      </c>
      <c r="B989" t="s">
        <v>18541</v>
      </c>
      <c r="C989" t="s">
        <v>74</v>
      </c>
      <c r="D989" t="s">
        <v>74</v>
      </c>
      <c r="E989" t="s">
        <v>74</v>
      </c>
      <c r="F989" t="s">
        <v>18542</v>
      </c>
      <c r="G989" t="s">
        <v>74</v>
      </c>
      <c r="H989" t="s">
        <v>74</v>
      </c>
      <c r="I989" t="s">
        <v>18543</v>
      </c>
      <c r="J989" t="s">
        <v>1370</v>
      </c>
      <c r="K989" t="s">
        <v>74</v>
      </c>
      <c r="L989" t="s">
        <v>74</v>
      </c>
      <c r="M989" t="s">
        <v>79</v>
      </c>
      <c r="N989" t="s">
        <v>108</v>
      </c>
      <c r="O989" t="s">
        <v>74</v>
      </c>
      <c r="P989" t="s">
        <v>74</v>
      </c>
      <c r="Q989" t="s">
        <v>74</v>
      </c>
      <c r="R989" t="s">
        <v>74</v>
      </c>
      <c r="S989" t="s">
        <v>74</v>
      </c>
      <c r="T989" t="s">
        <v>18544</v>
      </c>
      <c r="U989" t="s">
        <v>74</v>
      </c>
      <c r="V989" t="s">
        <v>18545</v>
      </c>
      <c r="W989" t="s">
        <v>18546</v>
      </c>
      <c r="X989" t="s">
        <v>18547</v>
      </c>
      <c r="Y989" t="s">
        <v>18548</v>
      </c>
      <c r="Z989" t="s">
        <v>18549</v>
      </c>
      <c r="AA989" t="s">
        <v>18550</v>
      </c>
      <c r="AB989" t="s">
        <v>18551</v>
      </c>
      <c r="AC989" t="s">
        <v>18552</v>
      </c>
      <c r="AD989" t="s">
        <v>18553</v>
      </c>
      <c r="AE989" t="s">
        <v>18554</v>
      </c>
      <c r="AF989" t="s">
        <v>74</v>
      </c>
      <c r="AG989">
        <v>26</v>
      </c>
      <c r="AH989">
        <v>0</v>
      </c>
      <c r="AI989">
        <v>0</v>
      </c>
      <c r="AJ989">
        <v>2</v>
      </c>
      <c r="AK989">
        <v>2</v>
      </c>
      <c r="AL989" t="s">
        <v>1379</v>
      </c>
      <c r="AM989" t="s">
        <v>1380</v>
      </c>
      <c r="AN989" t="s">
        <v>1381</v>
      </c>
      <c r="AO989" t="s">
        <v>1382</v>
      </c>
      <c r="AP989" t="s">
        <v>74</v>
      </c>
      <c r="AQ989" t="s">
        <v>74</v>
      </c>
      <c r="AR989" t="s">
        <v>1370</v>
      </c>
      <c r="AS989" t="s">
        <v>1383</v>
      </c>
      <c r="AT989" t="s">
        <v>74</v>
      </c>
      <c r="AU989">
        <v>2023</v>
      </c>
      <c r="AV989">
        <v>11</v>
      </c>
      <c r="AW989" t="s">
        <v>74</v>
      </c>
      <c r="AX989" t="s">
        <v>74</v>
      </c>
      <c r="AY989" t="s">
        <v>74</v>
      </c>
      <c r="AZ989" t="s">
        <v>74</v>
      </c>
      <c r="BA989" t="s">
        <v>74</v>
      </c>
      <c r="BB989">
        <v>120983</v>
      </c>
      <c r="BC989">
        <v>120996</v>
      </c>
      <c r="BD989" t="s">
        <v>74</v>
      </c>
      <c r="BE989" t="s">
        <v>18555</v>
      </c>
      <c r="BF989" t="str">
        <f>HYPERLINK("http://dx.doi.org/10.1109/ACCESS.2023.3328170","http://dx.doi.org/10.1109/ACCESS.2023.3328170")</f>
        <v>http://dx.doi.org/10.1109/ACCESS.2023.3328170</v>
      </c>
      <c r="BG989" t="s">
        <v>74</v>
      </c>
      <c r="BH989" t="s">
        <v>74</v>
      </c>
      <c r="BI989">
        <v>14</v>
      </c>
      <c r="BJ989" t="s">
        <v>1385</v>
      </c>
      <c r="BK989" t="s">
        <v>130</v>
      </c>
      <c r="BL989" t="s">
        <v>1386</v>
      </c>
      <c r="BM989" t="s">
        <v>18556</v>
      </c>
      <c r="BN989" t="s">
        <v>74</v>
      </c>
      <c r="BO989" t="s">
        <v>425</v>
      </c>
      <c r="BP989" t="s">
        <v>74</v>
      </c>
      <c r="BQ989" t="s">
        <v>74</v>
      </c>
      <c r="BR989" t="s">
        <v>101</v>
      </c>
      <c r="BS989" t="s">
        <v>18557</v>
      </c>
      <c r="BT989" t="str">
        <f>HYPERLINK("https%3A%2F%2Fwww.webofscience.com%2Fwos%2Fwoscc%2Ffull-record%2FWOS:001101998900001","View Full Record in Web of Science")</f>
        <v>View Full Record in Web of Science</v>
      </c>
    </row>
    <row r="990" spans="1:72" x14ac:dyDescent="0.2">
      <c r="A990" t="s">
        <v>72</v>
      </c>
      <c r="B990" t="s">
        <v>18558</v>
      </c>
      <c r="C990" t="s">
        <v>74</v>
      </c>
      <c r="D990" t="s">
        <v>74</v>
      </c>
      <c r="E990" t="s">
        <v>75</v>
      </c>
      <c r="F990" t="s">
        <v>18559</v>
      </c>
      <c r="G990" t="s">
        <v>74</v>
      </c>
      <c r="H990" t="s">
        <v>74</v>
      </c>
      <c r="I990" t="s">
        <v>18560</v>
      </c>
      <c r="J990" t="s">
        <v>18561</v>
      </c>
      <c r="K990" t="s">
        <v>74</v>
      </c>
      <c r="L990" t="s">
        <v>74</v>
      </c>
      <c r="M990" t="s">
        <v>79</v>
      </c>
      <c r="N990" t="s">
        <v>80</v>
      </c>
      <c r="O990" t="s">
        <v>18562</v>
      </c>
      <c r="P990" t="s">
        <v>1840</v>
      </c>
      <c r="Q990" t="s">
        <v>1841</v>
      </c>
      <c r="R990" t="s">
        <v>18563</v>
      </c>
      <c r="S990" t="s">
        <v>74</v>
      </c>
      <c r="T990" t="s">
        <v>18564</v>
      </c>
      <c r="U990" t="s">
        <v>74</v>
      </c>
      <c r="V990" t="s">
        <v>18565</v>
      </c>
      <c r="W990" t="s">
        <v>18566</v>
      </c>
      <c r="X990" t="s">
        <v>16876</v>
      </c>
      <c r="Y990" t="s">
        <v>18567</v>
      </c>
      <c r="Z990" t="s">
        <v>18568</v>
      </c>
      <c r="AA990" t="s">
        <v>74</v>
      </c>
      <c r="AB990" t="s">
        <v>18569</v>
      </c>
      <c r="AC990" t="s">
        <v>18570</v>
      </c>
      <c r="AD990" t="s">
        <v>18571</v>
      </c>
      <c r="AE990" t="s">
        <v>18572</v>
      </c>
      <c r="AF990" t="s">
        <v>74</v>
      </c>
      <c r="AG990">
        <v>25</v>
      </c>
      <c r="AH990">
        <v>0</v>
      </c>
      <c r="AI990">
        <v>0</v>
      </c>
      <c r="AJ990">
        <v>1</v>
      </c>
      <c r="AK990">
        <v>1</v>
      </c>
      <c r="AL990" t="s">
        <v>92</v>
      </c>
      <c r="AM990" t="s">
        <v>93</v>
      </c>
      <c r="AN990" t="s">
        <v>94</v>
      </c>
      <c r="AO990" t="s">
        <v>74</v>
      </c>
      <c r="AP990" t="s">
        <v>74</v>
      </c>
      <c r="AQ990" t="s">
        <v>18573</v>
      </c>
      <c r="AR990" t="s">
        <v>74</v>
      </c>
      <c r="AS990" t="s">
        <v>74</v>
      </c>
      <c r="AT990" t="s">
        <v>74</v>
      </c>
      <c r="AU990">
        <v>2023</v>
      </c>
      <c r="AV990" t="s">
        <v>74</v>
      </c>
      <c r="AW990" t="s">
        <v>74</v>
      </c>
      <c r="AX990" t="s">
        <v>74</v>
      </c>
      <c r="AY990" t="s">
        <v>74</v>
      </c>
      <c r="AZ990" t="s">
        <v>74</v>
      </c>
      <c r="BA990" t="s">
        <v>74</v>
      </c>
      <c r="BB990">
        <v>29</v>
      </c>
      <c r="BC990">
        <v>37</v>
      </c>
      <c r="BD990" t="s">
        <v>74</v>
      </c>
      <c r="BE990" t="s">
        <v>18574</v>
      </c>
      <c r="BF990" t="str">
        <f>HYPERLINK("http://dx.doi.org/10.1145/3607542.3617359","http://dx.doi.org/10.1145/3607542.3617359")</f>
        <v>http://dx.doi.org/10.1145/3607542.3617359</v>
      </c>
      <c r="BG990" t="s">
        <v>74</v>
      </c>
      <c r="BH990" t="s">
        <v>74</v>
      </c>
      <c r="BI990">
        <v>9</v>
      </c>
      <c r="BJ990" t="s">
        <v>1069</v>
      </c>
      <c r="BK990" t="s">
        <v>98</v>
      </c>
      <c r="BL990" t="s">
        <v>99</v>
      </c>
      <c r="BM990" t="s">
        <v>18575</v>
      </c>
      <c r="BN990" t="s">
        <v>74</v>
      </c>
      <c r="BO990" t="s">
        <v>1237</v>
      </c>
      <c r="BP990" t="s">
        <v>74</v>
      </c>
      <c r="BQ990" t="s">
        <v>74</v>
      </c>
      <c r="BR990" t="s">
        <v>101</v>
      </c>
      <c r="BS990" t="s">
        <v>18576</v>
      </c>
      <c r="BT990" t="str">
        <f>HYPERLINK("https%3A%2F%2Fwww.webofscience.com%2Fwos%2Fwoscc%2Ffull-record%2FWOS:001150351900006","View Full Record in Web of Science")</f>
        <v>View Full Record in Web of Science</v>
      </c>
    </row>
    <row r="991" spans="1:72" x14ac:dyDescent="0.2">
      <c r="A991" t="s">
        <v>103</v>
      </c>
      <c r="B991" t="s">
        <v>18577</v>
      </c>
      <c r="C991" t="s">
        <v>74</v>
      </c>
      <c r="D991" t="s">
        <v>74</v>
      </c>
      <c r="E991" t="s">
        <v>74</v>
      </c>
      <c r="F991" t="s">
        <v>18578</v>
      </c>
      <c r="G991" t="s">
        <v>74</v>
      </c>
      <c r="H991" t="s">
        <v>74</v>
      </c>
      <c r="I991" t="s">
        <v>18579</v>
      </c>
      <c r="J991" t="s">
        <v>18580</v>
      </c>
      <c r="K991" t="s">
        <v>74</v>
      </c>
      <c r="L991" t="s">
        <v>74</v>
      </c>
      <c r="M991" t="s">
        <v>79</v>
      </c>
      <c r="N991" t="s">
        <v>108</v>
      </c>
      <c r="O991" t="s">
        <v>74</v>
      </c>
      <c r="P991" t="s">
        <v>74</v>
      </c>
      <c r="Q991" t="s">
        <v>74</v>
      </c>
      <c r="R991" t="s">
        <v>74</v>
      </c>
      <c r="S991" t="s">
        <v>74</v>
      </c>
      <c r="T991" t="s">
        <v>18581</v>
      </c>
      <c r="U991" t="s">
        <v>18582</v>
      </c>
      <c r="V991" t="s">
        <v>18583</v>
      </c>
      <c r="W991" t="s">
        <v>18584</v>
      </c>
      <c r="X991" t="s">
        <v>18585</v>
      </c>
      <c r="Y991" t="s">
        <v>18586</v>
      </c>
      <c r="Z991" t="s">
        <v>18587</v>
      </c>
      <c r="AA991" t="s">
        <v>18588</v>
      </c>
      <c r="AB991" t="s">
        <v>18589</v>
      </c>
      <c r="AC991" t="s">
        <v>18590</v>
      </c>
      <c r="AD991" t="s">
        <v>18591</v>
      </c>
      <c r="AE991" t="s">
        <v>18592</v>
      </c>
      <c r="AF991" t="s">
        <v>74</v>
      </c>
      <c r="AG991">
        <v>42</v>
      </c>
      <c r="AH991">
        <v>0</v>
      </c>
      <c r="AI991">
        <v>0</v>
      </c>
      <c r="AJ991">
        <v>9</v>
      </c>
      <c r="AK991">
        <v>15</v>
      </c>
      <c r="AL991" t="s">
        <v>270</v>
      </c>
      <c r="AM991" t="s">
        <v>120</v>
      </c>
      <c r="AN991" t="s">
        <v>271</v>
      </c>
      <c r="AO991" t="s">
        <v>18593</v>
      </c>
      <c r="AP991" t="s">
        <v>18594</v>
      </c>
      <c r="AQ991" t="s">
        <v>74</v>
      </c>
      <c r="AR991" t="s">
        <v>18595</v>
      </c>
      <c r="AS991" t="s">
        <v>18596</v>
      </c>
      <c r="AT991" t="s">
        <v>2477</v>
      </c>
      <c r="AU991">
        <v>2023</v>
      </c>
      <c r="AV991">
        <v>426</v>
      </c>
      <c r="AW991" t="s">
        <v>74</v>
      </c>
      <c r="AX991" t="s">
        <v>74</v>
      </c>
      <c r="AY991" t="s">
        <v>74</v>
      </c>
      <c r="AZ991" t="s">
        <v>74</v>
      </c>
      <c r="BA991" t="s">
        <v>74</v>
      </c>
      <c r="BB991" t="s">
        <v>74</v>
      </c>
      <c r="BC991" t="s">
        <v>74</v>
      </c>
      <c r="BD991">
        <v>136580</v>
      </c>
      <c r="BE991" t="s">
        <v>18597</v>
      </c>
      <c r="BF991" t="str">
        <f>HYPERLINK("http://dx.doi.org/10.1016/j.foodchem.2023.136580","http://dx.doi.org/10.1016/j.foodchem.2023.136580")</f>
        <v>http://dx.doi.org/10.1016/j.foodchem.2023.136580</v>
      </c>
      <c r="BG991" t="s">
        <v>74</v>
      </c>
      <c r="BH991" t="s">
        <v>1910</v>
      </c>
      <c r="BI991">
        <v>7</v>
      </c>
      <c r="BJ991" t="s">
        <v>18598</v>
      </c>
      <c r="BK991" t="s">
        <v>130</v>
      </c>
      <c r="BL991" t="s">
        <v>18599</v>
      </c>
      <c r="BM991" t="s">
        <v>18600</v>
      </c>
      <c r="BN991">
        <v>37331142</v>
      </c>
      <c r="BO991" t="s">
        <v>74</v>
      </c>
      <c r="BP991" t="s">
        <v>74</v>
      </c>
      <c r="BQ991" t="s">
        <v>74</v>
      </c>
      <c r="BR991" t="s">
        <v>101</v>
      </c>
      <c r="BS991" t="s">
        <v>18601</v>
      </c>
      <c r="BT991" t="str">
        <f>HYPERLINK("https%3A%2F%2Fwww.webofscience.com%2Fwos%2Fwoscc%2Ffull-record%2FWOS:001025053900001","View Full Record in Web of Science")</f>
        <v>View Full Record in Web of Science</v>
      </c>
    </row>
    <row r="992" spans="1:72" x14ac:dyDescent="0.2">
      <c r="A992" t="s">
        <v>103</v>
      </c>
      <c r="B992" t="s">
        <v>18602</v>
      </c>
      <c r="C992" t="s">
        <v>74</v>
      </c>
      <c r="D992" t="s">
        <v>74</v>
      </c>
      <c r="E992" t="s">
        <v>74</v>
      </c>
      <c r="F992" t="s">
        <v>18603</v>
      </c>
      <c r="G992" t="s">
        <v>74</v>
      </c>
      <c r="H992" t="s">
        <v>74</v>
      </c>
      <c r="I992" t="s">
        <v>18604</v>
      </c>
      <c r="J992" t="s">
        <v>18605</v>
      </c>
      <c r="K992" t="s">
        <v>74</v>
      </c>
      <c r="L992" t="s">
        <v>74</v>
      </c>
      <c r="M992" t="s">
        <v>79</v>
      </c>
      <c r="N992" t="s">
        <v>108</v>
      </c>
      <c r="O992" t="s">
        <v>74</v>
      </c>
      <c r="P992" t="s">
        <v>74</v>
      </c>
      <c r="Q992" t="s">
        <v>74</v>
      </c>
      <c r="R992" t="s">
        <v>74</v>
      </c>
      <c r="S992" t="s">
        <v>74</v>
      </c>
      <c r="T992" t="s">
        <v>18606</v>
      </c>
      <c r="U992" t="s">
        <v>18607</v>
      </c>
      <c r="V992" t="s">
        <v>18608</v>
      </c>
      <c r="W992" t="s">
        <v>18609</v>
      </c>
      <c r="X992" t="s">
        <v>18610</v>
      </c>
      <c r="Y992" t="s">
        <v>18611</v>
      </c>
      <c r="Z992" t="s">
        <v>18612</v>
      </c>
      <c r="AA992" t="s">
        <v>74</v>
      </c>
      <c r="AB992" t="s">
        <v>18613</v>
      </c>
      <c r="AC992" t="s">
        <v>18614</v>
      </c>
      <c r="AD992" t="s">
        <v>18614</v>
      </c>
      <c r="AE992" t="s">
        <v>18615</v>
      </c>
      <c r="AF992" t="s">
        <v>74</v>
      </c>
      <c r="AG992">
        <v>30</v>
      </c>
      <c r="AH992">
        <v>0</v>
      </c>
      <c r="AI992">
        <v>0</v>
      </c>
      <c r="AJ992">
        <v>7</v>
      </c>
      <c r="AK992">
        <v>7</v>
      </c>
      <c r="AL992" t="s">
        <v>3165</v>
      </c>
      <c r="AM992" t="s">
        <v>3166</v>
      </c>
      <c r="AN992" t="s">
        <v>3167</v>
      </c>
      <c r="AO992" t="s">
        <v>18616</v>
      </c>
      <c r="AP992" t="s">
        <v>18617</v>
      </c>
      <c r="AQ992" t="s">
        <v>74</v>
      </c>
      <c r="AR992" t="s">
        <v>18618</v>
      </c>
      <c r="AS992" t="s">
        <v>18619</v>
      </c>
      <c r="AT992" t="s">
        <v>126</v>
      </c>
      <c r="AU992">
        <v>2024</v>
      </c>
      <c r="AV992">
        <v>39</v>
      </c>
      <c r="AW992">
        <v>3</v>
      </c>
      <c r="AX992" t="s">
        <v>74</v>
      </c>
      <c r="AY992" t="s">
        <v>74</v>
      </c>
      <c r="AZ992" t="s">
        <v>74</v>
      </c>
      <c r="BA992" t="s">
        <v>74</v>
      </c>
      <c r="BB992">
        <v>544</v>
      </c>
      <c r="BC992">
        <v>551</v>
      </c>
      <c r="BD992" t="s">
        <v>74</v>
      </c>
      <c r="BE992" t="s">
        <v>18620</v>
      </c>
      <c r="BF992" t="str">
        <f>HYPERLINK("http://dx.doi.org/10.1111/jgh.16429","http://dx.doi.org/10.1111/jgh.16429")</f>
        <v>http://dx.doi.org/10.1111/jgh.16429</v>
      </c>
      <c r="BG992" t="s">
        <v>74</v>
      </c>
      <c r="BH992" t="s">
        <v>128</v>
      </c>
      <c r="BI992">
        <v>8</v>
      </c>
      <c r="BJ992" t="s">
        <v>18621</v>
      </c>
      <c r="BK992" t="s">
        <v>130</v>
      </c>
      <c r="BL992" t="s">
        <v>18621</v>
      </c>
      <c r="BM992" t="s">
        <v>18622</v>
      </c>
      <c r="BN992">
        <v>38059883</v>
      </c>
      <c r="BO992" t="s">
        <v>74</v>
      </c>
      <c r="BP992" t="s">
        <v>74</v>
      </c>
      <c r="BQ992" t="s">
        <v>74</v>
      </c>
      <c r="BR992" t="s">
        <v>101</v>
      </c>
      <c r="BS992" t="s">
        <v>18623</v>
      </c>
      <c r="BT992" t="str">
        <f>HYPERLINK("https%3A%2F%2Fwww.webofscience.com%2Fwos%2Fwoscc%2Ffull-record%2FWOS:001118953800001","View Full Record in Web of Science")</f>
        <v>View Full Record in Web of Science</v>
      </c>
    </row>
    <row r="993" spans="1:72" x14ac:dyDescent="0.2">
      <c r="A993" t="s">
        <v>103</v>
      </c>
      <c r="B993" t="s">
        <v>18624</v>
      </c>
      <c r="C993" t="s">
        <v>74</v>
      </c>
      <c r="D993" t="s">
        <v>74</v>
      </c>
      <c r="E993" t="s">
        <v>74</v>
      </c>
      <c r="F993" t="s">
        <v>18625</v>
      </c>
      <c r="G993" t="s">
        <v>74</v>
      </c>
      <c r="H993" t="s">
        <v>74</v>
      </c>
      <c r="I993" t="s">
        <v>18626</v>
      </c>
      <c r="J993" t="s">
        <v>107</v>
      </c>
      <c r="K993" t="s">
        <v>74</v>
      </c>
      <c r="L993" t="s">
        <v>74</v>
      </c>
      <c r="M993" t="s">
        <v>79</v>
      </c>
      <c r="N993" t="s">
        <v>108</v>
      </c>
      <c r="O993" t="s">
        <v>74</v>
      </c>
      <c r="P993" t="s">
        <v>74</v>
      </c>
      <c r="Q993" t="s">
        <v>74</v>
      </c>
      <c r="R993" t="s">
        <v>74</v>
      </c>
      <c r="S993" t="s">
        <v>74</v>
      </c>
      <c r="T993" t="s">
        <v>18627</v>
      </c>
      <c r="U993" t="s">
        <v>74</v>
      </c>
      <c r="V993" t="s">
        <v>18628</v>
      </c>
      <c r="W993" t="s">
        <v>18629</v>
      </c>
      <c r="X993" t="s">
        <v>15056</v>
      </c>
      <c r="Y993" t="s">
        <v>18630</v>
      </c>
      <c r="Z993" t="s">
        <v>18631</v>
      </c>
      <c r="AA993" t="s">
        <v>74</v>
      </c>
      <c r="AB993" t="s">
        <v>74</v>
      </c>
      <c r="AC993" t="s">
        <v>15059</v>
      </c>
      <c r="AD993" t="s">
        <v>15060</v>
      </c>
      <c r="AE993" t="s">
        <v>15061</v>
      </c>
      <c r="AF993" t="s">
        <v>74</v>
      </c>
      <c r="AG993">
        <v>39</v>
      </c>
      <c r="AH993">
        <v>3</v>
      </c>
      <c r="AI993">
        <v>3</v>
      </c>
      <c r="AJ993">
        <v>4</v>
      </c>
      <c r="AK993">
        <v>22</v>
      </c>
      <c r="AL993" t="s">
        <v>119</v>
      </c>
      <c r="AM993" t="s">
        <v>120</v>
      </c>
      <c r="AN993" t="s">
        <v>121</v>
      </c>
      <c r="AO993" t="s">
        <v>122</v>
      </c>
      <c r="AP993" t="s">
        <v>123</v>
      </c>
      <c r="AQ993" t="s">
        <v>74</v>
      </c>
      <c r="AR993" t="s">
        <v>124</v>
      </c>
      <c r="AS993" t="s">
        <v>125</v>
      </c>
      <c r="AT993" t="s">
        <v>126</v>
      </c>
      <c r="AU993">
        <v>2023</v>
      </c>
      <c r="AV993">
        <v>119</v>
      </c>
      <c r="AW993" t="s">
        <v>74</v>
      </c>
      <c r="AX993" t="s">
        <v>74</v>
      </c>
      <c r="AY993" t="s">
        <v>74</v>
      </c>
      <c r="AZ993" t="s">
        <v>74</v>
      </c>
      <c r="BA993" t="s">
        <v>74</v>
      </c>
      <c r="BB993" t="s">
        <v>74</v>
      </c>
      <c r="BC993" t="s">
        <v>74</v>
      </c>
      <c r="BD993">
        <v>105814</v>
      </c>
      <c r="BE993" t="s">
        <v>18632</v>
      </c>
      <c r="BF993" t="str">
        <f>HYPERLINK("http://dx.doi.org/10.1016/j.engappai.2022.105814","http://dx.doi.org/10.1016/j.engappai.2022.105814")</f>
        <v>http://dx.doi.org/10.1016/j.engappai.2022.105814</v>
      </c>
      <c r="BG993" t="s">
        <v>74</v>
      </c>
      <c r="BH993" t="s">
        <v>7345</v>
      </c>
      <c r="BI993">
        <v>10</v>
      </c>
      <c r="BJ993" t="s">
        <v>129</v>
      </c>
      <c r="BK993" t="s">
        <v>130</v>
      </c>
      <c r="BL993" t="s">
        <v>131</v>
      </c>
      <c r="BM993" t="s">
        <v>18633</v>
      </c>
      <c r="BN993" t="s">
        <v>74</v>
      </c>
      <c r="BO993" t="s">
        <v>74</v>
      </c>
      <c r="BP993" t="s">
        <v>74</v>
      </c>
      <c r="BQ993" t="s">
        <v>74</v>
      </c>
      <c r="BR993" t="s">
        <v>101</v>
      </c>
      <c r="BS993" t="s">
        <v>18634</v>
      </c>
      <c r="BT993" t="str">
        <f>HYPERLINK("https%3A%2F%2Fwww.webofscience.com%2Fwos%2Fwoscc%2Ffull-record%2FWOS:000916890200001","View Full Record in Web of Science")</f>
        <v>View Full Record in Web of Science</v>
      </c>
    </row>
    <row r="994" spans="1:72" x14ac:dyDescent="0.2">
      <c r="A994" t="s">
        <v>72</v>
      </c>
      <c r="B994" t="s">
        <v>18635</v>
      </c>
      <c r="C994" t="s">
        <v>74</v>
      </c>
      <c r="D994" t="s">
        <v>74</v>
      </c>
      <c r="E994" t="s">
        <v>75</v>
      </c>
      <c r="F994" t="s">
        <v>18636</v>
      </c>
      <c r="G994" t="s">
        <v>74</v>
      </c>
      <c r="H994" t="s">
        <v>74</v>
      </c>
      <c r="I994" t="s">
        <v>18637</v>
      </c>
      <c r="J994" t="s">
        <v>9385</v>
      </c>
      <c r="K994" t="s">
        <v>74</v>
      </c>
      <c r="L994" t="s">
        <v>74</v>
      </c>
      <c r="M994" t="s">
        <v>79</v>
      </c>
      <c r="N994" t="s">
        <v>80</v>
      </c>
      <c r="O994" t="s">
        <v>9386</v>
      </c>
      <c r="P994" t="s">
        <v>2506</v>
      </c>
      <c r="Q994" t="s">
        <v>9387</v>
      </c>
      <c r="R994" t="s">
        <v>9388</v>
      </c>
      <c r="S994" t="s">
        <v>9389</v>
      </c>
      <c r="T994" t="s">
        <v>18638</v>
      </c>
      <c r="U994" t="s">
        <v>18639</v>
      </c>
      <c r="V994" t="s">
        <v>18640</v>
      </c>
      <c r="W994" t="s">
        <v>18641</v>
      </c>
      <c r="X994" t="s">
        <v>18642</v>
      </c>
      <c r="Y994" t="s">
        <v>18643</v>
      </c>
      <c r="Z994" t="s">
        <v>18644</v>
      </c>
      <c r="AA994" t="s">
        <v>74</v>
      </c>
      <c r="AB994" t="s">
        <v>18645</v>
      </c>
      <c r="AC994" t="s">
        <v>74</v>
      </c>
      <c r="AD994" t="s">
        <v>74</v>
      </c>
      <c r="AE994" t="s">
        <v>74</v>
      </c>
      <c r="AF994" t="s">
        <v>74</v>
      </c>
      <c r="AG994">
        <v>16</v>
      </c>
      <c r="AH994">
        <v>0</v>
      </c>
      <c r="AI994">
        <v>0</v>
      </c>
      <c r="AJ994">
        <v>1</v>
      </c>
      <c r="AK994">
        <v>1</v>
      </c>
      <c r="AL994" t="s">
        <v>92</v>
      </c>
      <c r="AM994" t="s">
        <v>93</v>
      </c>
      <c r="AN994" t="s">
        <v>94</v>
      </c>
      <c r="AO994" t="s">
        <v>74</v>
      </c>
      <c r="AP994" t="s">
        <v>74</v>
      </c>
      <c r="AQ994" t="s">
        <v>9398</v>
      </c>
      <c r="AR994" t="s">
        <v>74</v>
      </c>
      <c r="AS994" t="s">
        <v>74</v>
      </c>
      <c r="AT994" t="s">
        <v>74</v>
      </c>
      <c r="AU994">
        <v>2023</v>
      </c>
      <c r="AV994" t="s">
        <v>74</v>
      </c>
      <c r="AW994" t="s">
        <v>74</v>
      </c>
      <c r="AX994" t="s">
        <v>74</v>
      </c>
      <c r="AY994" t="s">
        <v>74</v>
      </c>
      <c r="AZ994" t="s">
        <v>74</v>
      </c>
      <c r="BA994" t="s">
        <v>74</v>
      </c>
      <c r="BB994">
        <v>237</v>
      </c>
      <c r="BC994">
        <v>241</v>
      </c>
      <c r="BD994" t="s">
        <v>74</v>
      </c>
      <c r="BE994" t="s">
        <v>18646</v>
      </c>
      <c r="BF994" t="str">
        <f>HYPERLINK("http://dx.doi.org/10.1145/3573381.3603362","http://dx.doi.org/10.1145/3573381.3603362")</f>
        <v>http://dx.doi.org/10.1145/3573381.3603362</v>
      </c>
      <c r="BG994" t="s">
        <v>74</v>
      </c>
      <c r="BH994" t="s">
        <v>74</v>
      </c>
      <c r="BI994">
        <v>5</v>
      </c>
      <c r="BJ994" t="s">
        <v>351</v>
      </c>
      <c r="BK994" t="s">
        <v>98</v>
      </c>
      <c r="BL994" t="s">
        <v>99</v>
      </c>
      <c r="BM994" t="s">
        <v>9400</v>
      </c>
      <c r="BN994" t="s">
        <v>74</v>
      </c>
      <c r="BO994" t="s">
        <v>4199</v>
      </c>
      <c r="BP994" t="s">
        <v>74</v>
      </c>
      <c r="BQ994" t="s">
        <v>74</v>
      </c>
      <c r="BR994" t="s">
        <v>101</v>
      </c>
      <c r="BS994" t="s">
        <v>18647</v>
      </c>
      <c r="BT994" t="str">
        <f>HYPERLINK("https%3A%2F%2Fwww.webofscience.com%2Fwos%2Fwoscc%2Ffull-record%2FWOS:001117075100028","View Full Record in Web of Science")</f>
        <v>View Full Record in Web of Science</v>
      </c>
    </row>
    <row r="995" spans="1:72" x14ac:dyDescent="0.2">
      <c r="A995" t="s">
        <v>103</v>
      </c>
      <c r="B995" t="s">
        <v>18648</v>
      </c>
      <c r="C995" t="s">
        <v>74</v>
      </c>
      <c r="D995" t="s">
        <v>74</v>
      </c>
      <c r="E995" t="s">
        <v>74</v>
      </c>
      <c r="F995" t="s">
        <v>18649</v>
      </c>
      <c r="G995" t="s">
        <v>74</v>
      </c>
      <c r="H995" t="s">
        <v>74</v>
      </c>
      <c r="I995" t="s">
        <v>18650</v>
      </c>
      <c r="J995" t="s">
        <v>18651</v>
      </c>
      <c r="K995" t="s">
        <v>74</v>
      </c>
      <c r="L995" t="s">
        <v>74</v>
      </c>
      <c r="M995" t="s">
        <v>79</v>
      </c>
      <c r="N995" t="s">
        <v>108</v>
      </c>
      <c r="O995" t="s">
        <v>74</v>
      </c>
      <c r="P995" t="s">
        <v>74</v>
      </c>
      <c r="Q995" t="s">
        <v>74</v>
      </c>
      <c r="R995" t="s">
        <v>74</v>
      </c>
      <c r="S995" t="s">
        <v>74</v>
      </c>
      <c r="T995" t="s">
        <v>18652</v>
      </c>
      <c r="U995" t="s">
        <v>74</v>
      </c>
      <c r="V995" t="s">
        <v>18653</v>
      </c>
      <c r="W995" t="s">
        <v>18654</v>
      </c>
      <c r="X995" t="s">
        <v>18655</v>
      </c>
      <c r="Y995" t="s">
        <v>18656</v>
      </c>
      <c r="Z995" t="s">
        <v>18657</v>
      </c>
      <c r="AA995" t="s">
        <v>18658</v>
      </c>
      <c r="AB995" t="s">
        <v>18659</v>
      </c>
      <c r="AC995" t="s">
        <v>18660</v>
      </c>
      <c r="AD995" t="s">
        <v>18661</v>
      </c>
      <c r="AE995" t="s">
        <v>18662</v>
      </c>
      <c r="AF995" t="s">
        <v>74</v>
      </c>
      <c r="AG995">
        <v>66</v>
      </c>
      <c r="AH995">
        <v>0</v>
      </c>
      <c r="AI995">
        <v>0</v>
      </c>
      <c r="AJ995">
        <v>3</v>
      </c>
      <c r="AK995">
        <v>4</v>
      </c>
      <c r="AL995" t="s">
        <v>343</v>
      </c>
      <c r="AM995" t="s">
        <v>521</v>
      </c>
      <c r="AN995" t="s">
        <v>522</v>
      </c>
      <c r="AO995" t="s">
        <v>18663</v>
      </c>
      <c r="AP995" t="s">
        <v>18664</v>
      </c>
      <c r="AQ995" t="s">
        <v>74</v>
      </c>
      <c r="AR995" t="s">
        <v>18665</v>
      </c>
      <c r="AS995" t="s">
        <v>18666</v>
      </c>
      <c r="AT995" t="s">
        <v>467</v>
      </c>
      <c r="AU995">
        <v>2023</v>
      </c>
      <c r="AV995">
        <v>131</v>
      </c>
      <c r="AW995">
        <v>10</v>
      </c>
      <c r="AX995" t="s">
        <v>74</v>
      </c>
      <c r="AY995" t="s">
        <v>74</v>
      </c>
      <c r="AZ995" t="s">
        <v>74</v>
      </c>
      <c r="BA995" t="s">
        <v>74</v>
      </c>
      <c r="BB995">
        <v>2635</v>
      </c>
      <c r="BC995">
        <v>2648</v>
      </c>
      <c r="BD995" t="s">
        <v>74</v>
      </c>
      <c r="BE995" t="s">
        <v>18667</v>
      </c>
      <c r="BF995" t="str">
        <f>HYPERLINK("http://dx.doi.org/10.1007/s11263-023-01824-8","http://dx.doi.org/10.1007/s11263-023-01824-8")</f>
        <v>http://dx.doi.org/10.1007/s11263-023-01824-8</v>
      </c>
      <c r="BG995" t="s">
        <v>74</v>
      </c>
      <c r="BH995" t="s">
        <v>1910</v>
      </c>
      <c r="BI995">
        <v>14</v>
      </c>
      <c r="BJ995" t="s">
        <v>304</v>
      </c>
      <c r="BK995" t="s">
        <v>130</v>
      </c>
      <c r="BL995" t="s">
        <v>99</v>
      </c>
      <c r="BM995" t="s">
        <v>18668</v>
      </c>
      <c r="BN995" t="s">
        <v>74</v>
      </c>
      <c r="BO995" t="s">
        <v>646</v>
      </c>
      <c r="BP995" t="s">
        <v>74</v>
      </c>
      <c r="BQ995" t="s">
        <v>74</v>
      </c>
      <c r="BR995" t="s">
        <v>101</v>
      </c>
      <c r="BS995" t="s">
        <v>18669</v>
      </c>
      <c r="BT995" t="str">
        <f>HYPERLINK("https%3A%2F%2Fwww.webofscience.com%2Fwos%2Fwoscc%2Ffull-record%2FWOS:001013157000002","View Full Record in Web of Science")</f>
        <v>View Full Record in Web of Science</v>
      </c>
    </row>
    <row r="996" spans="1:72" x14ac:dyDescent="0.2">
      <c r="A996" t="s">
        <v>103</v>
      </c>
      <c r="B996" t="s">
        <v>18670</v>
      </c>
      <c r="C996" t="s">
        <v>74</v>
      </c>
      <c r="D996" t="s">
        <v>74</v>
      </c>
      <c r="E996" t="s">
        <v>74</v>
      </c>
      <c r="F996" t="s">
        <v>18671</v>
      </c>
      <c r="G996" t="s">
        <v>74</v>
      </c>
      <c r="H996" t="s">
        <v>74</v>
      </c>
      <c r="I996" t="s">
        <v>18672</v>
      </c>
      <c r="J996" t="s">
        <v>3969</v>
      </c>
      <c r="K996" t="s">
        <v>74</v>
      </c>
      <c r="L996" t="s">
        <v>74</v>
      </c>
      <c r="M996" t="s">
        <v>79</v>
      </c>
      <c r="N996" t="s">
        <v>108</v>
      </c>
      <c r="O996" t="s">
        <v>74</v>
      </c>
      <c r="P996" t="s">
        <v>74</v>
      </c>
      <c r="Q996" t="s">
        <v>74</v>
      </c>
      <c r="R996" t="s">
        <v>74</v>
      </c>
      <c r="S996" t="s">
        <v>74</v>
      </c>
      <c r="T996" t="s">
        <v>74</v>
      </c>
      <c r="U996" t="s">
        <v>74</v>
      </c>
      <c r="V996" t="s">
        <v>18673</v>
      </c>
      <c r="W996" t="s">
        <v>18674</v>
      </c>
      <c r="X996" t="s">
        <v>18675</v>
      </c>
      <c r="Y996" t="s">
        <v>18676</v>
      </c>
      <c r="Z996" t="s">
        <v>18677</v>
      </c>
      <c r="AA996" t="s">
        <v>18678</v>
      </c>
      <c r="AB996" t="s">
        <v>18679</v>
      </c>
      <c r="AC996" t="s">
        <v>18680</v>
      </c>
      <c r="AD996" t="s">
        <v>18681</v>
      </c>
      <c r="AE996" t="s">
        <v>18682</v>
      </c>
      <c r="AF996" t="s">
        <v>74</v>
      </c>
      <c r="AG996">
        <v>55</v>
      </c>
      <c r="AH996">
        <v>4</v>
      </c>
      <c r="AI996">
        <v>4</v>
      </c>
      <c r="AJ996">
        <v>2</v>
      </c>
      <c r="AK996">
        <v>2</v>
      </c>
      <c r="AL996" t="s">
        <v>3980</v>
      </c>
      <c r="AM996" t="s">
        <v>1153</v>
      </c>
      <c r="AN996" t="s">
        <v>3981</v>
      </c>
      <c r="AO996" t="s">
        <v>74</v>
      </c>
      <c r="AP996" t="s">
        <v>3982</v>
      </c>
      <c r="AQ996" t="s">
        <v>74</v>
      </c>
      <c r="AR996" t="s">
        <v>3983</v>
      </c>
      <c r="AS996" t="s">
        <v>3984</v>
      </c>
      <c r="AT996" t="s">
        <v>18683</v>
      </c>
      <c r="AU996">
        <v>2023</v>
      </c>
      <c r="AV996">
        <v>2</v>
      </c>
      <c r="AW996">
        <v>3</v>
      </c>
      <c r="AX996" t="s">
        <v>74</v>
      </c>
      <c r="AY996" t="s">
        <v>74</v>
      </c>
      <c r="AZ996" t="s">
        <v>74</v>
      </c>
      <c r="BA996" t="s">
        <v>74</v>
      </c>
      <c r="BB996">
        <v>578</v>
      </c>
      <c r="BC996">
        <v>590</v>
      </c>
      <c r="BD996" t="s">
        <v>74</v>
      </c>
      <c r="BE996" t="s">
        <v>18684</v>
      </c>
      <c r="BF996" t="str">
        <f>HYPERLINK("http://dx.doi.org/10.1039/d2dd00147k","http://dx.doi.org/10.1039/d2dd00147k")</f>
        <v>http://dx.doi.org/10.1039/d2dd00147k</v>
      </c>
      <c r="BG996" t="s">
        <v>74</v>
      </c>
      <c r="BH996" t="s">
        <v>74</v>
      </c>
      <c r="BI996">
        <v>14</v>
      </c>
      <c r="BJ996" t="s">
        <v>3987</v>
      </c>
      <c r="BK996" t="s">
        <v>352</v>
      </c>
      <c r="BL996" t="s">
        <v>1995</v>
      </c>
      <c r="BM996" t="s">
        <v>18685</v>
      </c>
      <c r="BN996" t="s">
        <v>74</v>
      </c>
      <c r="BO996" t="s">
        <v>425</v>
      </c>
      <c r="BP996" t="s">
        <v>74</v>
      </c>
      <c r="BQ996" t="s">
        <v>74</v>
      </c>
      <c r="BR996" t="s">
        <v>101</v>
      </c>
      <c r="BS996" t="s">
        <v>18686</v>
      </c>
      <c r="BT996" t="str">
        <f>HYPERLINK("https%3A%2F%2Fwww.webofscience.com%2Fwos%2Fwoscc%2Ffull-record%2FWOS:001101915800001","View Full Record in Web of Science")</f>
        <v>View Full Record in Web of Science</v>
      </c>
    </row>
    <row r="997" spans="1:72" x14ac:dyDescent="0.2">
      <c r="A997" t="s">
        <v>103</v>
      </c>
      <c r="B997" t="s">
        <v>18687</v>
      </c>
      <c r="C997" t="s">
        <v>74</v>
      </c>
      <c r="D997" t="s">
        <v>74</v>
      </c>
      <c r="E997" t="s">
        <v>74</v>
      </c>
      <c r="F997" t="s">
        <v>18688</v>
      </c>
      <c r="G997" t="s">
        <v>74</v>
      </c>
      <c r="H997" t="s">
        <v>74</v>
      </c>
      <c r="I997" t="s">
        <v>18689</v>
      </c>
      <c r="J997" t="s">
        <v>7329</v>
      </c>
      <c r="K997" t="s">
        <v>74</v>
      </c>
      <c r="L997" t="s">
        <v>74</v>
      </c>
      <c r="M997" t="s">
        <v>79</v>
      </c>
      <c r="N997" t="s">
        <v>108</v>
      </c>
      <c r="O997" t="s">
        <v>74</v>
      </c>
      <c r="P997" t="s">
        <v>74</v>
      </c>
      <c r="Q997" t="s">
        <v>74</v>
      </c>
      <c r="R997" t="s">
        <v>74</v>
      </c>
      <c r="S997" t="s">
        <v>74</v>
      </c>
      <c r="T997" t="s">
        <v>18690</v>
      </c>
      <c r="U997" t="s">
        <v>18691</v>
      </c>
      <c r="V997" t="s">
        <v>18692</v>
      </c>
      <c r="W997" t="s">
        <v>18693</v>
      </c>
      <c r="X997" t="s">
        <v>18694</v>
      </c>
      <c r="Y997" t="s">
        <v>18695</v>
      </c>
      <c r="Z997" t="s">
        <v>18696</v>
      </c>
      <c r="AA997" t="s">
        <v>74</v>
      </c>
      <c r="AB997" t="s">
        <v>18697</v>
      </c>
      <c r="AC997" t="s">
        <v>18698</v>
      </c>
      <c r="AD997" t="s">
        <v>18699</v>
      </c>
      <c r="AE997" t="s">
        <v>18700</v>
      </c>
      <c r="AF997" t="s">
        <v>74</v>
      </c>
      <c r="AG997">
        <v>48</v>
      </c>
      <c r="AH997">
        <v>1</v>
      </c>
      <c r="AI997">
        <v>1</v>
      </c>
      <c r="AJ997">
        <v>16</v>
      </c>
      <c r="AK997">
        <v>25</v>
      </c>
      <c r="AL997" t="s">
        <v>3165</v>
      </c>
      <c r="AM997" t="s">
        <v>3166</v>
      </c>
      <c r="AN997" t="s">
        <v>3167</v>
      </c>
      <c r="AO997" t="s">
        <v>74</v>
      </c>
      <c r="AP997" t="s">
        <v>7341</v>
      </c>
      <c r="AQ997" t="s">
        <v>74</v>
      </c>
      <c r="AR997" t="s">
        <v>7342</v>
      </c>
      <c r="AS997" t="s">
        <v>7343</v>
      </c>
      <c r="AT997" t="s">
        <v>18701</v>
      </c>
      <c r="AU997">
        <v>2023</v>
      </c>
      <c r="AV997">
        <v>10</v>
      </c>
      <c r="AW997">
        <v>24</v>
      </c>
      <c r="AX997" t="s">
        <v>74</v>
      </c>
      <c r="AY997" t="s">
        <v>74</v>
      </c>
      <c r="AZ997" t="s">
        <v>74</v>
      </c>
      <c r="BA997" t="s">
        <v>74</v>
      </c>
      <c r="BB997" t="s">
        <v>74</v>
      </c>
      <c r="BC997" t="s">
        <v>74</v>
      </c>
      <c r="BD997" t="s">
        <v>74</v>
      </c>
      <c r="BE997" t="s">
        <v>18702</v>
      </c>
      <c r="BF997" t="str">
        <f>HYPERLINK("http://dx.doi.org/10.1002/advs.202302508","http://dx.doi.org/10.1002/advs.202302508")</f>
        <v>http://dx.doi.org/10.1002/advs.202302508</v>
      </c>
      <c r="BG997" t="s">
        <v>74</v>
      </c>
      <c r="BH997" t="s">
        <v>1910</v>
      </c>
      <c r="BI997">
        <v>12</v>
      </c>
      <c r="BJ997" t="s">
        <v>7346</v>
      </c>
      <c r="BK997" t="s">
        <v>130</v>
      </c>
      <c r="BL997" t="s">
        <v>7347</v>
      </c>
      <c r="BM997" t="s">
        <v>18703</v>
      </c>
      <c r="BN997">
        <v>37357977</v>
      </c>
      <c r="BO997" t="s">
        <v>14333</v>
      </c>
      <c r="BP997" t="s">
        <v>74</v>
      </c>
      <c r="BQ997" t="s">
        <v>74</v>
      </c>
      <c r="BR997" t="s">
        <v>101</v>
      </c>
      <c r="BS997" t="s">
        <v>18704</v>
      </c>
      <c r="BT997" t="str">
        <f>HYPERLINK("https%3A%2F%2Fwww.webofscience.com%2Fwos%2Fwoscc%2Ffull-record%2FWOS:001016062500001","View Full Record in Web of Science")</f>
        <v>View Full Record in Web of Science</v>
      </c>
    </row>
    <row r="998" spans="1:72" x14ac:dyDescent="0.2">
      <c r="A998" t="s">
        <v>103</v>
      </c>
      <c r="B998" t="s">
        <v>18705</v>
      </c>
      <c r="C998" t="s">
        <v>74</v>
      </c>
      <c r="D998" t="s">
        <v>74</v>
      </c>
      <c r="E998" t="s">
        <v>74</v>
      </c>
      <c r="F998" t="s">
        <v>18706</v>
      </c>
      <c r="G998" t="s">
        <v>74</v>
      </c>
      <c r="H998" t="s">
        <v>74</v>
      </c>
      <c r="I998" t="s">
        <v>18707</v>
      </c>
      <c r="J998" t="s">
        <v>18708</v>
      </c>
      <c r="K998" t="s">
        <v>74</v>
      </c>
      <c r="L998" t="s">
        <v>74</v>
      </c>
      <c r="M998" t="s">
        <v>79</v>
      </c>
      <c r="N998" t="s">
        <v>108</v>
      </c>
      <c r="O998" t="s">
        <v>74</v>
      </c>
      <c r="P998" t="s">
        <v>74</v>
      </c>
      <c r="Q998" t="s">
        <v>74</v>
      </c>
      <c r="R998" t="s">
        <v>74</v>
      </c>
      <c r="S998" t="s">
        <v>74</v>
      </c>
      <c r="T998" t="s">
        <v>74</v>
      </c>
      <c r="U998" t="s">
        <v>74</v>
      </c>
      <c r="V998" t="s">
        <v>18709</v>
      </c>
      <c r="W998" t="s">
        <v>18710</v>
      </c>
      <c r="X998" t="s">
        <v>18711</v>
      </c>
      <c r="Y998" t="s">
        <v>18712</v>
      </c>
      <c r="Z998" t="s">
        <v>18713</v>
      </c>
      <c r="AA998" t="s">
        <v>18714</v>
      </c>
      <c r="AB998" t="s">
        <v>18715</v>
      </c>
      <c r="AC998" t="s">
        <v>74</v>
      </c>
      <c r="AD998" t="s">
        <v>74</v>
      </c>
      <c r="AE998" t="s">
        <v>74</v>
      </c>
      <c r="AF998" t="s">
        <v>74</v>
      </c>
      <c r="AG998">
        <v>7</v>
      </c>
      <c r="AH998">
        <v>2</v>
      </c>
      <c r="AI998">
        <v>2</v>
      </c>
      <c r="AJ998">
        <v>17</v>
      </c>
      <c r="AK998">
        <v>18</v>
      </c>
      <c r="AL998" t="s">
        <v>2032</v>
      </c>
      <c r="AM998" t="s">
        <v>149</v>
      </c>
      <c r="AN998" t="s">
        <v>2033</v>
      </c>
      <c r="AO998" t="s">
        <v>18716</v>
      </c>
      <c r="AP998" t="s">
        <v>18717</v>
      </c>
      <c r="AQ998" t="s">
        <v>74</v>
      </c>
      <c r="AR998" t="s">
        <v>18718</v>
      </c>
      <c r="AS998" t="s">
        <v>18719</v>
      </c>
      <c r="AT998" t="s">
        <v>276</v>
      </c>
      <c r="AU998">
        <v>2023</v>
      </c>
      <c r="AV998">
        <v>23</v>
      </c>
      <c r="AW998">
        <v>6</v>
      </c>
      <c r="AX998" t="s">
        <v>74</v>
      </c>
      <c r="AY998" t="s">
        <v>74</v>
      </c>
      <c r="AZ998" t="s">
        <v>74</v>
      </c>
      <c r="BA998" t="s">
        <v>74</v>
      </c>
      <c r="BB998">
        <v>178</v>
      </c>
      <c r="BC998">
        <v>184</v>
      </c>
      <c r="BD998" t="s">
        <v>74</v>
      </c>
      <c r="BE998" t="s">
        <v>18720</v>
      </c>
      <c r="BF998" t="str">
        <f>HYPERLINK("http://dx.doi.org/10.1038/s41397-023-00316-9","http://dx.doi.org/10.1038/s41397-023-00316-9")</f>
        <v>http://dx.doi.org/10.1038/s41397-023-00316-9</v>
      </c>
      <c r="BG998" t="s">
        <v>74</v>
      </c>
      <c r="BH998" t="s">
        <v>278</v>
      </c>
      <c r="BI998">
        <v>7</v>
      </c>
      <c r="BJ998" t="s">
        <v>18721</v>
      </c>
      <c r="BK998" t="s">
        <v>130</v>
      </c>
      <c r="BL998" t="s">
        <v>18721</v>
      </c>
      <c r="BM998" t="s">
        <v>18722</v>
      </c>
      <c r="BN998">
        <v>37726551</v>
      </c>
      <c r="BO998" t="s">
        <v>3333</v>
      </c>
      <c r="BP998" t="s">
        <v>74</v>
      </c>
      <c r="BQ998" t="s">
        <v>74</v>
      </c>
      <c r="BR998" t="s">
        <v>101</v>
      </c>
      <c r="BS998" t="s">
        <v>18723</v>
      </c>
      <c r="BT998" t="str">
        <f>HYPERLINK("https%3A%2F%2Fwww.webofscience.com%2Fwos%2Fwoscc%2Ffull-record%2FWOS:001079215900001","View Full Record in Web of Science")</f>
        <v>View Full Record in Web of Science</v>
      </c>
    </row>
    <row r="999" spans="1:72" x14ac:dyDescent="0.2">
      <c r="A999" t="s">
        <v>103</v>
      </c>
      <c r="B999" t="s">
        <v>18724</v>
      </c>
      <c r="C999" t="s">
        <v>74</v>
      </c>
      <c r="D999" t="s">
        <v>74</v>
      </c>
      <c r="E999" t="s">
        <v>74</v>
      </c>
      <c r="F999" t="s">
        <v>18725</v>
      </c>
      <c r="G999" t="s">
        <v>74</v>
      </c>
      <c r="H999" t="s">
        <v>74</v>
      </c>
      <c r="I999" t="s">
        <v>18726</v>
      </c>
      <c r="J999" t="s">
        <v>18727</v>
      </c>
      <c r="K999" t="s">
        <v>74</v>
      </c>
      <c r="L999" t="s">
        <v>74</v>
      </c>
      <c r="M999" t="s">
        <v>79</v>
      </c>
      <c r="N999" t="s">
        <v>138</v>
      </c>
      <c r="O999" t="s">
        <v>74</v>
      </c>
      <c r="P999" t="s">
        <v>74</v>
      </c>
      <c r="Q999" t="s">
        <v>74</v>
      </c>
      <c r="R999" t="s">
        <v>74</v>
      </c>
      <c r="S999" t="s">
        <v>74</v>
      </c>
      <c r="T999" t="s">
        <v>18728</v>
      </c>
      <c r="U999" t="s">
        <v>74</v>
      </c>
      <c r="V999" t="s">
        <v>18729</v>
      </c>
      <c r="W999" t="s">
        <v>18730</v>
      </c>
      <c r="X999" t="s">
        <v>18731</v>
      </c>
      <c r="Y999" t="s">
        <v>18732</v>
      </c>
      <c r="Z999" t="s">
        <v>18733</v>
      </c>
      <c r="AA999" t="s">
        <v>74</v>
      </c>
      <c r="AB999" t="s">
        <v>18734</v>
      </c>
      <c r="AC999" t="s">
        <v>18735</v>
      </c>
      <c r="AD999" t="s">
        <v>18735</v>
      </c>
      <c r="AE999" t="s">
        <v>18735</v>
      </c>
      <c r="AF999" t="s">
        <v>74</v>
      </c>
      <c r="AG999">
        <v>16</v>
      </c>
      <c r="AH999">
        <v>2</v>
      </c>
      <c r="AI999">
        <v>2</v>
      </c>
      <c r="AJ999">
        <v>11</v>
      </c>
      <c r="AK999">
        <v>11</v>
      </c>
      <c r="AL999" t="s">
        <v>18736</v>
      </c>
      <c r="AM999" t="s">
        <v>149</v>
      </c>
      <c r="AN999" t="s">
        <v>18737</v>
      </c>
      <c r="AO999" t="s">
        <v>18738</v>
      </c>
      <c r="AP999" t="s">
        <v>18739</v>
      </c>
      <c r="AQ999" t="s">
        <v>74</v>
      </c>
      <c r="AR999" t="s">
        <v>18740</v>
      </c>
      <c r="AS999" t="s">
        <v>18741</v>
      </c>
      <c r="AT999" t="s">
        <v>18742</v>
      </c>
      <c r="AU999">
        <v>2023</v>
      </c>
      <c r="AV999" t="s">
        <v>74</v>
      </c>
      <c r="AW999" t="s">
        <v>74</v>
      </c>
      <c r="AX999" t="s">
        <v>74</v>
      </c>
      <c r="AY999" t="s">
        <v>74</v>
      </c>
      <c r="AZ999" t="s">
        <v>74</v>
      </c>
      <c r="BA999" t="s">
        <v>74</v>
      </c>
      <c r="BB999" t="s">
        <v>74</v>
      </c>
      <c r="BC999" t="s">
        <v>74</v>
      </c>
      <c r="BD999" t="s">
        <v>74</v>
      </c>
      <c r="BE999" t="s">
        <v>18743</v>
      </c>
      <c r="BF999" t="str">
        <f>HYPERLINK("http://dx.doi.org/10.1136/bjo-2023-324091","http://dx.doi.org/10.1136/bjo-2023-324091")</f>
        <v>http://dx.doi.org/10.1136/bjo-2023-324091</v>
      </c>
      <c r="BG999" t="s">
        <v>74</v>
      </c>
      <c r="BH999" t="s">
        <v>157</v>
      </c>
      <c r="BI999">
        <v>5</v>
      </c>
      <c r="BJ999" t="s">
        <v>9843</v>
      </c>
      <c r="BK999" t="s">
        <v>130</v>
      </c>
      <c r="BL999" t="s">
        <v>9843</v>
      </c>
      <c r="BM999" t="s">
        <v>18744</v>
      </c>
      <c r="BN999">
        <v>37932006</v>
      </c>
      <c r="BO999" t="s">
        <v>74</v>
      </c>
      <c r="BP999" t="s">
        <v>74</v>
      </c>
      <c r="BQ999" t="s">
        <v>74</v>
      </c>
      <c r="BR999" t="s">
        <v>101</v>
      </c>
      <c r="BS999" t="s">
        <v>18745</v>
      </c>
      <c r="BT999" t="str">
        <f>HYPERLINK("https%3A%2F%2Fwww.webofscience.com%2Fwos%2Fwoscc%2Ffull-record%2FWOS:001097575500001","View Full Record in Web of Science")</f>
        <v>View Full Record in Web of Science</v>
      </c>
    </row>
    <row r="1000" spans="1:72" x14ac:dyDescent="0.2">
      <c r="A1000" t="s">
        <v>103</v>
      </c>
      <c r="B1000" t="s">
        <v>18746</v>
      </c>
      <c r="C1000" t="s">
        <v>74</v>
      </c>
      <c r="D1000" t="s">
        <v>74</v>
      </c>
      <c r="E1000" t="s">
        <v>74</v>
      </c>
      <c r="F1000" t="s">
        <v>18747</v>
      </c>
      <c r="G1000" t="s">
        <v>74</v>
      </c>
      <c r="H1000" t="s">
        <v>74</v>
      </c>
      <c r="I1000" t="s">
        <v>18748</v>
      </c>
      <c r="J1000" t="s">
        <v>18749</v>
      </c>
      <c r="K1000" t="s">
        <v>74</v>
      </c>
      <c r="L1000" t="s">
        <v>74</v>
      </c>
      <c r="M1000" t="s">
        <v>79</v>
      </c>
      <c r="N1000" t="s">
        <v>108</v>
      </c>
      <c r="O1000" t="s">
        <v>74</v>
      </c>
      <c r="P1000" t="s">
        <v>74</v>
      </c>
      <c r="Q1000" t="s">
        <v>74</v>
      </c>
      <c r="R1000" t="s">
        <v>74</v>
      </c>
      <c r="S1000" t="s">
        <v>74</v>
      </c>
      <c r="T1000" t="s">
        <v>18750</v>
      </c>
      <c r="U1000" t="s">
        <v>74</v>
      </c>
      <c r="V1000" t="s">
        <v>18751</v>
      </c>
      <c r="W1000" t="s">
        <v>18752</v>
      </c>
      <c r="X1000" t="s">
        <v>18753</v>
      </c>
      <c r="Y1000" t="s">
        <v>18754</v>
      </c>
      <c r="Z1000" t="s">
        <v>18755</v>
      </c>
      <c r="AA1000" t="s">
        <v>18756</v>
      </c>
      <c r="AB1000" t="s">
        <v>18757</v>
      </c>
      <c r="AC1000" t="s">
        <v>18758</v>
      </c>
      <c r="AD1000" t="s">
        <v>18759</v>
      </c>
      <c r="AE1000" t="s">
        <v>18760</v>
      </c>
      <c r="AF1000" t="s">
        <v>74</v>
      </c>
      <c r="AG1000">
        <v>55</v>
      </c>
      <c r="AH1000">
        <v>0</v>
      </c>
      <c r="AI1000">
        <v>0</v>
      </c>
      <c r="AJ1000">
        <v>0</v>
      </c>
      <c r="AK1000">
        <v>0</v>
      </c>
      <c r="AL1000" t="s">
        <v>5985</v>
      </c>
      <c r="AM1000" t="s">
        <v>1451</v>
      </c>
      <c r="AN1000" t="s">
        <v>5986</v>
      </c>
      <c r="AO1000" t="s">
        <v>74</v>
      </c>
      <c r="AP1000" t="s">
        <v>18761</v>
      </c>
      <c r="AQ1000" t="s">
        <v>74</v>
      </c>
      <c r="AR1000" t="s">
        <v>18762</v>
      </c>
      <c r="AS1000" t="s">
        <v>18763</v>
      </c>
      <c r="AT1000" t="s">
        <v>2497</v>
      </c>
      <c r="AU1000">
        <v>2023</v>
      </c>
      <c r="AV1000">
        <v>4</v>
      </c>
      <c r="AW1000">
        <v>4</v>
      </c>
      <c r="AX1000" t="s">
        <v>74</v>
      </c>
      <c r="AY1000" t="s">
        <v>74</v>
      </c>
      <c r="AZ1000" t="s">
        <v>74</v>
      </c>
      <c r="BA1000" t="s">
        <v>74</v>
      </c>
      <c r="BB1000" t="s">
        <v>74</v>
      </c>
      <c r="BC1000" t="s">
        <v>74</v>
      </c>
      <c r="BD1000">
        <v>45023</v>
      </c>
      <c r="BE1000" t="s">
        <v>18764</v>
      </c>
      <c r="BF1000" t="str">
        <f>HYPERLINK("http://dx.doi.org/10.1088/2632-2153/ad04ea","http://dx.doi.org/10.1088/2632-2153/ad04ea")</f>
        <v>http://dx.doi.org/10.1088/2632-2153/ad04ea</v>
      </c>
      <c r="BG1000" t="s">
        <v>74</v>
      </c>
      <c r="BH1000" t="s">
        <v>74</v>
      </c>
      <c r="BI1000">
        <v>12</v>
      </c>
      <c r="BJ1000" t="s">
        <v>18765</v>
      </c>
      <c r="BK1000" t="s">
        <v>130</v>
      </c>
      <c r="BL1000" t="s">
        <v>1320</v>
      </c>
      <c r="BM1000" t="s">
        <v>18766</v>
      </c>
      <c r="BN1000" t="s">
        <v>74</v>
      </c>
      <c r="BO1000" t="s">
        <v>18767</v>
      </c>
      <c r="BP1000" t="s">
        <v>74</v>
      </c>
      <c r="BQ1000" t="s">
        <v>74</v>
      </c>
      <c r="BR1000" t="s">
        <v>101</v>
      </c>
      <c r="BS1000" t="s">
        <v>18768</v>
      </c>
      <c r="BT1000" t="str">
        <f>HYPERLINK("https%3A%2F%2Fwww.webofscience.com%2Fwos%2Fwoscc%2Ffull-record%2FWOS:001091322000001","View Full Record in Web of Science")</f>
        <v>View Full Record in Web of Science</v>
      </c>
    </row>
    <row r="1001" spans="1:72" x14ac:dyDescent="0.2">
      <c r="A1001" t="s">
        <v>103</v>
      </c>
      <c r="B1001" t="s">
        <v>18769</v>
      </c>
      <c r="C1001" t="s">
        <v>74</v>
      </c>
      <c r="D1001" t="s">
        <v>74</v>
      </c>
      <c r="E1001" t="s">
        <v>74</v>
      </c>
      <c r="F1001" t="s">
        <v>18770</v>
      </c>
      <c r="G1001" t="s">
        <v>74</v>
      </c>
      <c r="H1001" t="s">
        <v>74</v>
      </c>
      <c r="I1001" t="s">
        <v>18771</v>
      </c>
      <c r="J1001" t="s">
        <v>18772</v>
      </c>
      <c r="K1001" t="s">
        <v>74</v>
      </c>
      <c r="L1001" t="s">
        <v>74</v>
      </c>
      <c r="M1001" t="s">
        <v>79</v>
      </c>
      <c r="N1001" t="s">
        <v>138</v>
      </c>
      <c r="O1001" t="s">
        <v>74</v>
      </c>
      <c r="P1001" t="s">
        <v>74</v>
      </c>
      <c r="Q1001" t="s">
        <v>74</v>
      </c>
      <c r="R1001" t="s">
        <v>74</v>
      </c>
      <c r="S1001" t="s">
        <v>74</v>
      </c>
      <c r="T1001" t="s">
        <v>18773</v>
      </c>
      <c r="U1001" t="s">
        <v>18774</v>
      </c>
      <c r="V1001" t="s">
        <v>18775</v>
      </c>
      <c r="W1001" t="s">
        <v>18776</v>
      </c>
      <c r="X1001" t="s">
        <v>18777</v>
      </c>
      <c r="Y1001" t="s">
        <v>18778</v>
      </c>
      <c r="Z1001" t="s">
        <v>18779</v>
      </c>
      <c r="AA1001" t="s">
        <v>74</v>
      </c>
      <c r="AB1001" t="s">
        <v>18780</v>
      </c>
      <c r="AC1001" t="s">
        <v>74</v>
      </c>
      <c r="AD1001" t="s">
        <v>74</v>
      </c>
      <c r="AE1001" t="s">
        <v>74</v>
      </c>
      <c r="AF1001" t="s">
        <v>74</v>
      </c>
      <c r="AG1001">
        <v>91</v>
      </c>
      <c r="AH1001">
        <v>0</v>
      </c>
      <c r="AI1001">
        <v>0</v>
      </c>
      <c r="AJ1001">
        <v>111</v>
      </c>
      <c r="AK1001">
        <v>111</v>
      </c>
      <c r="AL1001" t="s">
        <v>2148</v>
      </c>
      <c r="AM1001" t="s">
        <v>2149</v>
      </c>
      <c r="AN1001" t="s">
        <v>2150</v>
      </c>
      <c r="AO1001" t="s">
        <v>18781</v>
      </c>
      <c r="AP1001" t="s">
        <v>18782</v>
      </c>
      <c r="AQ1001" t="s">
        <v>74</v>
      </c>
      <c r="AR1001" t="s">
        <v>18783</v>
      </c>
      <c r="AS1001" t="s">
        <v>18784</v>
      </c>
      <c r="AT1001" t="s">
        <v>14741</v>
      </c>
      <c r="AU1001">
        <v>2023</v>
      </c>
      <c r="AV1001" t="s">
        <v>74</v>
      </c>
      <c r="AW1001" t="s">
        <v>74</v>
      </c>
      <c r="AX1001" t="s">
        <v>74</v>
      </c>
      <c r="AY1001" t="s">
        <v>74</v>
      </c>
      <c r="AZ1001" t="s">
        <v>74</v>
      </c>
      <c r="BA1001" t="s">
        <v>74</v>
      </c>
      <c r="BB1001" t="s">
        <v>74</v>
      </c>
      <c r="BC1001" t="s">
        <v>74</v>
      </c>
      <c r="BD1001" t="s">
        <v>74</v>
      </c>
      <c r="BE1001" t="s">
        <v>18785</v>
      </c>
      <c r="BF1001" t="str">
        <f>HYPERLINK("http://dx.doi.org/10.1093/jcr/ucad075","http://dx.doi.org/10.1093/jcr/ucad075")</f>
        <v>http://dx.doi.org/10.1093/jcr/ucad075</v>
      </c>
      <c r="BG1001" t="s">
        <v>74</v>
      </c>
      <c r="BH1001" t="s">
        <v>157</v>
      </c>
      <c r="BI1001">
        <v>20</v>
      </c>
      <c r="BJ1001" t="s">
        <v>492</v>
      </c>
      <c r="BK1001" t="s">
        <v>159</v>
      </c>
      <c r="BL1001" t="s">
        <v>470</v>
      </c>
      <c r="BM1001" t="s">
        <v>18786</v>
      </c>
      <c r="BN1001" t="s">
        <v>74</v>
      </c>
      <c r="BO1001" t="s">
        <v>161</v>
      </c>
      <c r="BP1001" t="s">
        <v>74</v>
      </c>
      <c r="BQ1001" t="s">
        <v>74</v>
      </c>
      <c r="BR1001" t="s">
        <v>101</v>
      </c>
      <c r="BS1001" t="s">
        <v>18787</v>
      </c>
      <c r="BT1001" t="str">
        <f>HYPERLINK("https%3A%2F%2Fwww.webofscience.com%2Fwos%2Fwoscc%2Ffull-record%2FWOS:001133575300001","View Full Record in Web of Science")</f>
        <v>View Full Record in Web of Science</v>
      </c>
    </row>
    <row r="1002" spans="1:72" x14ac:dyDescent="0.2">
      <c r="A1002" t="s">
        <v>72</v>
      </c>
      <c r="B1002" t="s">
        <v>18788</v>
      </c>
      <c r="C1002" t="s">
        <v>74</v>
      </c>
      <c r="D1002" t="s">
        <v>74</v>
      </c>
      <c r="E1002" t="s">
        <v>75</v>
      </c>
      <c r="F1002" t="s">
        <v>18789</v>
      </c>
      <c r="G1002" t="s">
        <v>74</v>
      </c>
      <c r="H1002" t="s">
        <v>74</v>
      </c>
      <c r="I1002" t="s">
        <v>18790</v>
      </c>
      <c r="J1002" t="s">
        <v>1636</v>
      </c>
      <c r="K1002" t="s">
        <v>74</v>
      </c>
      <c r="L1002" t="s">
        <v>74</v>
      </c>
      <c r="M1002" t="s">
        <v>79</v>
      </c>
      <c r="N1002" t="s">
        <v>80</v>
      </c>
      <c r="O1002" t="s">
        <v>1637</v>
      </c>
      <c r="P1002" t="s">
        <v>1638</v>
      </c>
      <c r="Q1002" t="s">
        <v>1639</v>
      </c>
      <c r="R1002" t="s">
        <v>1640</v>
      </c>
      <c r="S1002" t="s">
        <v>74</v>
      </c>
      <c r="T1002" t="s">
        <v>18791</v>
      </c>
      <c r="U1002" t="s">
        <v>74</v>
      </c>
      <c r="V1002" t="s">
        <v>18792</v>
      </c>
      <c r="W1002" t="s">
        <v>18793</v>
      </c>
      <c r="X1002" t="s">
        <v>18794</v>
      </c>
      <c r="Y1002" t="s">
        <v>18795</v>
      </c>
      <c r="Z1002" t="s">
        <v>18796</v>
      </c>
      <c r="AA1002" t="s">
        <v>74</v>
      </c>
      <c r="AB1002" t="s">
        <v>18797</v>
      </c>
      <c r="AC1002" t="s">
        <v>74</v>
      </c>
      <c r="AD1002" t="s">
        <v>74</v>
      </c>
      <c r="AE1002" t="s">
        <v>74</v>
      </c>
      <c r="AF1002" t="s">
        <v>74</v>
      </c>
      <c r="AG1002">
        <v>62</v>
      </c>
      <c r="AH1002">
        <v>1</v>
      </c>
      <c r="AI1002">
        <v>1</v>
      </c>
      <c r="AJ1002">
        <v>7</v>
      </c>
      <c r="AK1002">
        <v>7</v>
      </c>
      <c r="AL1002" t="s">
        <v>92</v>
      </c>
      <c r="AM1002" t="s">
        <v>93</v>
      </c>
      <c r="AN1002" t="s">
        <v>94</v>
      </c>
      <c r="AO1002" t="s">
        <v>74</v>
      </c>
      <c r="AP1002" t="s">
        <v>74</v>
      </c>
      <c r="AQ1002" t="s">
        <v>1651</v>
      </c>
      <c r="AR1002" t="s">
        <v>74</v>
      </c>
      <c r="AS1002" t="s">
        <v>74</v>
      </c>
      <c r="AT1002" t="s">
        <v>74</v>
      </c>
      <c r="AU1002">
        <v>2023</v>
      </c>
      <c r="AV1002" t="s">
        <v>74</v>
      </c>
      <c r="AW1002" t="s">
        <v>74</v>
      </c>
      <c r="AX1002" t="s">
        <v>74</v>
      </c>
      <c r="AY1002" t="s">
        <v>74</v>
      </c>
      <c r="AZ1002" t="s">
        <v>74</v>
      </c>
      <c r="BA1002" t="s">
        <v>74</v>
      </c>
      <c r="BB1002" t="s">
        <v>74</v>
      </c>
      <c r="BC1002" t="s">
        <v>74</v>
      </c>
      <c r="BD1002" t="s">
        <v>74</v>
      </c>
      <c r="BE1002" t="s">
        <v>18798</v>
      </c>
      <c r="BF1002" t="str">
        <f>HYPERLINK("http://dx.doi.org/10.1145/3544548.3581441","http://dx.doi.org/10.1145/3544548.3581441")</f>
        <v>http://dx.doi.org/10.1145/3544548.3581441</v>
      </c>
      <c r="BG1002" t="s">
        <v>74</v>
      </c>
      <c r="BH1002" t="s">
        <v>74</v>
      </c>
      <c r="BI1002">
        <v>20</v>
      </c>
      <c r="BJ1002" t="s">
        <v>1653</v>
      </c>
      <c r="BK1002" t="s">
        <v>98</v>
      </c>
      <c r="BL1002" t="s">
        <v>1654</v>
      </c>
      <c r="BM1002" t="s">
        <v>1655</v>
      </c>
      <c r="BN1002" t="s">
        <v>74</v>
      </c>
      <c r="BO1002" t="s">
        <v>74</v>
      </c>
      <c r="BP1002" t="s">
        <v>74</v>
      </c>
      <c r="BQ1002" t="s">
        <v>74</v>
      </c>
      <c r="BR1002" t="s">
        <v>101</v>
      </c>
      <c r="BS1002" t="s">
        <v>18799</v>
      </c>
      <c r="BT1002" t="str">
        <f>HYPERLINK("https%3A%2F%2Fwww.webofscience.com%2Fwos%2Fwoscc%2Ffull-record%2FWOS:001048393805031","View Full Record in Web of Science")</f>
        <v>View Full Record in Web of Science</v>
      </c>
    </row>
    <row r="1003" spans="1:72" x14ac:dyDescent="0.2">
      <c r="A1003" t="s">
        <v>72</v>
      </c>
      <c r="B1003" t="s">
        <v>18800</v>
      </c>
      <c r="C1003" t="s">
        <v>74</v>
      </c>
      <c r="D1003" t="s">
        <v>18801</v>
      </c>
      <c r="E1003" t="s">
        <v>74</v>
      </c>
      <c r="F1003" t="s">
        <v>18802</v>
      </c>
      <c r="G1003" t="s">
        <v>74</v>
      </c>
      <c r="H1003" t="s">
        <v>74</v>
      </c>
      <c r="I1003" t="s">
        <v>18803</v>
      </c>
      <c r="J1003" t="s">
        <v>18804</v>
      </c>
      <c r="K1003" t="s">
        <v>312</v>
      </c>
      <c r="L1003" t="s">
        <v>74</v>
      </c>
      <c r="M1003" t="s">
        <v>79</v>
      </c>
      <c r="N1003" t="s">
        <v>80</v>
      </c>
      <c r="O1003" t="s">
        <v>18805</v>
      </c>
      <c r="P1003" t="s">
        <v>18806</v>
      </c>
      <c r="Q1003" t="s">
        <v>6488</v>
      </c>
      <c r="R1003" t="s">
        <v>18807</v>
      </c>
      <c r="S1003" t="s">
        <v>74</v>
      </c>
      <c r="T1003" t="s">
        <v>74</v>
      </c>
      <c r="U1003" t="s">
        <v>74</v>
      </c>
      <c r="V1003" t="s">
        <v>18808</v>
      </c>
      <c r="W1003" t="s">
        <v>18809</v>
      </c>
      <c r="X1003" t="s">
        <v>18810</v>
      </c>
      <c r="Y1003" t="s">
        <v>18811</v>
      </c>
      <c r="Z1003" t="s">
        <v>18812</v>
      </c>
      <c r="AA1003" t="s">
        <v>74</v>
      </c>
      <c r="AB1003" t="s">
        <v>74</v>
      </c>
      <c r="AC1003" t="s">
        <v>74</v>
      </c>
      <c r="AD1003" t="s">
        <v>74</v>
      </c>
      <c r="AE1003" t="s">
        <v>74</v>
      </c>
      <c r="AF1003" t="s">
        <v>74</v>
      </c>
      <c r="AG1003">
        <v>33</v>
      </c>
      <c r="AH1003">
        <v>0</v>
      </c>
      <c r="AI1003">
        <v>0</v>
      </c>
      <c r="AJ1003">
        <v>0</v>
      </c>
      <c r="AK1003">
        <v>0</v>
      </c>
      <c r="AL1003" t="s">
        <v>325</v>
      </c>
      <c r="AM1003" t="s">
        <v>245</v>
      </c>
      <c r="AN1003" t="s">
        <v>246</v>
      </c>
      <c r="AO1003" t="s">
        <v>326</v>
      </c>
      <c r="AP1003" t="s">
        <v>327</v>
      </c>
      <c r="AQ1003" t="s">
        <v>18813</v>
      </c>
      <c r="AR1003" t="s">
        <v>329</v>
      </c>
      <c r="AS1003" t="s">
        <v>74</v>
      </c>
      <c r="AT1003" t="s">
        <v>74</v>
      </c>
      <c r="AU1003">
        <v>2023</v>
      </c>
      <c r="AV1003">
        <v>13981</v>
      </c>
      <c r="AW1003" t="s">
        <v>74</v>
      </c>
      <c r="AX1003" t="s">
        <v>74</v>
      </c>
      <c r="AY1003" t="s">
        <v>74</v>
      </c>
      <c r="AZ1003" t="s">
        <v>74</v>
      </c>
      <c r="BA1003" t="s">
        <v>74</v>
      </c>
      <c r="BB1003">
        <v>617</v>
      </c>
      <c r="BC1003">
        <v>626</v>
      </c>
      <c r="BD1003" t="s">
        <v>74</v>
      </c>
      <c r="BE1003" t="s">
        <v>18814</v>
      </c>
      <c r="BF1003" t="str">
        <f>HYPERLINK("http://dx.doi.org/10.1007/978-3-031-28238-6_53","http://dx.doi.org/10.1007/978-3-031-28238-6_53")</f>
        <v>http://dx.doi.org/10.1007/978-3-031-28238-6_53</v>
      </c>
      <c r="BG1003" t="s">
        <v>74</v>
      </c>
      <c r="BH1003" t="s">
        <v>74</v>
      </c>
      <c r="BI1003">
        <v>10</v>
      </c>
      <c r="BJ1003" t="s">
        <v>18815</v>
      </c>
      <c r="BK1003" t="s">
        <v>98</v>
      </c>
      <c r="BL1003" t="s">
        <v>99</v>
      </c>
      <c r="BM1003" t="s">
        <v>18816</v>
      </c>
      <c r="BN1003" t="s">
        <v>74</v>
      </c>
      <c r="BO1003" t="s">
        <v>74</v>
      </c>
      <c r="BP1003" t="s">
        <v>74</v>
      </c>
      <c r="BQ1003" t="s">
        <v>74</v>
      </c>
      <c r="BR1003" t="s">
        <v>101</v>
      </c>
      <c r="BS1003" t="s">
        <v>18817</v>
      </c>
      <c r="BT1003" t="str">
        <f>HYPERLINK("https%3A%2F%2Fwww.webofscience.com%2Fwos%2Fwoscc%2Ffull-record%2FWOS:000995489700053","View Full Record in Web of Science")</f>
        <v>View Full Record in Web of Science</v>
      </c>
    </row>
    <row r="1004" spans="1:72" x14ac:dyDescent="0.2">
      <c r="A1004" t="s">
        <v>103</v>
      </c>
      <c r="B1004" t="s">
        <v>18818</v>
      </c>
      <c r="C1004" t="s">
        <v>74</v>
      </c>
      <c r="D1004" t="s">
        <v>74</v>
      </c>
      <c r="E1004" t="s">
        <v>74</v>
      </c>
      <c r="F1004" t="s">
        <v>18819</v>
      </c>
      <c r="G1004" t="s">
        <v>74</v>
      </c>
      <c r="H1004" t="s">
        <v>74</v>
      </c>
      <c r="I1004" t="s">
        <v>18820</v>
      </c>
      <c r="J1004" t="s">
        <v>18821</v>
      </c>
      <c r="K1004" t="s">
        <v>74</v>
      </c>
      <c r="L1004" t="s">
        <v>74</v>
      </c>
      <c r="M1004" t="s">
        <v>79</v>
      </c>
      <c r="N1004" t="s">
        <v>108</v>
      </c>
      <c r="O1004" t="s">
        <v>74</v>
      </c>
      <c r="P1004" t="s">
        <v>74</v>
      </c>
      <c r="Q1004" t="s">
        <v>74</v>
      </c>
      <c r="R1004" t="s">
        <v>74</v>
      </c>
      <c r="S1004" t="s">
        <v>74</v>
      </c>
      <c r="T1004" t="s">
        <v>74</v>
      </c>
      <c r="U1004" t="s">
        <v>18822</v>
      </c>
      <c r="V1004" t="s">
        <v>18823</v>
      </c>
      <c r="W1004" t="s">
        <v>18824</v>
      </c>
      <c r="X1004" t="s">
        <v>2576</v>
      </c>
      <c r="Y1004" t="s">
        <v>18825</v>
      </c>
      <c r="Z1004" t="s">
        <v>18826</v>
      </c>
      <c r="AA1004" t="s">
        <v>74</v>
      </c>
      <c r="AB1004" t="s">
        <v>74</v>
      </c>
      <c r="AC1004" t="s">
        <v>74</v>
      </c>
      <c r="AD1004" t="s">
        <v>74</v>
      </c>
      <c r="AE1004" t="s">
        <v>74</v>
      </c>
      <c r="AF1004" t="s">
        <v>74</v>
      </c>
      <c r="AG1004">
        <v>189</v>
      </c>
      <c r="AH1004">
        <v>0</v>
      </c>
      <c r="AI1004">
        <v>0</v>
      </c>
      <c r="AJ1004">
        <v>0</v>
      </c>
      <c r="AK1004">
        <v>0</v>
      </c>
      <c r="AL1004" t="s">
        <v>18827</v>
      </c>
      <c r="AM1004" t="s">
        <v>11755</v>
      </c>
      <c r="AN1004" t="s">
        <v>18828</v>
      </c>
      <c r="AO1004" t="s">
        <v>18829</v>
      </c>
      <c r="AP1004" t="s">
        <v>74</v>
      </c>
      <c r="AQ1004" t="s">
        <v>74</v>
      </c>
      <c r="AR1004" t="s">
        <v>18830</v>
      </c>
      <c r="AS1004" t="s">
        <v>18831</v>
      </c>
      <c r="AT1004" t="s">
        <v>527</v>
      </c>
      <c r="AU1004">
        <v>2023</v>
      </c>
      <c r="AV1004">
        <v>75</v>
      </c>
      <c r="AW1004">
        <v>1</v>
      </c>
      <c r="AX1004" t="s">
        <v>74</v>
      </c>
      <c r="AY1004" t="s">
        <v>74</v>
      </c>
      <c r="AZ1004" t="s">
        <v>74</v>
      </c>
      <c r="BA1004" t="s">
        <v>74</v>
      </c>
      <c r="BB1004" t="s">
        <v>74</v>
      </c>
      <c r="BC1004" t="s">
        <v>74</v>
      </c>
      <c r="BD1004" t="s">
        <v>74</v>
      </c>
      <c r="BE1004" t="s">
        <v>74</v>
      </c>
      <c r="BF1004" t="s">
        <v>74</v>
      </c>
      <c r="BG1004" t="s">
        <v>74</v>
      </c>
      <c r="BH1004" t="s">
        <v>74</v>
      </c>
      <c r="BI1004">
        <v>61</v>
      </c>
      <c r="BJ1004" t="s">
        <v>1135</v>
      </c>
      <c r="BK1004" t="s">
        <v>159</v>
      </c>
      <c r="BL1004" t="s">
        <v>1136</v>
      </c>
      <c r="BM1004" t="s">
        <v>18832</v>
      </c>
      <c r="BN1004" t="s">
        <v>74</v>
      </c>
      <c r="BO1004" t="s">
        <v>74</v>
      </c>
      <c r="BP1004" t="s">
        <v>74</v>
      </c>
      <c r="BQ1004" t="s">
        <v>74</v>
      </c>
      <c r="BR1004" t="s">
        <v>101</v>
      </c>
      <c r="BS1004" t="s">
        <v>18833</v>
      </c>
      <c r="BT1004" t="str">
        <f>HYPERLINK("https%3A%2F%2Fwww.webofscience.com%2Fwos%2Fwoscc%2Ffull-record%2FWOS:001183218800001","View Full Record in Web of Science")</f>
        <v>View Full Record in Web of Science</v>
      </c>
    </row>
    <row r="1005" spans="1:72" x14ac:dyDescent="0.2">
      <c r="A1005" t="s">
        <v>103</v>
      </c>
      <c r="B1005" t="s">
        <v>18834</v>
      </c>
      <c r="C1005" t="s">
        <v>74</v>
      </c>
      <c r="D1005" t="s">
        <v>74</v>
      </c>
      <c r="E1005" t="s">
        <v>74</v>
      </c>
      <c r="F1005" t="s">
        <v>18835</v>
      </c>
      <c r="G1005" t="s">
        <v>74</v>
      </c>
      <c r="H1005" t="s">
        <v>74</v>
      </c>
      <c r="I1005" t="s">
        <v>18836</v>
      </c>
      <c r="J1005" t="s">
        <v>18837</v>
      </c>
      <c r="K1005" t="s">
        <v>74</v>
      </c>
      <c r="L1005" t="s">
        <v>74</v>
      </c>
      <c r="M1005" t="s">
        <v>79</v>
      </c>
      <c r="N1005" t="s">
        <v>108</v>
      </c>
      <c r="O1005" t="s">
        <v>74</v>
      </c>
      <c r="P1005" t="s">
        <v>74</v>
      </c>
      <c r="Q1005" t="s">
        <v>74</v>
      </c>
      <c r="R1005" t="s">
        <v>74</v>
      </c>
      <c r="S1005" t="s">
        <v>74</v>
      </c>
      <c r="T1005" t="s">
        <v>18838</v>
      </c>
      <c r="U1005" t="s">
        <v>74</v>
      </c>
      <c r="V1005" t="s">
        <v>18839</v>
      </c>
      <c r="W1005" t="s">
        <v>18840</v>
      </c>
      <c r="X1005" t="s">
        <v>18841</v>
      </c>
      <c r="Y1005" t="s">
        <v>18842</v>
      </c>
      <c r="Z1005" t="s">
        <v>18843</v>
      </c>
      <c r="AA1005" t="s">
        <v>74</v>
      </c>
      <c r="AB1005" t="s">
        <v>18844</v>
      </c>
      <c r="AC1005" t="s">
        <v>74</v>
      </c>
      <c r="AD1005" t="s">
        <v>74</v>
      </c>
      <c r="AE1005" t="s">
        <v>74</v>
      </c>
      <c r="AF1005" t="s">
        <v>74</v>
      </c>
      <c r="AG1005">
        <v>35</v>
      </c>
      <c r="AH1005">
        <v>0</v>
      </c>
      <c r="AI1005">
        <v>0</v>
      </c>
      <c r="AJ1005">
        <v>18</v>
      </c>
      <c r="AK1005">
        <v>18</v>
      </c>
      <c r="AL1005" t="s">
        <v>343</v>
      </c>
      <c r="AM1005" t="s">
        <v>521</v>
      </c>
      <c r="AN1005" t="s">
        <v>522</v>
      </c>
      <c r="AO1005" t="s">
        <v>18845</v>
      </c>
      <c r="AP1005" t="s">
        <v>18846</v>
      </c>
      <c r="AQ1005" t="s">
        <v>74</v>
      </c>
      <c r="AR1005" t="s">
        <v>18847</v>
      </c>
      <c r="AS1005" t="s">
        <v>18848</v>
      </c>
      <c r="AT1005" t="s">
        <v>251</v>
      </c>
      <c r="AU1005">
        <v>2024</v>
      </c>
      <c r="AV1005">
        <v>43</v>
      </c>
      <c r="AW1005">
        <v>1</v>
      </c>
      <c r="AX1005" t="s">
        <v>74</v>
      </c>
      <c r="AY1005" t="s">
        <v>74</v>
      </c>
      <c r="AZ1005" t="s">
        <v>74</v>
      </c>
      <c r="BA1005" t="s">
        <v>74</v>
      </c>
      <c r="BB1005">
        <v>15</v>
      </c>
      <c r="BC1005">
        <v>30</v>
      </c>
      <c r="BD1005" t="s">
        <v>74</v>
      </c>
      <c r="BE1005" t="s">
        <v>18849</v>
      </c>
      <c r="BF1005" t="str">
        <f>HYPERLINK("http://dx.doi.org/10.1007/s11217-023-09907-2","http://dx.doi.org/10.1007/s11217-023-09907-2")</f>
        <v>http://dx.doi.org/10.1007/s11217-023-09907-2</v>
      </c>
      <c r="BG1005" t="s">
        <v>74</v>
      </c>
      <c r="BH1005" t="s">
        <v>157</v>
      </c>
      <c r="BI1005">
        <v>16</v>
      </c>
      <c r="BJ1005" t="s">
        <v>18850</v>
      </c>
      <c r="BK1005" t="s">
        <v>530</v>
      </c>
      <c r="BL1005" t="s">
        <v>18850</v>
      </c>
      <c r="BM1005" t="s">
        <v>18851</v>
      </c>
      <c r="BN1005" t="s">
        <v>74</v>
      </c>
      <c r="BO1005" t="s">
        <v>74</v>
      </c>
      <c r="BP1005" t="s">
        <v>74</v>
      </c>
      <c r="BQ1005" t="s">
        <v>74</v>
      </c>
      <c r="BR1005" t="s">
        <v>101</v>
      </c>
      <c r="BS1005" t="s">
        <v>18852</v>
      </c>
      <c r="BT1005" t="str">
        <f>HYPERLINK("https%3A%2F%2Fwww.webofscience.com%2Fwos%2Fwoscc%2Ffull-record%2FWOS:001103773600001","View Full Record in Web of Science")</f>
        <v>View Full Record in Web of Science</v>
      </c>
    </row>
    <row r="1006" spans="1:72" x14ac:dyDescent="0.2">
      <c r="A1006" t="s">
        <v>72</v>
      </c>
      <c r="B1006" t="s">
        <v>18853</v>
      </c>
      <c r="C1006" t="s">
        <v>74</v>
      </c>
      <c r="D1006" t="s">
        <v>18854</v>
      </c>
      <c r="E1006" t="s">
        <v>74</v>
      </c>
      <c r="F1006" t="s">
        <v>18855</v>
      </c>
      <c r="G1006" t="s">
        <v>74</v>
      </c>
      <c r="H1006" t="s">
        <v>74</v>
      </c>
      <c r="I1006" t="s">
        <v>18856</v>
      </c>
      <c r="J1006" t="s">
        <v>18857</v>
      </c>
      <c r="K1006" t="s">
        <v>18858</v>
      </c>
      <c r="L1006" t="s">
        <v>74</v>
      </c>
      <c r="M1006" t="s">
        <v>79</v>
      </c>
      <c r="N1006" t="s">
        <v>80</v>
      </c>
      <c r="O1006" t="s">
        <v>18859</v>
      </c>
      <c r="P1006" t="s">
        <v>18860</v>
      </c>
      <c r="Q1006" t="s">
        <v>18861</v>
      </c>
      <c r="R1006" t="s">
        <v>18862</v>
      </c>
      <c r="S1006" t="s">
        <v>74</v>
      </c>
      <c r="T1006" t="s">
        <v>18863</v>
      </c>
      <c r="U1006" t="s">
        <v>18864</v>
      </c>
      <c r="V1006" t="s">
        <v>18865</v>
      </c>
      <c r="W1006" t="s">
        <v>18866</v>
      </c>
      <c r="X1006" t="s">
        <v>18867</v>
      </c>
      <c r="Y1006" t="s">
        <v>18868</v>
      </c>
      <c r="Z1006" t="s">
        <v>18869</v>
      </c>
      <c r="AA1006" t="s">
        <v>74</v>
      </c>
      <c r="AB1006" t="s">
        <v>18870</v>
      </c>
      <c r="AC1006" t="s">
        <v>18871</v>
      </c>
      <c r="AD1006" t="s">
        <v>18872</v>
      </c>
      <c r="AE1006" t="s">
        <v>18873</v>
      </c>
      <c r="AF1006" t="s">
        <v>74</v>
      </c>
      <c r="AG1006">
        <v>29</v>
      </c>
      <c r="AH1006">
        <v>1</v>
      </c>
      <c r="AI1006">
        <v>1</v>
      </c>
      <c r="AJ1006">
        <v>9</v>
      </c>
      <c r="AK1006">
        <v>14</v>
      </c>
      <c r="AL1006" t="s">
        <v>638</v>
      </c>
      <c r="AM1006" t="s">
        <v>639</v>
      </c>
      <c r="AN1006" t="s">
        <v>640</v>
      </c>
      <c r="AO1006" t="s">
        <v>18874</v>
      </c>
      <c r="AP1006" t="s">
        <v>74</v>
      </c>
      <c r="AQ1006" t="s">
        <v>18875</v>
      </c>
      <c r="AR1006" t="s">
        <v>18876</v>
      </c>
      <c r="AS1006" t="s">
        <v>74</v>
      </c>
      <c r="AT1006" t="s">
        <v>74</v>
      </c>
      <c r="AU1006">
        <v>2023</v>
      </c>
      <c r="AV1006" t="s">
        <v>74</v>
      </c>
      <c r="AW1006" t="s">
        <v>74</v>
      </c>
      <c r="AX1006" t="s">
        <v>74</v>
      </c>
      <c r="AY1006" t="s">
        <v>74</v>
      </c>
      <c r="AZ1006" t="s">
        <v>74</v>
      </c>
      <c r="BA1006" t="s">
        <v>74</v>
      </c>
      <c r="BB1006">
        <v>395</v>
      </c>
      <c r="BC1006">
        <v>398</v>
      </c>
      <c r="BD1006" t="s">
        <v>74</v>
      </c>
      <c r="BE1006" t="s">
        <v>18877</v>
      </c>
      <c r="BF1006" t="str">
        <f>HYPERLINK("http://dx.doi.org/10.1109/BigComp57234.2023.00097","http://dx.doi.org/10.1109/BigComp57234.2023.00097")</f>
        <v>http://dx.doi.org/10.1109/BigComp57234.2023.00097</v>
      </c>
      <c r="BG1006" t="s">
        <v>74</v>
      </c>
      <c r="BH1006" t="s">
        <v>74</v>
      </c>
      <c r="BI1006">
        <v>4</v>
      </c>
      <c r="BJ1006" t="s">
        <v>2104</v>
      </c>
      <c r="BK1006" t="s">
        <v>98</v>
      </c>
      <c r="BL1006" t="s">
        <v>99</v>
      </c>
      <c r="BM1006" t="s">
        <v>18878</v>
      </c>
      <c r="BN1006" t="s">
        <v>74</v>
      </c>
      <c r="BO1006" t="s">
        <v>646</v>
      </c>
      <c r="BP1006" t="s">
        <v>74</v>
      </c>
      <c r="BQ1006" t="s">
        <v>74</v>
      </c>
      <c r="BR1006" t="s">
        <v>101</v>
      </c>
      <c r="BS1006" t="s">
        <v>18879</v>
      </c>
      <c r="BT1006" t="str">
        <f>HYPERLINK("https%3A%2F%2Fwww.webofscience.com%2Fwos%2Fwoscc%2Ffull-record%2FWOS:000981866800088","View Full Record in Web of Science")</f>
        <v>View Full Record in Web of Science</v>
      </c>
    </row>
    <row r="1007" spans="1:72" x14ac:dyDescent="0.2">
      <c r="A1007" t="s">
        <v>72</v>
      </c>
      <c r="B1007" t="s">
        <v>18880</v>
      </c>
      <c r="C1007" t="s">
        <v>74</v>
      </c>
      <c r="D1007" t="s">
        <v>18881</v>
      </c>
      <c r="E1007" t="s">
        <v>74</v>
      </c>
      <c r="F1007" t="s">
        <v>18882</v>
      </c>
      <c r="G1007" t="s">
        <v>74</v>
      </c>
      <c r="H1007" t="s">
        <v>74</v>
      </c>
      <c r="I1007" t="s">
        <v>18883</v>
      </c>
      <c r="J1007" t="s">
        <v>18884</v>
      </c>
      <c r="K1007" t="s">
        <v>312</v>
      </c>
      <c r="L1007" t="s">
        <v>74</v>
      </c>
      <c r="M1007" t="s">
        <v>79</v>
      </c>
      <c r="N1007" t="s">
        <v>80</v>
      </c>
      <c r="O1007" t="s">
        <v>18885</v>
      </c>
      <c r="P1007" t="s">
        <v>18886</v>
      </c>
      <c r="Q1007" t="s">
        <v>6017</v>
      </c>
      <c r="R1007" t="s">
        <v>74</v>
      </c>
      <c r="S1007" t="s">
        <v>74</v>
      </c>
      <c r="T1007" t="s">
        <v>18887</v>
      </c>
      <c r="U1007" t="s">
        <v>18888</v>
      </c>
      <c r="V1007" t="s">
        <v>18889</v>
      </c>
      <c r="W1007" t="s">
        <v>18890</v>
      </c>
      <c r="X1007" t="s">
        <v>18891</v>
      </c>
      <c r="Y1007" t="s">
        <v>18892</v>
      </c>
      <c r="Z1007" t="s">
        <v>18893</v>
      </c>
      <c r="AA1007" t="s">
        <v>74</v>
      </c>
      <c r="AB1007" t="s">
        <v>74</v>
      </c>
      <c r="AC1007" t="s">
        <v>18894</v>
      </c>
      <c r="AD1007" t="s">
        <v>18895</v>
      </c>
      <c r="AE1007" t="s">
        <v>18896</v>
      </c>
      <c r="AF1007" t="s">
        <v>74</v>
      </c>
      <c r="AG1007">
        <v>29</v>
      </c>
      <c r="AH1007">
        <v>0</v>
      </c>
      <c r="AI1007">
        <v>0</v>
      </c>
      <c r="AJ1007">
        <v>1</v>
      </c>
      <c r="AK1007">
        <v>1</v>
      </c>
      <c r="AL1007" t="s">
        <v>325</v>
      </c>
      <c r="AM1007" t="s">
        <v>245</v>
      </c>
      <c r="AN1007" t="s">
        <v>246</v>
      </c>
      <c r="AO1007" t="s">
        <v>326</v>
      </c>
      <c r="AP1007" t="s">
        <v>327</v>
      </c>
      <c r="AQ1007" t="s">
        <v>18897</v>
      </c>
      <c r="AR1007" t="s">
        <v>329</v>
      </c>
      <c r="AS1007" t="s">
        <v>74</v>
      </c>
      <c r="AT1007" t="s">
        <v>74</v>
      </c>
      <c r="AU1007">
        <v>2023</v>
      </c>
      <c r="AV1007">
        <v>14288</v>
      </c>
      <c r="AW1007" t="s">
        <v>74</v>
      </c>
      <c r="AX1007" t="s">
        <v>74</v>
      </c>
      <c r="AY1007" t="s">
        <v>74</v>
      </c>
      <c r="AZ1007" t="s">
        <v>74</v>
      </c>
      <c r="BA1007" t="s">
        <v>74</v>
      </c>
      <c r="BB1007">
        <v>129</v>
      </c>
      <c r="BC1007">
        <v>140</v>
      </c>
      <c r="BD1007" t="s">
        <v>74</v>
      </c>
      <c r="BE1007" t="s">
        <v>18898</v>
      </c>
      <c r="BF1007" t="str">
        <f>HYPERLINK("http://dx.doi.org/10.1007/978-3-031-44689-4_13","http://dx.doi.org/10.1007/978-3-031-44689-4_13")</f>
        <v>http://dx.doi.org/10.1007/978-3-031-44689-4_13</v>
      </c>
      <c r="BG1007" t="s">
        <v>74</v>
      </c>
      <c r="BH1007" t="s">
        <v>74</v>
      </c>
      <c r="BI1007">
        <v>12</v>
      </c>
      <c r="BJ1007" t="s">
        <v>18899</v>
      </c>
      <c r="BK1007" t="s">
        <v>98</v>
      </c>
      <c r="BL1007" t="s">
        <v>18274</v>
      </c>
      <c r="BM1007" t="s">
        <v>18900</v>
      </c>
      <c r="BN1007" t="s">
        <v>74</v>
      </c>
      <c r="BO1007" t="s">
        <v>74</v>
      </c>
      <c r="BP1007" t="s">
        <v>74</v>
      </c>
      <c r="BQ1007" t="s">
        <v>74</v>
      </c>
      <c r="BR1007" t="s">
        <v>101</v>
      </c>
      <c r="BS1007" t="s">
        <v>18901</v>
      </c>
      <c r="BT1007" t="str">
        <f>HYPERLINK("https%3A%2F%2Fwww.webofscience.com%2Fwos%2Fwoscc%2Ffull-record%2FWOS:001108272700013","View Full Record in Web of Science")</f>
        <v>View Full Record in Web of Science</v>
      </c>
    </row>
    <row r="1008" spans="1:72" x14ac:dyDescent="0.2">
      <c r="A1008" t="s">
        <v>103</v>
      </c>
      <c r="B1008" t="s">
        <v>18902</v>
      </c>
      <c r="C1008" t="s">
        <v>74</v>
      </c>
      <c r="D1008" t="s">
        <v>74</v>
      </c>
      <c r="E1008" t="s">
        <v>74</v>
      </c>
      <c r="F1008" t="s">
        <v>18903</v>
      </c>
      <c r="G1008" t="s">
        <v>74</v>
      </c>
      <c r="H1008" t="s">
        <v>74</v>
      </c>
      <c r="I1008" t="s">
        <v>18904</v>
      </c>
      <c r="J1008" t="s">
        <v>18905</v>
      </c>
      <c r="K1008" t="s">
        <v>74</v>
      </c>
      <c r="L1008" t="s">
        <v>74</v>
      </c>
      <c r="M1008" t="s">
        <v>79</v>
      </c>
      <c r="N1008" t="s">
        <v>108</v>
      </c>
      <c r="O1008" t="s">
        <v>74</v>
      </c>
      <c r="P1008" t="s">
        <v>74</v>
      </c>
      <c r="Q1008" t="s">
        <v>74</v>
      </c>
      <c r="R1008" t="s">
        <v>74</v>
      </c>
      <c r="S1008" t="s">
        <v>74</v>
      </c>
      <c r="T1008" t="s">
        <v>18906</v>
      </c>
      <c r="U1008" t="s">
        <v>11395</v>
      </c>
      <c r="V1008" t="s">
        <v>18907</v>
      </c>
      <c r="W1008" t="s">
        <v>18908</v>
      </c>
      <c r="X1008" t="s">
        <v>18909</v>
      </c>
      <c r="Y1008" t="s">
        <v>18910</v>
      </c>
      <c r="Z1008" t="s">
        <v>18911</v>
      </c>
      <c r="AA1008" t="s">
        <v>74</v>
      </c>
      <c r="AB1008" t="s">
        <v>18912</v>
      </c>
      <c r="AC1008" t="s">
        <v>18913</v>
      </c>
      <c r="AD1008" t="s">
        <v>18913</v>
      </c>
      <c r="AE1008" t="s">
        <v>18914</v>
      </c>
      <c r="AF1008" t="s">
        <v>74</v>
      </c>
      <c r="AG1008">
        <v>36</v>
      </c>
      <c r="AH1008">
        <v>1</v>
      </c>
      <c r="AI1008">
        <v>1</v>
      </c>
      <c r="AJ1008">
        <v>1</v>
      </c>
      <c r="AK1008">
        <v>1</v>
      </c>
      <c r="AL1008" t="s">
        <v>1379</v>
      </c>
      <c r="AM1008" t="s">
        <v>1380</v>
      </c>
      <c r="AN1008" t="s">
        <v>1381</v>
      </c>
      <c r="AO1008" t="s">
        <v>18915</v>
      </c>
      <c r="AP1008" t="s">
        <v>18916</v>
      </c>
      <c r="AQ1008" t="s">
        <v>74</v>
      </c>
      <c r="AR1008" t="s">
        <v>18917</v>
      </c>
      <c r="AS1008" t="s">
        <v>18918</v>
      </c>
      <c r="AT1008" t="s">
        <v>126</v>
      </c>
      <c r="AU1008">
        <v>2023</v>
      </c>
      <c r="AV1008">
        <v>15</v>
      </c>
      <c r="AW1008">
        <v>1</v>
      </c>
      <c r="AX1008" t="s">
        <v>74</v>
      </c>
      <c r="AY1008" t="s">
        <v>74</v>
      </c>
      <c r="AZ1008" t="s">
        <v>74</v>
      </c>
      <c r="BA1008" t="s">
        <v>74</v>
      </c>
      <c r="BB1008">
        <v>46</v>
      </c>
      <c r="BC1008">
        <v>55</v>
      </c>
      <c r="BD1008" t="s">
        <v>74</v>
      </c>
      <c r="BE1008" t="s">
        <v>18919</v>
      </c>
      <c r="BF1008" t="str">
        <f>HYPERLINK("http://dx.doi.org/10.1109/TG.2022.3170730","http://dx.doi.org/10.1109/TG.2022.3170730")</f>
        <v>http://dx.doi.org/10.1109/TG.2022.3170730</v>
      </c>
      <c r="BG1008" t="s">
        <v>74</v>
      </c>
      <c r="BH1008" t="s">
        <v>74</v>
      </c>
      <c r="BI1008">
        <v>10</v>
      </c>
      <c r="BJ1008" t="s">
        <v>3271</v>
      </c>
      <c r="BK1008" t="s">
        <v>130</v>
      </c>
      <c r="BL1008" t="s">
        <v>99</v>
      </c>
      <c r="BM1008" t="s">
        <v>18920</v>
      </c>
      <c r="BN1008" t="s">
        <v>74</v>
      </c>
      <c r="BO1008" t="s">
        <v>646</v>
      </c>
      <c r="BP1008" t="s">
        <v>74</v>
      </c>
      <c r="BQ1008" t="s">
        <v>74</v>
      </c>
      <c r="BR1008" t="s">
        <v>101</v>
      </c>
      <c r="BS1008" t="s">
        <v>18921</v>
      </c>
      <c r="BT1008" t="str">
        <f>HYPERLINK("https%3A%2F%2Fwww.webofscience.com%2Fwos%2Fwoscc%2Ffull-record%2FWOS:001121975100002","View Full Record in Web of Science")</f>
        <v>View Full Record in Web of Science</v>
      </c>
    </row>
    <row r="1009" spans="1:72" x14ac:dyDescent="0.2">
      <c r="A1009" t="s">
        <v>103</v>
      </c>
      <c r="B1009" t="s">
        <v>18922</v>
      </c>
      <c r="C1009" t="s">
        <v>74</v>
      </c>
      <c r="D1009" t="s">
        <v>74</v>
      </c>
      <c r="E1009" t="s">
        <v>74</v>
      </c>
      <c r="F1009" t="s">
        <v>18923</v>
      </c>
      <c r="G1009" t="s">
        <v>74</v>
      </c>
      <c r="H1009" t="s">
        <v>74</v>
      </c>
      <c r="I1009" t="s">
        <v>18924</v>
      </c>
      <c r="J1009" t="s">
        <v>18925</v>
      </c>
      <c r="K1009" t="s">
        <v>74</v>
      </c>
      <c r="L1009" t="s">
        <v>74</v>
      </c>
      <c r="M1009" t="s">
        <v>79</v>
      </c>
      <c r="N1009" t="s">
        <v>108</v>
      </c>
      <c r="O1009" t="s">
        <v>74</v>
      </c>
      <c r="P1009" t="s">
        <v>74</v>
      </c>
      <c r="Q1009" t="s">
        <v>74</v>
      </c>
      <c r="R1009" t="s">
        <v>74</v>
      </c>
      <c r="S1009" t="s">
        <v>74</v>
      </c>
      <c r="T1009" t="s">
        <v>18926</v>
      </c>
      <c r="U1009" t="s">
        <v>18927</v>
      </c>
      <c r="V1009" t="s">
        <v>18928</v>
      </c>
      <c r="W1009" t="s">
        <v>18929</v>
      </c>
      <c r="X1009" t="s">
        <v>18930</v>
      </c>
      <c r="Y1009" t="s">
        <v>18931</v>
      </c>
      <c r="Z1009" t="s">
        <v>18932</v>
      </c>
      <c r="AA1009" t="s">
        <v>74</v>
      </c>
      <c r="AB1009" t="s">
        <v>18933</v>
      </c>
      <c r="AC1009" t="s">
        <v>18934</v>
      </c>
      <c r="AD1009" t="s">
        <v>18935</v>
      </c>
      <c r="AE1009" t="s">
        <v>18936</v>
      </c>
      <c r="AF1009" t="s">
        <v>74</v>
      </c>
      <c r="AG1009">
        <v>36</v>
      </c>
      <c r="AH1009">
        <v>0</v>
      </c>
      <c r="AI1009">
        <v>0</v>
      </c>
      <c r="AJ1009">
        <v>15</v>
      </c>
      <c r="AK1009">
        <v>17</v>
      </c>
      <c r="AL1009" t="s">
        <v>119</v>
      </c>
      <c r="AM1009" t="s">
        <v>120</v>
      </c>
      <c r="AN1009" t="s">
        <v>121</v>
      </c>
      <c r="AO1009" t="s">
        <v>18937</v>
      </c>
      <c r="AP1009" t="s">
        <v>18938</v>
      </c>
      <c r="AQ1009" t="s">
        <v>74</v>
      </c>
      <c r="AR1009" t="s">
        <v>18939</v>
      </c>
      <c r="AS1009" t="s">
        <v>18940</v>
      </c>
      <c r="AT1009" t="s">
        <v>2497</v>
      </c>
      <c r="AU1009">
        <v>2023</v>
      </c>
      <c r="AV1009">
        <v>232</v>
      </c>
      <c r="AW1009" t="s">
        <v>74</v>
      </c>
      <c r="AX1009" t="s">
        <v>74</v>
      </c>
      <c r="AY1009" t="s">
        <v>74</v>
      </c>
      <c r="AZ1009" t="s">
        <v>74</v>
      </c>
      <c r="BA1009" t="s">
        <v>74</v>
      </c>
      <c r="BB1009" t="s">
        <v>74</v>
      </c>
      <c r="BC1009" t="s">
        <v>74</v>
      </c>
      <c r="BD1009">
        <v>120824</v>
      </c>
      <c r="BE1009" t="s">
        <v>18941</v>
      </c>
      <c r="BF1009" t="str">
        <f>HYPERLINK("http://dx.doi.org/10.1016/j.eswa.2023.120824","http://dx.doi.org/10.1016/j.eswa.2023.120824")</f>
        <v>http://dx.doi.org/10.1016/j.eswa.2023.120824</v>
      </c>
      <c r="BG1009" t="s">
        <v>74</v>
      </c>
      <c r="BH1009" t="s">
        <v>1910</v>
      </c>
      <c r="BI1009">
        <v>14</v>
      </c>
      <c r="BJ1009" t="s">
        <v>18942</v>
      </c>
      <c r="BK1009" t="s">
        <v>130</v>
      </c>
      <c r="BL1009" t="s">
        <v>18943</v>
      </c>
      <c r="BM1009" t="s">
        <v>18944</v>
      </c>
      <c r="BN1009" t="s">
        <v>74</v>
      </c>
      <c r="BO1009" t="s">
        <v>74</v>
      </c>
      <c r="BP1009" t="s">
        <v>74</v>
      </c>
      <c r="BQ1009" t="s">
        <v>74</v>
      </c>
      <c r="BR1009" t="s">
        <v>101</v>
      </c>
      <c r="BS1009" t="s">
        <v>18945</v>
      </c>
      <c r="BT1009" t="str">
        <f>HYPERLINK("https%3A%2F%2Fwww.webofscience.com%2Fwos%2Fwoscc%2Ffull-record%2FWOS:001053740400001","View Full Record in Web of Science")</f>
        <v>View Full Record in Web of Science</v>
      </c>
    </row>
    <row r="1010" spans="1:72" x14ac:dyDescent="0.2">
      <c r="A1010" t="s">
        <v>103</v>
      </c>
      <c r="B1010" t="s">
        <v>18946</v>
      </c>
      <c r="C1010" t="s">
        <v>74</v>
      </c>
      <c r="D1010" t="s">
        <v>74</v>
      </c>
      <c r="E1010" t="s">
        <v>74</v>
      </c>
      <c r="F1010" t="s">
        <v>18947</v>
      </c>
      <c r="G1010" t="s">
        <v>74</v>
      </c>
      <c r="H1010" t="s">
        <v>74</v>
      </c>
      <c r="I1010" t="s">
        <v>18948</v>
      </c>
      <c r="J1010" t="s">
        <v>18949</v>
      </c>
      <c r="K1010" t="s">
        <v>74</v>
      </c>
      <c r="L1010" t="s">
        <v>74</v>
      </c>
      <c r="M1010" t="s">
        <v>79</v>
      </c>
      <c r="N1010" t="s">
        <v>108</v>
      </c>
      <c r="O1010" t="s">
        <v>74</v>
      </c>
      <c r="P1010" t="s">
        <v>74</v>
      </c>
      <c r="Q1010" t="s">
        <v>74</v>
      </c>
      <c r="R1010" t="s">
        <v>74</v>
      </c>
      <c r="S1010" t="s">
        <v>74</v>
      </c>
      <c r="T1010" t="s">
        <v>18950</v>
      </c>
      <c r="U1010" t="s">
        <v>18951</v>
      </c>
      <c r="V1010" t="s">
        <v>18952</v>
      </c>
      <c r="W1010" t="s">
        <v>18953</v>
      </c>
      <c r="X1010" t="s">
        <v>18954</v>
      </c>
      <c r="Y1010" t="s">
        <v>18955</v>
      </c>
      <c r="Z1010" t="s">
        <v>18956</v>
      </c>
      <c r="AA1010" t="s">
        <v>18957</v>
      </c>
      <c r="AB1010" t="s">
        <v>18958</v>
      </c>
      <c r="AC1010" t="s">
        <v>18959</v>
      </c>
      <c r="AD1010" t="s">
        <v>18960</v>
      </c>
      <c r="AE1010" t="s">
        <v>18961</v>
      </c>
      <c r="AF1010" t="s">
        <v>74</v>
      </c>
      <c r="AG1010">
        <v>35</v>
      </c>
      <c r="AH1010">
        <v>1</v>
      </c>
      <c r="AI1010">
        <v>1</v>
      </c>
      <c r="AJ1010">
        <v>0</v>
      </c>
      <c r="AK1010">
        <v>1</v>
      </c>
      <c r="AL1010" t="s">
        <v>18962</v>
      </c>
      <c r="AM1010" t="s">
        <v>6657</v>
      </c>
      <c r="AN1010" t="s">
        <v>18963</v>
      </c>
      <c r="AO1010" t="s">
        <v>18964</v>
      </c>
      <c r="AP1010" t="s">
        <v>18965</v>
      </c>
      <c r="AQ1010" t="s">
        <v>74</v>
      </c>
      <c r="AR1010" t="s">
        <v>18966</v>
      </c>
      <c r="AS1010" t="s">
        <v>18967</v>
      </c>
      <c r="AT1010" t="s">
        <v>791</v>
      </c>
      <c r="AU1010">
        <v>2023</v>
      </c>
      <c r="AV1010">
        <v>24</v>
      </c>
      <c r="AW1010">
        <v>8</v>
      </c>
      <c r="AX1010" t="s">
        <v>74</v>
      </c>
      <c r="AY1010" t="s">
        <v>74</v>
      </c>
      <c r="AZ1010" t="s">
        <v>74</v>
      </c>
      <c r="BA1010" t="s">
        <v>74</v>
      </c>
      <c r="BB1010">
        <v>807</v>
      </c>
      <c r="BC1010">
        <v>820</v>
      </c>
      <c r="BD1010" t="s">
        <v>74</v>
      </c>
      <c r="BE1010" t="s">
        <v>18968</v>
      </c>
      <c r="BF1010" t="str">
        <f>HYPERLINK("http://dx.doi.org/10.3348/kjr.2023.0088","http://dx.doi.org/10.3348/kjr.2023.0088")</f>
        <v>http://dx.doi.org/10.3348/kjr.2023.0088</v>
      </c>
      <c r="BG1010" t="s">
        <v>74</v>
      </c>
      <c r="BH1010" t="s">
        <v>74</v>
      </c>
      <c r="BI1010">
        <v>14</v>
      </c>
      <c r="BJ1010" t="s">
        <v>5360</v>
      </c>
      <c r="BK1010" t="s">
        <v>130</v>
      </c>
      <c r="BL1010" t="s">
        <v>5360</v>
      </c>
      <c r="BM1010" t="s">
        <v>18969</v>
      </c>
      <c r="BN1010">
        <v>37500581</v>
      </c>
      <c r="BO1010" t="s">
        <v>74</v>
      </c>
      <c r="BP1010" t="s">
        <v>74</v>
      </c>
      <c r="BQ1010" t="s">
        <v>74</v>
      </c>
      <c r="BR1010" t="s">
        <v>101</v>
      </c>
      <c r="BS1010" t="s">
        <v>18970</v>
      </c>
      <c r="BT1010" t="str">
        <f>HYPERLINK("https%3A%2F%2Fwww.webofscience.com%2Fwos%2Fwoscc%2Ffull-record%2FWOS:001124224700007","View Full Record in Web of Science")</f>
        <v>View Full Record in Web of Science</v>
      </c>
    </row>
    <row r="1011" spans="1:72" x14ac:dyDescent="0.2">
      <c r="A1011" t="s">
        <v>72</v>
      </c>
      <c r="B1011" t="s">
        <v>18971</v>
      </c>
      <c r="C1011" t="s">
        <v>74</v>
      </c>
      <c r="D1011" t="s">
        <v>18972</v>
      </c>
      <c r="E1011" t="s">
        <v>74</v>
      </c>
      <c r="F1011" t="s">
        <v>18973</v>
      </c>
      <c r="G1011" t="s">
        <v>74</v>
      </c>
      <c r="H1011" t="s">
        <v>74</v>
      </c>
      <c r="I1011" t="s">
        <v>18974</v>
      </c>
      <c r="J1011" t="s">
        <v>18975</v>
      </c>
      <c r="K1011" t="s">
        <v>74</v>
      </c>
      <c r="L1011" t="s">
        <v>74</v>
      </c>
      <c r="M1011" t="s">
        <v>79</v>
      </c>
      <c r="N1011" t="s">
        <v>80</v>
      </c>
      <c r="O1011" t="s">
        <v>18976</v>
      </c>
      <c r="P1011" t="s">
        <v>18977</v>
      </c>
      <c r="Q1011" t="s">
        <v>18978</v>
      </c>
      <c r="R1011" t="s">
        <v>18979</v>
      </c>
      <c r="S1011" t="s">
        <v>74</v>
      </c>
      <c r="T1011" t="s">
        <v>18980</v>
      </c>
      <c r="U1011" t="s">
        <v>74</v>
      </c>
      <c r="V1011" t="s">
        <v>18981</v>
      </c>
      <c r="W1011" t="s">
        <v>18982</v>
      </c>
      <c r="X1011" t="s">
        <v>74</v>
      </c>
      <c r="Y1011" t="s">
        <v>18983</v>
      </c>
      <c r="Z1011" t="s">
        <v>18984</v>
      </c>
      <c r="AA1011" t="s">
        <v>74</v>
      </c>
      <c r="AB1011" t="s">
        <v>74</v>
      </c>
      <c r="AC1011" t="s">
        <v>74</v>
      </c>
      <c r="AD1011" t="s">
        <v>74</v>
      </c>
      <c r="AE1011" t="s">
        <v>74</v>
      </c>
      <c r="AF1011" t="s">
        <v>74</v>
      </c>
      <c r="AG1011">
        <v>2</v>
      </c>
      <c r="AH1011">
        <v>0</v>
      </c>
      <c r="AI1011">
        <v>0</v>
      </c>
      <c r="AJ1011">
        <v>10</v>
      </c>
      <c r="AK1011">
        <v>11</v>
      </c>
      <c r="AL1011" t="s">
        <v>92</v>
      </c>
      <c r="AM1011" t="s">
        <v>93</v>
      </c>
      <c r="AN1011" t="s">
        <v>94</v>
      </c>
      <c r="AO1011" t="s">
        <v>74</v>
      </c>
      <c r="AP1011" t="s">
        <v>74</v>
      </c>
      <c r="AQ1011" t="s">
        <v>18985</v>
      </c>
      <c r="AR1011" t="s">
        <v>74</v>
      </c>
      <c r="AS1011" t="s">
        <v>74</v>
      </c>
      <c r="AT1011" t="s">
        <v>74</v>
      </c>
      <c r="AU1011">
        <v>2023</v>
      </c>
      <c r="AV1011" t="s">
        <v>74</v>
      </c>
      <c r="AW1011" t="s">
        <v>74</v>
      </c>
      <c r="AX1011" t="s">
        <v>74</v>
      </c>
      <c r="AY1011" t="s">
        <v>74</v>
      </c>
      <c r="AZ1011" t="s">
        <v>74</v>
      </c>
      <c r="BA1011" t="s">
        <v>74</v>
      </c>
      <c r="BB1011">
        <v>674</v>
      </c>
      <c r="BC1011">
        <v>675</v>
      </c>
      <c r="BD1011" t="s">
        <v>74</v>
      </c>
      <c r="BE1011" t="s">
        <v>18986</v>
      </c>
      <c r="BF1011" t="str">
        <f>HYPERLINK("http://dx.doi.org/10.1145/3598469.3598554","http://dx.doi.org/10.1145/3598469.3598554")</f>
        <v>http://dx.doi.org/10.1145/3598469.3598554</v>
      </c>
      <c r="BG1011" t="s">
        <v>74</v>
      </c>
      <c r="BH1011" t="s">
        <v>74</v>
      </c>
      <c r="BI1011">
        <v>2</v>
      </c>
      <c r="BJ1011" t="s">
        <v>18987</v>
      </c>
      <c r="BK1011" t="s">
        <v>180</v>
      </c>
      <c r="BL1011" t="s">
        <v>18988</v>
      </c>
      <c r="BM1011" t="s">
        <v>18989</v>
      </c>
      <c r="BN1011" t="s">
        <v>74</v>
      </c>
      <c r="BO1011" t="s">
        <v>74</v>
      </c>
      <c r="BP1011" t="s">
        <v>74</v>
      </c>
      <c r="BQ1011" t="s">
        <v>74</v>
      </c>
      <c r="BR1011" t="s">
        <v>101</v>
      </c>
      <c r="BS1011" t="s">
        <v>18990</v>
      </c>
      <c r="BT1011" t="str">
        <f>HYPERLINK("https%3A%2F%2Fwww.webofscience.com%2Fwos%2Fwoscc%2Ffull-record%2FWOS:001048270700084","View Full Record in Web of Science")</f>
        <v>View Full Record in Web of Science</v>
      </c>
    </row>
    <row r="1012" spans="1:72" x14ac:dyDescent="0.2">
      <c r="A1012" t="s">
        <v>103</v>
      </c>
      <c r="B1012" t="s">
        <v>18991</v>
      </c>
      <c r="C1012" t="s">
        <v>74</v>
      </c>
      <c r="D1012" t="s">
        <v>74</v>
      </c>
      <c r="E1012" t="s">
        <v>74</v>
      </c>
      <c r="F1012" t="s">
        <v>18992</v>
      </c>
      <c r="G1012" t="s">
        <v>74</v>
      </c>
      <c r="H1012" t="s">
        <v>74</v>
      </c>
      <c r="I1012" t="s">
        <v>18993</v>
      </c>
      <c r="J1012" t="s">
        <v>3527</v>
      </c>
      <c r="K1012" t="s">
        <v>74</v>
      </c>
      <c r="L1012" t="s">
        <v>74</v>
      </c>
      <c r="M1012" t="s">
        <v>79</v>
      </c>
      <c r="N1012" t="s">
        <v>108</v>
      </c>
      <c r="O1012" t="s">
        <v>74</v>
      </c>
      <c r="P1012" t="s">
        <v>74</v>
      </c>
      <c r="Q1012" t="s">
        <v>74</v>
      </c>
      <c r="R1012" t="s">
        <v>74</v>
      </c>
      <c r="S1012" t="s">
        <v>74</v>
      </c>
      <c r="T1012" t="s">
        <v>18994</v>
      </c>
      <c r="U1012" t="s">
        <v>18995</v>
      </c>
      <c r="V1012" t="s">
        <v>18996</v>
      </c>
      <c r="W1012" t="s">
        <v>18997</v>
      </c>
      <c r="X1012" t="s">
        <v>18998</v>
      </c>
      <c r="Y1012" t="s">
        <v>18999</v>
      </c>
      <c r="Z1012" t="s">
        <v>19000</v>
      </c>
      <c r="AA1012" t="s">
        <v>74</v>
      </c>
      <c r="AB1012" t="s">
        <v>74</v>
      </c>
      <c r="AC1012" t="s">
        <v>74</v>
      </c>
      <c r="AD1012" t="s">
        <v>74</v>
      </c>
      <c r="AE1012" t="s">
        <v>74</v>
      </c>
      <c r="AF1012" t="s">
        <v>74</v>
      </c>
      <c r="AG1012">
        <v>47</v>
      </c>
      <c r="AH1012">
        <v>0</v>
      </c>
      <c r="AI1012">
        <v>0</v>
      </c>
      <c r="AJ1012">
        <v>23</v>
      </c>
      <c r="AK1012">
        <v>23</v>
      </c>
      <c r="AL1012" t="s">
        <v>3537</v>
      </c>
      <c r="AM1012" t="s">
        <v>3538</v>
      </c>
      <c r="AN1012" t="s">
        <v>3539</v>
      </c>
      <c r="AO1012" t="s">
        <v>3540</v>
      </c>
      <c r="AP1012" t="s">
        <v>74</v>
      </c>
      <c r="AQ1012" t="s">
        <v>74</v>
      </c>
      <c r="AR1012" t="s">
        <v>3541</v>
      </c>
      <c r="AS1012" t="s">
        <v>3542</v>
      </c>
      <c r="AT1012" t="s">
        <v>74</v>
      </c>
      <c r="AU1012">
        <v>2023</v>
      </c>
      <c r="AV1012">
        <v>20</v>
      </c>
      <c r="AW1012">
        <v>7</v>
      </c>
      <c r="AX1012" t="s">
        <v>74</v>
      </c>
      <c r="AY1012" t="s">
        <v>74</v>
      </c>
      <c r="AZ1012" t="s">
        <v>74</v>
      </c>
      <c r="BA1012" t="s">
        <v>74</v>
      </c>
      <c r="BB1012" t="s">
        <v>74</v>
      </c>
      <c r="BC1012" t="s">
        <v>74</v>
      </c>
      <c r="BD1012">
        <v>1</v>
      </c>
      <c r="BE1012" t="s">
        <v>19001</v>
      </c>
      <c r="BF1012" t="str">
        <f>HYPERLINK("http://dx.doi.org/10.53761/1.20.7.01","http://dx.doi.org/10.53761/1.20.7.01")</f>
        <v>http://dx.doi.org/10.53761/1.20.7.01</v>
      </c>
      <c r="BG1012" t="s">
        <v>74</v>
      </c>
      <c r="BH1012" t="s">
        <v>74</v>
      </c>
      <c r="BI1012">
        <v>14</v>
      </c>
      <c r="BJ1012" t="s">
        <v>423</v>
      </c>
      <c r="BK1012" t="s">
        <v>352</v>
      </c>
      <c r="BL1012" t="s">
        <v>423</v>
      </c>
      <c r="BM1012" t="s">
        <v>3544</v>
      </c>
      <c r="BN1012" t="s">
        <v>74</v>
      </c>
      <c r="BO1012" t="s">
        <v>1071</v>
      </c>
      <c r="BP1012" t="s">
        <v>74</v>
      </c>
      <c r="BQ1012" t="s">
        <v>74</v>
      </c>
      <c r="BR1012" t="s">
        <v>101</v>
      </c>
      <c r="BS1012" t="s">
        <v>19002</v>
      </c>
      <c r="BT1012" t="str">
        <f>HYPERLINK("https%3A%2F%2Fwww.webofscience.com%2Fwos%2Fwoscc%2Ffull-record%2FWOS:001103781300009","View Full Record in Web of Science")</f>
        <v>View Full Record in Web of Science</v>
      </c>
    </row>
    <row r="1013" spans="1:72" x14ac:dyDescent="0.2">
      <c r="A1013" t="s">
        <v>103</v>
      </c>
      <c r="B1013" t="s">
        <v>19003</v>
      </c>
      <c r="C1013" t="s">
        <v>74</v>
      </c>
      <c r="D1013" t="s">
        <v>74</v>
      </c>
      <c r="E1013" t="s">
        <v>74</v>
      </c>
      <c r="F1013" t="s">
        <v>19004</v>
      </c>
      <c r="G1013" t="s">
        <v>74</v>
      </c>
      <c r="H1013" t="s">
        <v>74</v>
      </c>
      <c r="I1013" t="s">
        <v>19005</v>
      </c>
      <c r="J1013" t="s">
        <v>19006</v>
      </c>
      <c r="K1013" t="s">
        <v>74</v>
      </c>
      <c r="L1013" t="s">
        <v>74</v>
      </c>
      <c r="M1013" t="s">
        <v>79</v>
      </c>
      <c r="N1013" t="s">
        <v>108</v>
      </c>
      <c r="O1013" t="s">
        <v>74</v>
      </c>
      <c r="P1013" t="s">
        <v>74</v>
      </c>
      <c r="Q1013" t="s">
        <v>74</v>
      </c>
      <c r="R1013" t="s">
        <v>74</v>
      </c>
      <c r="S1013" t="s">
        <v>74</v>
      </c>
      <c r="T1013" t="s">
        <v>19007</v>
      </c>
      <c r="U1013" t="s">
        <v>74</v>
      </c>
      <c r="V1013" t="s">
        <v>19008</v>
      </c>
      <c r="W1013" t="s">
        <v>19009</v>
      </c>
      <c r="X1013" t="s">
        <v>19010</v>
      </c>
      <c r="Y1013" t="s">
        <v>19011</v>
      </c>
      <c r="Z1013" t="s">
        <v>14680</v>
      </c>
      <c r="AA1013" t="s">
        <v>74</v>
      </c>
      <c r="AB1013" t="s">
        <v>19012</v>
      </c>
      <c r="AC1013" t="s">
        <v>74</v>
      </c>
      <c r="AD1013" t="s">
        <v>74</v>
      </c>
      <c r="AE1013" t="s">
        <v>74</v>
      </c>
      <c r="AF1013" t="s">
        <v>74</v>
      </c>
      <c r="AG1013">
        <v>7</v>
      </c>
      <c r="AH1013">
        <v>22</v>
      </c>
      <c r="AI1013">
        <v>22</v>
      </c>
      <c r="AJ1013">
        <v>43</v>
      </c>
      <c r="AK1013">
        <v>83</v>
      </c>
      <c r="AL1013" t="s">
        <v>270</v>
      </c>
      <c r="AM1013" t="s">
        <v>120</v>
      </c>
      <c r="AN1013" t="s">
        <v>271</v>
      </c>
      <c r="AO1013" t="s">
        <v>19013</v>
      </c>
      <c r="AP1013" t="s">
        <v>19014</v>
      </c>
      <c r="AQ1013" t="s">
        <v>74</v>
      </c>
      <c r="AR1013" t="s">
        <v>19006</v>
      </c>
      <c r="AS1013" t="s">
        <v>19015</v>
      </c>
      <c r="AT1013" t="s">
        <v>615</v>
      </c>
      <c r="AU1013">
        <v>2023</v>
      </c>
      <c r="AV1013">
        <v>29</v>
      </c>
      <c r="AW1013">
        <v>4</v>
      </c>
      <c r="AX1013" t="s">
        <v>74</v>
      </c>
      <c r="AY1013" t="s">
        <v>74</v>
      </c>
      <c r="AZ1013" t="s">
        <v>74</v>
      </c>
      <c r="BA1013" t="s">
        <v>74</v>
      </c>
      <c r="BB1013">
        <v>792</v>
      </c>
      <c r="BC1013">
        <v>799</v>
      </c>
      <c r="BD1013" t="s">
        <v>74</v>
      </c>
      <c r="BE1013" t="s">
        <v>19016</v>
      </c>
      <c r="BF1013" t="str">
        <f>HYPERLINK("http://dx.doi.org/10.1016/j.radi.2023.05.011","http://dx.doi.org/10.1016/j.radi.2023.05.011")</f>
        <v>http://dx.doi.org/10.1016/j.radi.2023.05.011</v>
      </c>
      <c r="BG1013" t="s">
        <v>74</v>
      </c>
      <c r="BH1013" t="s">
        <v>1910</v>
      </c>
      <c r="BI1013">
        <v>8</v>
      </c>
      <c r="BJ1013" t="s">
        <v>5360</v>
      </c>
      <c r="BK1013" t="s">
        <v>352</v>
      </c>
      <c r="BL1013" t="s">
        <v>5360</v>
      </c>
      <c r="BM1013" t="s">
        <v>19017</v>
      </c>
      <c r="BN1013">
        <v>37271011</v>
      </c>
      <c r="BO1013" t="s">
        <v>74</v>
      </c>
      <c r="BP1013" t="s">
        <v>74</v>
      </c>
      <c r="BQ1013" t="s">
        <v>74</v>
      </c>
      <c r="BR1013" t="s">
        <v>101</v>
      </c>
      <c r="BS1013" t="s">
        <v>19018</v>
      </c>
      <c r="BT1013" t="str">
        <f>HYPERLINK("https%3A%2F%2Fwww.webofscience.com%2Fwos%2Fwoscc%2Ffull-record%2FWOS:001014589600001","View Full Record in Web of Science")</f>
        <v>View Full Record in Web of Science</v>
      </c>
    </row>
    <row r="1014" spans="1:72" x14ac:dyDescent="0.2">
      <c r="A1014" t="s">
        <v>103</v>
      </c>
      <c r="B1014" t="s">
        <v>19019</v>
      </c>
      <c r="C1014" t="s">
        <v>74</v>
      </c>
      <c r="D1014" t="s">
        <v>74</v>
      </c>
      <c r="E1014" t="s">
        <v>74</v>
      </c>
      <c r="F1014" t="s">
        <v>19020</v>
      </c>
      <c r="G1014" t="s">
        <v>74</v>
      </c>
      <c r="H1014" t="s">
        <v>74</v>
      </c>
      <c r="I1014" t="s">
        <v>19021</v>
      </c>
      <c r="J1014" t="s">
        <v>7445</v>
      </c>
      <c r="K1014" t="s">
        <v>74</v>
      </c>
      <c r="L1014" t="s">
        <v>74</v>
      </c>
      <c r="M1014" t="s">
        <v>79</v>
      </c>
      <c r="N1014" t="s">
        <v>108</v>
      </c>
      <c r="O1014" t="s">
        <v>74</v>
      </c>
      <c r="P1014" t="s">
        <v>74</v>
      </c>
      <c r="Q1014" t="s">
        <v>74</v>
      </c>
      <c r="R1014" t="s">
        <v>74</v>
      </c>
      <c r="S1014" t="s">
        <v>74</v>
      </c>
      <c r="T1014" t="s">
        <v>74</v>
      </c>
      <c r="U1014" t="s">
        <v>74</v>
      </c>
      <c r="V1014" t="s">
        <v>74</v>
      </c>
      <c r="W1014" t="s">
        <v>19022</v>
      </c>
      <c r="X1014" t="s">
        <v>19023</v>
      </c>
      <c r="Y1014" t="s">
        <v>19024</v>
      </c>
      <c r="Z1014" t="s">
        <v>74</v>
      </c>
      <c r="AA1014" t="s">
        <v>74</v>
      </c>
      <c r="AB1014" t="s">
        <v>74</v>
      </c>
      <c r="AC1014" t="s">
        <v>74</v>
      </c>
      <c r="AD1014" t="s">
        <v>74</v>
      </c>
      <c r="AE1014" t="s">
        <v>74</v>
      </c>
      <c r="AF1014" t="s">
        <v>74</v>
      </c>
      <c r="AG1014">
        <v>0</v>
      </c>
      <c r="AH1014">
        <v>0</v>
      </c>
      <c r="AI1014">
        <v>0</v>
      </c>
      <c r="AJ1014">
        <v>13</v>
      </c>
      <c r="AK1014">
        <v>13</v>
      </c>
      <c r="AL1014" t="s">
        <v>7449</v>
      </c>
      <c r="AM1014" t="s">
        <v>7450</v>
      </c>
      <c r="AN1014" t="s">
        <v>7451</v>
      </c>
      <c r="AO1014" t="s">
        <v>7452</v>
      </c>
      <c r="AP1014" t="s">
        <v>74</v>
      </c>
      <c r="AQ1014" t="s">
        <v>74</v>
      </c>
      <c r="AR1014" t="s">
        <v>7453</v>
      </c>
      <c r="AS1014" t="s">
        <v>7454</v>
      </c>
      <c r="AT1014" t="s">
        <v>12115</v>
      </c>
      <c r="AU1014">
        <v>2023</v>
      </c>
      <c r="AV1014">
        <v>101</v>
      </c>
      <c r="AW1014" t="s">
        <v>19025</v>
      </c>
      <c r="AX1014" t="s">
        <v>74</v>
      </c>
      <c r="AY1014" t="s">
        <v>74</v>
      </c>
      <c r="AZ1014" t="s">
        <v>74</v>
      </c>
      <c r="BA1014" t="s">
        <v>74</v>
      </c>
      <c r="BB1014">
        <v>42</v>
      </c>
      <c r="BC1014" t="s">
        <v>8886</v>
      </c>
      <c r="BD1014" t="s">
        <v>74</v>
      </c>
      <c r="BE1014" t="s">
        <v>74</v>
      </c>
      <c r="BF1014" t="s">
        <v>74</v>
      </c>
      <c r="BG1014" t="s">
        <v>74</v>
      </c>
      <c r="BH1014" t="s">
        <v>74</v>
      </c>
      <c r="BI1014">
        <v>8</v>
      </c>
      <c r="BJ1014" t="s">
        <v>7045</v>
      </c>
      <c r="BK1014" t="s">
        <v>159</v>
      </c>
      <c r="BL1014" t="s">
        <v>470</v>
      </c>
      <c r="BM1014" t="s">
        <v>19026</v>
      </c>
      <c r="BN1014" t="s">
        <v>74</v>
      </c>
      <c r="BO1014" t="s">
        <v>74</v>
      </c>
      <c r="BP1014" t="s">
        <v>74</v>
      </c>
      <c r="BQ1014" t="s">
        <v>74</v>
      </c>
      <c r="BR1014" t="s">
        <v>101</v>
      </c>
      <c r="BS1014" t="s">
        <v>19027</v>
      </c>
      <c r="BT1014" t="str">
        <f>HYPERLINK("https%3A%2F%2Fwww.webofscience.com%2Fwos%2Fwoscc%2Ffull-record%2FWOS:001085108200016","View Full Record in Web of Science")</f>
        <v>View Full Record in Web of Science</v>
      </c>
    </row>
    <row r="1015" spans="1:72" x14ac:dyDescent="0.2">
      <c r="A1015" t="s">
        <v>103</v>
      </c>
      <c r="B1015" t="s">
        <v>19028</v>
      </c>
      <c r="C1015" t="s">
        <v>74</v>
      </c>
      <c r="D1015" t="s">
        <v>74</v>
      </c>
      <c r="E1015" t="s">
        <v>74</v>
      </c>
      <c r="F1015" t="s">
        <v>19029</v>
      </c>
      <c r="G1015" t="s">
        <v>74</v>
      </c>
      <c r="H1015" t="s">
        <v>74</v>
      </c>
      <c r="I1015" t="s">
        <v>19030</v>
      </c>
      <c r="J1015" t="s">
        <v>19031</v>
      </c>
      <c r="K1015" t="s">
        <v>74</v>
      </c>
      <c r="L1015" t="s">
        <v>74</v>
      </c>
      <c r="M1015" t="s">
        <v>79</v>
      </c>
      <c r="N1015" t="s">
        <v>108</v>
      </c>
      <c r="O1015" t="s">
        <v>74</v>
      </c>
      <c r="P1015" t="s">
        <v>74</v>
      </c>
      <c r="Q1015" t="s">
        <v>74</v>
      </c>
      <c r="R1015" t="s">
        <v>74</v>
      </c>
      <c r="S1015" t="s">
        <v>74</v>
      </c>
      <c r="T1015" t="s">
        <v>19032</v>
      </c>
      <c r="U1015" t="s">
        <v>74</v>
      </c>
      <c r="V1015" t="s">
        <v>19033</v>
      </c>
      <c r="W1015" t="s">
        <v>19034</v>
      </c>
      <c r="X1015" t="s">
        <v>19035</v>
      </c>
      <c r="Y1015" t="s">
        <v>19036</v>
      </c>
      <c r="Z1015" t="s">
        <v>19037</v>
      </c>
      <c r="AA1015" t="s">
        <v>19038</v>
      </c>
      <c r="AB1015" t="s">
        <v>19039</v>
      </c>
      <c r="AC1015" t="s">
        <v>19040</v>
      </c>
      <c r="AD1015" t="s">
        <v>19040</v>
      </c>
      <c r="AE1015" t="s">
        <v>3401</v>
      </c>
      <c r="AF1015" t="s">
        <v>74</v>
      </c>
      <c r="AG1015">
        <v>22</v>
      </c>
      <c r="AH1015">
        <v>0</v>
      </c>
      <c r="AI1015">
        <v>0</v>
      </c>
      <c r="AJ1015">
        <v>2</v>
      </c>
      <c r="AK1015">
        <v>2</v>
      </c>
      <c r="AL1015" t="s">
        <v>939</v>
      </c>
      <c r="AM1015" t="s">
        <v>940</v>
      </c>
      <c r="AN1015" t="s">
        <v>941</v>
      </c>
      <c r="AO1015" t="s">
        <v>74</v>
      </c>
      <c r="AP1015" t="s">
        <v>19041</v>
      </c>
      <c r="AQ1015" t="s">
        <v>74</v>
      </c>
      <c r="AR1015" t="s">
        <v>19031</v>
      </c>
      <c r="AS1015" t="s">
        <v>19042</v>
      </c>
      <c r="AT1015" t="s">
        <v>527</v>
      </c>
      <c r="AU1015">
        <v>2023</v>
      </c>
      <c r="AV1015">
        <v>10</v>
      </c>
      <c r="AW1015">
        <v>4</v>
      </c>
      <c r="AX1015" t="s">
        <v>74</v>
      </c>
      <c r="AY1015" t="s">
        <v>74</v>
      </c>
      <c r="AZ1015" t="s">
        <v>74</v>
      </c>
      <c r="BA1015" t="s">
        <v>74</v>
      </c>
      <c r="BB1015" t="s">
        <v>74</v>
      </c>
      <c r="BC1015" t="s">
        <v>74</v>
      </c>
      <c r="BD1015">
        <v>81</v>
      </c>
      <c r="BE1015" t="s">
        <v>19043</v>
      </c>
      <c r="BF1015" t="str">
        <f>HYPERLINK("http://dx.doi.org/10.3390/informatics10040081","http://dx.doi.org/10.3390/informatics10040081")</f>
        <v>http://dx.doi.org/10.3390/informatics10040081</v>
      </c>
      <c r="BG1015" t="s">
        <v>74</v>
      </c>
      <c r="BH1015" t="s">
        <v>74</v>
      </c>
      <c r="BI1015">
        <v>21</v>
      </c>
      <c r="BJ1015" t="s">
        <v>351</v>
      </c>
      <c r="BK1015" t="s">
        <v>352</v>
      </c>
      <c r="BL1015" t="s">
        <v>99</v>
      </c>
      <c r="BM1015" t="s">
        <v>19044</v>
      </c>
      <c r="BN1015" t="s">
        <v>74</v>
      </c>
      <c r="BO1015" t="s">
        <v>1071</v>
      </c>
      <c r="BP1015" t="s">
        <v>74</v>
      </c>
      <c r="BQ1015" t="s">
        <v>74</v>
      </c>
      <c r="BR1015" t="s">
        <v>101</v>
      </c>
      <c r="BS1015" t="s">
        <v>19045</v>
      </c>
      <c r="BT1015" t="str">
        <f>HYPERLINK("https%3A%2F%2Fwww.webofscience.com%2Fwos%2Fwoscc%2Ffull-record%2FWOS:001130992000001","View Full Record in Web of Science")</f>
        <v>View Full Record in Web of Science</v>
      </c>
    </row>
    <row r="1016" spans="1:72" x14ac:dyDescent="0.2">
      <c r="A1016" t="s">
        <v>103</v>
      </c>
      <c r="B1016" t="s">
        <v>19046</v>
      </c>
      <c r="C1016" t="s">
        <v>74</v>
      </c>
      <c r="D1016" t="s">
        <v>74</v>
      </c>
      <c r="E1016" t="s">
        <v>74</v>
      </c>
      <c r="F1016" t="s">
        <v>19047</v>
      </c>
      <c r="G1016" t="s">
        <v>74</v>
      </c>
      <c r="H1016" t="s">
        <v>74</v>
      </c>
      <c r="I1016" t="s">
        <v>19048</v>
      </c>
      <c r="J1016" t="s">
        <v>19049</v>
      </c>
      <c r="K1016" t="s">
        <v>74</v>
      </c>
      <c r="L1016" t="s">
        <v>74</v>
      </c>
      <c r="M1016" t="s">
        <v>79</v>
      </c>
      <c r="N1016" t="s">
        <v>108</v>
      </c>
      <c r="O1016" t="s">
        <v>74</v>
      </c>
      <c r="P1016" t="s">
        <v>74</v>
      </c>
      <c r="Q1016" t="s">
        <v>74</v>
      </c>
      <c r="R1016" t="s">
        <v>74</v>
      </c>
      <c r="S1016" t="s">
        <v>74</v>
      </c>
      <c r="T1016" t="s">
        <v>19050</v>
      </c>
      <c r="U1016" t="s">
        <v>74</v>
      </c>
      <c r="V1016" t="s">
        <v>19051</v>
      </c>
      <c r="W1016" t="s">
        <v>19052</v>
      </c>
      <c r="X1016" t="s">
        <v>19053</v>
      </c>
      <c r="Y1016" t="s">
        <v>19054</v>
      </c>
      <c r="Z1016" t="s">
        <v>19055</v>
      </c>
      <c r="AA1016" t="s">
        <v>19056</v>
      </c>
      <c r="AB1016" t="s">
        <v>19057</v>
      </c>
      <c r="AC1016" t="s">
        <v>19058</v>
      </c>
      <c r="AD1016" t="s">
        <v>19059</v>
      </c>
      <c r="AE1016" t="s">
        <v>19060</v>
      </c>
      <c r="AF1016" t="s">
        <v>74</v>
      </c>
      <c r="AG1016">
        <v>17</v>
      </c>
      <c r="AH1016">
        <v>13</v>
      </c>
      <c r="AI1016">
        <v>13</v>
      </c>
      <c r="AJ1016">
        <v>85</v>
      </c>
      <c r="AK1016">
        <v>105</v>
      </c>
      <c r="AL1016" t="s">
        <v>270</v>
      </c>
      <c r="AM1016" t="s">
        <v>120</v>
      </c>
      <c r="AN1016" t="s">
        <v>271</v>
      </c>
      <c r="AO1016" t="s">
        <v>19061</v>
      </c>
      <c r="AP1016" t="s">
        <v>19062</v>
      </c>
      <c r="AQ1016" t="s">
        <v>74</v>
      </c>
      <c r="AR1016" t="s">
        <v>19063</v>
      </c>
      <c r="AS1016" t="s">
        <v>19064</v>
      </c>
      <c r="AT1016" t="s">
        <v>615</v>
      </c>
      <c r="AU1016">
        <v>2023</v>
      </c>
      <c r="AV1016">
        <v>47</v>
      </c>
      <c r="AW1016">
        <v>1</v>
      </c>
      <c r="AX1016" t="s">
        <v>74</v>
      </c>
      <c r="AY1016" t="s">
        <v>74</v>
      </c>
      <c r="AZ1016" t="s">
        <v>74</v>
      </c>
      <c r="BA1016" t="s">
        <v>74</v>
      </c>
      <c r="BB1016">
        <v>3</v>
      </c>
      <c r="BC1016">
        <v>9</v>
      </c>
      <c r="BD1016" t="s">
        <v>74</v>
      </c>
      <c r="BE1016" t="s">
        <v>19065</v>
      </c>
      <c r="BF1016" t="str">
        <f>HYPERLINK("http://dx.doi.org/10.1016/j.rbmo.2023.04.009","http://dx.doi.org/10.1016/j.rbmo.2023.04.009")</f>
        <v>http://dx.doi.org/10.1016/j.rbmo.2023.04.009</v>
      </c>
      <c r="BG1016" t="s">
        <v>74</v>
      </c>
      <c r="BH1016" t="s">
        <v>1910</v>
      </c>
      <c r="BI1016">
        <v>7</v>
      </c>
      <c r="BJ1016" t="s">
        <v>7739</v>
      </c>
      <c r="BK1016" t="s">
        <v>130</v>
      </c>
      <c r="BL1016" t="s">
        <v>7739</v>
      </c>
      <c r="BM1016" t="s">
        <v>19066</v>
      </c>
      <c r="BN1016">
        <v>37142479</v>
      </c>
      <c r="BO1016" t="s">
        <v>74</v>
      </c>
      <c r="BP1016" t="s">
        <v>74</v>
      </c>
      <c r="BQ1016" t="s">
        <v>74</v>
      </c>
      <c r="BR1016" t="s">
        <v>101</v>
      </c>
      <c r="BS1016" t="s">
        <v>19067</v>
      </c>
      <c r="BT1016" t="str">
        <f>HYPERLINK("https%3A%2F%2Fwww.webofscience.com%2Fwos%2Fwoscc%2Ffull-record%2FWOS:001032726300001","View Full Record in Web of Science")</f>
        <v>View Full Record in Web of Science</v>
      </c>
    </row>
    <row r="1017" spans="1:72" x14ac:dyDescent="0.2">
      <c r="A1017" t="s">
        <v>103</v>
      </c>
      <c r="B1017" t="s">
        <v>19068</v>
      </c>
      <c r="C1017" t="s">
        <v>74</v>
      </c>
      <c r="D1017" t="s">
        <v>74</v>
      </c>
      <c r="E1017" t="s">
        <v>74</v>
      </c>
      <c r="F1017" t="s">
        <v>19069</v>
      </c>
      <c r="G1017" t="s">
        <v>74</v>
      </c>
      <c r="H1017" t="s">
        <v>74</v>
      </c>
      <c r="I1017" t="s">
        <v>19070</v>
      </c>
      <c r="J1017" t="s">
        <v>19071</v>
      </c>
      <c r="K1017" t="s">
        <v>74</v>
      </c>
      <c r="L1017" t="s">
        <v>74</v>
      </c>
      <c r="M1017" t="s">
        <v>79</v>
      </c>
      <c r="N1017" t="s">
        <v>108</v>
      </c>
      <c r="O1017" t="s">
        <v>74</v>
      </c>
      <c r="P1017" t="s">
        <v>74</v>
      </c>
      <c r="Q1017" t="s">
        <v>74</v>
      </c>
      <c r="R1017" t="s">
        <v>74</v>
      </c>
      <c r="S1017" t="s">
        <v>74</v>
      </c>
      <c r="T1017" t="s">
        <v>74</v>
      </c>
      <c r="U1017" t="s">
        <v>19072</v>
      </c>
      <c r="V1017" t="s">
        <v>19073</v>
      </c>
      <c r="W1017" t="s">
        <v>19074</v>
      </c>
      <c r="X1017" t="s">
        <v>19075</v>
      </c>
      <c r="Y1017" t="s">
        <v>19076</v>
      </c>
      <c r="Z1017" t="s">
        <v>19077</v>
      </c>
      <c r="AA1017" t="s">
        <v>19078</v>
      </c>
      <c r="AB1017" t="s">
        <v>19079</v>
      </c>
      <c r="AC1017" t="s">
        <v>74</v>
      </c>
      <c r="AD1017" t="s">
        <v>74</v>
      </c>
      <c r="AE1017" t="s">
        <v>74</v>
      </c>
      <c r="AF1017" t="s">
        <v>74</v>
      </c>
      <c r="AG1017">
        <v>62</v>
      </c>
      <c r="AH1017">
        <v>0</v>
      </c>
      <c r="AI1017">
        <v>0</v>
      </c>
      <c r="AJ1017">
        <v>0</v>
      </c>
      <c r="AK1017">
        <v>0</v>
      </c>
      <c r="AL1017" t="s">
        <v>13201</v>
      </c>
      <c r="AM1017" t="s">
        <v>221</v>
      </c>
      <c r="AN1017" t="s">
        <v>13202</v>
      </c>
      <c r="AO1017" t="s">
        <v>19080</v>
      </c>
      <c r="AP1017" t="s">
        <v>74</v>
      </c>
      <c r="AQ1017" t="s">
        <v>74</v>
      </c>
      <c r="AR1017" t="s">
        <v>19081</v>
      </c>
      <c r="AS1017" t="s">
        <v>19082</v>
      </c>
      <c r="AT1017" t="s">
        <v>74</v>
      </c>
      <c r="AU1017">
        <v>2023</v>
      </c>
      <c r="AV1017">
        <v>7</v>
      </c>
      <c r="AW1017" t="s">
        <v>74</v>
      </c>
      <c r="AX1017" t="s">
        <v>74</v>
      </c>
      <c r="AY1017" t="s">
        <v>74</v>
      </c>
      <c r="AZ1017" t="s">
        <v>74</v>
      </c>
      <c r="BA1017" t="s">
        <v>74</v>
      </c>
      <c r="BB1017" t="s">
        <v>74</v>
      </c>
      <c r="BC1017" t="s">
        <v>74</v>
      </c>
      <c r="BD1017" t="s">
        <v>19083</v>
      </c>
      <c r="BE1017" t="s">
        <v>19084</v>
      </c>
      <c r="BF1017" t="str">
        <f>HYPERLINK("http://dx.doi.org/10.1200/CCI.23.00136","http://dx.doi.org/10.1200/CCI.23.00136")</f>
        <v>http://dx.doi.org/10.1200/CCI.23.00136</v>
      </c>
      <c r="BG1017" t="s">
        <v>74</v>
      </c>
      <c r="BH1017" t="s">
        <v>74</v>
      </c>
      <c r="BI1017">
        <v>9</v>
      </c>
      <c r="BJ1017" t="s">
        <v>6050</v>
      </c>
      <c r="BK1017" t="s">
        <v>352</v>
      </c>
      <c r="BL1017" t="s">
        <v>6050</v>
      </c>
      <c r="BM1017" t="s">
        <v>19085</v>
      </c>
      <c r="BN1017">
        <v>38055914</v>
      </c>
      <c r="BO1017" t="s">
        <v>161</v>
      </c>
      <c r="BP1017" t="s">
        <v>74</v>
      </c>
      <c r="BQ1017" t="s">
        <v>74</v>
      </c>
      <c r="BR1017" t="s">
        <v>101</v>
      </c>
      <c r="BS1017" t="s">
        <v>19086</v>
      </c>
      <c r="BT1017" t="str">
        <f>HYPERLINK("https%3A%2F%2Fwww.webofscience.com%2Fwos%2Fwoscc%2Ffull-record%2FWOS:001133302300122","View Full Record in Web of Science")</f>
        <v>View Full Record in Web of Science</v>
      </c>
    </row>
    <row r="1018" spans="1:72" x14ac:dyDescent="0.2">
      <c r="A1018" t="s">
        <v>103</v>
      </c>
      <c r="B1018" t="s">
        <v>19087</v>
      </c>
      <c r="C1018" t="s">
        <v>74</v>
      </c>
      <c r="D1018" t="s">
        <v>74</v>
      </c>
      <c r="E1018" t="s">
        <v>74</v>
      </c>
      <c r="F1018" t="s">
        <v>19088</v>
      </c>
      <c r="G1018" t="s">
        <v>74</v>
      </c>
      <c r="H1018" t="s">
        <v>74</v>
      </c>
      <c r="I1018" t="s">
        <v>19089</v>
      </c>
      <c r="J1018" t="s">
        <v>19090</v>
      </c>
      <c r="K1018" t="s">
        <v>74</v>
      </c>
      <c r="L1018" t="s">
        <v>74</v>
      </c>
      <c r="M1018" t="s">
        <v>79</v>
      </c>
      <c r="N1018" t="s">
        <v>108</v>
      </c>
      <c r="O1018" t="s">
        <v>74</v>
      </c>
      <c r="P1018" t="s">
        <v>74</v>
      </c>
      <c r="Q1018" t="s">
        <v>74</v>
      </c>
      <c r="R1018" t="s">
        <v>74</v>
      </c>
      <c r="S1018" t="s">
        <v>74</v>
      </c>
      <c r="T1018" t="s">
        <v>19091</v>
      </c>
      <c r="U1018" t="s">
        <v>74</v>
      </c>
      <c r="V1018" t="s">
        <v>19092</v>
      </c>
      <c r="W1018" t="s">
        <v>19093</v>
      </c>
      <c r="X1018" t="s">
        <v>74</v>
      </c>
      <c r="Y1018" t="s">
        <v>19094</v>
      </c>
      <c r="Z1018" t="s">
        <v>19095</v>
      </c>
      <c r="AA1018" t="s">
        <v>74</v>
      </c>
      <c r="AB1018" t="s">
        <v>74</v>
      </c>
      <c r="AC1018" t="s">
        <v>74</v>
      </c>
      <c r="AD1018" t="s">
        <v>74</v>
      </c>
      <c r="AE1018" t="s">
        <v>74</v>
      </c>
      <c r="AF1018" t="s">
        <v>74</v>
      </c>
      <c r="AG1018">
        <v>67</v>
      </c>
      <c r="AH1018">
        <v>0</v>
      </c>
      <c r="AI1018">
        <v>0</v>
      </c>
      <c r="AJ1018">
        <v>0</v>
      </c>
      <c r="AK1018">
        <v>0</v>
      </c>
      <c r="AL1018" t="s">
        <v>19096</v>
      </c>
      <c r="AM1018" t="s">
        <v>19097</v>
      </c>
      <c r="AN1018" t="s">
        <v>19098</v>
      </c>
      <c r="AO1018" t="s">
        <v>19099</v>
      </c>
      <c r="AP1018" t="s">
        <v>74</v>
      </c>
      <c r="AQ1018" t="s">
        <v>74</v>
      </c>
      <c r="AR1018" t="s">
        <v>19100</v>
      </c>
      <c r="AS1018" t="s">
        <v>19101</v>
      </c>
      <c r="AT1018" t="s">
        <v>19102</v>
      </c>
      <c r="AU1018">
        <v>2023</v>
      </c>
      <c r="AV1018">
        <v>15</v>
      </c>
      <c r="AW1018">
        <v>39</v>
      </c>
      <c r="AX1018" t="s">
        <v>74</v>
      </c>
      <c r="AY1018" t="s">
        <v>74</v>
      </c>
      <c r="AZ1018" t="s">
        <v>74</v>
      </c>
      <c r="BA1018" t="s">
        <v>74</v>
      </c>
      <c r="BB1018">
        <v>491</v>
      </c>
      <c r="BC1018">
        <v>516</v>
      </c>
      <c r="BD1018" t="s">
        <v>74</v>
      </c>
      <c r="BE1018" t="s">
        <v>19103</v>
      </c>
      <c r="BF1018" t="str">
        <f>HYPERLINK("http://dx.doi.org/10.58422/repesq.2023.e1521","http://dx.doi.org/10.58422/repesq.2023.e1521")</f>
        <v>http://dx.doi.org/10.58422/repesq.2023.e1521</v>
      </c>
      <c r="BG1018" t="s">
        <v>74</v>
      </c>
      <c r="BH1018" t="s">
        <v>74</v>
      </c>
      <c r="BI1018">
        <v>26</v>
      </c>
      <c r="BJ1018" t="s">
        <v>423</v>
      </c>
      <c r="BK1018" t="s">
        <v>352</v>
      </c>
      <c r="BL1018" t="s">
        <v>423</v>
      </c>
      <c r="BM1018" t="s">
        <v>19104</v>
      </c>
      <c r="BN1018" t="s">
        <v>74</v>
      </c>
      <c r="BO1018" t="s">
        <v>74</v>
      </c>
      <c r="BP1018" t="s">
        <v>74</v>
      </c>
      <c r="BQ1018" t="s">
        <v>74</v>
      </c>
      <c r="BR1018" t="s">
        <v>101</v>
      </c>
      <c r="BS1018" t="s">
        <v>19105</v>
      </c>
      <c r="BT1018" t="str">
        <f>HYPERLINK("https%3A%2F%2Fwww.webofscience.com%2Fwos%2Fwoscc%2Ffull-record%2FWOS:001129882400008","View Full Record in Web of Science")</f>
        <v>View Full Record in Web of Science</v>
      </c>
    </row>
    <row r="1019" spans="1:72" x14ac:dyDescent="0.2">
      <c r="A1019" t="s">
        <v>72</v>
      </c>
      <c r="B1019" t="s">
        <v>19106</v>
      </c>
      <c r="C1019" t="s">
        <v>74</v>
      </c>
      <c r="D1019" t="s">
        <v>1030</v>
      </c>
      <c r="E1019" t="s">
        <v>74</v>
      </c>
      <c r="F1019" t="s">
        <v>19107</v>
      </c>
      <c r="G1019" t="s">
        <v>74</v>
      </c>
      <c r="H1019" t="s">
        <v>74</v>
      </c>
      <c r="I1019" t="s">
        <v>19108</v>
      </c>
      <c r="J1019" t="s">
        <v>1033</v>
      </c>
      <c r="K1019" t="s">
        <v>1034</v>
      </c>
      <c r="L1019" t="s">
        <v>74</v>
      </c>
      <c r="M1019" t="s">
        <v>79</v>
      </c>
      <c r="N1019" t="s">
        <v>80</v>
      </c>
      <c r="O1019" t="s">
        <v>1035</v>
      </c>
      <c r="P1019" t="s">
        <v>1036</v>
      </c>
      <c r="Q1019" t="s">
        <v>1037</v>
      </c>
      <c r="R1019" t="s">
        <v>1038</v>
      </c>
      <c r="S1019" t="s">
        <v>74</v>
      </c>
      <c r="T1019" t="s">
        <v>19109</v>
      </c>
      <c r="U1019" t="s">
        <v>74</v>
      </c>
      <c r="V1019" t="s">
        <v>19110</v>
      </c>
      <c r="W1019" t="s">
        <v>19111</v>
      </c>
      <c r="X1019" t="s">
        <v>6975</v>
      </c>
      <c r="Y1019" t="s">
        <v>19112</v>
      </c>
      <c r="Z1019" t="s">
        <v>19113</v>
      </c>
      <c r="AA1019" t="s">
        <v>19114</v>
      </c>
      <c r="AB1019" t="s">
        <v>19115</v>
      </c>
      <c r="AC1019" t="s">
        <v>19116</v>
      </c>
      <c r="AD1019" t="s">
        <v>19117</v>
      </c>
      <c r="AE1019" t="s">
        <v>19118</v>
      </c>
      <c r="AF1019" t="s">
        <v>74</v>
      </c>
      <c r="AG1019">
        <v>37</v>
      </c>
      <c r="AH1019">
        <v>0</v>
      </c>
      <c r="AI1019">
        <v>0</v>
      </c>
      <c r="AJ1019">
        <v>0</v>
      </c>
      <c r="AK1019">
        <v>0</v>
      </c>
      <c r="AL1019" t="s">
        <v>325</v>
      </c>
      <c r="AM1019" t="s">
        <v>245</v>
      </c>
      <c r="AN1019" t="s">
        <v>246</v>
      </c>
      <c r="AO1019" t="s">
        <v>1042</v>
      </c>
      <c r="AP1019" t="s">
        <v>327</v>
      </c>
      <c r="AQ1019" t="s">
        <v>1043</v>
      </c>
      <c r="AR1019" t="s">
        <v>1044</v>
      </c>
      <c r="AS1019" t="s">
        <v>74</v>
      </c>
      <c r="AT1019" t="s">
        <v>74</v>
      </c>
      <c r="AU1019">
        <v>2023</v>
      </c>
      <c r="AV1019">
        <v>14175</v>
      </c>
      <c r="AW1019" t="s">
        <v>74</v>
      </c>
      <c r="AX1019" t="s">
        <v>74</v>
      </c>
      <c r="AY1019" t="s">
        <v>74</v>
      </c>
      <c r="AZ1019" t="s">
        <v>74</v>
      </c>
      <c r="BA1019" t="s">
        <v>74</v>
      </c>
      <c r="BB1019">
        <v>260</v>
      </c>
      <c r="BC1019">
        <v>275</v>
      </c>
      <c r="BD1019" t="s">
        <v>74</v>
      </c>
      <c r="BE1019" t="s">
        <v>19119</v>
      </c>
      <c r="BF1019" t="str">
        <f>HYPERLINK("http://dx.doi.org/10.1007/978-3-031-43430-3_16","http://dx.doi.org/10.1007/978-3-031-43430-3_16")</f>
        <v>http://dx.doi.org/10.1007/978-3-031-43430-3_16</v>
      </c>
      <c r="BG1019" t="s">
        <v>74</v>
      </c>
      <c r="BH1019" t="s">
        <v>74</v>
      </c>
      <c r="BI1019">
        <v>16</v>
      </c>
      <c r="BJ1019" t="s">
        <v>331</v>
      </c>
      <c r="BK1019" t="s">
        <v>98</v>
      </c>
      <c r="BL1019" t="s">
        <v>99</v>
      </c>
      <c r="BM1019" t="s">
        <v>1045</v>
      </c>
      <c r="BN1019" t="s">
        <v>74</v>
      </c>
      <c r="BO1019" t="s">
        <v>74</v>
      </c>
      <c r="BP1019" t="s">
        <v>74</v>
      </c>
      <c r="BQ1019" t="s">
        <v>74</v>
      </c>
      <c r="BR1019" t="s">
        <v>101</v>
      </c>
      <c r="BS1019" t="s">
        <v>19120</v>
      </c>
      <c r="BT1019" t="str">
        <f>HYPERLINK("https%3A%2F%2Fwww.webofscience.com%2Fwos%2Fwoscc%2Ffull-record%2FWOS:001156145400019","View Full Record in Web of Science")</f>
        <v>View Full Record in Web of Science</v>
      </c>
    </row>
    <row r="1020" spans="1:72" x14ac:dyDescent="0.2">
      <c r="A1020" t="s">
        <v>103</v>
      </c>
      <c r="B1020" t="s">
        <v>19121</v>
      </c>
      <c r="C1020" t="s">
        <v>74</v>
      </c>
      <c r="D1020" t="s">
        <v>74</v>
      </c>
      <c r="E1020" t="s">
        <v>74</v>
      </c>
      <c r="F1020" t="s">
        <v>19122</v>
      </c>
      <c r="G1020" t="s">
        <v>74</v>
      </c>
      <c r="H1020" t="s">
        <v>74</v>
      </c>
      <c r="I1020" t="s">
        <v>19123</v>
      </c>
      <c r="J1020" t="s">
        <v>4523</v>
      </c>
      <c r="K1020" t="s">
        <v>74</v>
      </c>
      <c r="L1020" t="s">
        <v>74</v>
      </c>
      <c r="M1020" t="s">
        <v>79</v>
      </c>
      <c r="N1020" t="s">
        <v>108</v>
      </c>
      <c r="O1020" t="s">
        <v>74</v>
      </c>
      <c r="P1020" t="s">
        <v>74</v>
      </c>
      <c r="Q1020" t="s">
        <v>74</v>
      </c>
      <c r="R1020" t="s">
        <v>74</v>
      </c>
      <c r="S1020" t="s">
        <v>74</v>
      </c>
      <c r="T1020" t="s">
        <v>74</v>
      </c>
      <c r="U1020" t="s">
        <v>19124</v>
      </c>
      <c r="V1020" t="s">
        <v>19125</v>
      </c>
      <c r="W1020" t="s">
        <v>19126</v>
      </c>
      <c r="X1020" t="s">
        <v>19127</v>
      </c>
      <c r="Y1020" t="s">
        <v>19128</v>
      </c>
      <c r="Z1020" t="s">
        <v>19129</v>
      </c>
      <c r="AA1020" t="s">
        <v>19130</v>
      </c>
      <c r="AB1020" t="s">
        <v>19131</v>
      </c>
      <c r="AC1020" t="s">
        <v>19132</v>
      </c>
      <c r="AD1020" t="s">
        <v>19133</v>
      </c>
      <c r="AE1020" t="s">
        <v>19134</v>
      </c>
      <c r="AF1020" t="s">
        <v>74</v>
      </c>
      <c r="AG1020">
        <v>308</v>
      </c>
      <c r="AH1020">
        <v>0</v>
      </c>
      <c r="AI1020">
        <v>0</v>
      </c>
      <c r="AJ1020">
        <v>7</v>
      </c>
      <c r="AK1020">
        <v>7</v>
      </c>
      <c r="AL1020" t="s">
        <v>4533</v>
      </c>
      <c r="AM1020" t="s">
        <v>4534</v>
      </c>
      <c r="AN1020" t="s">
        <v>4535</v>
      </c>
      <c r="AO1020" t="s">
        <v>4536</v>
      </c>
      <c r="AP1020" t="s">
        <v>74</v>
      </c>
      <c r="AQ1020" t="s">
        <v>74</v>
      </c>
      <c r="AR1020" t="s">
        <v>4537</v>
      </c>
      <c r="AS1020" t="s">
        <v>4538</v>
      </c>
      <c r="AT1020" t="s">
        <v>74</v>
      </c>
      <c r="AU1020">
        <v>2023</v>
      </c>
      <c r="AV1020">
        <v>12</v>
      </c>
      <c r="AW1020">
        <v>1</v>
      </c>
      <c r="AX1020" t="s">
        <v>74</v>
      </c>
      <c r="AY1020" t="s">
        <v>74</v>
      </c>
      <c r="AZ1020" t="s">
        <v>74</v>
      </c>
      <c r="BA1020" t="s">
        <v>74</v>
      </c>
      <c r="BB1020" t="s">
        <v>74</v>
      </c>
      <c r="BC1020" t="s">
        <v>74</v>
      </c>
      <c r="BD1020" t="s">
        <v>74</v>
      </c>
      <c r="BE1020" t="s">
        <v>19135</v>
      </c>
      <c r="BF1020" t="str">
        <f>HYPERLINK("http://dx.doi.org/10.1561/116.00000138","http://dx.doi.org/10.1561/116.00000138")</f>
        <v>http://dx.doi.org/10.1561/116.00000138</v>
      </c>
      <c r="BG1020" t="s">
        <v>74</v>
      </c>
      <c r="BH1020" t="s">
        <v>74</v>
      </c>
      <c r="BI1020">
        <v>62</v>
      </c>
      <c r="BJ1020" t="s">
        <v>2822</v>
      </c>
      <c r="BK1020" t="s">
        <v>352</v>
      </c>
      <c r="BL1020" t="s">
        <v>2823</v>
      </c>
      <c r="BM1020" t="s">
        <v>19136</v>
      </c>
      <c r="BN1020" t="s">
        <v>74</v>
      </c>
      <c r="BO1020" t="s">
        <v>1711</v>
      </c>
      <c r="BP1020" t="s">
        <v>74</v>
      </c>
      <c r="BQ1020" t="s">
        <v>74</v>
      </c>
      <c r="BR1020" t="s">
        <v>101</v>
      </c>
      <c r="BS1020" t="s">
        <v>19137</v>
      </c>
      <c r="BT1020" t="str">
        <f>HYPERLINK("https%3A%2F%2Fwww.webofscience.com%2Fwos%2Fwoscc%2Ffull-record%2FWOS:001099533000001","View Full Record in Web of Science")</f>
        <v>View Full Record in Web of Science</v>
      </c>
    </row>
    <row r="1021" spans="1:72" x14ac:dyDescent="0.2">
      <c r="A1021" t="s">
        <v>103</v>
      </c>
      <c r="B1021" t="s">
        <v>19138</v>
      </c>
      <c r="C1021" t="s">
        <v>74</v>
      </c>
      <c r="D1021" t="s">
        <v>74</v>
      </c>
      <c r="E1021" t="s">
        <v>74</v>
      </c>
      <c r="F1021" t="s">
        <v>19139</v>
      </c>
      <c r="G1021" t="s">
        <v>74</v>
      </c>
      <c r="H1021" t="s">
        <v>74</v>
      </c>
      <c r="I1021" t="s">
        <v>19140</v>
      </c>
      <c r="J1021" t="s">
        <v>19141</v>
      </c>
      <c r="K1021" t="s">
        <v>74</v>
      </c>
      <c r="L1021" t="s">
        <v>74</v>
      </c>
      <c r="M1021" t="s">
        <v>79</v>
      </c>
      <c r="N1021" t="s">
        <v>108</v>
      </c>
      <c r="O1021" t="s">
        <v>74</v>
      </c>
      <c r="P1021" t="s">
        <v>74</v>
      </c>
      <c r="Q1021" t="s">
        <v>74</v>
      </c>
      <c r="R1021" t="s">
        <v>74</v>
      </c>
      <c r="S1021" t="s">
        <v>74</v>
      </c>
      <c r="T1021" t="s">
        <v>19142</v>
      </c>
      <c r="U1021" t="s">
        <v>19143</v>
      </c>
      <c r="V1021" t="s">
        <v>19144</v>
      </c>
      <c r="W1021" t="s">
        <v>19145</v>
      </c>
      <c r="X1021" t="s">
        <v>19146</v>
      </c>
      <c r="Y1021" t="s">
        <v>19147</v>
      </c>
      <c r="Z1021" t="s">
        <v>19148</v>
      </c>
      <c r="AA1021" t="s">
        <v>74</v>
      </c>
      <c r="AB1021" t="s">
        <v>74</v>
      </c>
      <c r="AC1021" t="s">
        <v>19149</v>
      </c>
      <c r="AD1021" t="s">
        <v>19150</v>
      </c>
      <c r="AE1021" t="s">
        <v>19151</v>
      </c>
      <c r="AF1021" t="s">
        <v>74</v>
      </c>
      <c r="AG1021">
        <v>70</v>
      </c>
      <c r="AH1021">
        <v>0</v>
      </c>
      <c r="AI1021">
        <v>0</v>
      </c>
      <c r="AJ1021">
        <v>10</v>
      </c>
      <c r="AK1021">
        <v>13</v>
      </c>
      <c r="AL1021" t="s">
        <v>19152</v>
      </c>
      <c r="AM1021" t="s">
        <v>5012</v>
      </c>
      <c r="AN1021" t="s">
        <v>19153</v>
      </c>
      <c r="AO1021" t="s">
        <v>19154</v>
      </c>
      <c r="AP1021" t="s">
        <v>19155</v>
      </c>
      <c r="AQ1021" t="s">
        <v>74</v>
      </c>
      <c r="AR1021" t="s">
        <v>19156</v>
      </c>
      <c r="AS1021" t="s">
        <v>19157</v>
      </c>
      <c r="AT1021" t="s">
        <v>15398</v>
      </c>
      <c r="AU1021">
        <v>2023</v>
      </c>
      <c r="AV1021">
        <v>37</v>
      </c>
      <c r="AW1021">
        <v>7</v>
      </c>
      <c r="AX1021" t="s">
        <v>74</v>
      </c>
      <c r="AY1021" t="s">
        <v>74</v>
      </c>
      <c r="AZ1021" t="s">
        <v>74</v>
      </c>
      <c r="BA1021" t="s">
        <v>74</v>
      </c>
      <c r="BB1021" t="s">
        <v>74</v>
      </c>
      <c r="BC1021" t="s">
        <v>74</v>
      </c>
      <c r="BD1021" t="s">
        <v>74</v>
      </c>
      <c r="BE1021" t="s">
        <v>19158</v>
      </c>
      <c r="BF1021" t="str">
        <f>HYPERLINK("http://dx.doi.org/10.1142/S0218001423590127","http://dx.doi.org/10.1142/S0218001423590127")</f>
        <v>http://dx.doi.org/10.1142/S0218001423590127</v>
      </c>
      <c r="BG1021" t="s">
        <v>74</v>
      </c>
      <c r="BH1021" t="s">
        <v>793</v>
      </c>
      <c r="BI1021">
        <v>42</v>
      </c>
      <c r="BJ1021" t="s">
        <v>304</v>
      </c>
      <c r="BK1021" t="s">
        <v>130</v>
      </c>
      <c r="BL1021" t="s">
        <v>99</v>
      </c>
      <c r="BM1021" t="s">
        <v>19159</v>
      </c>
      <c r="BN1021" t="s">
        <v>74</v>
      </c>
      <c r="BO1021" t="s">
        <v>74</v>
      </c>
      <c r="BP1021" t="s">
        <v>74</v>
      </c>
      <c r="BQ1021" t="s">
        <v>74</v>
      </c>
      <c r="BR1021" t="s">
        <v>101</v>
      </c>
      <c r="BS1021" t="s">
        <v>19160</v>
      </c>
      <c r="BT1021" t="str">
        <f>HYPERLINK("https%3A%2F%2Fwww.webofscience.com%2Fwos%2Fwoscc%2Ffull-record%2FWOS:000980466100003","View Full Record in Web of Science")</f>
        <v>View Full Record in Web of Science</v>
      </c>
    </row>
    <row r="1022" spans="1:72" x14ac:dyDescent="0.2">
      <c r="A1022" t="s">
        <v>103</v>
      </c>
      <c r="B1022" t="s">
        <v>19161</v>
      </c>
      <c r="C1022" t="s">
        <v>74</v>
      </c>
      <c r="D1022" t="s">
        <v>74</v>
      </c>
      <c r="E1022" t="s">
        <v>74</v>
      </c>
      <c r="F1022" t="s">
        <v>19162</v>
      </c>
      <c r="G1022" t="s">
        <v>74</v>
      </c>
      <c r="H1022" t="s">
        <v>74</v>
      </c>
      <c r="I1022" t="s">
        <v>19163</v>
      </c>
      <c r="J1022" t="s">
        <v>19164</v>
      </c>
      <c r="K1022" t="s">
        <v>74</v>
      </c>
      <c r="L1022" t="s">
        <v>74</v>
      </c>
      <c r="M1022" t="s">
        <v>79</v>
      </c>
      <c r="N1022" t="s">
        <v>138</v>
      </c>
      <c r="O1022" t="s">
        <v>74</v>
      </c>
      <c r="P1022" t="s">
        <v>74</v>
      </c>
      <c r="Q1022" t="s">
        <v>74</v>
      </c>
      <c r="R1022" t="s">
        <v>74</v>
      </c>
      <c r="S1022" t="s">
        <v>74</v>
      </c>
      <c r="T1022" t="s">
        <v>74</v>
      </c>
      <c r="U1022" t="s">
        <v>74</v>
      </c>
      <c r="V1022" t="s">
        <v>19165</v>
      </c>
      <c r="W1022" t="s">
        <v>19166</v>
      </c>
      <c r="X1022" t="s">
        <v>19167</v>
      </c>
      <c r="Y1022" t="s">
        <v>19168</v>
      </c>
      <c r="Z1022" t="s">
        <v>19169</v>
      </c>
      <c r="AA1022" t="s">
        <v>19170</v>
      </c>
      <c r="AB1022" t="s">
        <v>19171</v>
      </c>
      <c r="AC1022" t="s">
        <v>19172</v>
      </c>
      <c r="AD1022" t="s">
        <v>19172</v>
      </c>
      <c r="AE1022" t="s">
        <v>19172</v>
      </c>
      <c r="AF1022" t="s">
        <v>74</v>
      </c>
      <c r="AG1022">
        <v>22</v>
      </c>
      <c r="AH1022">
        <v>7</v>
      </c>
      <c r="AI1022">
        <v>7</v>
      </c>
      <c r="AJ1022">
        <v>94</v>
      </c>
      <c r="AK1022">
        <v>98</v>
      </c>
      <c r="AL1022" t="s">
        <v>3202</v>
      </c>
      <c r="AM1022" t="s">
        <v>120</v>
      </c>
      <c r="AN1022" t="s">
        <v>3203</v>
      </c>
      <c r="AO1022" t="s">
        <v>19173</v>
      </c>
      <c r="AP1022" t="s">
        <v>19174</v>
      </c>
      <c r="AQ1022" t="s">
        <v>74</v>
      </c>
      <c r="AR1022" t="s">
        <v>19175</v>
      </c>
      <c r="AS1022" t="s">
        <v>19176</v>
      </c>
      <c r="AT1022" t="s">
        <v>7947</v>
      </c>
      <c r="AU1022">
        <v>2023</v>
      </c>
      <c r="AV1022" t="s">
        <v>74</v>
      </c>
      <c r="AW1022" t="s">
        <v>74</v>
      </c>
      <c r="AX1022" t="s">
        <v>74</v>
      </c>
      <c r="AY1022" t="s">
        <v>74</v>
      </c>
      <c r="AZ1022" t="s">
        <v>74</v>
      </c>
      <c r="BA1022" t="s">
        <v>74</v>
      </c>
      <c r="BB1022" t="s">
        <v>74</v>
      </c>
      <c r="BC1022" t="s">
        <v>74</v>
      </c>
      <c r="BD1022" t="s">
        <v>74</v>
      </c>
      <c r="BE1022" t="s">
        <v>19177</v>
      </c>
      <c r="BF1022" t="str">
        <f>HYPERLINK("http://dx.doi.org/10.1093/ced/llad255","http://dx.doi.org/10.1093/ced/llad255")</f>
        <v>http://dx.doi.org/10.1093/ced/llad255</v>
      </c>
      <c r="BG1022" t="s">
        <v>74</v>
      </c>
      <c r="BH1022" t="s">
        <v>255</v>
      </c>
      <c r="BI1022">
        <v>6</v>
      </c>
      <c r="BJ1022" t="s">
        <v>13950</v>
      </c>
      <c r="BK1022" t="s">
        <v>130</v>
      </c>
      <c r="BL1022" t="s">
        <v>13950</v>
      </c>
      <c r="BM1022" t="s">
        <v>19178</v>
      </c>
      <c r="BN1022">
        <v>37540015</v>
      </c>
      <c r="BO1022" t="s">
        <v>74</v>
      </c>
      <c r="BP1022" t="s">
        <v>74</v>
      </c>
      <c r="BQ1022" t="s">
        <v>74</v>
      </c>
      <c r="BR1022" t="s">
        <v>101</v>
      </c>
      <c r="BS1022" t="s">
        <v>19179</v>
      </c>
      <c r="BT1022" t="str">
        <f>HYPERLINK("https%3A%2F%2Fwww.webofscience.com%2Fwos%2Fwoscc%2Ffull-record%2FWOS:001066785500001","View Full Record in Web of Science")</f>
        <v>View Full Record in Web of Science</v>
      </c>
    </row>
    <row r="1023" spans="1:72" x14ac:dyDescent="0.2">
      <c r="A1023" t="s">
        <v>103</v>
      </c>
      <c r="B1023" t="s">
        <v>19180</v>
      </c>
      <c r="C1023" t="s">
        <v>74</v>
      </c>
      <c r="D1023" t="s">
        <v>74</v>
      </c>
      <c r="E1023" t="s">
        <v>74</v>
      </c>
      <c r="F1023" t="s">
        <v>19181</v>
      </c>
      <c r="G1023" t="s">
        <v>74</v>
      </c>
      <c r="H1023" t="s">
        <v>74</v>
      </c>
      <c r="I1023" t="s">
        <v>19182</v>
      </c>
      <c r="J1023" t="s">
        <v>705</v>
      </c>
      <c r="K1023" t="s">
        <v>74</v>
      </c>
      <c r="L1023" t="s">
        <v>74</v>
      </c>
      <c r="M1023" t="s">
        <v>79</v>
      </c>
      <c r="N1023" t="s">
        <v>138</v>
      </c>
      <c r="O1023" t="s">
        <v>74</v>
      </c>
      <c r="P1023" t="s">
        <v>74</v>
      </c>
      <c r="Q1023" t="s">
        <v>74</v>
      </c>
      <c r="R1023" t="s">
        <v>74</v>
      </c>
      <c r="S1023" t="s">
        <v>74</v>
      </c>
      <c r="T1023" t="s">
        <v>19183</v>
      </c>
      <c r="U1023" t="s">
        <v>74</v>
      </c>
      <c r="V1023" t="s">
        <v>19184</v>
      </c>
      <c r="W1023" t="s">
        <v>19185</v>
      </c>
      <c r="X1023" t="s">
        <v>19186</v>
      </c>
      <c r="Y1023" t="s">
        <v>19187</v>
      </c>
      <c r="Z1023" t="s">
        <v>19188</v>
      </c>
      <c r="AA1023" t="s">
        <v>74</v>
      </c>
      <c r="AB1023" t="s">
        <v>74</v>
      </c>
      <c r="AC1023" t="s">
        <v>19189</v>
      </c>
      <c r="AD1023" t="s">
        <v>19190</v>
      </c>
      <c r="AE1023" t="s">
        <v>19191</v>
      </c>
      <c r="AF1023" t="s">
        <v>74</v>
      </c>
      <c r="AG1023">
        <v>94</v>
      </c>
      <c r="AH1023">
        <v>1</v>
      </c>
      <c r="AI1023">
        <v>1</v>
      </c>
      <c r="AJ1023">
        <v>0</v>
      </c>
      <c r="AK1023">
        <v>0</v>
      </c>
      <c r="AL1023" t="s">
        <v>343</v>
      </c>
      <c r="AM1023" t="s">
        <v>93</v>
      </c>
      <c r="AN1023" t="s">
        <v>344</v>
      </c>
      <c r="AO1023" t="s">
        <v>714</v>
      </c>
      <c r="AP1023" t="s">
        <v>715</v>
      </c>
      <c r="AQ1023" t="s">
        <v>74</v>
      </c>
      <c r="AR1023" t="s">
        <v>716</v>
      </c>
      <c r="AS1023" t="s">
        <v>717</v>
      </c>
      <c r="AT1023" t="s">
        <v>19192</v>
      </c>
      <c r="AU1023">
        <v>2023</v>
      </c>
      <c r="AV1023" t="s">
        <v>74</v>
      </c>
      <c r="AW1023" t="s">
        <v>74</v>
      </c>
      <c r="AX1023" t="s">
        <v>74</v>
      </c>
      <c r="AY1023" t="s">
        <v>74</v>
      </c>
      <c r="AZ1023" t="s">
        <v>74</v>
      </c>
      <c r="BA1023" t="s">
        <v>74</v>
      </c>
      <c r="BB1023" t="s">
        <v>74</v>
      </c>
      <c r="BC1023" t="s">
        <v>74</v>
      </c>
      <c r="BD1023" t="s">
        <v>74</v>
      </c>
      <c r="BE1023" t="s">
        <v>19193</v>
      </c>
      <c r="BF1023" t="str">
        <f>HYPERLINK("http://dx.doi.org/10.1007/s10639-023-12256-9","http://dx.doi.org/10.1007/s10639-023-12256-9")</f>
        <v>http://dx.doi.org/10.1007/s10639-023-12256-9</v>
      </c>
      <c r="BG1023" t="s">
        <v>74</v>
      </c>
      <c r="BH1023" t="s">
        <v>1886</v>
      </c>
      <c r="BI1023">
        <v>34</v>
      </c>
      <c r="BJ1023" t="s">
        <v>423</v>
      </c>
      <c r="BK1023" t="s">
        <v>159</v>
      </c>
      <c r="BL1023" t="s">
        <v>423</v>
      </c>
      <c r="BM1023" t="s">
        <v>19194</v>
      </c>
      <c r="BN1023" t="s">
        <v>74</v>
      </c>
      <c r="BO1023" t="s">
        <v>646</v>
      </c>
      <c r="BP1023" t="s">
        <v>74</v>
      </c>
      <c r="BQ1023" t="s">
        <v>74</v>
      </c>
      <c r="BR1023" t="s">
        <v>101</v>
      </c>
      <c r="BS1023" t="s">
        <v>19195</v>
      </c>
      <c r="BT1023" t="str">
        <f>HYPERLINK("https%3A%2F%2Fwww.webofscience.com%2Fwos%2Fwoscc%2Ffull-record%2FWOS:001183546500001","View Full Record in Web of Science")</f>
        <v>View Full Record in Web of Science</v>
      </c>
    </row>
    <row r="1024" spans="1:72" x14ac:dyDescent="0.2">
      <c r="A1024" t="s">
        <v>72</v>
      </c>
      <c r="B1024" t="s">
        <v>19196</v>
      </c>
      <c r="C1024" t="s">
        <v>74</v>
      </c>
      <c r="D1024" t="s">
        <v>74</v>
      </c>
      <c r="E1024" t="s">
        <v>284</v>
      </c>
      <c r="F1024" t="s">
        <v>19197</v>
      </c>
      <c r="G1024" t="s">
        <v>74</v>
      </c>
      <c r="H1024" t="s">
        <v>74</v>
      </c>
      <c r="I1024" t="s">
        <v>19198</v>
      </c>
      <c r="J1024" t="s">
        <v>10100</v>
      </c>
      <c r="K1024" t="s">
        <v>8246</v>
      </c>
      <c r="L1024" t="s">
        <v>74</v>
      </c>
      <c r="M1024" t="s">
        <v>79</v>
      </c>
      <c r="N1024" t="s">
        <v>80</v>
      </c>
      <c r="O1024" t="s">
        <v>8247</v>
      </c>
      <c r="P1024" t="s">
        <v>8248</v>
      </c>
      <c r="Q1024" t="s">
        <v>6017</v>
      </c>
      <c r="R1024" t="s">
        <v>8249</v>
      </c>
      <c r="S1024" t="s">
        <v>74</v>
      </c>
      <c r="T1024" t="s">
        <v>74</v>
      </c>
      <c r="U1024" t="s">
        <v>74</v>
      </c>
      <c r="V1024" t="s">
        <v>19199</v>
      </c>
      <c r="W1024" t="s">
        <v>19200</v>
      </c>
      <c r="X1024" t="s">
        <v>19201</v>
      </c>
      <c r="Y1024" t="s">
        <v>19202</v>
      </c>
      <c r="Z1024" t="s">
        <v>74</v>
      </c>
      <c r="AA1024" t="s">
        <v>74</v>
      </c>
      <c r="AB1024" t="s">
        <v>74</v>
      </c>
      <c r="AC1024" t="s">
        <v>19203</v>
      </c>
      <c r="AD1024" t="s">
        <v>19204</v>
      </c>
      <c r="AE1024" t="s">
        <v>19205</v>
      </c>
      <c r="AF1024" t="s">
        <v>74</v>
      </c>
      <c r="AG1024">
        <v>51</v>
      </c>
      <c r="AH1024">
        <v>7</v>
      </c>
      <c r="AI1024">
        <v>7</v>
      </c>
      <c r="AJ1024">
        <v>5</v>
      </c>
      <c r="AK1024">
        <v>5</v>
      </c>
      <c r="AL1024" t="s">
        <v>638</v>
      </c>
      <c r="AM1024" t="s">
        <v>639</v>
      </c>
      <c r="AN1024" t="s">
        <v>640</v>
      </c>
      <c r="AO1024" t="s">
        <v>8260</v>
      </c>
      <c r="AP1024" t="s">
        <v>74</v>
      </c>
      <c r="AQ1024" t="s">
        <v>8261</v>
      </c>
      <c r="AR1024" t="s">
        <v>8262</v>
      </c>
      <c r="AS1024" t="s">
        <v>74</v>
      </c>
      <c r="AT1024" t="s">
        <v>74</v>
      </c>
      <c r="AU1024">
        <v>2023</v>
      </c>
      <c r="AV1024" t="s">
        <v>74</v>
      </c>
      <c r="AW1024" t="s">
        <v>74</v>
      </c>
      <c r="AX1024" t="s">
        <v>74</v>
      </c>
      <c r="AY1024" t="s">
        <v>74</v>
      </c>
      <c r="AZ1024" t="s">
        <v>74</v>
      </c>
      <c r="BA1024" t="s">
        <v>74</v>
      </c>
      <c r="BB1024">
        <v>1921</v>
      </c>
      <c r="BC1024">
        <v>1930</v>
      </c>
      <c r="BD1024" t="s">
        <v>74</v>
      </c>
      <c r="BE1024" t="s">
        <v>19206</v>
      </c>
      <c r="BF1024" t="str">
        <f>HYPERLINK("http://dx.doi.org/10.1109/CVPR52729.2023.00191","http://dx.doi.org/10.1109/CVPR52729.2023.00191")</f>
        <v>http://dx.doi.org/10.1109/CVPR52729.2023.00191</v>
      </c>
      <c r="BG1024" t="s">
        <v>74</v>
      </c>
      <c r="BH1024" t="s">
        <v>74</v>
      </c>
      <c r="BI1024">
        <v>10</v>
      </c>
      <c r="BJ1024" t="s">
        <v>10109</v>
      </c>
      <c r="BK1024" t="s">
        <v>98</v>
      </c>
      <c r="BL1024" t="s">
        <v>99</v>
      </c>
      <c r="BM1024" t="s">
        <v>10110</v>
      </c>
      <c r="BN1024" t="s">
        <v>74</v>
      </c>
      <c r="BO1024" t="s">
        <v>646</v>
      </c>
      <c r="BP1024" t="s">
        <v>74</v>
      </c>
      <c r="BQ1024" t="s">
        <v>74</v>
      </c>
      <c r="BR1024" t="s">
        <v>101</v>
      </c>
      <c r="BS1024" t="s">
        <v>19207</v>
      </c>
      <c r="BT1024" t="str">
        <f>HYPERLINK("https%3A%2F%2Fwww.webofscience.com%2Fwos%2Fwoscc%2Ffull-record%2FWOS:001058542602024","View Full Record in Web of Science")</f>
        <v>View Full Record in Web of Science</v>
      </c>
    </row>
    <row r="1025" spans="1:72" x14ac:dyDescent="0.2">
      <c r="A1025" t="s">
        <v>103</v>
      </c>
      <c r="B1025" t="s">
        <v>19208</v>
      </c>
      <c r="C1025" t="s">
        <v>74</v>
      </c>
      <c r="D1025" t="s">
        <v>74</v>
      </c>
      <c r="E1025" t="s">
        <v>74</v>
      </c>
      <c r="F1025" t="s">
        <v>19209</v>
      </c>
      <c r="G1025" t="s">
        <v>74</v>
      </c>
      <c r="H1025" t="s">
        <v>74</v>
      </c>
      <c r="I1025" t="s">
        <v>19210</v>
      </c>
      <c r="J1025" t="s">
        <v>9562</v>
      </c>
      <c r="K1025" t="s">
        <v>74</v>
      </c>
      <c r="L1025" t="s">
        <v>74</v>
      </c>
      <c r="M1025" t="s">
        <v>79</v>
      </c>
      <c r="N1025" t="s">
        <v>108</v>
      </c>
      <c r="O1025" t="s">
        <v>74</v>
      </c>
      <c r="P1025" t="s">
        <v>74</v>
      </c>
      <c r="Q1025" t="s">
        <v>74</v>
      </c>
      <c r="R1025" t="s">
        <v>74</v>
      </c>
      <c r="S1025" t="s">
        <v>74</v>
      </c>
      <c r="T1025" t="s">
        <v>19211</v>
      </c>
      <c r="U1025" t="s">
        <v>74</v>
      </c>
      <c r="V1025" t="s">
        <v>19212</v>
      </c>
      <c r="W1025" t="s">
        <v>19213</v>
      </c>
      <c r="X1025" t="s">
        <v>19214</v>
      </c>
      <c r="Y1025" t="s">
        <v>19215</v>
      </c>
      <c r="Z1025" t="s">
        <v>74</v>
      </c>
      <c r="AA1025" t="s">
        <v>74</v>
      </c>
      <c r="AB1025" t="s">
        <v>74</v>
      </c>
      <c r="AC1025" t="s">
        <v>19216</v>
      </c>
      <c r="AD1025" t="s">
        <v>19216</v>
      </c>
      <c r="AE1025" t="s">
        <v>19217</v>
      </c>
      <c r="AF1025" t="s">
        <v>74</v>
      </c>
      <c r="AG1025">
        <v>23</v>
      </c>
      <c r="AH1025">
        <v>0</v>
      </c>
      <c r="AI1025">
        <v>0</v>
      </c>
      <c r="AJ1025">
        <v>8</v>
      </c>
      <c r="AK1025">
        <v>8</v>
      </c>
      <c r="AL1025" t="s">
        <v>9568</v>
      </c>
      <c r="AM1025" t="s">
        <v>9569</v>
      </c>
      <c r="AN1025" t="s">
        <v>9570</v>
      </c>
      <c r="AO1025" t="s">
        <v>9571</v>
      </c>
      <c r="AP1025" t="s">
        <v>9572</v>
      </c>
      <c r="AQ1025" t="s">
        <v>74</v>
      </c>
      <c r="AR1025" t="s">
        <v>9573</v>
      </c>
      <c r="AS1025" t="s">
        <v>9574</v>
      </c>
      <c r="AT1025" t="s">
        <v>467</v>
      </c>
      <c r="AU1025">
        <v>2023</v>
      </c>
      <c r="AV1025">
        <v>14</v>
      </c>
      <c r="AW1025">
        <v>10</v>
      </c>
      <c r="AX1025" t="s">
        <v>74</v>
      </c>
      <c r="AY1025" t="s">
        <v>74</v>
      </c>
      <c r="AZ1025" t="s">
        <v>74</v>
      </c>
      <c r="BA1025" t="s">
        <v>74</v>
      </c>
      <c r="BB1025">
        <v>382</v>
      </c>
      <c r="BC1025">
        <v>396</v>
      </c>
      <c r="BD1025" t="s">
        <v>74</v>
      </c>
      <c r="BE1025" t="s">
        <v>74</v>
      </c>
      <c r="BF1025" t="s">
        <v>74</v>
      </c>
      <c r="BG1025" t="s">
        <v>74</v>
      </c>
      <c r="BH1025" t="s">
        <v>74</v>
      </c>
      <c r="BI1025">
        <v>15</v>
      </c>
      <c r="BJ1025" t="s">
        <v>9575</v>
      </c>
      <c r="BK1025" t="s">
        <v>352</v>
      </c>
      <c r="BL1025" t="s">
        <v>99</v>
      </c>
      <c r="BM1025" t="s">
        <v>19218</v>
      </c>
      <c r="BN1025" t="s">
        <v>74</v>
      </c>
      <c r="BO1025" t="s">
        <v>74</v>
      </c>
      <c r="BP1025" t="s">
        <v>74</v>
      </c>
      <c r="BQ1025" t="s">
        <v>74</v>
      </c>
      <c r="BR1025" t="s">
        <v>101</v>
      </c>
      <c r="BS1025" t="s">
        <v>19219</v>
      </c>
      <c r="BT1025" t="str">
        <f>HYPERLINK("https%3A%2F%2Fwww.webofscience.com%2Fwos%2Fwoscc%2Ffull-record%2FWOS:001125979200001","View Full Record in Web of Science")</f>
        <v>View Full Record in Web of Science</v>
      </c>
    </row>
    <row r="1026" spans="1:72" x14ac:dyDescent="0.2">
      <c r="A1026" t="s">
        <v>103</v>
      </c>
      <c r="B1026" t="s">
        <v>19220</v>
      </c>
      <c r="C1026" t="s">
        <v>74</v>
      </c>
      <c r="D1026" t="s">
        <v>74</v>
      </c>
      <c r="E1026" t="s">
        <v>74</v>
      </c>
      <c r="F1026" t="s">
        <v>19221</v>
      </c>
      <c r="G1026" t="s">
        <v>74</v>
      </c>
      <c r="H1026" t="s">
        <v>74</v>
      </c>
      <c r="I1026" t="s">
        <v>19222</v>
      </c>
      <c r="J1026" t="s">
        <v>19223</v>
      </c>
      <c r="K1026" t="s">
        <v>74</v>
      </c>
      <c r="L1026" t="s">
        <v>74</v>
      </c>
      <c r="M1026" t="s">
        <v>79</v>
      </c>
      <c r="N1026" t="s">
        <v>108</v>
      </c>
      <c r="O1026" t="s">
        <v>74</v>
      </c>
      <c r="P1026" t="s">
        <v>74</v>
      </c>
      <c r="Q1026" t="s">
        <v>74</v>
      </c>
      <c r="R1026" t="s">
        <v>74</v>
      </c>
      <c r="S1026" t="s">
        <v>74</v>
      </c>
      <c r="T1026" t="s">
        <v>19224</v>
      </c>
      <c r="U1026" t="s">
        <v>19225</v>
      </c>
      <c r="V1026" t="s">
        <v>19226</v>
      </c>
      <c r="W1026" t="s">
        <v>19227</v>
      </c>
      <c r="X1026" t="s">
        <v>19228</v>
      </c>
      <c r="Y1026" t="s">
        <v>19229</v>
      </c>
      <c r="Z1026" t="s">
        <v>19230</v>
      </c>
      <c r="AA1026" t="s">
        <v>9817</v>
      </c>
      <c r="AB1026" t="s">
        <v>19231</v>
      </c>
      <c r="AC1026" t="s">
        <v>19232</v>
      </c>
      <c r="AD1026" t="s">
        <v>19233</v>
      </c>
      <c r="AE1026" t="s">
        <v>19234</v>
      </c>
      <c r="AF1026" t="s">
        <v>74</v>
      </c>
      <c r="AG1026">
        <v>42</v>
      </c>
      <c r="AH1026">
        <v>2</v>
      </c>
      <c r="AI1026">
        <v>2</v>
      </c>
      <c r="AJ1026">
        <v>28</v>
      </c>
      <c r="AK1026">
        <v>28</v>
      </c>
      <c r="AL1026" t="s">
        <v>119</v>
      </c>
      <c r="AM1026" t="s">
        <v>120</v>
      </c>
      <c r="AN1026" t="s">
        <v>121</v>
      </c>
      <c r="AO1026" t="s">
        <v>19235</v>
      </c>
      <c r="AP1026" t="s">
        <v>19236</v>
      </c>
      <c r="AQ1026" t="s">
        <v>74</v>
      </c>
      <c r="AR1026" t="s">
        <v>19237</v>
      </c>
      <c r="AS1026" t="s">
        <v>19238</v>
      </c>
      <c r="AT1026" t="s">
        <v>527</v>
      </c>
      <c r="AU1026">
        <v>2023</v>
      </c>
      <c r="AV1026">
        <v>110</v>
      </c>
      <c r="AW1026" t="s">
        <v>74</v>
      </c>
      <c r="AX1026" t="s">
        <v>74</v>
      </c>
      <c r="AY1026" t="s">
        <v>74</v>
      </c>
      <c r="AZ1026" t="s">
        <v>74</v>
      </c>
      <c r="BA1026" t="s">
        <v>74</v>
      </c>
      <c r="BB1026" t="s">
        <v>74</v>
      </c>
      <c r="BC1026" t="s">
        <v>74</v>
      </c>
      <c r="BD1026">
        <v>102303</v>
      </c>
      <c r="BE1026" t="s">
        <v>19239</v>
      </c>
      <c r="BF1026" t="str">
        <f>HYPERLINK("http://dx.doi.org/10.1016/j.compmedimag.2023.102303","http://dx.doi.org/10.1016/j.compmedimag.2023.102303")</f>
        <v>http://dx.doi.org/10.1016/j.compmedimag.2023.102303</v>
      </c>
      <c r="BG1026" t="s">
        <v>74</v>
      </c>
      <c r="BH1026" t="s">
        <v>1886</v>
      </c>
      <c r="BI1026">
        <v>11</v>
      </c>
      <c r="BJ1026" t="s">
        <v>19240</v>
      </c>
      <c r="BK1026" t="s">
        <v>130</v>
      </c>
      <c r="BL1026" t="s">
        <v>19241</v>
      </c>
      <c r="BM1026" t="s">
        <v>19242</v>
      </c>
      <c r="BN1026">
        <v>37832503</v>
      </c>
      <c r="BO1026" t="s">
        <v>74</v>
      </c>
      <c r="BP1026" t="s">
        <v>74</v>
      </c>
      <c r="BQ1026" t="s">
        <v>74</v>
      </c>
      <c r="BR1026" t="s">
        <v>101</v>
      </c>
      <c r="BS1026" t="s">
        <v>19243</v>
      </c>
      <c r="BT1026" t="str">
        <f>HYPERLINK("https%3A%2F%2Fwww.webofscience.com%2Fwos%2Fwoscc%2Ffull-record%2FWOS:001098257500001","View Full Record in Web of Science")</f>
        <v>View Full Record in Web of Science</v>
      </c>
    </row>
    <row r="1027" spans="1:72" x14ac:dyDescent="0.2">
      <c r="A1027" t="s">
        <v>103</v>
      </c>
      <c r="B1027" t="s">
        <v>19244</v>
      </c>
      <c r="C1027" t="s">
        <v>74</v>
      </c>
      <c r="D1027" t="s">
        <v>74</v>
      </c>
      <c r="E1027" t="s">
        <v>74</v>
      </c>
      <c r="F1027" t="s">
        <v>19245</v>
      </c>
      <c r="G1027" t="s">
        <v>74</v>
      </c>
      <c r="H1027" t="s">
        <v>74</v>
      </c>
      <c r="I1027" t="s">
        <v>19246</v>
      </c>
      <c r="J1027" t="s">
        <v>6611</v>
      </c>
      <c r="K1027" t="s">
        <v>74</v>
      </c>
      <c r="L1027" t="s">
        <v>74</v>
      </c>
      <c r="M1027" t="s">
        <v>79</v>
      </c>
      <c r="N1027" t="s">
        <v>108</v>
      </c>
      <c r="O1027" t="s">
        <v>74</v>
      </c>
      <c r="P1027" t="s">
        <v>74</v>
      </c>
      <c r="Q1027" t="s">
        <v>74</v>
      </c>
      <c r="R1027" t="s">
        <v>74</v>
      </c>
      <c r="S1027" t="s">
        <v>74</v>
      </c>
      <c r="T1027" t="s">
        <v>19247</v>
      </c>
      <c r="U1027" t="s">
        <v>19248</v>
      </c>
      <c r="V1027" t="s">
        <v>19249</v>
      </c>
      <c r="W1027" t="s">
        <v>19250</v>
      </c>
      <c r="X1027" t="s">
        <v>19251</v>
      </c>
      <c r="Y1027" t="s">
        <v>19252</v>
      </c>
      <c r="Z1027" t="s">
        <v>19253</v>
      </c>
      <c r="AA1027" t="s">
        <v>19254</v>
      </c>
      <c r="AB1027" t="s">
        <v>19255</v>
      </c>
      <c r="AC1027" t="s">
        <v>74</v>
      </c>
      <c r="AD1027" t="s">
        <v>74</v>
      </c>
      <c r="AE1027" t="s">
        <v>74</v>
      </c>
      <c r="AF1027" t="s">
        <v>74</v>
      </c>
      <c r="AG1027">
        <v>74</v>
      </c>
      <c r="AH1027">
        <v>0</v>
      </c>
      <c r="AI1027">
        <v>0</v>
      </c>
      <c r="AJ1027">
        <v>7</v>
      </c>
      <c r="AK1027">
        <v>7</v>
      </c>
      <c r="AL1027" t="s">
        <v>638</v>
      </c>
      <c r="AM1027" t="s">
        <v>639</v>
      </c>
      <c r="AN1027" t="s">
        <v>1557</v>
      </c>
      <c r="AO1027" t="s">
        <v>6621</v>
      </c>
      <c r="AP1027" t="s">
        <v>6622</v>
      </c>
      <c r="AQ1027" t="s">
        <v>74</v>
      </c>
      <c r="AR1027" t="s">
        <v>6623</v>
      </c>
      <c r="AS1027" t="s">
        <v>6624</v>
      </c>
      <c r="AT1027" t="s">
        <v>467</v>
      </c>
      <c r="AU1027">
        <v>2023</v>
      </c>
      <c r="AV1027">
        <v>45</v>
      </c>
      <c r="AW1027">
        <v>10</v>
      </c>
      <c r="AX1027" t="s">
        <v>74</v>
      </c>
      <c r="AY1027" t="s">
        <v>74</v>
      </c>
      <c r="AZ1027" t="s">
        <v>74</v>
      </c>
      <c r="BA1027" t="s">
        <v>74</v>
      </c>
      <c r="BB1027">
        <v>12236</v>
      </c>
      <c r="BC1027">
        <v>12249</v>
      </c>
      <c r="BD1027" t="s">
        <v>74</v>
      </c>
      <c r="BE1027" t="s">
        <v>19256</v>
      </c>
      <c r="BF1027" t="str">
        <f>HYPERLINK("http://dx.doi.org/10.1109/TPAMI.2023.3287908","http://dx.doi.org/10.1109/TPAMI.2023.3287908")</f>
        <v>http://dx.doi.org/10.1109/TPAMI.2023.3287908</v>
      </c>
      <c r="BG1027" t="s">
        <v>74</v>
      </c>
      <c r="BH1027" t="s">
        <v>74</v>
      </c>
      <c r="BI1027">
        <v>14</v>
      </c>
      <c r="BJ1027" t="s">
        <v>6627</v>
      </c>
      <c r="BK1027" t="s">
        <v>130</v>
      </c>
      <c r="BL1027" t="s">
        <v>906</v>
      </c>
      <c r="BM1027" t="s">
        <v>19257</v>
      </c>
      <c r="BN1027">
        <v>37339035</v>
      </c>
      <c r="BO1027" t="s">
        <v>74</v>
      </c>
      <c r="BP1027" t="s">
        <v>74</v>
      </c>
      <c r="BQ1027" t="s">
        <v>74</v>
      </c>
      <c r="BR1027" t="s">
        <v>101</v>
      </c>
      <c r="BS1027" t="s">
        <v>19258</v>
      </c>
      <c r="BT1027" t="str">
        <f>HYPERLINK("https%3A%2F%2Fwww.webofscience.com%2Fwos%2Fwoscc%2Ffull-record%2FWOS:001068816800046","View Full Record in Web of Science")</f>
        <v>View Full Record in Web of Science</v>
      </c>
    </row>
    <row r="1028" spans="1:72" x14ac:dyDescent="0.2">
      <c r="A1028" t="s">
        <v>103</v>
      </c>
      <c r="B1028" t="s">
        <v>19259</v>
      </c>
      <c r="C1028" t="s">
        <v>74</v>
      </c>
      <c r="D1028" t="s">
        <v>74</v>
      </c>
      <c r="E1028" t="s">
        <v>74</v>
      </c>
      <c r="F1028" t="s">
        <v>19260</v>
      </c>
      <c r="G1028" t="s">
        <v>74</v>
      </c>
      <c r="H1028" t="s">
        <v>74</v>
      </c>
      <c r="I1028" t="s">
        <v>19261</v>
      </c>
      <c r="J1028" t="s">
        <v>6927</v>
      </c>
      <c r="K1028" t="s">
        <v>74</v>
      </c>
      <c r="L1028" t="s">
        <v>74</v>
      </c>
      <c r="M1028" t="s">
        <v>79</v>
      </c>
      <c r="N1028" t="s">
        <v>108</v>
      </c>
      <c r="O1028" t="s">
        <v>74</v>
      </c>
      <c r="P1028" t="s">
        <v>74</v>
      </c>
      <c r="Q1028" t="s">
        <v>74</v>
      </c>
      <c r="R1028" t="s">
        <v>74</v>
      </c>
      <c r="S1028" t="s">
        <v>74</v>
      </c>
      <c r="T1028" t="s">
        <v>19262</v>
      </c>
      <c r="U1028" t="s">
        <v>19263</v>
      </c>
      <c r="V1028" t="s">
        <v>19264</v>
      </c>
      <c r="W1028" t="s">
        <v>19265</v>
      </c>
      <c r="X1028" t="s">
        <v>19266</v>
      </c>
      <c r="Y1028" t="s">
        <v>19267</v>
      </c>
      <c r="Z1028" t="s">
        <v>19268</v>
      </c>
      <c r="AA1028" t="s">
        <v>19269</v>
      </c>
      <c r="AB1028" t="s">
        <v>19270</v>
      </c>
      <c r="AC1028" t="s">
        <v>19271</v>
      </c>
      <c r="AD1028" t="s">
        <v>19272</v>
      </c>
      <c r="AE1028" t="s">
        <v>19273</v>
      </c>
      <c r="AF1028" t="s">
        <v>74</v>
      </c>
      <c r="AG1028">
        <v>129</v>
      </c>
      <c r="AH1028">
        <v>6</v>
      </c>
      <c r="AI1028">
        <v>6</v>
      </c>
      <c r="AJ1028">
        <v>76</v>
      </c>
      <c r="AK1028">
        <v>81</v>
      </c>
      <c r="AL1028" t="s">
        <v>6940</v>
      </c>
      <c r="AM1028" t="s">
        <v>4898</v>
      </c>
      <c r="AN1028" t="s">
        <v>6941</v>
      </c>
      <c r="AO1028" t="s">
        <v>6942</v>
      </c>
      <c r="AP1028" t="s">
        <v>6943</v>
      </c>
      <c r="AQ1028" t="s">
        <v>74</v>
      </c>
      <c r="AR1028" t="s">
        <v>6944</v>
      </c>
      <c r="AS1028" t="s">
        <v>6945</v>
      </c>
      <c r="AT1028" t="s">
        <v>74</v>
      </c>
      <c r="AU1028">
        <v>2023</v>
      </c>
      <c r="AV1028">
        <v>32</v>
      </c>
      <c r="AW1028">
        <v>2</v>
      </c>
      <c r="AX1028" t="s">
        <v>74</v>
      </c>
      <c r="AY1028" t="s">
        <v>74</v>
      </c>
      <c r="AZ1028" t="s">
        <v>74</v>
      </c>
      <c r="BA1028" t="s">
        <v>74</v>
      </c>
      <c r="BB1028" t="s">
        <v>74</v>
      </c>
      <c r="BC1028" t="s">
        <v>74</v>
      </c>
      <c r="BD1028" t="s">
        <v>19274</v>
      </c>
      <c r="BE1028" t="s">
        <v>19275</v>
      </c>
      <c r="BF1028" t="str">
        <f>HYPERLINK("http://dx.doi.org/10.3145/epi.2023.mar.27","http://dx.doi.org/10.3145/epi.2023.mar.27")</f>
        <v>http://dx.doi.org/10.3145/epi.2023.mar.27</v>
      </c>
      <c r="BG1028" t="s">
        <v>74</v>
      </c>
      <c r="BH1028" t="s">
        <v>74</v>
      </c>
      <c r="BI1028">
        <v>15</v>
      </c>
      <c r="BJ1028" t="s">
        <v>2157</v>
      </c>
      <c r="BK1028" t="s">
        <v>159</v>
      </c>
      <c r="BL1028" t="s">
        <v>2157</v>
      </c>
      <c r="BM1028" t="s">
        <v>19276</v>
      </c>
      <c r="BN1028" t="s">
        <v>74</v>
      </c>
      <c r="BO1028" t="s">
        <v>16334</v>
      </c>
      <c r="BP1028" t="s">
        <v>74</v>
      </c>
      <c r="BQ1028" t="s">
        <v>74</v>
      </c>
      <c r="BR1028" t="s">
        <v>101</v>
      </c>
      <c r="BS1028" t="s">
        <v>19277</v>
      </c>
      <c r="BT1028" t="str">
        <f>HYPERLINK("https%3A%2F%2Fwww.webofscience.com%2Fwos%2Fwoscc%2Ffull-record%2FWOS:001041238800003","View Full Record in Web of Science")</f>
        <v>View Full Record in Web of Science</v>
      </c>
    </row>
    <row r="1029" spans="1:72" x14ac:dyDescent="0.2">
      <c r="A1029" t="s">
        <v>72</v>
      </c>
      <c r="B1029" t="s">
        <v>19278</v>
      </c>
      <c r="C1029" t="s">
        <v>74</v>
      </c>
      <c r="D1029" t="s">
        <v>74</v>
      </c>
      <c r="E1029" t="s">
        <v>75</v>
      </c>
      <c r="F1029" t="s">
        <v>19279</v>
      </c>
      <c r="G1029" t="s">
        <v>74</v>
      </c>
      <c r="H1029" t="s">
        <v>74</v>
      </c>
      <c r="I1029" t="s">
        <v>19280</v>
      </c>
      <c r="J1029" t="s">
        <v>912</v>
      </c>
      <c r="K1029" t="s">
        <v>74</v>
      </c>
      <c r="L1029" t="s">
        <v>74</v>
      </c>
      <c r="M1029" t="s">
        <v>79</v>
      </c>
      <c r="N1029" t="s">
        <v>80</v>
      </c>
      <c r="O1029" t="s">
        <v>913</v>
      </c>
      <c r="P1029" t="s">
        <v>914</v>
      </c>
      <c r="Q1029" t="s">
        <v>915</v>
      </c>
      <c r="R1029" t="s">
        <v>916</v>
      </c>
      <c r="S1029" t="s">
        <v>74</v>
      </c>
      <c r="T1029" t="s">
        <v>19281</v>
      </c>
      <c r="U1029" t="s">
        <v>19282</v>
      </c>
      <c r="V1029" t="s">
        <v>19283</v>
      </c>
      <c r="W1029" t="s">
        <v>19284</v>
      </c>
      <c r="X1029" t="s">
        <v>19285</v>
      </c>
      <c r="Y1029" t="s">
        <v>19286</v>
      </c>
      <c r="Z1029" t="s">
        <v>19287</v>
      </c>
      <c r="AA1029" t="s">
        <v>19288</v>
      </c>
      <c r="AB1029" t="s">
        <v>19289</v>
      </c>
      <c r="AC1029" t="s">
        <v>19290</v>
      </c>
      <c r="AD1029" t="s">
        <v>19291</v>
      </c>
      <c r="AE1029" t="s">
        <v>19292</v>
      </c>
      <c r="AF1029" t="s">
        <v>74</v>
      </c>
      <c r="AG1029">
        <v>50</v>
      </c>
      <c r="AH1029">
        <v>0</v>
      </c>
      <c r="AI1029">
        <v>0</v>
      </c>
      <c r="AJ1029">
        <v>0</v>
      </c>
      <c r="AK1029">
        <v>0</v>
      </c>
      <c r="AL1029" t="s">
        <v>92</v>
      </c>
      <c r="AM1029" t="s">
        <v>93</v>
      </c>
      <c r="AN1029" t="s">
        <v>94</v>
      </c>
      <c r="AO1029" t="s">
        <v>74</v>
      </c>
      <c r="AP1029" t="s">
        <v>74</v>
      </c>
      <c r="AQ1029" t="s">
        <v>922</v>
      </c>
      <c r="AR1029" t="s">
        <v>74</v>
      </c>
      <c r="AS1029" t="s">
        <v>74</v>
      </c>
      <c r="AT1029" t="s">
        <v>74</v>
      </c>
      <c r="AU1029">
        <v>2023</v>
      </c>
      <c r="AV1029" t="s">
        <v>74</v>
      </c>
      <c r="AW1029" t="s">
        <v>74</v>
      </c>
      <c r="AX1029" t="s">
        <v>74</v>
      </c>
      <c r="AY1029" t="s">
        <v>74</v>
      </c>
      <c r="AZ1029" t="s">
        <v>74</v>
      </c>
      <c r="BA1029" t="s">
        <v>74</v>
      </c>
      <c r="BB1029">
        <v>5360</v>
      </c>
      <c r="BC1029">
        <v>5371</v>
      </c>
      <c r="BD1029" t="s">
        <v>74</v>
      </c>
      <c r="BE1029" t="s">
        <v>19293</v>
      </c>
      <c r="BF1029" t="str">
        <f>HYPERLINK("http://dx.doi.org/10.1145/3580305.3599774","http://dx.doi.org/10.1145/3580305.3599774")</f>
        <v>http://dx.doi.org/10.1145/3580305.3599774</v>
      </c>
      <c r="BG1029" t="s">
        <v>74</v>
      </c>
      <c r="BH1029" t="s">
        <v>74</v>
      </c>
      <c r="BI1029">
        <v>12</v>
      </c>
      <c r="BJ1029" t="s">
        <v>924</v>
      </c>
      <c r="BK1029" t="s">
        <v>98</v>
      </c>
      <c r="BL1029" t="s">
        <v>99</v>
      </c>
      <c r="BM1029" t="s">
        <v>925</v>
      </c>
      <c r="BN1029" t="s">
        <v>74</v>
      </c>
      <c r="BO1029" t="s">
        <v>646</v>
      </c>
      <c r="BP1029" t="s">
        <v>74</v>
      </c>
      <c r="BQ1029" t="s">
        <v>74</v>
      </c>
      <c r="BR1029" t="s">
        <v>101</v>
      </c>
      <c r="BS1029" t="s">
        <v>19294</v>
      </c>
      <c r="BT1029" t="str">
        <f>HYPERLINK("https%3A%2F%2Fwww.webofscience.com%2Fwos%2Fwoscc%2Ffull-record%2FWOS:001118896305036","View Full Record in Web of Science")</f>
        <v>View Full Record in Web of Science</v>
      </c>
    </row>
    <row r="1030" spans="1:72" x14ac:dyDescent="0.2">
      <c r="A1030" t="s">
        <v>103</v>
      </c>
      <c r="B1030" t="s">
        <v>19295</v>
      </c>
      <c r="C1030" t="s">
        <v>74</v>
      </c>
      <c r="D1030" t="s">
        <v>74</v>
      </c>
      <c r="E1030" t="s">
        <v>74</v>
      </c>
      <c r="F1030" t="s">
        <v>19296</v>
      </c>
      <c r="G1030" t="s">
        <v>74</v>
      </c>
      <c r="H1030" t="s">
        <v>74</v>
      </c>
      <c r="I1030" t="s">
        <v>19297</v>
      </c>
      <c r="J1030" t="s">
        <v>19298</v>
      </c>
      <c r="K1030" t="s">
        <v>74</v>
      </c>
      <c r="L1030" t="s">
        <v>74</v>
      </c>
      <c r="M1030" t="s">
        <v>79</v>
      </c>
      <c r="N1030" t="s">
        <v>108</v>
      </c>
      <c r="O1030" t="s">
        <v>74</v>
      </c>
      <c r="P1030" t="s">
        <v>74</v>
      </c>
      <c r="Q1030" t="s">
        <v>74</v>
      </c>
      <c r="R1030" t="s">
        <v>74</v>
      </c>
      <c r="S1030" t="s">
        <v>74</v>
      </c>
      <c r="T1030" t="s">
        <v>74</v>
      </c>
      <c r="U1030" t="s">
        <v>19299</v>
      </c>
      <c r="V1030" t="s">
        <v>19300</v>
      </c>
      <c r="W1030" t="s">
        <v>19301</v>
      </c>
      <c r="X1030" t="s">
        <v>19302</v>
      </c>
      <c r="Y1030" t="s">
        <v>19303</v>
      </c>
      <c r="Z1030" t="s">
        <v>19304</v>
      </c>
      <c r="AA1030" t="s">
        <v>74</v>
      </c>
      <c r="AB1030" t="s">
        <v>19305</v>
      </c>
      <c r="AC1030" t="s">
        <v>19306</v>
      </c>
      <c r="AD1030" t="s">
        <v>19307</v>
      </c>
      <c r="AE1030" t="s">
        <v>19308</v>
      </c>
      <c r="AF1030" t="s">
        <v>74</v>
      </c>
      <c r="AG1030">
        <v>70</v>
      </c>
      <c r="AH1030">
        <v>2</v>
      </c>
      <c r="AI1030">
        <v>2</v>
      </c>
      <c r="AJ1030">
        <v>3</v>
      </c>
      <c r="AK1030">
        <v>3</v>
      </c>
      <c r="AL1030" t="s">
        <v>9339</v>
      </c>
      <c r="AM1030" t="s">
        <v>2757</v>
      </c>
      <c r="AN1030" t="s">
        <v>9340</v>
      </c>
      <c r="AO1030" t="s">
        <v>19309</v>
      </c>
      <c r="AP1030" t="s">
        <v>19310</v>
      </c>
      <c r="AQ1030" t="s">
        <v>74</v>
      </c>
      <c r="AR1030" t="s">
        <v>19311</v>
      </c>
      <c r="AS1030" t="s">
        <v>19312</v>
      </c>
      <c r="AT1030" t="s">
        <v>276</v>
      </c>
      <c r="AU1030">
        <v>2023</v>
      </c>
      <c r="AV1030">
        <v>159</v>
      </c>
      <c r="AW1030">
        <v>11</v>
      </c>
      <c r="AX1030" t="s">
        <v>74</v>
      </c>
      <c r="AY1030" t="s">
        <v>74</v>
      </c>
      <c r="AZ1030" t="s">
        <v>74</v>
      </c>
      <c r="BA1030" t="s">
        <v>74</v>
      </c>
      <c r="BB1030">
        <v>1223</v>
      </c>
      <c r="BC1030">
        <v>1231</v>
      </c>
      <c r="BD1030" t="s">
        <v>74</v>
      </c>
      <c r="BE1030" t="s">
        <v>19313</v>
      </c>
      <c r="BF1030" t="str">
        <f>HYPERLINK("http://dx.doi.org/10.1001/jamadermatol.2023.3521","http://dx.doi.org/10.1001/jamadermatol.2023.3521")</f>
        <v>http://dx.doi.org/10.1001/jamadermatol.2023.3521</v>
      </c>
      <c r="BG1030" t="s">
        <v>74</v>
      </c>
      <c r="BH1030" t="s">
        <v>1886</v>
      </c>
      <c r="BI1030">
        <v>9</v>
      </c>
      <c r="BJ1030" t="s">
        <v>13950</v>
      </c>
      <c r="BK1030" t="s">
        <v>130</v>
      </c>
      <c r="BL1030" t="s">
        <v>13950</v>
      </c>
      <c r="BM1030" t="s">
        <v>19314</v>
      </c>
      <c r="BN1030">
        <v>37792351</v>
      </c>
      <c r="BO1030" t="s">
        <v>74</v>
      </c>
      <c r="BP1030" t="s">
        <v>74</v>
      </c>
      <c r="BQ1030" t="s">
        <v>74</v>
      </c>
      <c r="BR1030" t="s">
        <v>101</v>
      </c>
      <c r="BS1030" t="s">
        <v>19315</v>
      </c>
      <c r="BT1030" t="str">
        <f>HYPERLINK("https%3A%2F%2Fwww.webofscience.com%2Fwos%2Fwoscc%2Ffull-record%2FWOS:001078129300002","View Full Record in Web of Science")</f>
        <v>View Full Record in Web of Science</v>
      </c>
    </row>
    <row r="1031" spans="1:72" x14ac:dyDescent="0.2">
      <c r="A1031" t="s">
        <v>103</v>
      </c>
      <c r="B1031" t="s">
        <v>19316</v>
      </c>
      <c r="C1031" t="s">
        <v>74</v>
      </c>
      <c r="D1031" t="s">
        <v>74</v>
      </c>
      <c r="E1031" t="s">
        <v>74</v>
      </c>
      <c r="F1031" t="s">
        <v>19317</v>
      </c>
      <c r="G1031" t="s">
        <v>74</v>
      </c>
      <c r="H1031" t="s">
        <v>74</v>
      </c>
      <c r="I1031" t="s">
        <v>19318</v>
      </c>
      <c r="J1031" t="s">
        <v>19319</v>
      </c>
      <c r="K1031" t="s">
        <v>74</v>
      </c>
      <c r="L1031" t="s">
        <v>74</v>
      </c>
      <c r="M1031" t="s">
        <v>79</v>
      </c>
      <c r="N1031" t="s">
        <v>138</v>
      </c>
      <c r="O1031" t="s">
        <v>74</v>
      </c>
      <c r="P1031" t="s">
        <v>74</v>
      </c>
      <c r="Q1031" t="s">
        <v>74</v>
      </c>
      <c r="R1031" t="s">
        <v>74</v>
      </c>
      <c r="S1031" t="s">
        <v>74</v>
      </c>
      <c r="T1031" t="s">
        <v>19320</v>
      </c>
      <c r="U1031" t="s">
        <v>19321</v>
      </c>
      <c r="V1031" t="s">
        <v>19322</v>
      </c>
      <c r="W1031" t="s">
        <v>19323</v>
      </c>
      <c r="X1031" t="s">
        <v>19324</v>
      </c>
      <c r="Y1031" t="s">
        <v>19325</v>
      </c>
      <c r="Z1031" t="s">
        <v>19326</v>
      </c>
      <c r="AA1031" t="s">
        <v>74</v>
      </c>
      <c r="AB1031" t="s">
        <v>19327</v>
      </c>
      <c r="AC1031" t="s">
        <v>74</v>
      </c>
      <c r="AD1031" t="s">
        <v>74</v>
      </c>
      <c r="AE1031" t="s">
        <v>74</v>
      </c>
      <c r="AF1031" t="s">
        <v>74</v>
      </c>
      <c r="AG1031">
        <v>48</v>
      </c>
      <c r="AH1031">
        <v>0</v>
      </c>
      <c r="AI1031">
        <v>0</v>
      </c>
      <c r="AJ1031">
        <v>57</v>
      </c>
      <c r="AK1031">
        <v>57</v>
      </c>
      <c r="AL1031" t="s">
        <v>19328</v>
      </c>
      <c r="AM1031" t="s">
        <v>19329</v>
      </c>
      <c r="AN1031" t="s">
        <v>19330</v>
      </c>
      <c r="AO1031" t="s">
        <v>19331</v>
      </c>
      <c r="AP1031" t="s">
        <v>19332</v>
      </c>
      <c r="AQ1031" t="s">
        <v>74</v>
      </c>
      <c r="AR1031" t="s">
        <v>19333</v>
      </c>
      <c r="AS1031" t="s">
        <v>19334</v>
      </c>
      <c r="AT1031" t="s">
        <v>2872</v>
      </c>
      <c r="AU1031">
        <v>2023</v>
      </c>
      <c r="AV1031" t="s">
        <v>74</v>
      </c>
      <c r="AW1031" t="s">
        <v>74</v>
      </c>
      <c r="AX1031" t="s">
        <v>74</v>
      </c>
      <c r="AY1031" t="s">
        <v>74</v>
      </c>
      <c r="AZ1031" t="s">
        <v>74</v>
      </c>
      <c r="BA1031" t="s">
        <v>74</v>
      </c>
      <c r="BB1031" t="s">
        <v>74</v>
      </c>
      <c r="BC1031" t="s">
        <v>74</v>
      </c>
      <c r="BD1031" t="s">
        <v>74</v>
      </c>
      <c r="BE1031" t="s">
        <v>19335</v>
      </c>
      <c r="BF1031" t="str">
        <f>HYPERLINK("http://dx.doi.org/10.1287/isre.2021.0559","http://dx.doi.org/10.1287/isre.2021.0559")</f>
        <v>http://dx.doi.org/10.1287/isre.2021.0559</v>
      </c>
      <c r="BG1031" t="s">
        <v>74</v>
      </c>
      <c r="BH1031" t="s">
        <v>157</v>
      </c>
      <c r="BI1031">
        <v>23</v>
      </c>
      <c r="BJ1031" t="s">
        <v>19336</v>
      </c>
      <c r="BK1031" t="s">
        <v>159</v>
      </c>
      <c r="BL1031" t="s">
        <v>19337</v>
      </c>
      <c r="BM1031" t="s">
        <v>19338</v>
      </c>
      <c r="BN1031" t="s">
        <v>74</v>
      </c>
      <c r="BO1031" t="s">
        <v>74</v>
      </c>
      <c r="BP1031" t="s">
        <v>74</v>
      </c>
      <c r="BQ1031" t="s">
        <v>74</v>
      </c>
      <c r="BR1031" t="s">
        <v>101</v>
      </c>
      <c r="BS1031" t="s">
        <v>19339</v>
      </c>
      <c r="BT1031" t="str">
        <f>HYPERLINK("https%3A%2F%2Fwww.webofscience.com%2Fwos%2Fwoscc%2Ffull-record%2FWOS:001101139800001","View Full Record in Web of Science")</f>
        <v>View Full Record in Web of Science</v>
      </c>
    </row>
    <row r="1032" spans="1:72" x14ac:dyDescent="0.2">
      <c r="A1032" t="s">
        <v>103</v>
      </c>
      <c r="B1032" t="s">
        <v>19340</v>
      </c>
      <c r="C1032" t="s">
        <v>74</v>
      </c>
      <c r="D1032" t="s">
        <v>74</v>
      </c>
      <c r="E1032" t="s">
        <v>74</v>
      </c>
      <c r="F1032" t="s">
        <v>19341</v>
      </c>
      <c r="G1032" t="s">
        <v>74</v>
      </c>
      <c r="H1032" t="s">
        <v>74</v>
      </c>
      <c r="I1032" t="s">
        <v>19342</v>
      </c>
      <c r="J1032" t="s">
        <v>1569</v>
      </c>
      <c r="K1032" t="s">
        <v>74</v>
      </c>
      <c r="L1032" t="s">
        <v>74</v>
      </c>
      <c r="M1032" t="s">
        <v>79</v>
      </c>
      <c r="N1032" t="s">
        <v>108</v>
      </c>
      <c r="O1032" t="s">
        <v>74</v>
      </c>
      <c r="P1032" t="s">
        <v>74</v>
      </c>
      <c r="Q1032" t="s">
        <v>74</v>
      </c>
      <c r="R1032" t="s">
        <v>74</v>
      </c>
      <c r="S1032" t="s">
        <v>74</v>
      </c>
      <c r="T1032" t="s">
        <v>19343</v>
      </c>
      <c r="U1032" t="s">
        <v>74</v>
      </c>
      <c r="V1032" t="s">
        <v>19344</v>
      </c>
      <c r="W1032" t="s">
        <v>19345</v>
      </c>
      <c r="X1032" t="s">
        <v>19346</v>
      </c>
      <c r="Y1032" t="s">
        <v>19347</v>
      </c>
      <c r="Z1032" t="s">
        <v>19348</v>
      </c>
      <c r="AA1032" t="s">
        <v>19349</v>
      </c>
      <c r="AB1032" t="s">
        <v>19350</v>
      </c>
      <c r="AC1032" t="s">
        <v>74</v>
      </c>
      <c r="AD1032" t="s">
        <v>74</v>
      </c>
      <c r="AE1032" t="s">
        <v>74</v>
      </c>
      <c r="AF1032" t="s">
        <v>74</v>
      </c>
      <c r="AG1032">
        <v>43</v>
      </c>
      <c r="AH1032">
        <v>0</v>
      </c>
      <c r="AI1032">
        <v>0</v>
      </c>
      <c r="AJ1032">
        <v>3</v>
      </c>
      <c r="AK1032">
        <v>3</v>
      </c>
      <c r="AL1032" t="s">
        <v>1581</v>
      </c>
      <c r="AM1032" t="s">
        <v>1582</v>
      </c>
      <c r="AN1032" t="s">
        <v>1583</v>
      </c>
      <c r="AO1032" t="s">
        <v>1584</v>
      </c>
      <c r="AP1032" t="s">
        <v>74</v>
      </c>
      <c r="AQ1032" t="s">
        <v>74</v>
      </c>
      <c r="AR1032" t="s">
        <v>1585</v>
      </c>
      <c r="AS1032" t="s">
        <v>1586</v>
      </c>
      <c r="AT1032" t="s">
        <v>74</v>
      </c>
      <c r="AU1032">
        <v>2023</v>
      </c>
      <c r="AV1032">
        <v>15</v>
      </c>
      <c r="AW1032">
        <v>3</v>
      </c>
      <c r="AX1032" t="s">
        <v>74</v>
      </c>
      <c r="AY1032" t="s">
        <v>74</v>
      </c>
      <c r="AZ1032" t="s">
        <v>74</v>
      </c>
      <c r="BA1032" t="s">
        <v>74</v>
      </c>
      <c r="BB1032">
        <v>214</v>
      </c>
      <c r="BC1032">
        <v>225</v>
      </c>
      <c r="BD1032" t="s">
        <v>74</v>
      </c>
      <c r="BE1032" t="s">
        <v>19351</v>
      </c>
      <c r="BF1032" t="str">
        <f>HYPERLINK("http://dx.doi.org/10.55982/openpraxis.15.3.563","http://dx.doi.org/10.55982/openpraxis.15.3.563")</f>
        <v>http://dx.doi.org/10.55982/openpraxis.15.3.563</v>
      </c>
      <c r="BG1032" t="s">
        <v>74</v>
      </c>
      <c r="BH1032" t="s">
        <v>74</v>
      </c>
      <c r="BI1032">
        <v>12</v>
      </c>
      <c r="BJ1032" t="s">
        <v>423</v>
      </c>
      <c r="BK1032" t="s">
        <v>352</v>
      </c>
      <c r="BL1032" t="s">
        <v>423</v>
      </c>
      <c r="BM1032" t="s">
        <v>1588</v>
      </c>
      <c r="BN1032" t="s">
        <v>74</v>
      </c>
      <c r="BO1032" t="s">
        <v>425</v>
      </c>
      <c r="BP1032" t="s">
        <v>74</v>
      </c>
      <c r="BQ1032" t="s">
        <v>74</v>
      </c>
      <c r="BR1032" t="s">
        <v>101</v>
      </c>
      <c r="BS1032" t="s">
        <v>19352</v>
      </c>
      <c r="BT1032" t="str">
        <f>HYPERLINK("https%3A%2F%2Fwww.webofscience.com%2Fwos%2Fwoscc%2Ffull-record%2FWOS:001163687500004","View Full Record in Web of Science")</f>
        <v>View Full Record in Web of Science</v>
      </c>
    </row>
    <row r="1033" spans="1:72" x14ac:dyDescent="0.2">
      <c r="A1033" t="s">
        <v>103</v>
      </c>
      <c r="B1033" t="s">
        <v>19353</v>
      </c>
      <c r="C1033" t="s">
        <v>74</v>
      </c>
      <c r="D1033" t="s">
        <v>74</v>
      </c>
      <c r="E1033" t="s">
        <v>74</v>
      </c>
      <c r="F1033" t="s">
        <v>19354</v>
      </c>
      <c r="G1033" t="s">
        <v>74</v>
      </c>
      <c r="H1033" t="s">
        <v>74</v>
      </c>
      <c r="I1033" t="s">
        <v>19355</v>
      </c>
      <c r="J1033" t="s">
        <v>107</v>
      </c>
      <c r="K1033" t="s">
        <v>74</v>
      </c>
      <c r="L1033" t="s">
        <v>74</v>
      </c>
      <c r="M1033" t="s">
        <v>79</v>
      </c>
      <c r="N1033" t="s">
        <v>108</v>
      </c>
      <c r="O1033" t="s">
        <v>74</v>
      </c>
      <c r="P1033" t="s">
        <v>74</v>
      </c>
      <c r="Q1033" t="s">
        <v>74</v>
      </c>
      <c r="R1033" t="s">
        <v>74</v>
      </c>
      <c r="S1033" t="s">
        <v>74</v>
      </c>
      <c r="T1033" t="s">
        <v>19356</v>
      </c>
      <c r="U1033" t="s">
        <v>19357</v>
      </c>
      <c r="V1033" t="s">
        <v>19358</v>
      </c>
      <c r="W1033" t="s">
        <v>19359</v>
      </c>
      <c r="X1033" t="s">
        <v>19360</v>
      </c>
      <c r="Y1033" t="s">
        <v>19361</v>
      </c>
      <c r="Z1033" t="s">
        <v>19362</v>
      </c>
      <c r="AA1033" t="s">
        <v>74</v>
      </c>
      <c r="AB1033" t="s">
        <v>19363</v>
      </c>
      <c r="AC1033" t="s">
        <v>19364</v>
      </c>
      <c r="AD1033" t="s">
        <v>19365</v>
      </c>
      <c r="AE1033" t="s">
        <v>19366</v>
      </c>
      <c r="AF1033" t="s">
        <v>74</v>
      </c>
      <c r="AG1033">
        <v>41</v>
      </c>
      <c r="AH1033">
        <v>0</v>
      </c>
      <c r="AI1033">
        <v>0</v>
      </c>
      <c r="AJ1033">
        <v>5</v>
      </c>
      <c r="AK1033">
        <v>5</v>
      </c>
      <c r="AL1033" t="s">
        <v>119</v>
      </c>
      <c r="AM1033" t="s">
        <v>120</v>
      </c>
      <c r="AN1033" t="s">
        <v>121</v>
      </c>
      <c r="AO1033" t="s">
        <v>122</v>
      </c>
      <c r="AP1033" t="s">
        <v>123</v>
      </c>
      <c r="AQ1033" t="s">
        <v>74</v>
      </c>
      <c r="AR1033" t="s">
        <v>124</v>
      </c>
      <c r="AS1033" t="s">
        <v>125</v>
      </c>
      <c r="AT1033" t="s">
        <v>276</v>
      </c>
      <c r="AU1033">
        <v>2023</v>
      </c>
      <c r="AV1033">
        <v>126</v>
      </c>
      <c r="AW1033" t="s">
        <v>74</v>
      </c>
      <c r="AX1033" t="s">
        <v>9937</v>
      </c>
      <c r="AY1033" t="s">
        <v>74</v>
      </c>
      <c r="AZ1033" t="s">
        <v>74</v>
      </c>
      <c r="BA1033" t="s">
        <v>74</v>
      </c>
      <c r="BB1033" t="s">
        <v>74</v>
      </c>
      <c r="BC1033" t="s">
        <v>74</v>
      </c>
      <c r="BD1033">
        <v>106920</v>
      </c>
      <c r="BE1033" t="s">
        <v>19367</v>
      </c>
      <c r="BF1033" t="str">
        <f>HYPERLINK("http://dx.doi.org/10.1016/j.engappai.2023.106920","http://dx.doi.org/10.1016/j.engappai.2023.106920")</f>
        <v>http://dx.doi.org/10.1016/j.engappai.2023.106920</v>
      </c>
      <c r="BG1033" t="s">
        <v>74</v>
      </c>
      <c r="BH1033" t="s">
        <v>255</v>
      </c>
      <c r="BI1033">
        <v>13</v>
      </c>
      <c r="BJ1033" t="s">
        <v>129</v>
      </c>
      <c r="BK1033" t="s">
        <v>130</v>
      </c>
      <c r="BL1033" t="s">
        <v>131</v>
      </c>
      <c r="BM1033" t="s">
        <v>19368</v>
      </c>
      <c r="BN1033" t="s">
        <v>74</v>
      </c>
      <c r="BO1033" t="s">
        <v>74</v>
      </c>
      <c r="BP1033" t="s">
        <v>74</v>
      </c>
      <c r="BQ1033" t="s">
        <v>74</v>
      </c>
      <c r="BR1033" t="s">
        <v>101</v>
      </c>
      <c r="BS1033" t="s">
        <v>19369</v>
      </c>
      <c r="BT1033" t="str">
        <f>HYPERLINK("https%3A%2F%2Fwww.webofscience.com%2Fwos%2Fwoscc%2Ffull-record%2FWOS:001059218900001","View Full Record in Web of Science")</f>
        <v>View Full Record in Web of Science</v>
      </c>
    </row>
    <row r="1034" spans="1:72" x14ac:dyDescent="0.2">
      <c r="A1034" t="s">
        <v>103</v>
      </c>
      <c r="B1034" t="s">
        <v>19370</v>
      </c>
      <c r="C1034" t="s">
        <v>74</v>
      </c>
      <c r="D1034" t="s">
        <v>74</v>
      </c>
      <c r="E1034" t="s">
        <v>74</v>
      </c>
      <c r="F1034" t="s">
        <v>19371</v>
      </c>
      <c r="G1034" t="s">
        <v>74</v>
      </c>
      <c r="H1034" t="s">
        <v>74</v>
      </c>
      <c r="I1034" t="s">
        <v>19372</v>
      </c>
      <c r="J1034" t="s">
        <v>14654</v>
      </c>
      <c r="K1034" t="s">
        <v>74</v>
      </c>
      <c r="L1034" t="s">
        <v>74</v>
      </c>
      <c r="M1034" t="s">
        <v>79</v>
      </c>
      <c r="N1034" t="s">
        <v>108</v>
      </c>
      <c r="O1034" t="s">
        <v>74</v>
      </c>
      <c r="P1034" t="s">
        <v>74</v>
      </c>
      <c r="Q1034" t="s">
        <v>74</v>
      </c>
      <c r="R1034" t="s">
        <v>74</v>
      </c>
      <c r="S1034" t="s">
        <v>74</v>
      </c>
      <c r="T1034" t="s">
        <v>74</v>
      </c>
      <c r="U1034" t="s">
        <v>19373</v>
      </c>
      <c r="V1034" t="s">
        <v>19374</v>
      </c>
      <c r="W1034" t="s">
        <v>19375</v>
      </c>
      <c r="X1034" t="s">
        <v>19376</v>
      </c>
      <c r="Y1034" t="s">
        <v>19377</v>
      </c>
      <c r="Z1034" t="s">
        <v>19378</v>
      </c>
      <c r="AA1034" t="s">
        <v>19379</v>
      </c>
      <c r="AB1034" t="s">
        <v>19380</v>
      </c>
      <c r="AC1034" t="s">
        <v>74</v>
      </c>
      <c r="AD1034" t="s">
        <v>74</v>
      </c>
      <c r="AE1034" t="s">
        <v>74</v>
      </c>
      <c r="AF1034" t="s">
        <v>74</v>
      </c>
      <c r="AG1034">
        <v>74</v>
      </c>
      <c r="AH1034">
        <v>3</v>
      </c>
      <c r="AI1034">
        <v>3</v>
      </c>
      <c r="AJ1034">
        <v>35</v>
      </c>
      <c r="AK1034">
        <v>54</v>
      </c>
      <c r="AL1034" t="s">
        <v>1880</v>
      </c>
      <c r="AM1034" t="s">
        <v>369</v>
      </c>
      <c r="AN1034" t="s">
        <v>1881</v>
      </c>
      <c r="AO1034" t="s">
        <v>74</v>
      </c>
      <c r="AP1034" t="s">
        <v>14666</v>
      </c>
      <c r="AQ1034" t="s">
        <v>74</v>
      </c>
      <c r="AR1034" t="s">
        <v>14667</v>
      </c>
      <c r="AS1034" t="s">
        <v>14668</v>
      </c>
      <c r="AT1034" t="s">
        <v>19381</v>
      </c>
      <c r="AU1034">
        <v>2023</v>
      </c>
      <c r="AV1034">
        <v>14</v>
      </c>
      <c r="AW1034">
        <v>1</v>
      </c>
      <c r="AX1034" t="s">
        <v>74</v>
      </c>
      <c r="AY1034" t="s">
        <v>74</v>
      </c>
      <c r="AZ1034" t="s">
        <v>74</v>
      </c>
      <c r="BA1034" t="s">
        <v>74</v>
      </c>
      <c r="BB1034" t="s">
        <v>74</v>
      </c>
      <c r="BC1034" t="s">
        <v>74</v>
      </c>
      <c r="BD1034">
        <v>3686</v>
      </c>
      <c r="BE1034" t="s">
        <v>19382</v>
      </c>
      <c r="BF1034" t="str">
        <f>HYPERLINK("http://dx.doi.org/10.1038/s41467-023-39396-3","http://dx.doi.org/10.1038/s41467-023-39396-3")</f>
        <v>http://dx.doi.org/10.1038/s41467-023-39396-3</v>
      </c>
      <c r="BG1034" t="s">
        <v>74</v>
      </c>
      <c r="BH1034" t="s">
        <v>74</v>
      </c>
      <c r="BI1034">
        <v>15</v>
      </c>
      <c r="BJ1034" t="s">
        <v>5686</v>
      </c>
      <c r="BK1034" t="s">
        <v>130</v>
      </c>
      <c r="BL1034" t="s">
        <v>5687</v>
      </c>
      <c r="BM1034" t="s">
        <v>19383</v>
      </c>
      <c r="BN1034">
        <v>37344485</v>
      </c>
      <c r="BO1034" t="s">
        <v>4185</v>
      </c>
      <c r="BP1034" t="s">
        <v>74</v>
      </c>
      <c r="BQ1034" t="s">
        <v>74</v>
      </c>
      <c r="BR1034" t="s">
        <v>101</v>
      </c>
      <c r="BS1034" t="s">
        <v>19384</v>
      </c>
      <c r="BT1034" t="str">
        <f>HYPERLINK("https%3A%2F%2Fwww.webofscience.com%2Fwos%2Fwoscc%2Ffull-record%2FWOS:001012502600009","View Full Record in Web of Science")</f>
        <v>View Full Record in Web of Science</v>
      </c>
    </row>
    <row r="1035" spans="1:72" x14ac:dyDescent="0.2">
      <c r="A1035" t="s">
        <v>72</v>
      </c>
      <c r="B1035" t="s">
        <v>19385</v>
      </c>
      <c r="C1035" t="s">
        <v>74</v>
      </c>
      <c r="D1035" t="s">
        <v>19386</v>
      </c>
      <c r="E1035" t="s">
        <v>74</v>
      </c>
      <c r="F1035" t="s">
        <v>19387</v>
      </c>
      <c r="G1035" t="s">
        <v>74</v>
      </c>
      <c r="H1035" t="s">
        <v>74</v>
      </c>
      <c r="I1035" t="s">
        <v>19388</v>
      </c>
      <c r="J1035" t="s">
        <v>19389</v>
      </c>
      <c r="K1035" t="s">
        <v>1034</v>
      </c>
      <c r="L1035" t="s">
        <v>74</v>
      </c>
      <c r="M1035" t="s">
        <v>79</v>
      </c>
      <c r="N1035" t="s">
        <v>80</v>
      </c>
      <c r="O1035" t="s">
        <v>19390</v>
      </c>
      <c r="P1035" t="s">
        <v>19391</v>
      </c>
      <c r="Q1035" t="s">
        <v>4739</v>
      </c>
      <c r="R1035" t="s">
        <v>19392</v>
      </c>
      <c r="S1035" t="s">
        <v>74</v>
      </c>
      <c r="T1035" t="s">
        <v>19393</v>
      </c>
      <c r="U1035" t="s">
        <v>19394</v>
      </c>
      <c r="V1035" t="s">
        <v>19395</v>
      </c>
      <c r="W1035" t="s">
        <v>19396</v>
      </c>
      <c r="X1035" t="s">
        <v>9584</v>
      </c>
      <c r="Y1035" t="s">
        <v>19397</v>
      </c>
      <c r="Z1035" t="s">
        <v>19398</v>
      </c>
      <c r="AA1035" t="s">
        <v>74</v>
      </c>
      <c r="AB1035" t="s">
        <v>74</v>
      </c>
      <c r="AC1035" t="s">
        <v>74</v>
      </c>
      <c r="AD1035" t="s">
        <v>74</v>
      </c>
      <c r="AE1035" t="s">
        <v>74</v>
      </c>
      <c r="AF1035" t="s">
        <v>74</v>
      </c>
      <c r="AG1035">
        <v>41</v>
      </c>
      <c r="AH1035">
        <v>0</v>
      </c>
      <c r="AI1035">
        <v>0</v>
      </c>
      <c r="AJ1035">
        <v>5</v>
      </c>
      <c r="AK1035">
        <v>5</v>
      </c>
      <c r="AL1035" t="s">
        <v>325</v>
      </c>
      <c r="AM1035" t="s">
        <v>245</v>
      </c>
      <c r="AN1035" t="s">
        <v>246</v>
      </c>
      <c r="AO1035" t="s">
        <v>1042</v>
      </c>
      <c r="AP1035" t="s">
        <v>327</v>
      </c>
      <c r="AQ1035" t="s">
        <v>19399</v>
      </c>
      <c r="AR1035" t="s">
        <v>1044</v>
      </c>
      <c r="AS1035" t="s">
        <v>74</v>
      </c>
      <c r="AT1035" t="s">
        <v>74</v>
      </c>
      <c r="AU1035">
        <v>2023</v>
      </c>
      <c r="AV1035">
        <v>13539</v>
      </c>
      <c r="AW1035" t="s">
        <v>74</v>
      </c>
      <c r="AX1035" t="s">
        <v>74</v>
      </c>
      <c r="AY1035" t="s">
        <v>74</v>
      </c>
      <c r="AZ1035" t="s">
        <v>74</v>
      </c>
      <c r="BA1035" t="s">
        <v>74</v>
      </c>
      <c r="BB1035">
        <v>260</v>
      </c>
      <c r="BC1035">
        <v>270</v>
      </c>
      <c r="BD1035" t="s">
        <v>74</v>
      </c>
      <c r="BE1035" t="s">
        <v>19400</v>
      </c>
      <c r="BF1035" t="str">
        <f>HYPERLINK("http://dx.doi.org/10.1007/978-3-031-19907-3_27","http://dx.doi.org/10.1007/978-3-031-19907-3_27")</f>
        <v>http://dx.doi.org/10.1007/978-3-031-19907-3_27</v>
      </c>
      <c r="BG1035" t="s">
        <v>74</v>
      </c>
      <c r="BH1035" t="s">
        <v>74</v>
      </c>
      <c r="BI1035">
        <v>11</v>
      </c>
      <c r="BJ1035" t="s">
        <v>304</v>
      </c>
      <c r="BK1035" t="s">
        <v>98</v>
      </c>
      <c r="BL1035" t="s">
        <v>99</v>
      </c>
      <c r="BM1035" t="s">
        <v>19401</v>
      </c>
      <c r="BN1035" t="s">
        <v>74</v>
      </c>
      <c r="BO1035" t="s">
        <v>74</v>
      </c>
      <c r="BP1035" t="s">
        <v>74</v>
      </c>
      <c r="BQ1035" t="s">
        <v>74</v>
      </c>
      <c r="BR1035" t="s">
        <v>101</v>
      </c>
      <c r="BS1035" t="s">
        <v>19402</v>
      </c>
      <c r="BT1035" t="str">
        <f>HYPERLINK("https%3A%2F%2Fwww.webofscience.com%2Fwos%2Fwoscc%2Ffull-record%2FWOS:000971476600025","View Full Record in Web of Science")</f>
        <v>View Full Record in Web of Science</v>
      </c>
    </row>
    <row r="1036" spans="1:72" x14ac:dyDescent="0.2">
      <c r="A1036" t="s">
        <v>103</v>
      </c>
      <c r="B1036" t="s">
        <v>19403</v>
      </c>
      <c r="C1036" t="s">
        <v>74</v>
      </c>
      <c r="D1036" t="s">
        <v>74</v>
      </c>
      <c r="E1036" t="s">
        <v>74</v>
      </c>
      <c r="F1036" t="s">
        <v>19404</v>
      </c>
      <c r="G1036" t="s">
        <v>74</v>
      </c>
      <c r="H1036" t="s">
        <v>74</v>
      </c>
      <c r="I1036" t="s">
        <v>19405</v>
      </c>
      <c r="J1036" t="s">
        <v>19406</v>
      </c>
      <c r="K1036" t="s">
        <v>74</v>
      </c>
      <c r="L1036" t="s">
        <v>74</v>
      </c>
      <c r="M1036" t="s">
        <v>79</v>
      </c>
      <c r="N1036" t="s">
        <v>108</v>
      </c>
      <c r="O1036" t="s">
        <v>74</v>
      </c>
      <c r="P1036" t="s">
        <v>74</v>
      </c>
      <c r="Q1036" t="s">
        <v>74</v>
      </c>
      <c r="R1036" t="s">
        <v>74</v>
      </c>
      <c r="S1036" t="s">
        <v>74</v>
      </c>
      <c r="T1036" t="s">
        <v>19407</v>
      </c>
      <c r="U1036" t="s">
        <v>19408</v>
      </c>
      <c r="V1036" t="s">
        <v>19409</v>
      </c>
      <c r="W1036" t="s">
        <v>19410</v>
      </c>
      <c r="X1036" t="s">
        <v>7103</v>
      </c>
      <c r="Y1036" t="s">
        <v>19411</v>
      </c>
      <c r="Z1036" t="s">
        <v>19412</v>
      </c>
      <c r="AA1036" t="s">
        <v>19413</v>
      </c>
      <c r="AB1036" t="s">
        <v>74</v>
      </c>
      <c r="AC1036" t="s">
        <v>13029</v>
      </c>
      <c r="AD1036" t="s">
        <v>13030</v>
      </c>
      <c r="AE1036" t="s">
        <v>19414</v>
      </c>
      <c r="AF1036" t="s">
        <v>74</v>
      </c>
      <c r="AG1036">
        <v>232</v>
      </c>
      <c r="AH1036">
        <v>1</v>
      </c>
      <c r="AI1036">
        <v>1</v>
      </c>
      <c r="AJ1036">
        <v>21</v>
      </c>
      <c r="AK1036">
        <v>46</v>
      </c>
      <c r="AL1036" t="s">
        <v>92</v>
      </c>
      <c r="AM1036" t="s">
        <v>93</v>
      </c>
      <c r="AN1036" t="s">
        <v>3186</v>
      </c>
      <c r="AO1036" t="s">
        <v>19415</v>
      </c>
      <c r="AP1036" t="s">
        <v>19416</v>
      </c>
      <c r="AQ1036" t="s">
        <v>74</v>
      </c>
      <c r="AR1036" t="s">
        <v>19417</v>
      </c>
      <c r="AS1036" t="s">
        <v>19418</v>
      </c>
      <c r="AT1036" t="s">
        <v>527</v>
      </c>
      <c r="AU1036">
        <v>2023</v>
      </c>
      <c r="AV1036">
        <v>55</v>
      </c>
      <c r="AW1036">
        <v>12</v>
      </c>
      <c r="AX1036" t="s">
        <v>74</v>
      </c>
      <c r="AY1036" t="s">
        <v>74</v>
      </c>
      <c r="AZ1036" t="s">
        <v>74</v>
      </c>
      <c r="BA1036" t="s">
        <v>74</v>
      </c>
      <c r="BB1036" t="s">
        <v>74</v>
      </c>
      <c r="BC1036" t="s">
        <v>74</v>
      </c>
      <c r="BD1036" t="s">
        <v>74</v>
      </c>
      <c r="BE1036" t="s">
        <v>19419</v>
      </c>
      <c r="BF1036" t="str">
        <f>HYPERLINK("http://dx.doi.org/10.1145/3575656","http://dx.doi.org/10.1145/3575656")</f>
        <v>http://dx.doi.org/10.1145/3575656</v>
      </c>
      <c r="BG1036" t="s">
        <v>74</v>
      </c>
      <c r="BH1036" t="s">
        <v>74</v>
      </c>
      <c r="BI1036">
        <v>37</v>
      </c>
      <c r="BJ1036" t="s">
        <v>9575</v>
      </c>
      <c r="BK1036" t="s">
        <v>130</v>
      </c>
      <c r="BL1036" t="s">
        <v>99</v>
      </c>
      <c r="BM1036" t="s">
        <v>19420</v>
      </c>
      <c r="BN1036" t="s">
        <v>74</v>
      </c>
      <c r="BO1036" t="s">
        <v>646</v>
      </c>
      <c r="BP1036" t="s">
        <v>74</v>
      </c>
      <c r="BQ1036" t="s">
        <v>74</v>
      </c>
      <c r="BR1036" t="s">
        <v>101</v>
      </c>
      <c r="BS1036" t="s">
        <v>19421</v>
      </c>
      <c r="BT1036" t="str">
        <f>HYPERLINK("https%3A%2F%2Fwww.webofscience.com%2Fwos%2Fwoscc%2Ffull-record%2FWOS:000952547400017","View Full Record in Web of Science")</f>
        <v>View Full Record in Web of Science</v>
      </c>
    </row>
    <row r="1037" spans="1:72" x14ac:dyDescent="0.2">
      <c r="A1037" t="s">
        <v>103</v>
      </c>
      <c r="B1037" t="s">
        <v>19422</v>
      </c>
      <c r="C1037" t="s">
        <v>74</v>
      </c>
      <c r="D1037" t="s">
        <v>74</v>
      </c>
      <c r="E1037" t="s">
        <v>74</v>
      </c>
      <c r="F1037" t="s">
        <v>19423</v>
      </c>
      <c r="G1037" t="s">
        <v>74</v>
      </c>
      <c r="H1037" t="s">
        <v>74</v>
      </c>
      <c r="I1037" t="s">
        <v>19424</v>
      </c>
      <c r="J1037" t="s">
        <v>705</v>
      </c>
      <c r="K1037" t="s">
        <v>74</v>
      </c>
      <c r="L1037" t="s">
        <v>74</v>
      </c>
      <c r="M1037" t="s">
        <v>79</v>
      </c>
      <c r="N1037" t="s">
        <v>108</v>
      </c>
      <c r="O1037" t="s">
        <v>74</v>
      </c>
      <c r="P1037" t="s">
        <v>74</v>
      </c>
      <c r="Q1037" t="s">
        <v>74</v>
      </c>
      <c r="R1037" t="s">
        <v>74</v>
      </c>
      <c r="S1037" t="s">
        <v>74</v>
      </c>
      <c r="T1037" t="s">
        <v>19425</v>
      </c>
      <c r="U1037" t="s">
        <v>19426</v>
      </c>
      <c r="V1037" t="s">
        <v>19427</v>
      </c>
      <c r="W1037" t="s">
        <v>19428</v>
      </c>
      <c r="X1037" t="s">
        <v>19429</v>
      </c>
      <c r="Y1037" t="s">
        <v>19430</v>
      </c>
      <c r="Z1037" t="s">
        <v>19431</v>
      </c>
      <c r="AA1037" t="s">
        <v>19432</v>
      </c>
      <c r="AB1037" t="s">
        <v>19433</v>
      </c>
      <c r="AC1037" t="s">
        <v>74</v>
      </c>
      <c r="AD1037" t="s">
        <v>74</v>
      </c>
      <c r="AE1037" t="s">
        <v>74</v>
      </c>
      <c r="AF1037" t="s">
        <v>74</v>
      </c>
      <c r="AG1037">
        <v>44</v>
      </c>
      <c r="AH1037">
        <v>33</v>
      </c>
      <c r="AI1037">
        <v>33</v>
      </c>
      <c r="AJ1037">
        <v>402</v>
      </c>
      <c r="AK1037">
        <v>684</v>
      </c>
      <c r="AL1037" t="s">
        <v>343</v>
      </c>
      <c r="AM1037" t="s">
        <v>93</v>
      </c>
      <c r="AN1037" t="s">
        <v>344</v>
      </c>
      <c r="AO1037" t="s">
        <v>714</v>
      </c>
      <c r="AP1037" t="s">
        <v>715</v>
      </c>
      <c r="AQ1037" t="s">
        <v>74</v>
      </c>
      <c r="AR1037" t="s">
        <v>716</v>
      </c>
      <c r="AS1037" t="s">
        <v>717</v>
      </c>
      <c r="AT1037" t="s">
        <v>527</v>
      </c>
      <c r="AU1037">
        <v>2023</v>
      </c>
      <c r="AV1037">
        <v>28</v>
      </c>
      <c r="AW1037">
        <v>12</v>
      </c>
      <c r="AX1037" t="s">
        <v>74</v>
      </c>
      <c r="AY1037" t="s">
        <v>74</v>
      </c>
      <c r="AZ1037" t="s">
        <v>74</v>
      </c>
      <c r="BA1037" t="s">
        <v>74</v>
      </c>
      <c r="BB1037">
        <v>15873</v>
      </c>
      <c r="BC1037">
        <v>15892</v>
      </c>
      <c r="BD1037" t="s">
        <v>74</v>
      </c>
      <c r="BE1037" t="s">
        <v>19434</v>
      </c>
      <c r="BF1037" t="str">
        <f>HYPERLINK("http://dx.doi.org/10.1007/s10639-023-11834-1","http://dx.doi.org/10.1007/s10639-023-11834-1")</f>
        <v>http://dx.doi.org/10.1007/s10639-023-11834-1</v>
      </c>
      <c r="BG1037" t="s">
        <v>74</v>
      </c>
      <c r="BH1037" t="s">
        <v>2889</v>
      </c>
      <c r="BI1037">
        <v>20</v>
      </c>
      <c r="BJ1037" t="s">
        <v>423</v>
      </c>
      <c r="BK1037" t="s">
        <v>159</v>
      </c>
      <c r="BL1037" t="s">
        <v>423</v>
      </c>
      <c r="BM1037" t="s">
        <v>19435</v>
      </c>
      <c r="BN1037" t="s">
        <v>74</v>
      </c>
      <c r="BO1037" t="s">
        <v>74</v>
      </c>
      <c r="BP1037" t="s">
        <v>1434</v>
      </c>
      <c r="BQ1037" t="s">
        <v>1912</v>
      </c>
      <c r="BR1037" t="s">
        <v>101</v>
      </c>
      <c r="BS1037" t="s">
        <v>19436</v>
      </c>
      <c r="BT1037" t="str">
        <f>HYPERLINK("https%3A%2F%2Fwww.webofscience.com%2Fwos%2Fwoscc%2Ffull-record%2FWOS:000984011500002","View Full Record in Web of Science")</f>
        <v>View Full Record in Web of Science</v>
      </c>
    </row>
    <row r="1038" spans="1:72" x14ac:dyDescent="0.2">
      <c r="A1038" t="s">
        <v>103</v>
      </c>
      <c r="B1038" t="s">
        <v>19437</v>
      </c>
      <c r="C1038" t="s">
        <v>74</v>
      </c>
      <c r="D1038" t="s">
        <v>74</v>
      </c>
      <c r="E1038" t="s">
        <v>74</v>
      </c>
      <c r="F1038" t="s">
        <v>19438</v>
      </c>
      <c r="G1038" t="s">
        <v>74</v>
      </c>
      <c r="H1038" t="s">
        <v>74</v>
      </c>
      <c r="I1038" t="s">
        <v>19439</v>
      </c>
      <c r="J1038" t="s">
        <v>14494</v>
      </c>
      <c r="K1038" t="s">
        <v>74</v>
      </c>
      <c r="L1038" t="s">
        <v>74</v>
      </c>
      <c r="M1038" t="s">
        <v>79</v>
      </c>
      <c r="N1038" t="s">
        <v>108</v>
      </c>
      <c r="O1038" t="s">
        <v>74</v>
      </c>
      <c r="P1038" t="s">
        <v>74</v>
      </c>
      <c r="Q1038" t="s">
        <v>74</v>
      </c>
      <c r="R1038" t="s">
        <v>74</v>
      </c>
      <c r="S1038" t="s">
        <v>74</v>
      </c>
      <c r="T1038" t="s">
        <v>19440</v>
      </c>
      <c r="U1038" t="s">
        <v>74</v>
      </c>
      <c r="V1038" t="s">
        <v>19441</v>
      </c>
      <c r="W1038" t="s">
        <v>19442</v>
      </c>
      <c r="X1038" t="s">
        <v>19443</v>
      </c>
      <c r="Y1038" t="s">
        <v>19444</v>
      </c>
      <c r="Z1038" t="s">
        <v>19445</v>
      </c>
      <c r="AA1038" t="s">
        <v>19446</v>
      </c>
      <c r="AB1038" t="s">
        <v>19447</v>
      </c>
      <c r="AC1038" t="s">
        <v>74</v>
      </c>
      <c r="AD1038" t="s">
        <v>74</v>
      </c>
      <c r="AE1038" t="s">
        <v>74</v>
      </c>
      <c r="AF1038" t="s">
        <v>74</v>
      </c>
      <c r="AG1038">
        <v>52</v>
      </c>
      <c r="AH1038">
        <v>0</v>
      </c>
      <c r="AI1038">
        <v>0</v>
      </c>
      <c r="AJ1038">
        <v>0</v>
      </c>
      <c r="AK1038">
        <v>0</v>
      </c>
      <c r="AL1038" t="s">
        <v>10360</v>
      </c>
      <c r="AM1038" t="s">
        <v>10361</v>
      </c>
      <c r="AN1038" t="s">
        <v>10362</v>
      </c>
      <c r="AO1038" t="s">
        <v>14507</v>
      </c>
      <c r="AP1038" t="s">
        <v>14508</v>
      </c>
      <c r="AQ1038" t="s">
        <v>74</v>
      </c>
      <c r="AR1038" t="s">
        <v>14509</v>
      </c>
      <c r="AS1038" t="s">
        <v>14510</v>
      </c>
      <c r="AT1038" t="s">
        <v>74</v>
      </c>
      <c r="AU1038">
        <v>2023</v>
      </c>
      <c r="AV1038">
        <v>76</v>
      </c>
      <c r="AW1038">
        <v>1</v>
      </c>
      <c r="AX1038" t="s">
        <v>74</v>
      </c>
      <c r="AY1038" t="s">
        <v>74</v>
      </c>
      <c r="AZ1038" t="s">
        <v>74</v>
      </c>
      <c r="BA1038" t="s">
        <v>74</v>
      </c>
      <c r="BB1038">
        <v>915</v>
      </c>
      <c r="BC1038">
        <v>938</v>
      </c>
      <c r="BD1038" t="s">
        <v>74</v>
      </c>
      <c r="BE1038" t="s">
        <v>19448</v>
      </c>
      <c r="BF1038" t="str">
        <f>HYPERLINK("http://dx.doi.org/10.32604/cmc.2023.038847","http://dx.doi.org/10.32604/cmc.2023.038847")</f>
        <v>http://dx.doi.org/10.32604/cmc.2023.038847</v>
      </c>
      <c r="BG1038" t="s">
        <v>74</v>
      </c>
      <c r="BH1038" t="s">
        <v>74</v>
      </c>
      <c r="BI1038">
        <v>24</v>
      </c>
      <c r="BJ1038" t="s">
        <v>14512</v>
      </c>
      <c r="BK1038" t="s">
        <v>130</v>
      </c>
      <c r="BL1038" t="s">
        <v>14513</v>
      </c>
      <c r="BM1038" t="s">
        <v>19449</v>
      </c>
      <c r="BN1038" t="s">
        <v>74</v>
      </c>
      <c r="BO1038" t="s">
        <v>425</v>
      </c>
      <c r="BP1038" t="s">
        <v>74</v>
      </c>
      <c r="BQ1038" t="s">
        <v>74</v>
      </c>
      <c r="BR1038" t="s">
        <v>101</v>
      </c>
      <c r="BS1038" t="s">
        <v>19450</v>
      </c>
      <c r="BT1038" t="str">
        <f>HYPERLINK("https%3A%2F%2Fwww.webofscience.com%2Fwos%2Fwoscc%2Ffull-record%2FWOS:001018251400018","View Full Record in Web of Science")</f>
        <v>View Full Record in Web of Science</v>
      </c>
    </row>
    <row r="1039" spans="1:72" x14ac:dyDescent="0.2">
      <c r="A1039" t="s">
        <v>103</v>
      </c>
      <c r="B1039" t="s">
        <v>19451</v>
      </c>
      <c r="C1039" t="s">
        <v>74</v>
      </c>
      <c r="D1039" t="s">
        <v>74</v>
      </c>
      <c r="E1039" t="s">
        <v>74</v>
      </c>
      <c r="F1039" t="s">
        <v>19452</v>
      </c>
      <c r="G1039" t="s">
        <v>74</v>
      </c>
      <c r="H1039" t="s">
        <v>74</v>
      </c>
      <c r="I1039" t="s">
        <v>19453</v>
      </c>
      <c r="J1039" t="s">
        <v>19454</v>
      </c>
      <c r="K1039" t="s">
        <v>74</v>
      </c>
      <c r="L1039" t="s">
        <v>74</v>
      </c>
      <c r="M1039" t="s">
        <v>79</v>
      </c>
      <c r="N1039" t="s">
        <v>108</v>
      </c>
      <c r="O1039" t="s">
        <v>74</v>
      </c>
      <c r="P1039" t="s">
        <v>74</v>
      </c>
      <c r="Q1039" t="s">
        <v>74</v>
      </c>
      <c r="R1039" t="s">
        <v>74</v>
      </c>
      <c r="S1039" t="s">
        <v>74</v>
      </c>
      <c r="T1039" t="s">
        <v>74</v>
      </c>
      <c r="U1039" t="s">
        <v>74</v>
      </c>
      <c r="V1039" t="s">
        <v>19455</v>
      </c>
      <c r="W1039" t="s">
        <v>19456</v>
      </c>
      <c r="X1039" t="s">
        <v>19457</v>
      </c>
      <c r="Y1039" t="s">
        <v>19458</v>
      </c>
      <c r="Z1039" t="s">
        <v>74</v>
      </c>
      <c r="AA1039" t="s">
        <v>19459</v>
      </c>
      <c r="AB1039" t="s">
        <v>19460</v>
      </c>
      <c r="AC1039" t="s">
        <v>19461</v>
      </c>
      <c r="AD1039" t="s">
        <v>19462</v>
      </c>
      <c r="AE1039" t="s">
        <v>19463</v>
      </c>
      <c r="AF1039" t="s">
        <v>74</v>
      </c>
      <c r="AG1039">
        <v>55</v>
      </c>
      <c r="AH1039">
        <v>3</v>
      </c>
      <c r="AI1039">
        <v>3</v>
      </c>
      <c r="AJ1039">
        <v>36</v>
      </c>
      <c r="AK1039">
        <v>36</v>
      </c>
      <c r="AL1039" t="s">
        <v>8598</v>
      </c>
      <c r="AM1039" t="s">
        <v>8599</v>
      </c>
      <c r="AN1039" t="s">
        <v>8600</v>
      </c>
      <c r="AO1039" t="s">
        <v>19464</v>
      </c>
      <c r="AP1039" t="s">
        <v>74</v>
      </c>
      <c r="AQ1039" t="s">
        <v>74</v>
      </c>
      <c r="AR1039" t="s">
        <v>19465</v>
      </c>
      <c r="AS1039" t="s">
        <v>19466</v>
      </c>
      <c r="AT1039" t="s">
        <v>7855</v>
      </c>
      <c r="AU1039">
        <v>2023</v>
      </c>
      <c r="AV1039">
        <v>19</v>
      </c>
      <c r="AW1039">
        <v>2</v>
      </c>
      <c r="AX1039" t="s">
        <v>74</v>
      </c>
      <c r="AY1039" t="s">
        <v>74</v>
      </c>
      <c r="AZ1039" t="s">
        <v>74</v>
      </c>
      <c r="BA1039" t="s">
        <v>74</v>
      </c>
      <c r="BB1039" t="s">
        <v>74</v>
      </c>
      <c r="BC1039" t="s">
        <v>74</v>
      </c>
      <c r="BD1039">
        <v>20150</v>
      </c>
      <c r="BE1039" t="s">
        <v>19467</v>
      </c>
      <c r="BF1039" t="str">
        <f>HYPERLINK("http://dx.doi.org/10.1103/PhysRevPhysEducRes.19.020150","http://dx.doi.org/10.1103/PhysRevPhysEducRes.19.020150")</f>
        <v>http://dx.doi.org/10.1103/PhysRevPhysEducRes.19.020150</v>
      </c>
      <c r="BG1039" t="s">
        <v>74</v>
      </c>
      <c r="BH1039" t="s">
        <v>74</v>
      </c>
      <c r="BI1039">
        <v>13</v>
      </c>
      <c r="BJ1039" t="s">
        <v>5766</v>
      </c>
      <c r="BK1039" t="s">
        <v>947</v>
      </c>
      <c r="BL1039" t="s">
        <v>423</v>
      </c>
      <c r="BM1039" t="s">
        <v>19468</v>
      </c>
      <c r="BN1039" t="s">
        <v>74</v>
      </c>
      <c r="BO1039" t="s">
        <v>1711</v>
      </c>
      <c r="BP1039" t="s">
        <v>74</v>
      </c>
      <c r="BQ1039" t="s">
        <v>74</v>
      </c>
      <c r="BR1039" t="s">
        <v>101</v>
      </c>
      <c r="BS1039" t="s">
        <v>19469</v>
      </c>
      <c r="BT1039" t="str">
        <f>HYPERLINK("https%3A%2F%2Fwww.webofscience.com%2Fwos%2Fwoscc%2Ffull-record%2FWOS:001122891200001","View Full Record in Web of Science")</f>
        <v>View Full Record in Web of Science</v>
      </c>
    </row>
    <row r="1040" spans="1:72" x14ac:dyDescent="0.2">
      <c r="A1040" t="s">
        <v>103</v>
      </c>
      <c r="B1040" t="s">
        <v>19470</v>
      </c>
      <c r="C1040" t="s">
        <v>74</v>
      </c>
      <c r="D1040" t="s">
        <v>74</v>
      </c>
      <c r="E1040" t="s">
        <v>74</v>
      </c>
      <c r="F1040" t="s">
        <v>19471</v>
      </c>
      <c r="G1040" t="s">
        <v>74</v>
      </c>
      <c r="H1040" t="s">
        <v>74</v>
      </c>
      <c r="I1040" t="s">
        <v>19472</v>
      </c>
      <c r="J1040" t="s">
        <v>19473</v>
      </c>
      <c r="K1040" t="s">
        <v>74</v>
      </c>
      <c r="L1040" t="s">
        <v>74</v>
      </c>
      <c r="M1040" t="s">
        <v>79</v>
      </c>
      <c r="N1040" t="s">
        <v>108</v>
      </c>
      <c r="O1040" t="s">
        <v>74</v>
      </c>
      <c r="P1040" t="s">
        <v>74</v>
      </c>
      <c r="Q1040" t="s">
        <v>74</v>
      </c>
      <c r="R1040" t="s">
        <v>74</v>
      </c>
      <c r="S1040" t="s">
        <v>74</v>
      </c>
      <c r="T1040" t="s">
        <v>19474</v>
      </c>
      <c r="U1040" t="s">
        <v>74</v>
      </c>
      <c r="V1040" t="s">
        <v>19475</v>
      </c>
      <c r="W1040" t="s">
        <v>19476</v>
      </c>
      <c r="X1040" t="s">
        <v>19477</v>
      </c>
      <c r="Y1040" t="s">
        <v>19478</v>
      </c>
      <c r="Z1040" t="s">
        <v>19479</v>
      </c>
      <c r="AA1040" t="s">
        <v>74</v>
      </c>
      <c r="AB1040" t="s">
        <v>74</v>
      </c>
      <c r="AC1040" t="s">
        <v>19480</v>
      </c>
      <c r="AD1040" t="s">
        <v>19481</v>
      </c>
      <c r="AE1040" t="s">
        <v>19482</v>
      </c>
      <c r="AF1040" t="s">
        <v>74</v>
      </c>
      <c r="AG1040">
        <v>11</v>
      </c>
      <c r="AH1040">
        <v>0</v>
      </c>
      <c r="AI1040">
        <v>0</v>
      </c>
      <c r="AJ1040">
        <v>8</v>
      </c>
      <c r="AK1040">
        <v>8</v>
      </c>
      <c r="AL1040" t="s">
        <v>2010</v>
      </c>
      <c r="AM1040" t="s">
        <v>93</v>
      </c>
      <c r="AN1040" t="s">
        <v>2011</v>
      </c>
      <c r="AO1040" t="s">
        <v>19483</v>
      </c>
      <c r="AP1040" t="s">
        <v>19484</v>
      </c>
      <c r="AQ1040" t="s">
        <v>74</v>
      </c>
      <c r="AR1040" t="s">
        <v>19485</v>
      </c>
      <c r="AS1040" t="s">
        <v>19486</v>
      </c>
      <c r="AT1040" t="s">
        <v>251</v>
      </c>
      <c r="AU1040">
        <v>2024</v>
      </c>
      <c r="AV1040">
        <v>87</v>
      </c>
      <c r="AW1040" t="s">
        <v>74</v>
      </c>
      <c r="AX1040" t="s">
        <v>74</v>
      </c>
      <c r="AY1040" t="s">
        <v>74</v>
      </c>
      <c r="AZ1040" t="s">
        <v>74</v>
      </c>
      <c r="BA1040" t="s">
        <v>74</v>
      </c>
      <c r="BB1040" t="s">
        <v>74</v>
      </c>
      <c r="BC1040" t="s">
        <v>74</v>
      </c>
      <c r="BD1040">
        <v>101487</v>
      </c>
      <c r="BE1040" t="s">
        <v>19487</v>
      </c>
      <c r="BF1040" t="str">
        <f>HYPERLINK("http://dx.doi.org/10.1016/j.ecns.2023.101487","http://dx.doi.org/10.1016/j.ecns.2023.101487")</f>
        <v>http://dx.doi.org/10.1016/j.ecns.2023.101487</v>
      </c>
      <c r="BG1040" t="s">
        <v>74</v>
      </c>
      <c r="BH1040" t="s">
        <v>128</v>
      </c>
      <c r="BI1040">
        <v>7</v>
      </c>
      <c r="BJ1040" t="s">
        <v>3173</v>
      </c>
      <c r="BK1040" t="s">
        <v>947</v>
      </c>
      <c r="BL1040" t="s">
        <v>3173</v>
      </c>
      <c r="BM1040" t="s">
        <v>19488</v>
      </c>
      <c r="BN1040" t="s">
        <v>74</v>
      </c>
      <c r="BO1040" t="s">
        <v>74</v>
      </c>
      <c r="BP1040" t="s">
        <v>74</v>
      </c>
      <c r="BQ1040" t="s">
        <v>74</v>
      </c>
      <c r="BR1040" t="s">
        <v>101</v>
      </c>
      <c r="BS1040" t="s">
        <v>19489</v>
      </c>
      <c r="BT1040" t="str">
        <f>HYPERLINK("https%3A%2F%2Fwww.webofscience.com%2Fwos%2Fwoscc%2Ffull-record%2FWOS:001147368600001","View Full Record in Web of Science")</f>
        <v>View Full Record in Web of Science</v>
      </c>
    </row>
    <row r="1041" spans="1:72" x14ac:dyDescent="0.2">
      <c r="A1041" t="s">
        <v>103</v>
      </c>
      <c r="B1041" t="s">
        <v>19490</v>
      </c>
      <c r="C1041" t="s">
        <v>74</v>
      </c>
      <c r="D1041" t="s">
        <v>74</v>
      </c>
      <c r="E1041" t="s">
        <v>74</v>
      </c>
      <c r="F1041" t="s">
        <v>19491</v>
      </c>
      <c r="G1041" t="s">
        <v>74</v>
      </c>
      <c r="H1041" t="s">
        <v>74</v>
      </c>
      <c r="I1041" t="s">
        <v>19492</v>
      </c>
      <c r="J1041" t="s">
        <v>3782</v>
      </c>
      <c r="K1041" t="s">
        <v>74</v>
      </c>
      <c r="L1041" t="s">
        <v>74</v>
      </c>
      <c r="M1041" t="s">
        <v>79</v>
      </c>
      <c r="N1041" t="s">
        <v>108</v>
      </c>
      <c r="O1041" t="s">
        <v>74</v>
      </c>
      <c r="P1041" t="s">
        <v>74</v>
      </c>
      <c r="Q1041" t="s">
        <v>74</v>
      </c>
      <c r="R1041" t="s">
        <v>74</v>
      </c>
      <c r="S1041" t="s">
        <v>74</v>
      </c>
      <c r="T1041" t="s">
        <v>19493</v>
      </c>
      <c r="U1041" t="s">
        <v>74</v>
      </c>
      <c r="V1041" t="s">
        <v>19494</v>
      </c>
      <c r="W1041" t="s">
        <v>19495</v>
      </c>
      <c r="X1041" t="s">
        <v>19496</v>
      </c>
      <c r="Y1041" t="s">
        <v>19497</v>
      </c>
      <c r="Z1041" t="s">
        <v>19498</v>
      </c>
      <c r="AA1041" t="s">
        <v>19499</v>
      </c>
      <c r="AB1041" t="s">
        <v>19500</v>
      </c>
      <c r="AC1041" t="s">
        <v>19501</v>
      </c>
      <c r="AD1041" t="s">
        <v>19502</v>
      </c>
      <c r="AE1041" t="s">
        <v>19503</v>
      </c>
      <c r="AF1041" t="s">
        <v>74</v>
      </c>
      <c r="AG1041">
        <v>38</v>
      </c>
      <c r="AH1041">
        <v>0</v>
      </c>
      <c r="AI1041">
        <v>0</v>
      </c>
      <c r="AJ1041">
        <v>2</v>
      </c>
      <c r="AK1041">
        <v>2</v>
      </c>
      <c r="AL1041" t="s">
        <v>1379</v>
      </c>
      <c r="AM1041" t="s">
        <v>1380</v>
      </c>
      <c r="AN1041" t="s">
        <v>1381</v>
      </c>
      <c r="AO1041" t="s">
        <v>3794</v>
      </c>
      <c r="AP1041" t="s">
        <v>3795</v>
      </c>
      <c r="AQ1041" t="s">
        <v>74</v>
      </c>
      <c r="AR1041" t="s">
        <v>3796</v>
      </c>
      <c r="AS1041" t="s">
        <v>3797</v>
      </c>
      <c r="AT1041" t="s">
        <v>74</v>
      </c>
      <c r="AU1041">
        <v>2023</v>
      </c>
      <c r="AV1041">
        <v>25</v>
      </c>
      <c r="AW1041" t="s">
        <v>74</v>
      </c>
      <c r="AX1041" t="s">
        <v>74</v>
      </c>
      <c r="AY1041" t="s">
        <v>74</v>
      </c>
      <c r="AZ1041" t="s">
        <v>74</v>
      </c>
      <c r="BA1041" t="s">
        <v>74</v>
      </c>
      <c r="BB1041">
        <v>4213</v>
      </c>
      <c r="BC1041">
        <v>4224</v>
      </c>
      <c r="BD1041" t="s">
        <v>74</v>
      </c>
      <c r="BE1041" t="s">
        <v>19504</v>
      </c>
      <c r="BF1041" t="str">
        <f>HYPERLINK("http://dx.doi.org/10.1109/TMM.2022.3172548","http://dx.doi.org/10.1109/TMM.2022.3172548")</f>
        <v>http://dx.doi.org/10.1109/TMM.2022.3172548</v>
      </c>
      <c r="BG1041" t="s">
        <v>74</v>
      </c>
      <c r="BH1041" t="s">
        <v>74</v>
      </c>
      <c r="BI1041">
        <v>12</v>
      </c>
      <c r="BJ1041" t="s">
        <v>3799</v>
      </c>
      <c r="BK1041" t="s">
        <v>130</v>
      </c>
      <c r="BL1041" t="s">
        <v>644</v>
      </c>
      <c r="BM1041" t="s">
        <v>19505</v>
      </c>
      <c r="BN1041" t="s">
        <v>74</v>
      </c>
      <c r="BO1041" t="s">
        <v>74</v>
      </c>
      <c r="BP1041" t="s">
        <v>74</v>
      </c>
      <c r="BQ1041" t="s">
        <v>74</v>
      </c>
      <c r="BR1041" t="s">
        <v>101</v>
      </c>
      <c r="BS1041" t="s">
        <v>19506</v>
      </c>
      <c r="BT1041" t="str">
        <f>HYPERLINK("https%3A%2F%2Fwww.webofscience.com%2Fwos%2Fwoscc%2Ffull-record%2FWOS:001089390200011","View Full Record in Web of Science")</f>
        <v>View Full Record in Web of Science</v>
      </c>
    </row>
    <row r="1042" spans="1:72" x14ac:dyDescent="0.2">
      <c r="A1042" t="s">
        <v>72</v>
      </c>
      <c r="B1042" t="s">
        <v>19507</v>
      </c>
      <c r="C1042" t="s">
        <v>74</v>
      </c>
      <c r="D1042" t="s">
        <v>74</v>
      </c>
      <c r="E1042" t="s">
        <v>284</v>
      </c>
      <c r="F1042" t="s">
        <v>19508</v>
      </c>
      <c r="G1042" t="s">
        <v>74</v>
      </c>
      <c r="H1042" t="s">
        <v>74</v>
      </c>
      <c r="I1042" t="s">
        <v>19509</v>
      </c>
      <c r="J1042" t="s">
        <v>19510</v>
      </c>
      <c r="K1042" t="s">
        <v>19511</v>
      </c>
      <c r="L1042" t="s">
        <v>74</v>
      </c>
      <c r="M1042" t="s">
        <v>79</v>
      </c>
      <c r="N1042" t="s">
        <v>80</v>
      </c>
      <c r="O1042" t="s">
        <v>848</v>
      </c>
      <c r="P1042" t="s">
        <v>849</v>
      </c>
      <c r="Q1042" t="s">
        <v>850</v>
      </c>
      <c r="R1042" t="s">
        <v>851</v>
      </c>
      <c r="S1042" t="s">
        <v>74</v>
      </c>
      <c r="T1042" t="s">
        <v>19512</v>
      </c>
      <c r="U1042" t="s">
        <v>74</v>
      </c>
      <c r="V1042" t="s">
        <v>19513</v>
      </c>
      <c r="W1042" t="s">
        <v>19514</v>
      </c>
      <c r="X1042" t="s">
        <v>19515</v>
      </c>
      <c r="Y1042" t="s">
        <v>19516</v>
      </c>
      <c r="Z1042" t="s">
        <v>19517</v>
      </c>
      <c r="AA1042" t="s">
        <v>74</v>
      </c>
      <c r="AB1042" t="s">
        <v>74</v>
      </c>
      <c r="AC1042" t="s">
        <v>19518</v>
      </c>
      <c r="AD1042" t="s">
        <v>19519</v>
      </c>
      <c r="AE1042" t="s">
        <v>19520</v>
      </c>
      <c r="AF1042" t="s">
        <v>74</v>
      </c>
      <c r="AG1042">
        <v>8</v>
      </c>
      <c r="AH1042">
        <v>1</v>
      </c>
      <c r="AI1042">
        <v>1</v>
      </c>
      <c r="AJ1042">
        <v>3</v>
      </c>
      <c r="AK1042">
        <v>3</v>
      </c>
      <c r="AL1042" t="s">
        <v>638</v>
      </c>
      <c r="AM1042" t="s">
        <v>639</v>
      </c>
      <c r="AN1042" t="s">
        <v>640</v>
      </c>
      <c r="AO1042" t="s">
        <v>19521</v>
      </c>
      <c r="AP1042" t="s">
        <v>74</v>
      </c>
      <c r="AQ1042" t="s">
        <v>19522</v>
      </c>
      <c r="AR1042" t="s">
        <v>19523</v>
      </c>
      <c r="AS1042" t="s">
        <v>74</v>
      </c>
      <c r="AT1042" t="s">
        <v>74</v>
      </c>
      <c r="AU1042">
        <v>2023</v>
      </c>
      <c r="AV1042" t="s">
        <v>74</v>
      </c>
      <c r="AW1042" t="s">
        <v>74</v>
      </c>
      <c r="AX1042" t="s">
        <v>74</v>
      </c>
      <c r="AY1042" t="s">
        <v>74</v>
      </c>
      <c r="AZ1042" t="s">
        <v>74</v>
      </c>
      <c r="BA1042" t="s">
        <v>74</v>
      </c>
      <c r="BB1042">
        <v>1055</v>
      </c>
      <c r="BC1042">
        <v>1056</v>
      </c>
      <c r="BD1042" t="s">
        <v>74</v>
      </c>
      <c r="BE1042" t="s">
        <v>19524</v>
      </c>
      <c r="BF1042" t="str">
        <f>HYPERLINK("http://dx.doi.org/10.1109/ICDCS57875.2023.00129","http://dx.doi.org/10.1109/ICDCS57875.2023.00129")</f>
        <v>http://dx.doi.org/10.1109/ICDCS57875.2023.00129</v>
      </c>
      <c r="BG1042" t="s">
        <v>74</v>
      </c>
      <c r="BH1042" t="s">
        <v>74</v>
      </c>
      <c r="BI1042">
        <v>2</v>
      </c>
      <c r="BJ1042" t="s">
        <v>19525</v>
      </c>
      <c r="BK1042" t="s">
        <v>98</v>
      </c>
      <c r="BL1042" t="s">
        <v>644</v>
      </c>
      <c r="BM1042" t="s">
        <v>19526</v>
      </c>
      <c r="BN1042" t="s">
        <v>74</v>
      </c>
      <c r="BO1042" t="s">
        <v>74</v>
      </c>
      <c r="BP1042" t="s">
        <v>74</v>
      </c>
      <c r="BQ1042" t="s">
        <v>74</v>
      </c>
      <c r="BR1042" t="s">
        <v>101</v>
      </c>
      <c r="BS1042" t="s">
        <v>19527</v>
      </c>
      <c r="BT1042" t="str">
        <f>HYPERLINK("https%3A%2F%2Fwww.webofscience.com%2Fwos%2Fwoscc%2Ffull-record%2FWOS:001081242600122","View Full Record in Web of Science")</f>
        <v>View Full Record in Web of Science</v>
      </c>
    </row>
    <row r="1043" spans="1:72" x14ac:dyDescent="0.2">
      <c r="A1043" t="s">
        <v>103</v>
      </c>
      <c r="B1043" t="s">
        <v>19528</v>
      </c>
      <c r="C1043" t="s">
        <v>74</v>
      </c>
      <c r="D1043" t="s">
        <v>74</v>
      </c>
      <c r="E1043" t="s">
        <v>74</v>
      </c>
      <c r="F1043" t="s">
        <v>19529</v>
      </c>
      <c r="G1043" t="s">
        <v>74</v>
      </c>
      <c r="H1043" t="s">
        <v>74</v>
      </c>
      <c r="I1043" t="s">
        <v>19530</v>
      </c>
      <c r="J1043" t="s">
        <v>19531</v>
      </c>
      <c r="K1043" t="s">
        <v>74</v>
      </c>
      <c r="L1043" t="s">
        <v>74</v>
      </c>
      <c r="M1043" t="s">
        <v>79</v>
      </c>
      <c r="N1043" t="s">
        <v>108</v>
      </c>
      <c r="O1043" t="s">
        <v>74</v>
      </c>
      <c r="P1043" t="s">
        <v>74</v>
      </c>
      <c r="Q1043" t="s">
        <v>74</v>
      </c>
      <c r="R1043" t="s">
        <v>74</v>
      </c>
      <c r="S1043" t="s">
        <v>74</v>
      </c>
      <c r="T1043" t="s">
        <v>19532</v>
      </c>
      <c r="U1043" t="s">
        <v>74</v>
      </c>
      <c r="V1043" t="s">
        <v>19533</v>
      </c>
      <c r="W1043" t="s">
        <v>19534</v>
      </c>
      <c r="X1043" t="s">
        <v>74</v>
      </c>
      <c r="Y1043" t="s">
        <v>19535</v>
      </c>
      <c r="Z1043" t="s">
        <v>19536</v>
      </c>
      <c r="AA1043" t="s">
        <v>74</v>
      </c>
      <c r="AB1043" t="s">
        <v>19537</v>
      </c>
      <c r="AC1043" t="s">
        <v>74</v>
      </c>
      <c r="AD1043" t="s">
        <v>74</v>
      </c>
      <c r="AE1043" t="s">
        <v>74</v>
      </c>
      <c r="AF1043" t="s">
        <v>74</v>
      </c>
      <c r="AG1043">
        <v>0</v>
      </c>
      <c r="AH1043">
        <v>0</v>
      </c>
      <c r="AI1043">
        <v>0</v>
      </c>
      <c r="AJ1043">
        <v>18</v>
      </c>
      <c r="AK1043">
        <v>33</v>
      </c>
      <c r="AL1043" t="s">
        <v>1152</v>
      </c>
      <c r="AM1043" t="s">
        <v>1153</v>
      </c>
      <c r="AN1043" t="s">
        <v>1154</v>
      </c>
      <c r="AO1043" t="s">
        <v>19538</v>
      </c>
      <c r="AP1043" t="s">
        <v>19539</v>
      </c>
      <c r="AQ1043" t="s">
        <v>74</v>
      </c>
      <c r="AR1043" t="s">
        <v>19540</v>
      </c>
      <c r="AS1043" t="s">
        <v>19541</v>
      </c>
      <c r="AT1043" t="s">
        <v>615</v>
      </c>
      <c r="AU1043">
        <v>2023</v>
      </c>
      <c r="AV1043">
        <v>29</v>
      </c>
      <c r="AW1043">
        <v>4</v>
      </c>
      <c r="AX1043" t="s">
        <v>74</v>
      </c>
      <c r="AY1043" t="s">
        <v>74</v>
      </c>
      <c r="AZ1043" t="s">
        <v>74</v>
      </c>
      <c r="BA1043" t="s">
        <v>74</v>
      </c>
      <c r="BB1043">
        <v>1188</v>
      </c>
      <c r="BC1043">
        <v>1197</v>
      </c>
      <c r="BD1043" t="s">
        <v>74</v>
      </c>
      <c r="BE1043" t="s">
        <v>19542</v>
      </c>
      <c r="BF1043" t="str">
        <f>HYPERLINK("http://dx.doi.org/10.1017/S1351324923000347","http://dx.doi.org/10.1017/S1351324923000347")</f>
        <v>http://dx.doi.org/10.1017/S1351324923000347</v>
      </c>
      <c r="BG1043" t="s">
        <v>74</v>
      </c>
      <c r="BH1043" t="s">
        <v>74</v>
      </c>
      <c r="BI1043">
        <v>10</v>
      </c>
      <c r="BJ1043" t="s">
        <v>13799</v>
      </c>
      <c r="BK1043" t="s">
        <v>13800</v>
      </c>
      <c r="BL1043" t="s">
        <v>13801</v>
      </c>
      <c r="BM1043" t="s">
        <v>19543</v>
      </c>
      <c r="BN1043" t="s">
        <v>74</v>
      </c>
      <c r="BO1043" t="s">
        <v>161</v>
      </c>
      <c r="BP1043" t="s">
        <v>74</v>
      </c>
      <c r="BQ1043" t="s">
        <v>74</v>
      </c>
      <c r="BR1043" t="s">
        <v>101</v>
      </c>
      <c r="BS1043" t="s">
        <v>19544</v>
      </c>
      <c r="BT1043" t="str">
        <f>HYPERLINK("https%3A%2F%2Fwww.webofscience.com%2Fwos%2Fwoscc%2Ffull-record%2FWOS:001032435400011","View Full Record in Web of Science")</f>
        <v>View Full Record in Web of Science</v>
      </c>
    </row>
    <row r="1044" spans="1:72" x14ac:dyDescent="0.2">
      <c r="A1044" t="s">
        <v>103</v>
      </c>
      <c r="B1044" t="s">
        <v>19545</v>
      </c>
      <c r="C1044" t="s">
        <v>74</v>
      </c>
      <c r="D1044" t="s">
        <v>74</v>
      </c>
      <c r="E1044" t="s">
        <v>74</v>
      </c>
      <c r="F1044" t="s">
        <v>19546</v>
      </c>
      <c r="G1044" t="s">
        <v>74</v>
      </c>
      <c r="H1044" t="s">
        <v>74</v>
      </c>
      <c r="I1044" t="s">
        <v>19547</v>
      </c>
      <c r="J1044" t="s">
        <v>19548</v>
      </c>
      <c r="K1044" t="s">
        <v>74</v>
      </c>
      <c r="L1044" t="s">
        <v>74</v>
      </c>
      <c r="M1044" t="s">
        <v>79</v>
      </c>
      <c r="N1044" t="s">
        <v>108</v>
      </c>
      <c r="O1044" t="s">
        <v>74</v>
      </c>
      <c r="P1044" t="s">
        <v>74</v>
      </c>
      <c r="Q1044" t="s">
        <v>74</v>
      </c>
      <c r="R1044" t="s">
        <v>74</v>
      </c>
      <c r="S1044" t="s">
        <v>74</v>
      </c>
      <c r="T1044" t="s">
        <v>19549</v>
      </c>
      <c r="U1044" t="s">
        <v>74</v>
      </c>
      <c r="V1044" t="s">
        <v>19550</v>
      </c>
      <c r="W1044" t="s">
        <v>19551</v>
      </c>
      <c r="X1044" t="s">
        <v>19552</v>
      </c>
      <c r="Y1044" t="s">
        <v>19553</v>
      </c>
      <c r="Z1044" t="s">
        <v>19554</v>
      </c>
      <c r="AA1044" t="s">
        <v>74</v>
      </c>
      <c r="AB1044" t="s">
        <v>74</v>
      </c>
      <c r="AC1044" t="s">
        <v>19555</v>
      </c>
      <c r="AD1044" t="s">
        <v>19555</v>
      </c>
      <c r="AE1044" t="s">
        <v>19556</v>
      </c>
      <c r="AF1044" t="s">
        <v>74</v>
      </c>
      <c r="AG1044">
        <v>10</v>
      </c>
      <c r="AH1044">
        <v>0</v>
      </c>
      <c r="AI1044">
        <v>0</v>
      </c>
      <c r="AJ1044">
        <v>22</v>
      </c>
      <c r="AK1044">
        <v>22</v>
      </c>
      <c r="AL1044" t="s">
        <v>19557</v>
      </c>
      <c r="AM1044" t="s">
        <v>13481</v>
      </c>
      <c r="AN1044" t="s">
        <v>19558</v>
      </c>
      <c r="AO1044" t="s">
        <v>19559</v>
      </c>
      <c r="AP1044" t="s">
        <v>19560</v>
      </c>
      <c r="AQ1044" t="s">
        <v>74</v>
      </c>
      <c r="AR1044" t="s">
        <v>19561</v>
      </c>
      <c r="AS1044" t="s">
        <v>19562</v>
      </c>
      <c r="AT1044" t="s">
        <v>12528</v>
      </c>
      <c r="AU1044">
        <v>2023</v>
      </c>
      <c r="AV1044">
        <v>21</v>
      </c>
      <c r="AW1044" t="s">
        <v>74</v>
      </c>
      <c r="AX1044" t="s">
        <v>74</v>
      </c>
      <c r="AY1044" t="s">
        <v>74</v>
      </c>
      <c r="AZ1044" t="s">
        <v>74</v>
      </c>
      <c r="BA1044" t="s">
        <v>74</v>
      </c>
      <c r="BB1044">
        <v>200</v>
      </c>
      <c r="BC1044">
        <v>205</v>
      </c>
      <c r="BD1044" t="s">
        <v>74</v>
      </c>
      <c r="BE1044" t="s">
        <v>74</v>
      </c>
      <c r="BF1044" t="s">
        <v>74</v>
      </c>
      <c r="BG1044" t="s">
        <v>74</v>
      </c>
      <c r="BH1044" t="s">
        <v>74</v>
      </c>
      <c r="BI1044">
        <v>6</v>
      </c>
      <c r="BJ1044" t="s">
        <v>1408</v>
      </c>
      <c r="BK1044" t="s">
        <v>352</v>
      </c>
      <c r="BL1044" t="s">
        <v>99</v>
      </c>
      <c r="BM1044" t="s">
        <v>19563</v>
      </c>
      <c r="BN1044" t="s">
        <v>74</v>
      </c>
      <c r="BO1044" t="s">
        <v>74</v>
      </c>
      <c r="BP1044" t="s">
        <v>74</v>
      </c>
      <c r="BQ1044" t="s">
        <v>74</v>
      </c>
      <c r="BR1044" t="s">
        <v>101</v>
      </c>
      <c r="BS1044" t="s">
        <v>19564</v>
      </c>
      <c r="BT1044" t="str">
        <f>HYPERLINK("https%3A%2F%2Fwww.webofscience.com%2Fwos%2Fwoscc%2Ffull-record%2FWOS:001115856700035","View Full Record in Web of Science")</f>
        <v>View Full Record in Web of Science</v>
      </c>
    </row>
    <row r="1045" spans="1:72" x14ac:dyDescent="0.2">
      <c r="A1045" t="s">
        <v>103</v>
      </c>
      <c r="B1045" t="s">
        <v>19565</v>
      </c>
      <c r="C1045" t="s">
        <v>74</v>
      </c>
      <c r="D1045" t="s">
        <v>74</v>
      </c>
      <c r="E1045" t="s">
        <v>74</v>
      </c>
      <c r="F1045" t="s">
        <v>19566</v>
      </c>
      <c r="G1045" t="s">
        <v>74</v>
      </c>
      <c r="H1045" t="s">
        <v>74</v>
      </c>
      <c r="I1045" t="s">
        <v>19567</v>
      </c>
      <c r="J1045" t="s">
        <v>19568</v>
      </c>
      <c r="K1045" t="s">
        <v>74</v>
      </c>
      <c r="L1045" t="s">
        <v>74</v>
      </c>
      <c r="M1045" t="s">
        <v>79</v>
      </c>
      <c r="N1045" t="s">
        <v>108</v>
      </c>
      <c r="O1045" t="s">
        <v>74</v>
      </c>
      <c r="P1045" t="s">
        <v>74</v>
      </c>
      <c r="Q1045" t="s">
        <v>74</v>
      </c>
      <c r="R1045" t="s">
        <v>74</v>
      </c>
      <c r="S1045" t="s">
        <v>74</v>
      </c>
      <c r="T1045" t="s">
        <v>74</v>
      </c>
      <c r="U1045" t="s">
        <v>19569</v>
      </c>
      <c r="V1045" t="s">
        <v>19570</v>
      </c>
      <c r="W1045" t="s">
        <v>19571</v>
      </c>
      <c r="X1045" t="s">
        <v>74</v>
      </c>
      <c r="Y1045" t="s">
        <v>19572</v>
      </c>
      <c r="Z1045" t="s">
        <v>19573</v>
      </c>
      <c r="AA1045" t="s">
        <v>74</v>
      </c>
      <c r="AB1045" t="s">
        <v>74</v>
      </c>
      <c r="AC1045" t="s">
        <v>19574</v>
      </c>
      <c r="AD1045" t="s">
        <v>19575</v>
      </c>
      <c r="AE1045" t="s">
        <v>19576</v>
      </c>
      <c r="AF1045" t="s">
        <v>74</v>
      </c>
      <c r="AG1045">
        <v>32</v>
      </c>
      <c r="AH1045">
        <v>0</v>
      </c>
      <c r="AI1045">
        <v>0</v>
      </c>
      <c r="AJ1045">
        <v>1</v>
      </c>
      <c r="AK1045">
        <v>1</v>
      </c>
      <c r="AL1045" t="s">
        <v>18533</v>
      </c>
      <c r="AM1045" t="s">
        <v>548</v>
      </c>
      <c r="AN1045" t="s">
        <v>18534</v>
      </c>
      <c r="AO1045" t="s">
        <v>19577</v>
      </c>
      <c r="AP1045" t="s">
        <v>19578</v>
      </c>
      <c r="AQ1045" t="s">
        <v>74</v>
      </c>
      <c r="AR1045" t="s">
        <v>19579</v>
      </c>
      <c r="AS1045" t="s">
        <v>19580</v>
      </c>
      <c r="AT1045" t="s">
        <v>19581</v>
      </c>
      <c r="AU1045">
        <v>2023</v>
      </c>
      <c r="AV1045">
        <v>62</v>
      </c>
      <c r="AW1045">
        <v>36</v>
      </c>
      <c r="AX1045" t="s">
        <v>74</v>
      </c>
      <c r="AY1045" t="s">
        <v>74</v>
      </c>
      <c r="AZ1045" t="s">
        <v>74</v>
      </c>
      <c r="BA1045" t="s">
        <v>74</v>
      </c>
      <c r="BB1045">
        <v>9476</v>
      </c>
      <c r="BC1045">
        <v>9485</v>
      </c>
      <c r="BD1045" t="s">
        <v>74</v>
      </c>
      <c r="BE1045" t="s">
        <v>19582</v>
      </c>
      <c r="BF1045" t="str">
        <f>HYPERLINK("http://dx.doi.org/10.1364/AO.506027","http://dx.doi.org/10.1364/AO.506027")</f>
        <v>http://dx.doi.org/10.1364/AO.506027</v>
      </c>
      <c r="BG1045" t="s">
        <v>74</v>
      </c>
      <c r="BH1045" t="s">
        <v>74</v>
      </c>
      <c r="BI1045">
        <v>10</v>
      </c>
      <c r="BJ1045" t="s">
        <v>3823</v>
      </c>
      <c r="BK1045" t="s">
        <v>130</v>
      </c>
      <c r="BL1045" t="s">
        <v>3823</v>
      </c>
      <c r="BM1045" t="s">
        <v>19583</v>
      </c>
      <c r="BN1045">
        <v>38108772</v>
      </c>
      <c r="BO1045" t="s">
        <v>74</v>
      </c>
      <c r="BP1045" t="s">
        <v>74</v>
      </c>
      <c r="BQ1045" t="s">
        <v>74</v>
      </c>
      <c r="BR1045" t="s">
        <v>101</v>
      </c>
      <c r="BS1045" t="s">
        <v>19584</v>
      </c>
      <c r="BT1045" t="str">
        <f>HYPERLINK("https%3A%2F%2Fwww.webofscience.com%2Fwos%2Fwoscc%2Ffull-record%2FWOS:001148661200004","View Full Record in Web of Science")</f>
        <v>View Full Record in Web of Science</v>
      </c>
    </row>
    <row r="1046" spans="1:72" x14ac:dyDescent="0.2">
      <c r="A1046" t="s">
        <v>103</v>
      </c>
      <c r="B1046" t="s">
        <v>19585</v>
      </c>
      <c r="C1046" t="s">
        <v>74</v>
      </c>
      <c r="D1046" t="s">
        <v>74</v>
      </c>
      <c r="E1046" t="s">
        <v>74</v>
      </c>
      <c r="F1046" t="s">
        <v>19586</v>
      </c>
      <c r="G1046" t="s">
        <v>74</v>
      </c>
      <c r="H1046" t="s">
        <v>74</v>
      </c>
      <c r="I1046" t="s">
        <v>19587</v>
      </c>
      <c r="J1046" t="s">
        <v>4805</v>
      </c>
      <c r="K1046" t="s">
        <v>74</v>
      </c>
      <c r="L1046" t="s">
        <v>74</v>
      </c>
      <c r="M1046" t="s">
        <v>79</v>
      </c>
      <c r="N1046" t="s">
        <v>108</v>
      </c>
      <c r="O1046" t="s">
        <v>74</v>
      </c>
      <c r="P1046" t="s">
        <v>74</v>
      </c>
      <c r="Q1046" t="s">
        <v>74</v>
      </c>
      <c r="R1046" t="s">
        <v>74</v>
      </c>
      <c r="S1046" t="s">
        <v>74</v>
      </c>
      <c r="T1046" t="s">
        <v>19588</v>
      </c>
      <c r="U1046" t="s">
        <v>74</v>
      </c>
      <c r="V1046" t="s">
        <v>19589</v>
      </c>
      <c r="W1046" t="s">
        <v>19590</v>
      </c>
      <c r="X1046" t="s">
        <v>74</v>
      </c>
      <c r="Y1046" t="s">
        <v>19591</v>
      </c>
      <c r="Z1046" t="s">
        <v>19592</v>
      </c>
      <c r="AA1046" t="s">
        <v>74</v>
      </c>
      <c r="AB1046" t="s">
        <v>74</v>
      </c>
      <c r="AC1046" t="s">
        <v>74</v>
      </c>
      <c r="AD1046" t="s">
        <v>74</v>
      </c>
      <c r="AE1046" t="s">
        <v>74</v>
      </c>
      <c r="AF1046" t="s">
        <v>74</v>
      </c>
      <c r="AG1046">
        <v>47</v>
      </c>
      <c r="AH1046">
        <v>0</v>
      </c>
      <c r="AI1046">
        <v>0</v>
      </c>
      <c r="AJ1046">
        <v>8</v>
      </c>
      <c r="AK1046">
        <v>8</v>
      </c>
      <c r="AL1046" t="s">
        <v>343</v>
      </c>
      <c r="AM1046" t="s">
        <v>93</v>
      </c>
      <c r="AN1046" t="s">
        <v>344</v>
      </c>
      <c r="AO1046" t="s">
        <v>4811</v>
      </c>
      <c r="AP1046" t="s">
        <v>4812</v>
      </c>
      <c r="AQ1046" t="s">
        <v>74</v>
      </c>
      <c r="AR1046" t="s">
        <v>4813</v>
      </c>
      <c r="AS1046" t="s">
        <v>4814</v>
      </c>
      <c r="AT1046" t="s">
        <v>251</v>
      </c>
      <c r="AU1046">
        <v>2024</v>
      </c>
      <c r="AV1046">
        <v>39</v>
      </c>
      <c r="AW1046">
        <v>1</v>
      </c>
      <c r="AX1046" t="s">
        <v>74</v>
      </c>
      <c r="AY1046" t="s">
        <v>74</v>
      </c>
      <c r="AZ1046" t="s">
        <v>253</v>
      </c>
      <c r="BA1046" t="s">
        <v>74</v>
      </c>
      <c r="BB1046">
        <v>29</v>
      </c>
      <c r="BC1046">
        <v>41</v>
      </c>
      <c r="BD1046" t="s">
        <v>74</v>
      </c>
      <c r="BE1046" t="s">
        <v>19593</v>
      </c>
      <c r="BF1046" t="str">
        <f>HYPERLINK("http://dx.doi.org/10.1007/s00146-023-01768-0","http://dx.doi.org/10.1007/s00146-023-01768-0")</f>
        <v>http://dx.doi.org/10.1007/s00146-023-01768-0</v>
      </c>
      <c r="BG1046" t="s">
        <v>74</v>
      </c>
      <c r="BH1046" t="s">
        <v>278</v>
      </c>
      <c r="BI1046">
        <v>13</v>
      </c>
      <c r="BJ1046" t="s">
        <v>304</v>
      </c>
      <c r="BK1046" t="s">
        <v>352</v>
      </c>
      <c r="BL1046" t="s">
        <v>99</v>
      </c>
      <c r="BM1046" t="s">
        <v>4816</v>
      </c>
      <c r="BN1046" t="s">
        <v>74</v>
      </c>
      <c r="BO1046" t="s">
        <v>74</v>
      </c>
      <c r="BP1046" t="s">
        <v>74</v>
      </c>
      <c r="BQ1046" t="s">
        <v>74</v>
      </c>
      <c r="BR1046" t="s">
        <v>101</v>
      </c>
      <c r="BS1046" t="s">
        <v>19594</v>
      </c>
      <c r="BT1046" t="str">
        <f>HYPERLINK("https%3A%2F%2Fwww.webofscience.com%2Fwos%2Fwoscc%2Ffull-record%2FWOS:001069069900002","View Full Record in Web of Science")</f>
        <v>View Full Record in Web of Science</v>
      </c>
    </row>
    <row r="1047" spans="1:72" x14ac:dyDescent="0.2">
      <c r="A1047" t="s">
        <v>103</v>
      </c>
      <c r="B1047" t="s">
        <v>19595</v>
      </c>
      <c r="C1047" t="s">
        <v>74</v>
      </c>
      <c r="D1047" t="s">
        <v>74</v>
      </c>
      <c r="E1047" t="s">
        <v>74</v>
      </c>
      <c r="F1047" t="s">
        <v>19596</v>
      </c>
      <c r="G1047" t="s">
        <v>74</v>
      </c>
      <c r="H1047" t="s">
        <v>74</v>
      </c>
      <c r="I1047" t="s">
        <v>19597</v>
      </c>
      <c r="J1047" t="s">
        <v>19598</v>
      </c>
      <c r="K1047" t="s">
        <v>74</v>
      </c>
      <c r="L1047" t="s">
        <v>74</v>
      </c>
      <c r="M1047" t="s">
        <v>79</v>
      </c>
      <c r="N1047" t="s">
        <v>108</v>
      </c>
      <c r="O1047" t="s">
        <v>74</v>
      </c>
      <c r="P1047" t="s">
        <v>74</v>
      </c>
      <c r="Q1047" t="s">
        <v>74</v>
      </c>
      <c r="R1047" t="s">
        <v>74</v>
      </c>
      <c r="S1047" t="s">
        <v>74</v>
      </c>
      <c r="T1047" t="s">
        <v>19599</v>
      </c>
      <c r="U1047" t="s">
        <v>11896</v>
      </c>
      <c r="V1047" t="s">
        <v>19600</v>
      </c>
      <c r="W1047" t="s">
        <v>19601</v>
      </c>
      <c r="X1047" t="s">
        <v>19602</v>
      </c>
      <c r="Y1047" t="s">
        <v>19603</v>
      </c>
      <c r="Z1047" t="s">
        <v>19604</v>
      </c>
      <c r="AA1047" t="s">
        <v>19605</v>
      </c>
      <c r="AB1047" t="s">
        <v>19606</v>
      </c>
      <c r="AC1047" t="s">
        <v>19607</v>
      </c>
      <c r="AD1047" t="s">
        <v>19608</v>
      </c>
      <c r="AE1047" t="s">
        <v>19609</v>
      </c>
      <c r="AF1047" t="s">
        <v>74</v>
      </c>
      <c r="AG1047">
        <v>41</v>
      </c>
      <c r="AH1047">
        <v>2</v>
      </c>
      <c r="AI1047">
        <v>2</v>
      </c>
      <c r="AJ1047">
        <v>9</v>
      </c>
      <c r="AK1047">
        <v>20</v>
      </c>
      <c r="AL1047" t="s">
        <v>4235</v>
      </c>
      <c r="AM1047" t="s">
        <v>369</v>
      </c>
      <c r="AN1047" t="s">
        <v>4236</v>
      </c>
      <c r="AO1047" t="s">
        <v>19610</v>
      </c>
      <c r="AP1047" t="s">
        <v>19611</v>
      </c>
      <c r="AQ1047" t="s">
        <v>74</v>
      </c>
      <c r="AR1047" t="s">
        <v>19612</v>
      </c>
      <c r="AS1047" t="s">
        <v>19613</v>
      </c>
      <c r="AT1047" t="s">
        <v>14250</v>
      </c>
      <c r="AU1047">
        <v>2023</v>
      </c>
      <c r="AV1047">
        <v>47</v>
      </c>
      <c r="AW1047">
        <v>4</v>
      </c>
      <c r="AX1047" t="s">
        <v>74</v>
      </c>
      <c r="AY1047" t="s">
        <v>74</v>
      </c>
      <c r="AZ1047" t="s">
        <v>74</v>
      </c>
      <c r="BA1047" t="s">
        <v>74</v>
      </c>
      <c r="BB1047">
        <v>181</v>
      </c>
      <c r="BC1047">
        <v>186</v>
      </c>
      <c r="BD1047" t="s">
        <v>74</v>
      </c>
      <c r="BE1047" t="s">
        <v>19614</v>
      </c>
      <c r="BF1047" t="str">
        <f>HYPERLINK("http://dx.doi.org/10.1515/labmed-2023-0037","http://dx.doi.org/10.1515/labmed-2023-0037")</f>
        <v>http://dx.doi.org/10.1515/labmed-2023-0037</v>
      </c>
      <c r="BG1047" t="s">
        <v>74</v>
      </c>
      <c r="BH1047" t="s">
        <v>1910</v>
      </c>
      <c r="BI1047">
        <v>6</v>
      </c>
      <c r="BJ1047" t="s">
        <v>19615</v>
      </c>
      <c r="BK1047" t="s">
        <v>130</v>
      </c>
      <c r="BL1047" t="s">
        <v>19615</v>
      </c>
      <c r="BM1047" t="s">
        <v>19616</v>
      </c>
      <c r="BN1047" t="s">
        <v>74</v>
      </c>
      <c r="BO1047" t="s">
        <v>4185</v>
      </c>
      <c r="BP1047" t="s">
        <v>74</v>
      </c>
      <c r="BQ1047" t="s">
        <v>74</v>
      </c>
      <c r="BR1047" t="s">
        <v>101</v>
      </c>
      <c r="BS1047" t="s">
        <v>19617</v>
      </c>
      <c r="BT1047" t="str">
        <f>HYPERLINK("https%3A%2F%2Fwww.webofscience.com%2Fwos%2Fwoscc%2Ffull-record%2FWOS:001000436200001","View Full Record in Web of Science")</f>
        <v>View Full Record in Web of Science</v>
      </c>
    </row>
    <row r="1048" spans="1:72" x14ac:dyDescent="0.2">
      <c r="A1048" t="s">
        <v>72</v>
      </c>
      <c r="B1048" t="s">
        <v>19618</v>
      </c>
      <c r="C1048" t="s">
        <v>74</v>
      </c>
      <c r="D1048" t="s">
        <v>8562</v>
      </c>
      <c r="E1048" t="s">
        <v>74</v>
      </c>
      <c r="F1048" t="s">
        <v>19619</v>
      </c>
      <c r="G1048" t="s">
        <v>74</v>
      </c>
      <c r="H1048" t="s">
        <v>74</v>
      </c>
      <c r="I1048" t="s">
        <v>19620</v>
      </c>
      <c r="J1048" t="s">
        <v>16322</v>
      </c>
      <c r="K1048" t="s">
        <v>1034</v>
      </c>
      <c r="L1048" t="s">
        <v>74</v>
      </c>
      <c r="M1048" t="s">
        <v>79</v>
      </c>
      <c r="N1048" t="s">
        <v>80</v>
      </c>
      <c r="O1048" t="s">
        <v>8566</v>
      </c>
      <c r="P1048" t="s">
        <v>8567</v>
      </c>
      <c r="Q1048" t="s">
        <v>8568</v>
      </c>
      <c r="R1048" t="s">
        <v>8569</v>
      </c>
      <c r="S1048" t="s">
        <v>74</v>
      </c>
      <c r="T1048" t="s">
        <v>19621</v>
      </c>
      <c r="U1048" t="s">
        <v>19622</v>
      </c>
      <c r="V1048" t="s">
        <v>19623</v>
      </c>
      <c r="W1048" t="s">
        <v>19624</v>
      </c>
      <c r="X1048" t="s">
        <v>19625</v>
      </c>
      <c r="Y1048" t="s">
        <v>19626</v>
      </c>
      <c r="Z1048" t="s">
        <v>19627</v>
      </c>
      <c r="AA1048" t="s">
        <v>19628</v>
      </c>
      <c r="AB1048" t="s">
        <v>19629</v>
      </c>
      <c r="AC1048" t="s">
        <v>19630</v>
      </c>
      <c r="AD1048" t="s">
        <v>19631</v>
      </c>
      <c r="AE1048" t="s">
        <v>19632</v>
      </c>
      <c r="AF1048" t="s">
        <v>74</v>
      </c>
      <c r="AG1048">
        <v>22</v>
      </c>
      <c r="AH1048">
        <v>0</v>
      </c>
      <c r="AI1048">
        <v>0</v>
      </c>
      <c r="AJ1048">
        <v>1</v>
      </c>
      <c r="AK1048">
        <v>1</v>
      </c>
      <c r="AL1048" t="s">
        <v>325</v>
      </c>
      <c r="AM1048" t="s">
        <v>245</v>
      </c>
      <c r="AN1048" t="s">
        <v>246</v>
      </c>
      <c r="AO1048" t="s">
        <v>1042</v>
      </c>
      <c r="AP1048" t="s">
        <v>327</v>
      </c>
      <c r="AQ1048" t="s">
        <v>16331</v>
      </c>
      <c r="AR1048" t="s">
        <v>1044</v>
      </c>
      <c r="AS1048" t="s">
        <v>74</v>
      </c>
      <c r="AT1048" t="s">
        <v>74</v>
      </c>
      <c r="AU1048">
        <v>2023</v>
      </c>
      <c r="AV1048">
        <v>13717</v>
      </c>
      <c r="AW1048" t="s">
        <v>74</v>
      </c>
      <c r="AX1048" t="s">
        <v>74</v>
      </c>
      <c r="AY1048" t="s">
        <v>74</v>
      </c>
      <c r="AZ1048" t="s">
        <v>74</v>
      </c>
      <c r="BA1048" t="s">
        <v>74</v>
      </c>
      <c r="BB1048">
        <v>275</v>
      </c>
      <c r="BC1048">
        <v>290</v>
      </c>
      <c r="BD1048" t="s">
        <v>74</v>
      </c>
      <c r="BE1048" t="s">
        <v>19633</v>
      </c>
      <c r="BF1048" t="str">
        <f>HYPERLINK("http://dx.doi.org/10.1007/978-3-031-26419-1_17","http://dx.doi.org/10.1007/978-3-031-26419-1_17")</f>
        <v>http://dx.doi.org/10.1007/978-3-031-26419-1_17</v>
      </c>
      <c r="BG1048" t="s">
        <v>74</v>
      </c>
      <c r="BH1048" t="s">
        <v>74</v>
      </c>
      <c r="BI1048">
        <v>16</v>
      </c>
      <c r="BJ1048" t="s">
        <v>331</v>
      </c>
      <c r="BK1048" t="s">
        <v>98</v>
      </c>
      <c r="BL1048" t="s">
        <v>99</v>
      </c>
      <c r="BM1048" t="s">
        <v>16333</v>
      </c>
      <c r="BN1048" t="s">
        <v>74</v>
      </c>
      <c r="BO1048" t="s">
        <v>646</v>
      </c>
      <c r="BP1048" t="s">
        <v>74</v>
      </c>
      <c r="BQ1048" t="s">
        <v>74</v>
      </c>
      <c r="BR1048" t="s">
        <v>101</v>
      </c>
      <c r="BS1048" t="s">
        <v>19634</v>
      </c>
      <c r="BT1048" t="str">
        <f>HYPERLINK("https%3A%2F%2Fwww.webofscience.com%2Fwos%2Fwoscc%2Ffull-record%2FWOS:000999148200017","View Full Record in Web of Science")</f>
        <v>View Full Record in Web of Science</v>
      </c>
    </row>
    <row r="1049" spans="1:72" x14ac:dyDescent="0.2">
      <c r="A1049" t="s">
        <v>103</v>
      </c>
      <c r="B1049" t="s">
        <v>19635</v>
      </c>
      <c r="C1049" t="s">
        <v>74</v>
      </c>
      <c r="D1049" t="s">
        <v>74</v>
      </c>
      <c r="E1049" t="s">
        <v>74</v>
      </c>
      <c r="F1049" t="s">
        <v>19636</v>
      </c>
      <c r="G1049" t="s">
        <v>74</v>
      </c>
      <c r="H1049" t="s">
        <v>74</v>
      </c>
      <c r="I1049" t="s">
        <v>19637</v>
      </c>
      <c r="J1049" t="s">
        <v>19638</v>
      </c>
      <c r="K1049" t="s">
        <v>74</v>
      </c>
      <c r="L1049" t="s">
        <v>74</v>
      </c>
      <c r="M1049" t="s">
        <v>79</v>
      </c>
      <c r="N1049" t="s">
        <v>108</v>
      </c>
      <c r="O1049" t="s">
        <v>74</v>
      </c>
      <c r="P1049" t="s">
        <v>74</v>
      </c>
      <c r="Q1049" t="s">
        <v>74</v>
      </c>
      <c r="R1049" t="s">
        <v>74</v>
      </c>
      <c r="S1049" t="s">
        <v>74</v>
      </c>
      <c r="T1049" t="s">
        <v>19639</v>
      </c>
      <c r="U1049" t="s">
        <v>19640</v>
      </c>
      <c r="V1049" t="s">
        <v>19641</v>
      </c>
      <c r="W1049" t="s">
        <v>19642</v>
      </c>
      <c r="X1049" t="s">
        <v>19643</v>
      </c>
      <c r="Y1049" t="s">
        <v>19644</v>
      </c>
      <c r="Z1049" t="s">
        <v>19645</v>
      </c>
      <c r="AA1049" t="s">
        <v>19646</v>
      </c>
      <c r="AB1049" t="s">
        <v>19647</v>
      </c>
      <c r="AC1049" t="s">
        <v>19648</v>
      </c>
      <c r="AD1049" t="s">
        <v>19649</v>
      </c>
      <c r="AE1049" t="s">
        <v>19650</v>
      </c>
      <c r="AF1049" t="s">
        <v>74</v>
      </c>
      <c r="AG1049">
        <v>211</v>
      </c>
      <c r="AH1049">
        <v>2</v>
      </c>
      <c r="AI1049">
        <v>2</v>
      </c>
      <c r="AJ1049">
        <v>0</v>
      </c>
      <c r="AK1049">
        <v>0</v>
      </c>
      <c r="AL1049" t="s">
        <v>1379</v>
      </c>
      <c r="AM1049" t="s">
        <v>1380</v>
      </c>
      <c r="AN1049" t="s">
        <v>1381</v>
      </c>
      <c r="AO1049" t="s">
        <v>74</v>
      </c>
      <c r="AP1049" t="s">
        <v>19651</v>
      </c>
      <c r="AQ1049" t="s">
        <v>74</v>
      </c>
      <c r="AR1049" t="s">
        <v>19652</v>
      </c>
      <c r="AS1049" t="s">
        <v>19653</v>
      </c>
      <c r="AT1049" t="s">
        <v>74</v>
      </c>
      <c r="AU1049">
        <v>2023</v>
      </c>
      <c r="AV1049">
        <v>25</v>
      </c>
      <c r="AW1049">
        <v>3</v>
      </c>
      <c r="AX1049" t="s">
        <v>74</v>
      </c>
      <c r="AY1049" t="s">
        <v>74</v>
      </c>
      <c r="AZ1049" t="s">
        <v>74</v>
      </c>
      <c r="BA1049" t="s">
        <v>74</v>
      </c>
      <c r="BB1049">
        <v>1954</v>
      </c>
      <c r="BC1049">
        <v>1990</v>
      </c>
      <c r="BD1049" t="s">
        <v>74</v>
      </c>
      <c r="BE1049" t="s">
        <v>19654</v>
      </c>
      <c r="BF1049" t="str">
        <f>HYPERLINK("http://dx.doi.org/10.1109/COMST.2023.3271419","http://dx.doi.org/10.1109/COMST.2023.3271419")</f>
        <v>http://dx.doi.org/10.1109/COMST.2023.3271419</v>
      </c>
      <c r="BG1049" t="s">
        <v>74</v>
      </c>
      <c r="BH1049" t="s">
        <v>74</v>
      </c>
      <c r="BI1049">
        <v>37</v>
      </c>
      <c r="BJ1049" t="s">
        <v>9307</v>
      </c>
      <c r="BK1049" t="s">
        <v>130</v>
      </c>
      <c r="BL1049" t="s">
        <v>644</v>
      </c>
      <c r="BM1049" t="s">
        <v>19655</v>
      </c>
      <c r="BN1049" t="s">
        <v>74</v>
      </c>
      <c r="BO1049" t="s">
        <v>161</v>
      </c>
      <c r="BP1049" t="s">
        <v>74</v>
      </c>
      <c r="BQ1049" t="s">
        <v>74</v>
      </c>
      <c r="BR1049" t="s">
        <v>101</v>
      </c>
      <c r="BS1049" t="s">
        <v>19656</v>
      </c>
      <c r="BT1049" t="str">
        <f>HYPERLINK("https%3A%2F%2Fwww.webofscience.com%2Fwos%2Fwoscc%2Ffull-record%2FWOS:001059157100014","View Full Record in Web of Science")</f>
        <v>View Full Record in Web of Science</v>
      </c>
    </row>
    <row r="1050" spans="1:72" x14ac:dyDescent="0.2">
      <c r="A1050" t="s">
        <v>72</v>
      </c>
      <c r="B1050" t="s">
        <v>19657</v>
      </c>
      <c r="C1050" t="s">
        <v>74</v>
      </c>
      <c r="D1050" t="s">
        <v>74</v>
      </c>
      <c r="E1050" t="s">
        <v>284</v>
      </c>
      <c r="F1050" t="s">
        <v>19658</v>
      </c>
      <c r="G1050" t="s">
        <v>74</v>
      </c>
      <c r="H1050" t="s">
        <v>74</v>
      </c>
      <c r="I1050" t="s">
        <v>19659</v>
      </c>
      <c r="J1050" t="s">
        <v>8245</v>
      </c>
      <c r="K1050" t="s">
        <v>8246</v>
      </c>
      <c r="L1050" t="s">
        <v>74</v>
      </c>
      <c r="M1050" t="s">
        <v>79</v>
      </c>
      <c r="N1050" t="s">
        <v>80</v>
      </c>
      <c r="O1050" t="s">
        <v>8247</v>
      </c>
      <c r="P1050" t="s">
        <v>8248</v>
      </c>
      <c r="Q1050" t="s">
        <v>6017</v>
      </c>
      <c r="R1050" t="s">
        <v>8249</v>
      </c>
      <c r="S1050" t="s">
        <v>74</v>
      </c>
      <c r="T1050" t="s">
        <v>74</v>
      </c>
      <c r="U1050" t="s">
        <v>5999</v>
      </c>
      <c r="V1050" t="s">
        <v>19660</v>
      </c>
      <c r="W1050" t="s">
        <v>19661</v>
      </c>
      <c r="X1050" t="s">
        <v>18841</v>
      </c>
      <c r="Y1050" t="s">
        <v>19662</v>
      </c>
      <c r="Z1050" t="s">
        <v>74</v>
      </c>
      <c r="AA1050" t="s">
        <v>74</v>
      </c>
      <c r="AB1050" t="s">
        <v>19663</v>
      </c>
      <c r="AC1050" t="s">
        <v>19664</v>
      </c>
      <c r="AD1050" t="s">
        <v>19665</v>
      </c>
      <c r="AE1050" t="s">
        <v>19666</v>
      </c>
      <c r="AF1050" t="s">
        <v>74</v>
      </c>
      <c r="AG1050">
        <v>53</v>
      </c>
      <c r="AH1050">
        <v>1</v>
      </c>
      <c r="AI1050">
        <v>1</v>
      </c>
      <c r="AJ1050">
        <v>1</v>
      </c>
      <c r="AK1050">
        <v>1</v>
      </c>
      <c r="AL1050" t="s">
        <v>638</v>
      </c>
      <c r="AM1050" t="s">
        <v>639</v>
      </c>
      <c r="AN1050" t="s">
        <v>640</v>
      </c>
      <c r="AO1050" t="s">
        <v>8260</v>
      </c>
      <c r="AP1050" t="s">
        <v>74</v>
      </c>
      <c r="AQ1050" t="s">
        <v>8261</v>
      </c>
      <c r="AR1050" t="s">
        <v>8262</v>
      </c>
      <c r="AS1050" t="s">
        <v>74</v>
      </c>
      <c r="AT1050" t="s">
        <v>74</v>
      </c>
      <c r="AU1050">
        <v>2023</v>
      </c>
      <c r="AV1050" t="s">
        <v>74</v>
      </c>
      <c r="AW1050" t="s">
        <v>74</v>
      </c>
      <c r="AX1050" t="s">
        <v>74</v>
      </c>
      <c r="AY1050" t="s">
        <v>74</v>
      </c>
      <c r="AZ1050" t="s">
        <v>74</v>
      </c>
      <c r="BA1050" t="s">
        <v>74</v>
      </c>
      <c r="BB1050">
        <v>21211</v>
      </c>
      <c r="BC1050">
        <v>21221</v>
      </c>
      <c r="BD1050" t="s">
        <v>74</v>
      </c>
      <c r="BE1050" t="s">
        <v>19667</v>
      </c>
      <c r="BF1050" t="str">
        <f>HYPERLINK("http://dx.doi.org/10.1109/CVPR52729.2023.02032","http://dx.doi.org/10.1109/CVPR52729.2023.02032")</f>
        <v>http://dx.doi.org/10.1109/CVPR52729.2023.02032</v>
      </c>
      <c r="BG1050" t="s">
        <v>74</v>
      </c>
      <c r="BH1050" t="s">
        <v>74</v>
      </c>
      <c r="BI1050">
        <v>11</v>
      </c>
      <c r="BJ1050" t="s">
        <v>304</v>
      </c>
      <c r="BK1050" t="s">
        <v>98</v>
      </c>
      <c r="BL1050" t="s">
        <v>99</v>
      </c>
      <c r="BM1050" t="s">
        <v>9731</v>
      </c>
      <c r="BN1050" t="s">
        <v>74</v>
      </c>
      <c r="BO1050" t="s">
        <v>646</v>
      </c>
      <c r="BP1050" t="s">
        <v>74</v>
      </c>
      <c r="BQ1050" t="s">
        <v>74</v>
      </c>
      <c r="BR1050" t="s">
        <v>101</v>
      </c>
      <c r="BS1050" t="s">
        <v>19668</v>
      </c>
      <c r="BT1050" t="str">
        <f>HYPERLINK("https%3A%2F%2Fwww.webofscience.com%2Fwos%2Fwoscc%2Ffull-record%2FWOS:001062531305053","View Full Record in Web of Science")</f>
        <v>View Full Record in Web of Science</v>
      </c>
    </row>
    <row r="1051" spans="1:72" x14ac:dyDescent="0.2">
      <c r="A1051" t="s">
        <v>103</v>
      </c>
      <c r="B1051" t="s">
        <v>19669</v>
      </c>
      <c r="C1051" t="s">
        <v>74</v>
      </c>
      <c r="D1051" t="s">
        <v>74</v>
      </c>
      <c r="E1051" t="s">
        <v>74</v>
      </c>
      <c r="F1051" t="s">
        <v>19670</v>
      </c>
      <c r="G1051" t="s">
        <v>74</v>
      </c>
      <c r="H1051" t="s">
        <v>74</v>
      </c>
      <c r="I1051" t="s">
        <v>19671</v>
      </c>
      <c r="J1051" t="s">
        <v>19672</v>
      </c>
      <c r="K1051" t="s">
        <v>74</v>
      </c>
      <c r="L1051" t="s">
        <v>74</v>
      </c>
      <c r="M1051" t="s">
        <v>79</v>
      </c>
      <c r="N1051" t="s">
        <v>108</v>
      </c>
      <c r="O1051" t="s">
        <v>74</v>
      </c>
      <c r="P1051" t="s">
        <v>74</v>
      </c>
      <c r="Q1051" t="s">
        <v>74</v>
      </c>
      <c r="R1051" t="s">
        <v>74</v>
      </c>
      <c r="S1051" t="s">
        <v>74</v>
      </c>
      <c r="T1051" t="s">
        <v>19673</v>
      </c>
      <c r="U1051" t="s">
        <v>74</v>
      </c>
      <c r="V1051" t="s">
        <v>19674</v>
      </c>
      <c r="W1051" t="s">
        <v>19675</v>
      </c>
      <c r="X1051" t="s">
        <v>19676</v>
      </c>
      <c r="Y1051" t="s">
        <v>19677</v>
      </c>
      <c r="Z1051" t="s">
        <v>19678</v>
      </c>
      <c r="AA1051" t="s">
        <v>74</v>
      </c>
      <c r="AB1051" t="s">
        <v>19679</v>
      </c>
      <c r="AC1051" t="s">
        <v>74</v>
      </c>
      <c r="AD1051" t="s">
        <v>74</v>
      </c>
      <c r="AE1051" t="s">
        <v>74</v>
      </c>
      <c r="AF1051" t="s">
        <v>74</v>
      </c>
      <c r="AG1051">
        <v>12</v>
      </c>
      <c r="AH1051">
        <v>3</v>
      </c>
      <c r="AI1051">
        <v>3</v>
      </c>
      <c r="AJ1051">
        <v>12</v>
      </c>
      <c r="AK1051">
        <v>12</v>
      </c>
      <c r="AL1051" t="s">
        <v>270</v>
      </c>
      <c r="AM1051" t="s">
        <v>120</v>
      </c>
      <c r="AN1051" t="s">
        <v>271</v>
      </c>
      <c r="AO1051" t="s">
        <v>19680</v>
      </c>
      <c r="AP1051" t="s">
        <v>19681</v>
      </c>
      <c r="AQ1051" t="s">
        <v>74</v>
      </c>
      <c r="AR1051" t="s">
        <v>19682</v>
      </c>
      <c r="AS1051" t="s">
        <v>19683</v>
      </c>
      <c r="AT1051" t="s">
        <v>527</v>
      </c>
      <c r="AU1051">
        <v>2023</v>
      </c>
      <c r="AV1051">
        <v>87</v>
      </c>
      <c r="AW1051" t="s">
        <v>74</v>
      </c>
      <c r="AX1051" t="s">
        <v>74</v>
      </c>
      <c r="AY1051" t="s">
        <v>74</v>
      </c>
      <c r="AZ1051" t="s">
        <v>74</v>
      </c>
      <c r="BA1051" t="s">
        <v>74</v>
      </c>
      <c r="BB1051">
        <v>78</v>
      </c>
      <c r="BC1051">
        <v>82</v>
      </c>
      <c r="BD1051" t="s">
        <v>74</v>
      </c>
      <c r="BE1051" t="s">
        <v>19684</v>
      </c>
      <c r="BF1051" t="str">
        <f>HYPERLINK("http://dx.doi.org/10.1016/j.bjps.2023.09.027","http://dx.doi.org/10.1016/j.bjps.2023.09.027")</f>
        <v>http://dx.doi.org/10.1016/j.bjps.2023.09.027</v>
      </c>
      <c r="BG1051" t="s">
        <v>74</v>
      </c>
      <c r="BH1051" t="s">
        <v>1886</v>
      </c>
      <c r="BI1051">
        <v>5</v>
      </c>
      <c r="BJ1051" t="s">
        <v>13208</v>
      </c>
      <c r="BK1051" t="s">
        <v>130</v>
      </c>
      <c r="BL1051" t="s">
        <v>13208</v>
      </c>
      <c r="BM1051" t="s">
        <v>19685</v>
      </c>
      <c r="BN1051">
        <v>37812847</v>
      </c>
      <c r="BO1051" t="s">
        <v>74</v>
      </c>
      <c r="BP1051" t="s">
        <v>74</v>
      </c>
      <c r="BQ1051" t="s">
        <v>74</v>
      </c>
      <c r="BR1051" t="s">
        <v>101</v>
      </c>
      <c r="BS1051" t="s">
        <v>19686</v>
      </c>
      <c r="BT1051" t="str">
        <f>HYPERLINK("https%3A%2F%2Fwww.webofscience.com%2Fwos%2Fwoscc%2Ffull-record%2FWOS:001091617200001","View Full Record in Web of Science")</f>
        <v>View Full Record in Web of Science</v>
      </c>
    </row>
    <row r="1052" spans="1:72" x14ac:dyDescent="0.2">
      <c r="A1052" t="s">
        <v>72</v>
      </c>
      <c r="B1052" t="s">
        <v>19687</v>
      </c>
      <c r="C1052" t="s">
        <v>74</v>
      </c>
      <c r="D1052" t="s">
        <v>7685</v>
      </c>
      <c r="E1052" t="s">
        <v>74</v>
      </c>
      <c r="F1052" t="s">
        <v>19688</v>
      </c>
      <c r="G1052" t="s">
        <v>74</v>
      </c>
      <c r="H1052" t="s">
        <v>74</v>
      </c>
      <c r="I1052" t="s">
        <v>19689</v>
      </c>
      <c r="J1052" t="s">
        <v>7688</v>
      </c>
      <c r="K1052" t="s">
        <v>74</v>
      </c>
      <c r="L1052" t="s">
        <v>74</v>
      </c>
      <c r="M1052" t="s">
        <v>79</v>
      </c>
      <c r="N1052" t="s">
        <v>80</v>
      </c>
      <c r="O1052" t="s">
        <v>7689</v>
      </c>
      <c r="P1052" t="s">
        <v>7690</v>
      </c>
      <c r="Q1052" t="s">
        <v>7691</v>
      </c>
      <c r="R1052" t="s">
        <v>74</v>
      </c>
      <c r="S1052" t="s">
        <v>7692</v>
      </c>
      <c r="T1052" t="s">
        <v>74</v>
      </c>
      <c r="U1052" t="s">
        <v>13451</v>
      </c>
      <c r="V1052" t="s">
        <v>19690</v>
      </c>
      <c r="W1052" t="s">
        <v>19691</v>
      </c>
      <c r="X1052" t="s">
        <v>74</v>
      </c>
      <c r="Y1052" t="s">
        <v>19692</v>
      </c>
      <c r="Z1052" t="s">
        <v>19693</v>
      </c>
      <c r="AA1052" t="s">
        <v>74</v>
      </c>
      <c r="AB1052" t="s">
        <v>74</v>
      </c>
      <c r="AC1052" t="s">
        <v>74</v>
      </c>
      <c r="AD1052" t="s">
        <v>74</v>
      </c>
      <c r="AE1052" t="s">
        <v>74</v>
      </c>
      <c r="AF1052" t="s">
        <v>74</v>
      </c>
      <c r="AG1052">
        <v>14</v>
      </c>
      <c r="AH1052">
        <v>0</v>
      </c>
      <c r="AI1052">
        <v>0</v>
      </c>
      <c r="AJ1052">
        <v>3</v>
      </c>
      <c r="AK1052">
        <v>8</v>
      </c>
      <c r="AL1052" t="s">
        <v>325</v>
      </c>
      <c r="AM1052" t="s">
        <v>245</v>
      </c>
      <c r="AN1052" t="s">
        <v>246</v>
      </c>
      <c r="AO1052" t="s">
        <v>74</v>
      </c>
      <c r="AP1052" t="s">
        <v>74</v>
      </c>
      <c r="AQ1052" t="s">
        <v>7699</v>
      </c>
      <c r="AR1052" t="s">
        <v>74</v>
      </c>
      <c r="AS1052" t="s">
        <v>74</v>
      </c>
      <c r="AT1052" t="s">
        <v>74</v>
      </c>
      <c r="AU1052">
        <v>2023</v>
      </c>
      <c r="AV1052" t="s">
        <v>74</v>
      </c>
      <c r="AW1052" t="s">
        <v>74</v>
      </c>
      <c r="AX1052" t="s">
        <v>74</v>
      </c>
      <c r="AY1052" t="s">
        <v>74</v>
      </c>
      <c r="AZ1052" t="s">
        <v>74</v>
      </c>
      <c r="BA1052" t="s">
        <v>74</v>
      </c>
      <c r="BB1052">
        <v>122</v>
      </c>
      <c r="BC1052">
        <v>132</v>
      </c>
      <c r="BD1052" t="s">
        <v>74</v>
      </c>
      <c r="BE1052" t="s">
        <v>19694</v>
      </c>
      <c r="BF1052" t="str">
        <f>HYPERLINK("http://dx.doi.org/10.1007/978-3-031-13249-0_11","http://dx.doi.org/10.1007/978-3-031-13249-0_11")</f>
        <v>http://dx.doi.org/10.1007/978-3-031-13249-0_11</v>
      </c>
      <c r="BG1052" t="s">
        <v>74</v>
      </c>
      <c r="BH1052" t="s">
        <v>74</v>
      </c>
      <c r="BI1052">
        <v>11</v>
      </c>
      <c r="BJ1052" t="s">
        <v>7701</v>
      </c>
      <c r="BK1052" t="s">
        <v>180</v>
      </c>
      <c r="BL1052" t="s">
        <v>7702</v>
      </c>
      <c r="BM1052" t="s">
        <v>7703</v>
      </c>
      <c r="BN1052" t="s">
        <v>74</v>
      </c>
      <c r="BO1052" t="s">
        <v>74</v>
      </c>
      <c r="BP1052" t="s">
        <v>74</v>
      </c>
      <c r="BQ1052" t="s">
        <v>74</v>
      </c>
      <c r="BR1052" t="s">
        <v>101</v>
      </c>
      <c r="BS1052" t="s">
        <v>19695</v>
      </c>
      <c r="BT1052" t="str">
        <f>HYPERLINK("https%3A%2F%2Fwww.webofscience.com%2Fwos%2Fwoscc%2Ffull-record%2FWOS:000870223800011","View Full Record in Web of Science")</f>
        <v>View Full Record in Web of Science</v>
      </c>
    </row>
    <row r="1053" spans="1:72" x14ac:dyDescent="0.2">
      <c r="A1053" t="s">
        <v>72</v>
      </c>
      <c r="B1053" t="s">
        <v>19696</v>
      </c>
      <c r="C1053" t="s">
        <v>74</v>
      </c>
      <c r="D1053" t="s">
        <v>74</v>
      </c>
      <c r="E1053" t="s">
        <v>75</v>
      </c>
      <c r="F1053" t="s">
        <v>19697</v>
      </c>
      <c r="G1053" t="s">
        <v>74</v>
      </c>
      <c r="H1053" t="s">
        <v>74</v>
      </c>
      <c r="I1053" t="s">
        <v>19698</v>
      </c>
      <c r="J1053" t="s">
        <v>1264</v>
      </c>
      <c r="K1053" t="s">
        <v>74</v>
      </c>
      <c r="L1053" t="s">
        <v>74</v>
      </c>
      <c r="M1053" t="s">
        <v>79</v>
      </c>
      <c r="N1053" t="s">
        <v>80</v>
      </c>
      <c r="O1053" t="s">
        <v>1265</v>
      </c>
      <c r="P1053" t="s">
        <v>290</v>
      </c>
      <c r="Q1053" t="s">
        <v>1266</v>
      </c>
      <c r="R1053" t="s">
        <v>1267</v>
      </c>
      <c r="S1053" t="s">
        <v>74</v>
      </c>
      <c r="T1053" t="s">
        <v>19699</v>
      </c>
      <c r="U1053" t="s">
        <v>74</v>
      </c>
      <c r="V1053" t="s">
        <v>19700</v>
      </c>
      <c r="W1053" t="s">
        <v>19701</v>
      </c>
      <c r="X1053" t="s">
        <v>19702</v>
      </c>
      <c r="Y1053" t="s">
        <v>19703</v>
      </c>
      <c r="Z1053" t="s">
        <v>19704</v>
      </c>
      <c r="AA1053" t="s">
        <v>74</v>
      </c>
      <c r="AB1053" t="s">
        <v>74</v>
      </c>
      <c r="AC1053" t="s">
        <v>74</v>
      </c>
      <c r="AD1053" t="s">
        <v>74</v>
      </c>
      <c r="AE1053" t="s">
        <v>74</v>
      </c>
      <c r="AF1053" t="s">
        <v>74</v>
      </c>
      <c r="AG1053">
        <v>30</v>
      </c>
      <c r="AH1053">
        <v>0</v>
      </c>
      <c r="AI1053">
        <v>0</v>
      </c>
      <c r="AJ1053">
        <v>2</v>
      </c>
      <c r="AK1053">
        <v>2</v>
      </c>
      <c r="AL1053" t="s">
        <v>92</v>
      </c>
      <c r="AM1053" t="s">
        <v>93</v>
      </c>
      <c r="AN1053" t="s">
        <v>94</v>
      </c>
      <c r="AO1053" t="s">
        <v>74</v>
      </c>
      <c r="AP1053" t="s">
        <v>74</v>
      </c>
      <c r="AQ1053" t="s">
        <v>1278</v>
      </c>
      <c r="AR1053" t="s">
        <v>74</v>
      </c>
      <c r="AS1053" t="s">
        <v>74</v>
      </c>
      <c r="AT1053" t="s">
        <v>74</v>
      </c>
      <c r="AU1053">
        <v>2023</v>
      </c>
      <c r="AV1053" t="s">
        <v>74</v>
      </c>
      <c r="AW1053" t="s">
        <v>74</v>
      </c>
      <c r="AX1053" t="s">
        <v>74</v>
      </c>
      <c r="AY1053" t="s">
        <v>74</v>
      </c>
      <c r="AZ1053" t="s">
        <v>74</v>
      </c>
      <c r="BA1053" t="s">
        <v>74</v>
      </c>
      <c r="BB1053">
        <v>36</v>
      </c>
      <c r="BC1053">
        <v>45</v>
      </c>
      <c r="BD1053" t="s">
        <v>74</v>
      </c>
      <c r="BE1053" t="s">
        <v>19705</v>
      </c>
      <c r="BF1053" t="str">
        <f>HYPERLINK("http://dx.doi.org/10.1145/3604237.3626855","http://dx.doi.org/10.1145/3604237.3626855")</f>
        <v>http://dx.doi.org/10.1145/3604237.3626855</v>
      </c>
      <c r="BG1053" t="s">
        <v>74</v>
      </c>
      <c r="BH1053" t="s">
        <v>74</v>
      </c>
      <c r="BI1053">
        <v>10</v>
      </c>
      <c r="BJ1053" t="s">
        <v>1280</v>
      </c>
      <c r="BK1053" t="s">
        <v>180</v>
      </c>
      <c r="BL1053" t="s">
        <v>1281</v>
      </c>
      <c r="BM1053" t="s">
        <v>1282</v>
      </c>
      <c r="BN1053" t="s">
        <v>74</v>
      </c>
      <c r="BO1053" t="s">
        <v>646</v>
      </c>
      <c r="BP1053" t="s">
        <v>74</v>
      </c>
      <c r="BQ1053" t="s">
        <v>74</v>
      </c>
      <c r="BR1053" t="s">
        <v>101</v>
      </c>
      <c r="BS1053" t="s">
        <v>19706</v>
      </c>
      <c r="BT1053" t="str">
        <f>HYPERLINK("https%3A%2F%2Fwww.webofscience.com%2Fwos%2Fwoscc%2Ffull-record%2FWOS:001124982700005","View Full Record in Web of Science")</f>
        <v>View Full Record in Web of Science</v>
      </c>
    </row>
    <row r="1054" spans="1:72" x14ac:dyDescent="0.2">
      <c r="A1054" t="s">
        <v>103</v>
      </c>
      <c r="B1054" t="s">
        <v>19707</v>
      </c>
      <c r="C1054" t="s">
        <v>74</v>
      </c>
      <c r="D1054" t="s">
        <v>74</v>
      </c>
      <c r="E1054" t="s">
        <v>74</v>
      </c>
      <c r="F1054" t="s">
        <v>19708</v>
      </c>
      <c r="G1054" t="s">
        <v>74</v>
      </c>
      <c r="H1054" t="s">
        <v>74</v>
      </c>
      <c r="I1054" t="s">
        <v>19709</v>
      </c>
      <c r="J1054" t="s">
        <v>1370</v>
      </c>
      <c r="K1054" t="s">
        <v>74</v>
      </c>
      <c r="L1054" t="s">
        <v>74</v>
      </c>
      <c r="M1054" t="s">
        <v>79</v>
      </c>
      <c r="N1054" t="s">
        <v>108</v>
      </c>
      <c r="O1054" t="s">
        <v>74</v>
      </c>
      <c r="P1054" t="s">
        <v>74</v>
      </c>
      <c r="Q1054" t="s">
        <v>74</v>
      </c>
      <c r="R1054" t="s">
        <v>74</v>
      </c>
      <c r="S1054" t="s">
        <v>74</v>
      </c>
      <c r="T1054" t="s">
        <v>19710</v>
      </c>
      <c r="U1054" t="s">
        <v>7522</v>
      </c>
      <c r="V1054" t="s">
        <v>19711</v>
      </c>
      <c r="W1054" t="s">
        <v>19712</v>
      </c>
      <c r="X1054" t="s">
        <v>19713</v>
      </c>
      <c r="Y1054" t="s">
        <v>19714</v>
      </c>
      <c r="Z1054" t="s">
        <v>19715</v>
      </c>
      <c r="AA1054" t="s">
        <v>74</v>
      </c>
      <c r="AB1054" t="s">
        <v>19716</v>
      </c>
      <c r="AC1054" t="s">
        <v>19717</v>
      </c>
      <c r="AD1054" t="s">
        <v>19718</v>
      </c>
      <c r="AE1054" t="s">
        <v>19719</v>
      </c>
      <c r="AF1054" t="s">
        <v>74</v>
      </c>
      <c r="AG1054">
        <v>59</v>
      </c>
      <c r="AH1054">
        <v>0</v>
      </c>
      <c r="AI1054">
        <v>0</v>
      </c>
      <c r="AJ1054">
        <v>6</v>
      </c>
      <c r="AK1054">
        <v>6</v>
      </c>
      <c r="AL1054" t="s">
        <v>1379</v>
      </c>
      <c r="AM1054" t="s">
        <v>1380</v>
      </c>
      <c r="AN1054" t="s">
        <v>1381</v>
      </c>
      <c r="AO1054" t="s">
        <v>1382</v>
      </c>
      <c r="AP1054" t="s">
        <v>74</v>
      </c>
      <c r="AQ1054" t="s">
        <v>74</v>
      </c>
      <c r="AR1054" t="s">
        <v>1370</v>
      </c>
      <c r="AS1054" t="s">
        <v>1383</v>
      </c>
      <c r="AT1054" t="s">
        <v>74</v>
      </c>
      <c r="AU1054">
        <v>2023</v>
      </c>
      <c r="AV1054">
        <v>11</v>
      </c>
      <c r="AW1054" t="s">
        <v>74</v>
      </c>
      <c r="AX1054" t="s">
        <v>74</v>
      </c>
      <c r="AY1054" t="s">
        <v>74</v>
      </c>
      <c r="AZ1054" t="s">
        <v>74</v>
      </c>
      <c r="BA1054" t="s">
        <v>74</v>
      </c>
      <c r="BB1054">
        <v>84313</v>
      </c>
      <c r="BC1054">
        <v>84322</v>
      </c>
      <c r="BD1054" t="s">
        <v>74</v>
      </c>
      <c r="BE1054" t="s">
        <v>19720</v>
      </c>
      <c r="BF1054" t="str">
        <f>HYPERLINK("http://dx.doi.org/10.1109/ACCESS.2023.3303510","http://dx.doi.org/10.1109/ACCESS.2023.3303510")</f>
        <v>http://dx.doi.org/10.1109/ACCESS.2023.3303510</v>
      </c>
      <c r="BG1054" t="s">
        <v>74</v>
      </c>
      <c r="BH1054" t="s">
        <v>74</v>
      </c>
      <c r="BI1054">
        <v>10</v>
      </c>
      <c r="BJ1054" t="s">
        <v>1385</v>
      </c>
      <c r="BK1054" t="s">
        <v>130</v>
      </c>
      <c r="BL1054" t="s">
        <v>1386</v>
      </c>
      <c r="BM1054" t="s">
        <v>19721</v>
      </c>
      <c r="BN1054" t="s">
        <v>74</v>
      </c>
      <c r="BO1054" t="s">
        <v>425</v>
      </c>
      <c r="BP1054" t="s">
        <v>74</v>
      </c>
      <c r="BQ1054" t="s">
        <v>74</v>
      </c>
      <c r="BR1054" t="s">
        <v>101</v>
      </c>
      <c r="BS1054" t="s">
        <v>19722</v>
      </c>
      <c r="BT1054" t="str">
        <f>HYPERLINK("https%3A%2F%2Fwww.webofscience.com%2Fwos%2Fwoscc%2Ffull-record%2FWOS:001049933400001","View Full Record in Web of Science")</f>
        <v>View Full Record in Web of Science</v>
      </c>
    </row>
    <row r="1055" spans="1:72" x14ac:dyDescent="0.2">
      <c r="A1055" t="s">
        <v>72</v>
      </c>
      <c r="B1055" t="s">
        <v>19723</v>
      </c>
      <c r="C1055" t="s">
        <v>74</v>
      </c>
      <c r="D1055" t="s">
        <v>74</v>
      </c>
      <c r="E1055" t="s">
        <v>284</v>
      </c>
      <c r="F1055" t="s">
        <v>19724</v>
      </c>
      <c r="G1055" t="s">
        <v>74</v>
      </c>
      <c r="H1055" t="s">
        <v>74</v>
      </c>
      <c r="I1055" t="s">
        <v>19725</v>
      </c>
      <c r="J1055" t="s">
        <v>19726</v>
      </c>
      <c r="K1055" t="s">
        <v>19727</v>
      </c>
      <c r="L1055" t="s">
        <v>74</v>
      </c>
      <c r="M1055" t="s">
        <v>79</v>
      </c>
      <c r="N1055" t="s">
        <v>80</v>
      </c>
      <c r="O1055" t="s">
        <v>8247</v>
      </c>
      <c r="P1055" t="s">
        <v>8248</v>
      </c>
      <c r="Q1055" t="s">
        <v>6017</v>
      </c>
      <c r="R1055" t="s">
        <v>8249</v>
      </c>
      <c r="S1055" t="s">
        <v>74</v>
      </c>
      <c r="T1055" t="s">
        <v>74</v>
      </c>
      <c r="U1055" t="s">
        <v>19728</v>
      </c>
      <c r="V1055" t="s">
        <v>19729</v>
      </c>
      <c r="W1055" t="s">
        <v>19730</v>
      </c>
      <c r="X1055" t="s">
        <v>19731</v>
      </c>
      <c r="Y1055" t="s">
        <v>19732</v>
      </c>
      <c r="Z1055" t="s">
        <v>19733</v>
      </c>
      <c r="AA1055" t="s">
        <v>19734</v>
      </c>
      <c r="AB1055" t="s">
        <v>19735</v>
      </c>
      <c r="AC1055" t="s">
        <v>74</v>
      </c>
      <c r="AD1055" t="s">
        <v>74</v>
      </c>
      <c r="AE1055" t="s">
        <v>74</v>
      </c>
      <c r="AF1055" t="s">
        <v>74</v>
      </c>
      <c r="AG1055">
        <v>53</v>
      </c>
      <c r="AH1055">
        <v>1</v>
      </c>
      <c r="AI1055">
        <v>1</v>
      </c>
      <c r="AJ1055">
        <v>2</v>
      </c>
      <c r="AK1055">
        <v>2</v>
      </c>
      <c r="AL1055" t="s">
        <v>638</v>
      </c>
      <c r="AM1055" t="s">
        <v>639</v>
      </c>
      <c r="AN1055" t="s">
        <v>640</v>
      </c>
      <c r="AO1055" t="s">
        <v>19736</v>
      </c>
      <c r="AP1055" t="s">
        <v>74</v>
      </c>
      <c r="AQ1055" t="s">
        <v>19737</v>
      </c>
      <c r="AR1055" t="s">
        <v>19738</v>
      </c>
      <c r="AS1055" t="s">
        <v>74</v>
      </c>
      <c r="AT1055" t="s">
        <v>74</v>
      </c>
      <c r="AU1055">
        <v>2023</v>
      </c>
      <c r="AV1055" t="s">
        <v>74</v>
      </c>
      <c r="AW1055" t="s">
        <v>74</v>
      </c>
      <c r="AX1055" t="s">
        <v>74</v>
      </c>
      <c r="AY1055" t="s">
        <v>74</v>
      </c>
      <c r="AZ1055" t="s">
        <v>74</v>
      </c>
      <c r="BA1055" t="s">
        <v>74</v>
      </c>
      <c r="BB1055">
        <v>659</v>
      </c>
      <c r="BC1055">
        <v>667</v>
      </c>
      <c r="BD1055" t="s">
        <v>74</v>
      </c>
      <c r="BE1055" t="s">
        <v>19739</v>
      </c>
      <c r="BF1055" t="str">
        <f>HYPERLINK("http://dx.doi.org/10.1109/CVPRW59228.2023.00073","http://dx.doi.org/10.1109/CVPRW59228.2023.00073")</f>
        <v>http://dx.doi.org/10.1109/CVPRW59228.2023.00073</v>
      </c>
      <c r="BG1055" t="s">
        <v>74</v>
      </c>
      <c r="BH1055" t="s">
        <v>74</v>
      </c>
      <c r="BI1055">
        <v>9</v>
      </c>
      <c r="BJ1055" t="s">
        <v>1851</v>
      </c>
      <c r="BK1055" t="s">
        <v>98</v>
      </c>
      <c r="BL1055" t="s">
        <v>99</v>
      </c>
      <c r="BM1055" t="s">
        <v>19740</v>
      </c>
      <c r="BN1055" t="s">
        <v>74</v>
      </c>
      <c r="BO1055" t="s">
        <v>646</v>
      </c>
      <c r="BP1055" t="s">
        <v>74</v>
      </c>
      <c r="BQ1055" t="s">
        <v>74</v>
      </c>
      <c r="BR1055" t="s">
        <v>101</v>
      </c>
      <c r="BS1055" t="s">
        <v>19741</v>
      </c>
      <c r="BT1055" t="str">
        <f>HYPERLINK("https%3A%2F%2Fwww.webofscience.com%2Fwos%2Fwoscc%2Ffull-record%2FWOS:001055056500069","View Full Record in Web of Science")</f>
        <v>View Full Record in Web of Science</v>
      </c>
    </row>
    <row r="1056" spans="1:72" x14ac:dyDescent="0.2">
      <c r="A1056" t="s">
        <v>103</v>
      </c>
      <c r="B1056" t="s">
        <v>19742</v>
      </c>
      <c r="C1056" t="s">
        <v>74</v>
      </c>
      <c r="D1056" t="s">
        <v>74</v>
      </c>
      <c r="E1056" t="s">
        <v>74</v>
      </c>
      <c r="F1056" t="s">
        <v>19743</v>
      </c>
      <c r="G1056" t="s">
        <v>74</v>
      </c>
      <c r="H1056" t="s">
        <v>74</v>
      </c>
      <c r="I1056" t="s">
        <v>19744</v>
      </c>
      <c r="J1056" t="s">
        <v>12688</v>
      </c>
      <c r="K1056" t="s">
        <v>74</v>
      </c>
      <c r="L1056" t="s">
        <v>74</v>
      </c>
      <c r="M1056" t="s">
        <v>79</v>
      </c>
      <c r="N1056" t="s">
        <v>108</v>
      </c>
      <c r="O1056" t="s">
        <v>74</v>
      </c>
      <c r="P1056" t="s">
        <v>74</v>
      </c>
      <c r="Q1056" t="s">
        <v>74</v>
      </c>
      <c r="R1056" t="s">
        <v>74</v>
      </c>
      <c r="S1056" t="s">
        <v>74</v>
      </c>
      <c r="T1056" t="s">
        <v>19745</v>
      </c>
      <c r="U1056" t="s">
        <v>19746</v>
      </c>
      <c r="V1056" t="s">
        <v>19747</v>
      </c>
      <c r="W1056" t="s">
        <v>19748</v>
      </c>
      <c r="X1056" t="s">
        <v>19749</v>
      </c>
      <c r="Y1056" t="s">
        <v>19750</v>
      </c>
      <c r="Z1056" t="s">
        <v>19751</v>
      </c>
      <c r="AA1056" t="s">
        <v>19752</v>
      </c>
      <c r="AB1056" t="s">
        <v>19753</v>
      </c>
      <c r="AC1056" t="s">
        <v>19754</v>
      </c>
      <c r="AD1056" t="s">
        <v>19755</v>
      </c>
      <c r="AE1056" t="s">
        <v>19756</v>
      </c>
      <c r="AF1056" t="s">
        <v>74</v>
      </c>
      <c r="AG1056">
        <v>44</v>
      </c>
      <c r="AH1056">
        <v>6</v>
      </c>
      <c r="AI1056">
        <v>6</v>
      </c>
      <c r="AJ1056">
        <v>2</v>
      </c>
      <c r="AK1056">
        <v>7</v>
      </c>
      <c r="AL1056" t="s">
        <v>764</v>
      </c>
      <c r="AM1056" t="s">
        <v>765</v>
      </c>
      <c r="AN1056" t="s">
        <v>766</v>
      </c>
      <c r="AO1056" t="s">
        <v>12699</v>
      </c>
      <c r="AP1056" t="s">
        <v>74</v>
      </c>
      <c r="AQ1056" t="s">
        <v>74</v>
      </c>
      <c r="AR1056" t="s">
        <v>12700</v>
      </c>
      <c r="AS1056" t="s">
        <v>12701</v>
      </c>
      <c r="AT1056" t="s">
        <v>2582</v>
      </c>
      <c r="AU1056">
        <v>2023</v>
      </c>
      <c r="AV1056">
        <v>3</v>
      </c>
      <c r="AW1056">
        <v>2</v>
      </c>
      <c r="AX1056" t="s">
        <v>74</v>
      </c>
      <c r="AY1056" t="s">
        <v>74</v>
      </c>
      <c r="AZ1056" t="s">
        <v>74</v>
      </c>
      <c r="BA1056" t="s">
        <v>74</v>
      </c>
      <c r="BB1056" t="s">
        <v>74</v>
      </c>
      <c r="BC1056" t="s">
        <v>74</v>
      </c>
      <c r="BD1056">
        <v>100258</v>
      </c>
      <c r="BE1056" t="s">
        <v>19757</v>
      </c>
      <c r="BF1056" t="str">
        <f>HYPERLINK("http://dx.doi.org/10.1016/j.xops.2022.100258","http://dx.doi.org/10.1016/j.xops.2022.100258")</f>
        <v>http://dx.doi.org/10.1016/j.xops.2022.100258</v>
      </c>
      <c r="BG1056" t="s">
        <v>74</v>
      </c>
      <c r="BH1056" t="s">
        <v>7345</v>
      </c>
      <c r="BI1056">
        <v>14</v>
      </c>
      <c r="BJ1056" t="s">
        <v>9843</v>
      </c>
      <c r="BK1056" t="s">
        <v>352</v>
      </c>
      <c r="BL1056" t="s">
        <v>9843</v>
      </c>
      <c r="BM1056" t="s">
        <v>19758</v>
      </c>
      <c r="BN1056">
        <v>36685715</v>
      </c>
      <c r="BO1056" t="s">
        <v>4185</v>
      </c>
      <c r="BP1056" t="s">
        <v>74</v>
      </c>
      <c r="BQ1056" t="s">
        <v>74</v>
      </c>
      <c r="BR1056" t="s">
        <v>101</v>
      </c>
      <c r="BS1056" t="s">
        <v>19759</v>
      </c>
      <c r="BT1056" t="str">
        <f>HYPERLINK("https%3A%2F%2Fwww.webofscience.com%2Fwos%2Fwoscc%2Ffull-record%2FWOS:001037195700001","View Full Record in Web of Science")</f>
        <v>View Full Record in Web of Science</v>
      </c>
    </row>
    <row r="1057" spans="1:72" x14ac:dyDescent="0.2">
      <c r="A1057" t="s">
        <v>103</v>
      </c>
      <c r="B1057" t="s">
        <v>19760</v>
      </c>
      <c r="C1057" t="s">
        <v>74</v>
      </c>
      <c r="D1057" t="s">
        <v>74</v>
      </c>
      <c r="E1057" t="s">
        <v>74</v>
      </c>
      <c r="F1057" t="s">
        <v>19761</v>
      </c>
      <c r="G1057" t="s">
        <v>74</v>
      </c>
      <c r="H1057" t="s">
        <v>74</v>
      </c>
      <c r="I1057" t="s">
        <v>19762</v>
      </c>
      <c r="J1057" t="s">
        <v>19763</v>
      </c>
      <c r="K1057" t="s">
        <v>74</v>
      </c>
      <c r="L1057" t="s">
        <v>74</v>
      </c>
      <c r="M1057" t="s">
        <v>79</v>
      </c>
      <c r="N1057" t="s">
        <v>108</v>
      </c>
      <c r="O1057" t="s">
        <v>74</v>
      </c>
      <c r="P1057" t="s">
        <v>74</v>
      </c>
      <c r="Q1057" t="s">
        <v>74</v>
      </c>
      <c r="R1057" t="s">
        <v>74</v>
      </c>
      <c r="S1057" t="s">
        <v>74</v>
      </c>
      <c r="T1057" t="s">
        <v>19764</v>
      </c>
      <c r="U1057" t="s">
        <v>74</v>
      </c>
      <c r="V1057" t="s">
        <v>19765</v>
      </c>
      <c r="W1057" t="s">
        <v>19766</v>
      </c>
      <c r="X1057" t="s">
        <v>19767</v>
      </c>
      <c r="Y1057" t="s">
        <v>19768</v>
      </c>
      <c r="Z1057" t="s">
        <v>19769</v>
      </c>
      <c r="AA1057" t="s">
        <v>74</v>
      </c>
      <c r="AB1057" t="s">
        <v>19770</v>
      </c>
      <c r="AC1057" t="s">
        <v>19771</v>
      </c>
      <c r="AD1057" t="s">
        <v>19772</v>
      </c>
      <c r="AE1057" t="s">
        <v>19773</v>
      </c>
      <c r="AF1057" t="s">
        <v>74</v>
      </c>
      <c r="AG1057">
        <v>20</v>
      </c>
      <c r="AH1057">
        <v>1</v>
      </c>
      <c r="AI1057">
        <v>1</v>
      </c>
      <c r="AJ1057">
        <v>28</v>
      </c>
      <c r="AK1057">
        <v>28</v>
      </c>
      <c r="AL1057" t="s">
        <v>764</v>
      </c>
      <c r="AM1057" t="s">
        <v>765</v>
      </c>
      <c r="AN1057" t="s">
        <v>766</v>
      </c>
      <c r="AO1057" t="s">
        <v>19774</v>
      </c>
      <c r="AP1057" t="s">
        <v>19775</v>
      </c>
      <c r="AQ1057" t="s">
        <v>74</v>
      </c>
      <c r="AR1057" t="s">
        <v>19763</v>
      </c>
      <c r="AS1057" t="s">
        <v>19776</v>
      </c>
      <c r="AT1057" t="s">
        <v>8033</v>
      </c>
      <c r="AU1057">
        <v>2024</v>
      </c>
      <c r="AV1057">
        <v>570</v>
      </c>
      <c r="AW1057" t="s">
        <v>74</v>
      </c>
      <c r="AX1057" t="s">
        <v>74</v>
      </c>
      <c r="AY1057" t="s">
        <v>74</v>
      </c>
      <c r="AZ1057" t="s">
        <v>74</v>
      </c>
      <c r="BA1057" t="s">
        <v>74</v>
      </c>
      <c r="BB1057" t="s">
        <v>74</v>
      </c>
      <c r="BC1057" t="s">
        <v>74</v>
      </c>
      <c r="BD1057">
        <v>117085</v>
      </c>
      <c r="BE1057" t="s">
        <v>19777</v>
      </c>
      <c r="BF1057" t="str">
        <f>HYPERLINK("http://dx.doi.org/10.1016/j.desal.2023.117085","http://dx.doi.org/10.1016/j.desal.2023.117085")</f>
        <v>http://dx.doi.org/10.1016/j.desal.2023.117085</v>
      </c>
      <c r="BG1057" t="s">
        <v>74</v>
      </c>
      <c r="BH1057" t="s">
        <v>1886</v>
      </c>
      <c r="BI1057">
        <v>18</v>
      </c>
      <c r="BJ1057" t="s">
        <v>19778</v>
      </c>
      <c r="BK1057" t="s">
        <v>130</v>
      </c>
      <c r="BL1057" t="s">
        <v>17170</v>
      </c>
      <c r="BM1057" t="s">
        <v>19779</v>
      </c>
      <c r="BN1057" t="s">
        <v>74</v>
      </c>
      <c r="BO1057" t="s">
        <v>74</v>
      </c>
      <c r="BP1057" t="s">
        <v>74</v>
      </c>
      <c r="BQ1057" t="s">
        <v>74</v>
      </c>
      <c r="BR1057" t="s">
        <v>101</v>
      </c>
      <c r="BS1057" t="s">
        <v>19780</v>
      </c>
      <c r="BT1057" t="str">
        <f>HYPERLINK("https%3A%2F%2Fwww.webofscience.com%2Fwos%2Fwoscc%2Ffull-record%2FWOS:001096697000001","View Full Record in Web of Science")</f>
        <v>View Full Record in Web of Science</v>
      </c>
    </row>
    <row r="1058" spans="1:72" x14ac:dyDescent="0.2">
      <c r="A1058" t="s">
        <v>103</v>
      </c>
      <c r="B1058" t="s">
        <v>19781</v>
      </c>
      <c r="C1058" t="s">
        <v>74</v>
      </c>
      <c r="D1058" t="s">
        <v>74</v>
      </c>
      <c r="E1058" t="s">
        <v>74</v>
      </c>
      <c r="F1058" t="s">
        <v>19782</v>
      </c>
      <c r="G1058" t="s">
        <v>74</v>
      </c>
      <c r="H1058" t="s">
        <v>74</v>
      </c>
      <c r="I1058" t="s">
        <v>19783</v>
      </c>
      <c r="J1058" t="s">
        <v>9015</v>
      </c>
      <c r="K1058" t="s">
        <v>74</v>
      </c>
      <c r="L1058" t="s">
        <v>74</v>
      </c>
      <c r="M1058" t="s">
        <v>79</v>
      </c>
      <c r="N1058" t="s">
        <v>108</v>
      </c>
      <c r="O1058" t="s">
        <v>74</v>
      </c>
      <c r="P1058" t="s">
        <v>74</v>
      </c>
      <c r="Q1058" t="s">
        <v>74</v>
      </c>
      <c r="R1058" t="s">
        <v>74</v>
      </c>
      <c r="S1058" t="s">
        <v>74</v>
      </c>
      <c r="T1058" t="s">
        <v>19784</v>
      </c>
      <c r="U1058" t="s">
        <v>19785</v>
      </c>
      <c r="V1058" t="s">
        <v>19786</v>
      </c>
      <c r="W1058" t="s">
        <v>19787</v>
      </c>
      <c r="X1058" t="s">
        <v>19788</v>
      </c>
      <c r="Y1058" t="s">
        <v>19789</v>
      </c>
      <c r="Z1058" t="s">
        <v>19790</v>
      </c>
      <c r="AA1058" t="s">
        <v>19791</v>
      </c>
      <c r="AB1058" t="s">
        <v>19792</v>
      </c>
      <c r="AC1058" t="s">
        <v>74</v>
      </c>
      <c r="AD1058" t="s">
        <v>74</v>
      </c>
      <c r="AE1058" t="s">
        <v>74</v>
      </c>
      <c r="AF1058" t="s">
        <v>74</v>
      </c>
      <c r="AG1058">
        <v>36</v>
      </c>
      <c r="AH1058">
        <v>47</v>
      </c>
      <c r="AI1058">
        <v>47</v>
      </c>
      <c r="AJ1058">
        <v>256</v>
      </c>
      <c r="AK1058">
        <v>470</v>
      </c>
      <c r="AL1058" t="s">
        <v>483</v>
      </c>
      <c r="AM1058" t="s">
        <v>484</v>
      </c>
      <c r="AN1058" t="s">
        <v>485</v>
      </c>
      <c r="AO1058" t="s">
        <v>9024</v>
      </c>
      <c r="AP1058" t="s">
        <v>9025</v>
      </c>
      <c r="AQ1058" t="s">
        <v>74</v>
      </c>
      <c r="AR1058" t="s">
        <v>9026</v>
      </c>
      <c r="AS1058" t="s">
        <v>9027</v>
      </c>
      <c r="AT1058" t="s">
        <v>19793</v>
      </c>
      <c r="AU1058">
        <v>2024</v>
      </c>
      <c r="AV1058">
        <v>79</v>
      </c>
      <c r="AW1058">
        <v>2</v>
      </c>
      <c r="AX1058" t="s">
        <v>74</v>
      </c>
      <c r="AY1058" t="s">
        <v>74</v>
      </c>
      <c r="AZ1058" t="s">
        <v>74</v>
      </c>
      <c r="BA1058" t="s">
        <v>74</v>
      </c>
      <c r="BB1058">
        <v>290</v>
      </c>
      <c r="BC1058">
        <v>303</v>
      </c>
      <c r="BD1058" t="s">
        <v>74</v>
      </c>
      <c r="BE1058" t="s">
        <v>19794</v>
      </c>
      <c r="BF1058" t="str">
        <f>HYPERLINK("http://dx.doi.org/10.1108/TR-02-2023-0088","http://dx.doi.org/10.1108/TR-02-2023-0088")</f>
        <v>http://dx.doi.org/10.1108/TR-02-2023-0088</v>
      </c>
      <c r="BG1058" t="s">
        <v>74</v>
      </c>
      <c r="BH1058" t="s">
        <v>793</v>
      </c>
      <c r="BI1058">
        <v>14</v>
      </c>
      <c r="BJ1058" t="s">
        <v>2911</v>
      </c>
      <c r="BK1058" t="s">
        <v>159</v>
      </c>
      <c r="BL1058" t="s">
        <v>618</v>
      </c>
      <c r="BM1058" t="s">
        <v>19795</v>
      </c>
      <c r="BN1058" t="s">
        <v>74</v>
      </c>
      <c r="BO1058" t="s">
        <v>1237</v>
      </c>
      <c r="BP1058" t="s">
        <v>1434</v>
      </c>
      <c r="BQ1058" t="s">
        <v>1912</v>
      </c>
      <c r="BR1058" t="s">
        <v>101</v>
      </c>
      <c r="BS1058" t="s">
        <v>19796</v>
      </c>
      <c r="BT1058" t="str">
        <f>HYPERLINK("https%3A%2F%2Fwww.webofscience.com%2Fwos%2Fwoscc%2Ffull-record%2FWOS:000961061600001","View Full Record in Web of Science")</f>
        <v>View Full Record in Web of Science</v>
      </c>
    </row>
    <row r="1059" spans="1:72" x14ac:dyDescent="0.2">
      <c r="A1059" t="s">
        <v>103</v>
      </c>
      <c r="B1059" t="s">
        <v>19797</v>
      </c>
      <c r="C1059" t="s">
        <v>74</v>
      </c>
      <c r="D1059" t="s">
        <v>74</v>
      </c>
      <c r="E1059" t="s">
        <v>74</v>
      </c>
      <c r="F1059" t="s">
        <v>19798</v>
      </c>
      <c r="G1059" t="s">
        <v>74</v>
      </c>
      <c r="H1059" t="s">
        <v>74</v>
      </c>
      <c r="I1059" t="s">
        <v>19799</v>
      </c>
      <c r="J1059" t="s">
        <v>13253</v>
      </c>
      <c r="K1059" t="s">
        <v>74</v>
      </c>
      <c r="L1059" t="s">
        <v>74</v>
      </c>
      <c r="M1059" t="s">
        <v>79</v>
      </c>
      <c r="N1059" t="s">
        <v>108</v>
      </c>
      <c r="O1059" t="s">
        <v>74</v>
      </c>
      <c r="P1059" t="s">
        <v>74</v>
      </c>
      <c r="Q1059" t="s">
        <v>74</v>
      </c>
      <c r="R1059" t="s">
        <v>74</v>
      </c>
      <c r="S1059" t="s">
        <v>74</v>
      </c>
      <c r="T1059" t="s">
        <v>19800</v>
      </c>
      <c r="U1059" t="s">
        <v>19801</v>
      </c>
      <c r="V1059" t="s">
        <v>19802</v>
      </c>
      <c r="W1059" t="s">
        <v>19803</v>
      </c>
      <c r="X1059" t="s">
        <v>74</v>
      </c>
      <c r="Y1059" t="s">
        <v>19804</v>
      </c>
      <c r="Z1059" t="s">
        <v>19805</v>
      </c>
      <c r="AA1059" t="s">
        <v>74</v>
      </c>
      <c r="AB1059" t="s">
        <v>74</v>
      </c>
      <c r="AC1059" t="s">
        <v>74</v>
      </c>
      <c r="AD1059" t="s">
        <v>74</v>
      </c>
      <c r="AE1059" t="s">
        <v>74</v>
      </c>
      <c r="AF1059" t="s">
        <v>74</v>
      </c>
      <c r="AG1059">
        <v>115</v>
      </c>
      <c r="AH1059">
        <v>7</v>
      </c>
      <c r="AI1059">
        <v>7</v>
      </c>
      <c r="AJ1059">
        <v>96</v>
      </c>
      <c r="AK1059">
        <v>96</v>
      </c>
      <c r="AL1059" t="s">
        <v>483</v>
      </c>
      <c r="AM1059" t="s">
        <v>484</v>
      </c>
      <c r="AN1059" t="s">
        <v>485</v>
      </c>
      <c r="AO1059" t="s">
        <v>13263</v>
      </c>
      <c r="AP1059" t="s">
        <v>13264</v>
      </c>
      <c r="AQ1059" t="s">
        <v>74</v>
      </c>
      <c r="AR1059" t="s">
        <v>13265</v>
      </c>
      <c r="AS1059" t="s">
        <v>13266</v>
      </c>
      <c r="AT1059" t="s">
        <v>19806</v>
      </c>
      <c r="AU1059">
        <v>2023</v>
      </c>
      <c r="AV1059" t="s">
        <v>74</v>
      </c>
      <c r="AW1059" t="s">
        <v>74</v>
      </c>
      <c r="AX1059" t="s">
        <v>74</v>
      </c>
      <c r="AY1059" t="s">
        <v>74</v>
      </c>
      <c r="AZ1059" t="s">
        <v>74</v>
      </c>
      <c r="BA1059" t="s">
        <v>74</v>
      </c>
      <c r="BB1059" t="s">
        <v>74</v>
      </c>
      <c r="BC1059" t="s">
        <v>74</v>
      </c>
      <c r="BD1059">
        <v>708854</v>
      </c>
      <c r="BE1059" t="s">
        <v>19807</v>
      </c>
      <c r="BF1059" t="str">
        <f>HYPERLINK("http://dx.doi.org/10.1108/ITSE-04-2023-0061","http://dx.doi.org/10.1108/ITSE-04-2023-0061")</f>
        <v>http://dx.doi.org/10.1108/ITSE-04-2023-0061</v>
      </c>
      <c r="BG1059" t="s">
        <v>74</v>
      </c>
      <c r="BH1059" t="s">
        <v>74</v>
      </c>
      <c r="BI1059">
        <v>23</v>
      </c>
      <c r="BJ1059" t="s">
        <v>423</v>
      </c>
      <c r="BK1059" t="s">
        <v>352</v>
      </c>
      <c r="BL1059" t="s">
        <v>423</v>
      </c>
      <c r="BM1059" t="s">
        <v>19808</v>
      </c>
      <c r="BN1059" t="s">
        <v>74</v>
      </c>
      <c r="BO1059" t="s">
        <v>74</v>
      </c>
      <c r="BP1059" t="s">
        <v>74</v>
      </c>
      <c r="BQ1059" t="s">
        <v>74</v>
      </c>
      <c r="BR1059" t="s">
        <v>101</v>
      </c>
      <c r="BS1059" t="s">
        <v>19809</v>
      </c>
      <c r="BT1059" t="str">
        <f>HYPERLINK("https%3A%2F%2Fwww.webofscience.com%2Fwos%2Fwoscc%2Ffull-record%2FWOS:001093809100001","View Full Record in Web of Science")</f>
        <v>View Full Record in Web of Science</v>
      </c>
    </row>
    <row r="1060" spans="1:72" x14ac:dyDescent="0.2">
      <c r="A1060" t="s">
        <v>103</v>
      </c>
      <c r="B1060" t="s">
        <v>19810</v>
      </c>
      <c r="C1060" t="s">
        <v>74</v>
      </c>
      <c r="D1060" t="s">
        <v>74</v>
      </c>
      <c r="E1060" t="s">
        <v>74</v>
      </c>
      <c r="F1060" t="s">
        <v>19811</v>
      </c>
      <c r="G1060" t="s">
        <v>74</v>
      </c>
      <c r="H1060" t="s">
        <v>74</v>
      </c>
      <c r="I1060" t="s">
        <v>19812</v>
      </c>
      <c r="J1060" t="s">
        <v>15582</v>
      </c>
      <c r="K1060" t="s">
        <v>74</v>
      </c>
      <c r="L1060" t="s">
        <v>74</v>
      </c>
      <c r="M1060" t="s">
        <v>79</v>
      </c>
      <c r="N1060" t="s">
        <v>108</v>
      </c>
      <c r="O1060" t="s">
        <v>74</v>
      </c>
      <c r="P1060" t="s">
        <v>74</v>
      </c>
      <c r="Q1060" t="s">
        <v>74</v>
      </c>
      <c r="R1060" t="s">
        <v>74</v>
      </c>
      <c r="S1060" t="s">
        <v>74</v>
      </c>
      <c r="T1060" t="s">
        <v>19813</v>
      </c>
      <c r="U1060" t="s">
        <v>19814</v>
      </c>
      <c r="V1060" t="s">
        <v>19815</v>
      </c>
      <c r="W1060" t="s">
        <v>19816</v>
      </c>
      <c r="X1060" t="s">
        <v>19817</v>
      </c>
      <c r="Y1060" t="s">
        <v>19818</v>
      </c>
      <c r="Z1060" t="s">
        <v>19819</v>
      </c>
      <c r="AA1060" t="s">
        <v>74</v>
      </c>
      <c r="AB1060" t="s">
        <v>74</v>
      </c>
      <c r="AC1060" t="s">
        <v>19820</v>
      </c>
      <c r="AD1060" t="s">
        <v>19821</v>
      </c>
      <c r="AE1060" t="s">
        <v>19822</v>
      </c>
      <c r="AF1060" t="s">
        <v>74</v>
      </c>
      <c r="AG1060">
        <v>38</v>
      </c>
      <c r="AH1060">
        <v>0</v>
      </c>
      <c r="AI1060">
        <v>0</v>
      </c>
      <c r="AJ1060">
        <v>4</v>
      </c>
      <c r="AK1060">
        <v>4</v>
      </c>
      <c r="AL1060" t="s">
        <v>14835</v>
      </c>
      <c r="AM1060" t="s">
        <v>14836</v>
      </c>
      <c r="AN1060" t="s">
        <v>14837</v>
      </c>
      <c r="AO1060" t="s">
        <v>15591</v>
      </c>
      <c r="AP1060" t="s">
        <v>15592</v>
      </c>
      <c r="AQ1060" t="s">
        <v>74</v>
      </c>
      <c r="AR1060" t="s">
        <v>15593</v>
      </c>
      <c r="AS1060" t="s">
        <v>15594</v>
      </c>
      <c r="AT1060" t="s">
        <v>467</v>
      </c>
      <c r="AU1060">
        <v>2023</v>
      </c>
      <c r="AV1060">
        <v>240</v>
      </c>
      <c r="AW1060" t="s">
        <v>74</v>
      </c>
      <c r="AX1060" t="s">
        <v>74</v>
      </c>
      <c r="AY1060" t="s">
        <v>74</v>
      </c>
      <c r="AZ1060" t="s">
        <v>74</v>
      </c>
      <c r="BA1060" t="s">
        <v>74</v>
      </c>
      <c r="BB1060" t="s">
        <v>74</v>
      </c>
      <c r="BC1060" t="s">
        <v>74</v>
      </c>
      <c r="BD1060">
        <v>107642</v>
      </c>
      <c r="BE1060" t="s">
        <v>19823</v>
      </c>
      <c r="BF1060" t="str">
        <f>HYPERLINK("http://dx.doi.org/10.1016/j.cmpb.2023.107642","http://dx.doi.org/10.1016/j.cmpb.2023.107642")</f>
        <v>http://dx.doi.org/10.1016/j.cmpb.2023.107642</v>
      </c>
      <c r="BG1060" t="s">
        <v>74</v>
      </c>
      <c r="BH1060" t="s">
        <v>229</v>
      </c>
      <c r="BI1060">
        <v>12</v>
      </c>
      <c r="BJ1060" t="s">
        <v>15596</v>
      </c>
      <c r="BK1060" t="s">
        <v>130</v>
      </c>
      <c r="BL1060" t="s">
        <v>6455</v>
      </c>
      <c r="BM1060" t="s">
        <v>19824</v>
      </c>
      <c r="BN1060">
        <v>37480644</v>
      </c>
      <c r="BO1060" t="s">
        <v>74</v>
      </c>
      <c r="BP1060" t="s">
        <v>74</v>
      </c>
      <c r="BQ1060" t="s">
        <v>74</v>
      </c>
      <c r="BR1060" t="s">
        <v>101</v>
      </c>
      <c r="BS1060" t="s">
        <v>19825</v>
      </c>
      <c r="BT1060" t="str">
        <f>HYPERLINK("https%3A%2F%2Fwww.webofscience.com%2Fwos%2Fwoscc%2Ffull-record%2FWOS:001047279400001","View Full Record in Web of Science")</f>
        <v>View Full Record in Web of Science</v>
      </c>
    </row>
    <row r="1061" spans="1:72" x14ac:dyDescent="0.2">
      <c r="A1061" t="s">
        <v>72</v>
      </c>
      <c r="B1061" t="s">
        <v>19826</v>
      </c>
      <c r="C1061" t="s">
        <v>74</v>
      </c>
      <c r="D1061" t="s">
        <v>74</v>
      </c>
      <c r="E1061" t="s">
        <v>284</v>
      </c>
      <c r="F1061" t="s">
        <v>19827</v>
      </c>
      <c r="G1061" t="s">
        <v>74</v>
      </c>
      <c r="H1061" t="s">
        <v>74</v>
      </c>
      <c r="I1061" t="s">
        <v>19828</v>
      </c>
      <c r="J1061" t="s">
        <v>10100</v>
      </c>
      <c r="K1061" t="s">
        <v>8246</v>
      </c>
      <c r="L1061" t="s">
        <v>74</v>
      </c>
      <c r="M1061" t="s">
        <v>79</v>
      </c>
      <c r="N1061" t="s">
        <v>80</v>
      </c>
      <c r="O1061" t="s">
        <v>8247</v>
      </c>
      <c r="P1061" t="s">
        <v>8248</v>
      </c>
      <c r="Q1061" t="s">
        <v>6017</v>
      </c>
      <c r="R1061" t="s">
        <v>8249</v>
      </c>
      <c r="S1061" t="s">
        <v>74</v>
      </c>
      <c r="T1061" t="s">
        <v>74</v>
      </c>
      <c r="U1061" t="s">
        <v>74</v>
      </c>
      <c r="V1061" t="s">
        <v>19829</v>
      </c>
      <c r="W1061" t="s">
        <v>19830</v>
      </c>
      <c r="X1061" t="s">
        <v>19831</v>
      </c>
      <c r="Y1061" t="s">
        <v>19832</v>
      </c>
      <c r="Z1061" t="s">
        <v>74</v>
      </c>
      <c r="AA1061" t="s">
        <v>74</v>
      </c>
      <c r="AB1061" t="s">
        <v>74</v>
      </c>
      <c r="AC1061" t="s">
        <v>74</v>
      </c>
      <c r="AD1061" t="s">
        <v>74</v>
      </c>
      <c r="AE1061" t="s">
        <v>74</v>
      </c>
      <c r="AF1061" t="s">
        <v>74</v>
      </c>
      <c r="AG1061">
        <v>83</v>
      </c>
      <c r="AH1061">
        <v>1</v>
      </c>
      <c r="AI1061">
        <v>2</v>
      </c>
      <c r="AJ1061">
        <v>1</v>
      </c>
      <c r="AK1061">
        <v>1</v>
      </c>
      <c r="AL1061" t="s">
        <v>638</v>
      </c>
      <c r="AM1061" t="s">
        <v>639</v>
      </c>
      <c r="AN1061" t="s">
        <v>640</v>
      </c>
      <c r="AO1061" t="s">
        <v>8260</v>
      </c>
      <c r="AP1061" t="s">
        <v>74</v>
      </c>
      <c r="AQ1061" t="s">
        <v>8261</v>
      </c>
      <c r="AR1061" t="s">
        <v>8262</v>
      </c>
      <c r="AS1061" t="s">
        <v>74</v>
      </c>
      <c r="AT1061" t="s">
        <v>74</v>
      </c>
      <c r="AU1061">
        <v>2023</v>
      </c>
      <c r="AV1061" t="s">
        <v>74</v>
      </c>
      <c r="AW1061" t="s">
        <v>74</v>
      </c>
      <c r="AX1061" t="s">
        <v>74</v>
      </c>
      <c r="AY1061" t="s">
        <v>74</v>
      </c>
      <c r="AZ1061" t="s">
        <v>74</v>
      </c>
      <c r="BA1061" t="s">
        <v>74</v>
      </c>
      <c r="BB1061">
        <v>321</v>
      </c>
      <c r="BC1061">
        <v>331</v>
      </c>
      <c r="BD1061" t="s">
        <v>74</v>
      </c>
      <c r="BE1061" t="s">
        <v>19833</v>
      </c>
      <c r="BF1061" t="str">
        <f>HYPERLINK("http://dx.doi.org/10.1109/CVPR52729.2023.00039","http://dx.doi.org/10.1109/CVPR52729.2023.00039")</f>
        <v>http://dx.doi.org/10.1109/CVPR52729.2023.00039</v>
      </c>
      <c r="BG1061" t="s">
        <v>74</v>
      </c>
      <c r="BH1061" t="s">
        <v>74</v>
      </c>
      <c r="BI1061">
        <v>11</v>
      </c>
      <c r="BJ1061" t="s">
        <v>10109</v>
      </c>
      <c r="BK1061" t="s">
        <v>98</v>
      </c>
      <c r="BL1061" t="s">
        <v>99</v>
      </c>
      <c r="BM1061" t="s">
        <v>10110</v>
      </c>
      <c r="BN1061" t="s">
        <v>74</v>
      </c>
      <c r="BO1061" t="s">
        <v>646</v>
      </c>
      <c r="BP1061" t="s">
        <v>74</v>
      </c>
      <c r="BQ1061" t="s">
        <v>74</v>
      </c>
      <c r="BR1061" t="s">
        <v>101</v>
      </c>
      <c r="BS1061" t="s">
        <v>19834</v>
      </c>
      <c r="BT1061" t="str">
        <f>HYPERLINK("https%3A%2F%2Fwww.webofscience.com%2Fwos%2Fwoscc%2Ffull-record%2FWOS:001058542600031","View Full Record in Web of Science")</f>
        <v>View Full Record in Web of Science</v>
      </c>
    </row>
    <row r="1062" spans="1:72" x14ac:dyDescent="0.2">
      <c r="A1062" t="s">
        <v>103</v>
      </c>
      <c r="B1062" t="s">
        <v>19835</v>
      </c>
      <c r="C1062" t="s">
        <v>74</v>
      </c>
      <c r="D1062" t="s">
        <v>74</v>
      </c>
      <c r="E1062" t="s">
        <v>74</v>
      </c>
      <c r="F1062" t="s">
        <v>19836</v>
      </c>
      <c r="G1062" t="s">
        <v>74</v>
      </c>
      <c r="H1062" t="s">
        <v>74</v>
      </c>
      <c r="I1062" t="s">
        <v>19837</v>
      </c>
      <c r="J1062" t="s">
        <v>19838</v>
      </c>
      <c r="K1062" t="s">
        <v>74</v>
      </c>
      <c r="L1062" t="s">
        <v>74</v>
      </c>
      <c r="M1062" t="s">
        <v>79</v>
      </c>
      <c r="N1062" t="s">
        <v>108</v>
      </c>
      <c r="O1062" t="s">
        <v>74</v>
      </c>
      <c r="P1062" t="s">
        <v>74</v>
      </c>
      <c r="Q1062" t="s">
        <v>74</v>
      </c>
      <c r="R1062" t="s">
        <v>74</v>
      </c>
      <c r="S1062" t="s">
        <v>74</v>
      </c>
      <c r="T1062" t="s">
        <v>19839</v>
      </c>
      <c r="U1062" t="s">
        <v>19840</v>
      </c>
      <c r="V1062" t="s">
        <v>19841</v>
      </c>
      <c r="W1062" t="s">
        <v>19842</v>
      </c>
      <c r="X1062" t="s">
        <v>19843</v>
      </c>
      <c r="Y1062" t="s">
        <v>19844</v>
      </c>
      <c r="Z1062" t="s">
        <v>19845</v>
      </c>
      <c r="AA1062" t="s">
        <v>74</v>
      </c>
      <c r="AB1062" t="s">
        <v>74</v>
      </c>
      <c r="AC1062" t="s">
        <v>19846</v>
      </c>
      <c r="AD1062" t="s">
        <v>19847</v>
      </c>
      <c r="AE1062" t="s">
        <v>19848</v>
      </c>
      <c r="AF1062" t="s">
        <v>74</v>
      </c>
      <c r="AG1062">
        <v>51</v>
      </c>
      <c r="AH1062">
        <v>0</v>
      </c>
      <c r="AI1062">
        <v>0</v>
      </c>
      <c r="AJ1062">
        <v>0</v>
      </c>
      <c r="AK1062">
        <v>0</v>
      </c>
      <c r="AL1062" t="s">
        <v>19849</v>
      </c>
      <c r="AM1062" t="s">
        <v>19850</v>
      </c>
      <c r="AN1062" t="s">
        <v>19851</v>
      </c>
      <c r="AO1062" t="s">
        <v>19852</v>
      </c>
      <c r="AP1062" t="s">
        <v>74</v>
      </c>
      <c r="AQ1062" t="s">
        <v>74</v>
      </c>
      <c r="AR1062" t="s">
        <v>19853</v>
      </c>
      <c r="AS1062" t="s">
        <v>19854</v>
      </c>
      <c r="AT1062" t="s">
        <v>74</v>
      </c>
      <c r="AU1062">
        <v>2023</v>
      </c>
      <c r="AV1062">
        <v>24</v>
      </c>
      <c r="AW1062">
        <v>4</v>
      </c>
      <c r="AX1062" t="s">
        <v>74</v>
      </c>
      <c r="AY1062" t="s">
        <v>74</v>
      </c>
      <c r="AZ1062" t="s">
        <v>74</v>
      </c>
      <c r="BA1062" t="s">
        <v>74</v>
      </c>
      <c r="BB1062">
        <v>567</v>
      </c>
      <c r="BC1062">
        <v>582</v>
      </c>
      <c r="BD1062" t="s">
        <v>74</v>
      </c>
      <c r="BE1062" t="s">
        <v>74</v>
      </c>
      <c r="BF1062" t="s">
        <v>74</v>
      </c>
      <c r="BG1062" t="s">
        <v>74</v>
      </c>
      <c r="BH1062" t="s">
        <v>74</v>
      </c>
      <c r="BI1062">
        <v>16</v>
      </c>
      <c r="BJ1062" t="s">
        <v>423</v>
      </c>
      <c r="BK1062" t="s">
        <v>352</v>
      </c>
      <c r="BL1062" t="s">
        <v>423</v>
      </c>
      <c r="BM1062" t="s">
        <v>19855</v>
      </c>
      <c r="BN1062" t="s">
        <v>74</v>
      </c>
      <c r="BO1062" t="s">
        <v>74</v>
      </c>
      <c r="BP1062" t="s">
        <v>74</v>
      </c>
      <c r="BQ1062" t="s">
        <v>74</v>
      </c>
      <c r="BR1062" t="s">
        <v>101</v>
      </c>
      <c r="BS1062" t="s">
        <v>19856</v>
      </c>
      <c r="BT1062" t="str">
        <f>HYPERLINK("https%3A%2F%2Fwww.webofscience.com%2Fwos%2Fwoscc%2Ffull-record%2FWOS:001149071100010","View Full Record in Web of Science")</f>
        <v>View Full Record in Web of Science</v>
      </c>
    </row>
    <row r="1063" spans="1:72" x14ac:dyDescent="0.2">
      <c r="A1063" t="s">
        <v>103</v>
      </c>
      <c r="B1063" t="s">
        <v>19857</v>
      </c>
      <c r="C1063" t="s">
        <v>74</v>
      </c>
      <c r="D1063" t="s">
        <v>74</v>
      </c>
      <c r="E1063" t="s">
        <v>74</v>
      </c>
      <c r="F1063" t="s">
        <v>19858</v>
      </c>
      <c r="G1063" t="s">
        <v>74</v>
      </c>
      <c r="H1063" t="s">
        <v>74</v>
      </c>
      <c r="I1063" t="s">
        <v>19859</v>
      </c>
      <c r="J1063" t="s">
        <v>14183</v>
      </c>
      <c r="K1063" t="s">
        <v>74</v>
      </c>
      <c r="L1063" t="s">
        <v>74</v>
      </c>
      <c r="M1063" t="s">
        <v>79</v>
      </c>
      <c r="N1063" t="s">
        <v>138</v>
      </c>
      <c r="O1063" t="s">
        <v>74</v>
      </c>
      <c r="P1063" t="s">
        <v>74</v>
      </c>
      <c r="Q1063" t="s">
        <v>74</v>
      </c>
      <c r="R1063" t="s">
        <v>74</v>
      </c>
      <c r="S1063" t="s">
        <v>74</v>
      </c>
      <c r="T1063" t="s">
        <v>19860</v>
      </c>
      <c r="U1063" t="s">
        <v>19861</v>
      </c>
      <c r="V1063" t="s">
        <v>19862</v>
      </c>
      <c r="W1063" t="s">
        <v>19863</v>
      </c>
      <c r="X1063" t="s">
        <v>19864</v>
      </c>
      <c r="Y1063" t="s">
        <v>19865</v>
      </c>
      <c r="Z1063" t="s">
        <v>19866</v>
      </c>
      <c r="AA1063" t="s">
        <v>19867</v>
      </c>
      <c r="AB1063" t="s">
        <v>19868</v>
      </c>
      <c r="AC1063" t="s">
        <v>19869</v>
      </c>
      <c r="AD1063" t="s">
        <v>19870</v>
      </c>
      <c r="AE1063" t="s">
        <v>19871</v>
      </c>
      <c r="AF1063" t="s">
        <v>74</v>
      </c>
      <c r="AG1063">
        <v>153</v>
      </c>
      <c r="AH1063">
        <v>3</v>
      </c>
      <c r="AI1063">
        <v>3</v>
      </c>
      <c r="AJ1063">
        <v>12</v>
      </c>
      <c r="AK1063">
        <v>21</v>
      </c>
      <c r="AL1063" t="s">
        <v>220</v>
      </c>
      <c r="AM1063" t="s">
        <v>221</v>
      </c>
      <c r="AN1063" t="s">
        <v>222</v>
      </c>
      <c r="AO1063" t="s">
        <v>14196</v>
      </c>
      <c r="AP1063" t="s">
        <v>14197</v>
      </c>
      <c r="AQ1063" t="s">
        <v>74</v>
      </c>
      <c r="AR1063" t="s">
        <v>14198</v>
      </c>
      <c r="AS1063" t="s">
        <v>14199</v>
      </c>
      <c r="AT1063" t="s">
        <v>19872</v>
      </c>
      <c r="AU1063">
        <v>2023</v>
      </c>
      <c r="AV1063" t="s">
        <v>74</v>
      </c>
      <c r="AW1063" t="s">
        <v>74</v>
      </c>
      <c r="AX1063" t="s">
        <v>74</v>
      </c>
      <c r="AY1063" t="s">
        <v>74</v>
      </c>
      <c r="AZ1063" t="s">
        <v>74</v>
      </c>
      <c r="BA1063" t="s">
        <v>74</v>
      </c>
      <c r="BB1063" t="s">
        <v>74</v>
      </c>
      <c r="BC1063" t="s">
        <v>74</v>
      </c>
      <c r="BD1063" t="s">
        <v>74</v>
      </c>
      <c r="BE1063" t="s">
        <v>19873</v>
      </c>
      <c r="BF1063" t="str">
        <f>HYPERLINK("http://dx.doi.org/10.1080/07391102.2023.2234039","http://dx.doi.org/10.1080/07391102.2023.2234039")</f>
        <v>http://dx.doi.org/10.1080/07391102.2023.2234039</v>
      </c>
      <c r="BG1063" t="s">
        <v>74</v>
      </c>
      <c r="BH1063" t="s">
        <v>229</v>
      </c>
      <c r="BI1063">
        <v>19</v>
      </c>
      <c r="BJ1063" t="s">
        <v>14202</v>
      </c>
      <c r="BK1063" t="s">
        <v>130</v>
      </c>
      <c r="BL1063" t="s">
        <v>14202</v>
      </c>
      <c r="BM1063" t="s">
        <v>19874</v>
      </c>
      <c r="BN1063">
        <v>37434311</v>
      </c>
      <c r="BO1063" t="s">
        <v>74</v>
      </c>
      <c r="BP1063" t="s">
        <v>74</v>
      </c>
      <c r="BQ1063" t="s">
        <v>74</v>
      </c>
      <c r="BR1063" t="s">
        <v>101</v>
      </c>
      <c r="BS1063" t="s">
        <v>19875</v>
      </c>
      <c r="BT1063" t="str">
        <f>HYPERLINK("https%3A%2F%2Fwww.webofscience.com%2Fwos%2Fwoscc%2Ffull-record%2FWOS:001024154600001","View Full Record in Web of Science")</f>
        <v>View Full Record in Web of Science</v>
      </c>
    </row>
    <row r="1064" spans="1:72" x14ac:dyDescent="0.2">
      <c r="A1064" t="s">
        <v>72</v>
      </c>
      <c r="B1064" t="s">
        <v>19876</v>
      </c>
      <c r="C1064" t="s">
        <v>74</v>
      </c>
      <c r="D1064" t="s">
        <v>74</v>
      </c>
      <c r="E1064" t="s">
        <v>284</v>
      </c>
      <c r="F1064" t="s">
        <v>19877</v>
      </c>
      <c r="G1064" t="s">
        <v>74</v>
      </c>
      <c r="H1064" t="s">
        <v>74</v>
      </c>
      <c r="I1064" t="s">
        <v>19878</v>
      </c>
      <c r="J1064" t="s">
        <v>2996</v>
      </c>
      <c r="K1064" t="s">
        <v>2997</v>
      </c>
      <c r="L1064" t="s">
        <v>74</v>
      </c>
      <c r="M1064" t="s">
        <v>79</v>
      </c>
      <c r="N1064" t="s">
        <v>80</v>
      </c>
      <c r="O1064" t="s">
        <v>2787</v>
      </c>
      <c r="P1064" t="s">
        <v>2788</v>
      </c>
      <c r="Q1064" t="s">
        <v>2789</v>
      </c>
      <c r="R1064" t="s">
        <v>74</v>
      </c>
      <c r="S1064" t="s">
        <v>74</v>
      </c>
      <c r="T1064" t="s">
        <v>19879</v>
      </c>
      <c r="U1064" t="s">
        <v>19880</v>
      </c>
      <c r="V1064" t="s">
        <v>19881</v>
      </c>
      <c r="W1064" t="s">
        <v>19882</v>
      </c>
      <c r="X1064" t="s">
        <v>19883</v>
      </c>
      <c r="Y1064" t="s">
        <v>19884</v>
      </c>
      <c r="Z1064" t="s">
        <v>19885</v>
      </c>
      <c r="AA1064" t="s">
        <v>74</v>
      </c>
      <c r="AB1064" t="s">
        <v>74</v>
      </c>
      <c r="AC1064" t="s">
        <v>74</v>
      </c>
      <c r="AD1064" t="s">
        <v>74</v>
      </c>
      <c r="AE1064" t="s">
        <v>74</v>
      </c>
      <c r="AF1064" t="s">
        <v>74</v>
      </c>
      <c r="AG1064">
        <v>42</v>
      </c>
      <c r="AH1064">
        <v>0</v>
      </c>
      <c r="AI1064">
        <v>0</v>
      </c>
      <c r="AJ1064">
        <v>0</v>
      </c>
      <c r="AK1064">
        <v>0</v>
      </c>
      <c r="AL1064" t="s">
        <v>284</v>
      </c>
      <c r="AM1064" t="s">
        <v>93</v>
      </c>
      <c r="AN1064" t="s">
        <v>299</v>
      </c>
      <c r="AO1064" t="s">
        <v>3008</v>
      </c>
      <c r="AP1064" t="s">
        <v>74</v>
      </c>
      <c r="AQ1064" t="s">
        <v>3009</v>
      </c>
      <c r="AR1064" t="s">
        <v>3010</v>
      </c>
      <c r="AS1064" t="s">
        <v>74</v>
      </c>
      <c r="AT1064" t="s">
        <v>74</v>
      </c>
      <c r="AU1064">
        <v>2023</v>
      </c>
      <c r="AV1064" t="s">
        <v>74</v>
      </c>
      <c r="AW1064" t="s">
        <v>74</v>
      </c>
      <c r="AX1064" t="s">
        <v>74</v>
      </c>
      <c r="AY1064" t="s">
        <v>74</v>
      </c>
      <c r="AZ1064" t="s">
        <v>74</v>
      </c>
      <c r="BA1064" t="s">
        <v>74</v>
      </c>
      <c r="BB1064" t="s">
        <v>74</v>
      </c>
      <c r="BC1064" t="s">
        <v>74</v>
      </c>
      <c r="BD1064" t="s">
        <v>74</v>
      </c>
      <c r="BE1064" t="s">
        <v>19886</v>
      </c>
      <c r="BF1064" t="str">
        <f>HYPERLINK("http://dx.doi.org/10.1109/ACIIW59127.2023.10388123","http://dx.doi.org/10.1109/ACIIW59127.2023.10388123")</f>
        <v>http://dx.doi.org/10.1109/ACIIW59127.2023.10388123</v>
      </c>
      <c r="BG1064" t="s">
        <v>74</v>
      </c>
      <c r="BH1064" t="s">
        <v>74</v>
      </c>
      <c r="BI1064">
        <v>8</v>
      </c>
      <c r="BJ1064" t="s">
        <v>3012</v>
      </c>
      <c r="BK1064" t="s">
        <v>98</v>
      </c>
      <c r="BL1064" t="s">
        <v>99</v>
      </c>
      <c r="BM1064" t="s">
        <v>3013</v>
      </c>
      <c r="BN1064" t="s">
        <v>74</v>
      </c>
      <c r="BO1064" t="s">
        <v>74</v>
      </c>
      <c r="BP1064" t="s">
        <v>74</v>
      </c>
      <c r="BQ1064" t="s">
        <v>74</v>
      </c>
      <c r="BR1064" t="s">
        <v>101</v>
      </c>
      <c r="BS1064" t="s">
        <v>19887</v>
      </c>
      <c r="BT1064" t="str">
        <f>HYPERLINK("https%3A%2F%2Fwww.webofscience.com%2Fwos%2Fwoscc%2Ffull-record%2FWOS:001161369900016","View Full Record in Web of Science")</f>
        <v>View Full Record in Web of Science</v>
      </c>
    </row>
    <row r="1065" spans="1:72" x14ac:dyDescent="0.2">
      <c r="A1065" t="s">
        <v>103</v>
      </c>
      <c r="B1065" t="s">
        <v>19888</v>
      </c>
      <c r="C1065" t="s">
        <v>74</v>
      </c>
      <c r="D1065" t="s">
        <v>74</v>
      </c>
      <c r="E1065" t="s">
        <v>74</v>
      </c>
      <c r="F1065" t="s">
        <v>19889</v>
      </c>
      <c r="G1065" t="s">
        <v>74</v>
      </c>
      <c r="H1065" t="s">
        <v>74</v>
      </c>
      <c r="I1065" t="s">
        <v>19890</v>
      </c>
      <c r="J1065" t="s">
        <v>19891</v>
      </c>
      <c r="K1065" t="s">
        <v>74</v>
      </c>
      <c r="L1065" t="s">
        <v>74</v>
      </c>
      <c r="M1065" t="s">
        <v>79</v>
      </c>
      <c r="N1065" t="s">
        <v>108</v>
      </c>
      <c r="O1065" t="s">
        <v>74</v>
      </c>
      <c r="P1065" t="s">
        <v>74</v>
      </c>
      <c r="Q1065" t="s">
        <v>74</v>
      </c>
      <c r="R1065" t="s">
        <v>74</v>
      </c>
      <c r="S1065" t="s">
        <v>74</v>
      </c>
      <c r="T1065" t="s">
        <v>19892</v>
      </c>
      <c r="U1065" t="s">
        <v>74</v>
      </c>
      <c r="V1065" t="s">
        <v>19893</v>
      </c>
      <c r="W1065" t="s">
        <v>19894</v>
      </c>
      <c r="X1065" t="s">
        <v>19895</v>
      </c>
      <c r="Y1065" t="s">
        <v>19896</v>
      </c>
      <c r="Z1065" t="s">
        <v>19897</v>
      </c>
      <c r="AA1065" t="s">
        <v>19898</v>
      </c>
      <c r="AB1065" t="s">
        <v>19899</v>
      </c>
      <c r="AC1065" t="s">
        <v>19900</v>
      </c>
      <c r="AD1065" t="s">
        <v>19900</v>
      </c>
      <c r="AE1065" t="s">
        <v>19901</v>
      </c>
      <c r="AF1065" t="s">
        <v>74</v>
      </c>
      <c r="AG1065">
        <v>38</v>
      </c>
      <c r="AH1065">
        <v>29</v>
      </c>
      <c r="AI1065">
        <v>29</v>
      </c>
      <c r="AJ1065">
        <v>175</v>
      </c>
      <c r="AK1065">
        <v>284</v>
      </c>
      <c r="AL1065" t="s">
        <v>737</v>
      </c>
      <c r="AM1065" t="s">
        <v>738</v>
      </c>
      <c r="AN1065" t="s">
        <v>739</v>
      </c>
      <c r="AO1065" t="s">
        <v>19902</v>
      </c>
      <c r="AP1065" t="s">
        <v>19903</v>
      </c>
      <c r="AQ1065" t="s">
        <v>74</v>
      </c>
      <c r="AR1065" t="s">
        <v>19904</v>
      </c>
      <c r="AS1065" t="s">
        <v>19905</v>
      </c>
      <c r="AT1065" t="s">
        <v>16150</v>
      </c>
      <c r="AU1065">
        <v>2023</v>
      </c>
      <c r="AV1065">
        <v>32</v>
      </c>
      <c r="AW1065">
        <v>5</v>
      </c>
      <c r="AX1065" t="s">
        <v>74</v>
      </c>
      <c r="AY1065" t="s">
        <v>74</v>
      </c>
      <c r="AZ1065" t="s">
        <v>74</v>
      </c>
      <c r="BA1065" t="s">
        <v>74</v>
      </c>
      <c r="BB1065">
        <v>579</v>
      </c>
      <c r="BC1065">
        <v>592</v>
      </c>
      <c r="BD1065">
        <v>2211993</v>
      </c>
      <c r="BE1065" t="s">
        <v>19906</v>
      </c>
      <c r="BF1065" t="str">
        <f>HYPERLINK("http://dx.doi.org/10.1080/19368623.2023.2211993","http://dx.doi.org/10.1080/19368623.2023.2211993")</f>
        <v>http://dx.doi.org/10.1080/19368623.2023.2211993</v>
      </c>
      <c r="BG1065" t="s">
        <v>74</v>
      </c>
      <c r="BH1065" t="s">
        <v>2889</v>
      </c>
      <c r="BI1065">
        <v>14</v>
      </c>
      <c r="BJ1065" t="s">
        <v>19907</v>
      </c>
      <c r="BK1065" t="s">
        <v>159</v>
      </c>
      <c r="BL1065" t="s">
        <v>19908</v>
      </c>
      <c r="BM1065" t="s">
        <v>19909</v>
      </c>
      <c r="BN1065" t="s">
        <v>74</v>
      </c>
      <c r="BO1065" t="s">
        <v>74</v>
      </c>
      <c r="BP1065" t="s">
        <v>1434</v>
      </c>
      <c r="BQ1065" t="s">
        <v>1434</v>
      </c>
      <c r="BR1065" t="s">
        <v>101</v>
      </c>
      <c r="BS1065" t="s">
        <v>19910</v>
      </c>
      <c r="BT1065" t="str">
        <f>HYPERLINK("https%3A%2F%2Fwww.webofscience.com%2Fwos%2Fwoscc%2Ffull-record%2FWOS:000986310900001","View Full Record in Web of Science")</f>
        <v>View Full Record in Web of Science</v>
      </c>
    </row>
    <row r="1066" spans="1:72" x14ac:dyDescent="0.2">
      <c r="A1066" t="s">
        <v>103</v>
      </c>
      <c r="B1066" t="s">
        <v>19911</v>
      </c>
      <c r="C1066" t="s">
        <v>74</v>
      </c>
      <c r="D1066" t="s">
        <v>74</v>
      </c>
      <c r="E1066" t="s">
        <v>74</v>
      </c>
      <c r="F1066" t="s">
        <v>19912</v>
      </c>
      <c r="G1066" t="s">
        <v>74</v>
      </c>
      <c r="H1066" t="s">
        <v>74</v>
      </c>
      <c r="I1066" t="s">
        <v>19913</v>
      </c>
      <c r="J1066" t="s">
        <v>6437</v>
      </c>
      <c r="K1066" t="s">
        <v>74</v>
      </c>
      <c r="L1066" t="s">
        <v>74</v>
      </c>
      <c r="M1066" t="s">
        <v>79</v>
      </c>
      <c r="N1066" t="s">
        <v>108</v>
      </c>
      <c r="O1066" t="s">
        <v>74</v>
      </c>
      <c r="P1066" t="s">
        <v>74</v>
      </c>
      <c r="Q1066" t="s">
        <v>74</v>
      </c>
      <c r="R1066" t="s">
        <v>74</v>
      </c>
      <c r="S1066" t="s">
        <v>74</v>
      </c>
      <c r="T1066" t="s">
        <v>19914</v>
      </c>
      <c r="U1066" t="s">
        <v>74</v>
      </c>
      <c r="V1066" t="s">
        <v>19915</v>
      </c>
      <c r="W1066" t="s">
        <v>19916</v>
      </c>
      <c r="X1066" t="s">
        <v>19917</v>
      </c>
      <c r="Y1066" t="s">
        <v>19918</v>
      </c>
      <c r="Z1066" t="s">
        <v>19919</v>
      </c>
      <c r="AA1066" t="s">
        <v>74</v>
      </c>
      <c r="AB1066" t="s">
        <v>19920</v>
      </c>
      <c r="AC1066" t="s">
        <v>19921</v>
      </c>
      <c r="AD1066" t="s">
        <v>19922</v>
      </c>
      <c r="AE1066" t="s">
        <v>19923</v>
      </c>
      <c r="AF1066" t="s">
        <v>74</v>
      </c>
      <c r="AG1066">
        <v>30</v>
      </c>
      <c r="AH1066">
        <v>0</v>
      </c>
      <c r="AI1066">
        <v>0</v>
      </c>
      <c r="AJ1066">
        <v>5</v>
      </c>
      <c r="AK1066">
        <v>5</v>
      </c>
      <c r="AL1066" t="s">
        <v>764</v>
      </c>
      <c r="AM1066" t="s">
        <v>765</v>
      </c>
      <c r="AN1066" t="s">
        <v>766</v>
      </c>
      <c r="AO1066" t="s">
        <v>6449</v>
      </c>
      <c r="AP1066" t="s">
        <v>6450</v>
      </c>
      <c r="AQ1066" t="s">
        <v>74</v>
      </c>
      <c r="AR1066" t="s">
        <v>6451</v>
      </c>
      <c r="AS1066" t="s">
        <v>6452</v>
      </c>
      <c r="AT1066" t="s">
        <v>467</v>
      </c>
      <c r="AU1066">
        <v>2023</v>
      </c>
      <c r="AV1066">
        <v>144</v>
      </c>
      <c r="AW1066" t="s">
        <v>74</v>
      </c>
      <c r="AX1066" t="s">
        <v>74</v>
      </c>
      <c r="AY1066" t="s">
        <v>74</v>
      </c>
      <c r="AZ1066" t="s">
        <v>74</v>
      </c>
      <c r="BA1066" t="s">
        <v>74</v>
      </c>
      <c r="BB1066" t="s">
        <v>74</v>
      </c>
      <c r="BC1066" t="s">
        <v>74</v>
      </c>
      <c r="BD1066">
        <v>102635</v>
      </c>
      <c r="BE1066" t="s">
        <v>19924</v>
      </c>
      <c r="BF1066" t="str">
        <f>HYPERLINK("http://dx.doi.org/10.1016/j.artmed.2023.102635","http://dx.doi.org/10.1016/j.artmed.2023.102635")</f>
        <v>http://dx.doi.org/10.1016/j.artmed.2023.102635</v>
      </c>
      <c r="BG1066" t="s">
        <v>74</v>
      </c>
      <c r="BH1066" t="s">
        <v>255</v>
      </c>
      <c r="BI1066">
        <v>8</v>
      </c>
      <c r="BJ1066" t="s">
        <v>6454</v>
      </c>
      <c r="BK1066" t="s">
        <v>130</v>
      </c>
      <c r="BL1066" t="s">
        <v>6455</v>
      </c>
      <c r="BM1066" t="s">
        <v>19925</v>
      </c>
      <c r="BN1066">
        <v>37783535</v>
      </c>
      <c r="BO1066" t="s">
        <v>74</v>
      </c>
      <c r="BP1066" t="s">
        <v>74</v>
      </c>
      <c r="BQ1066" t="s">
        <v>74</v>
      </c>
      <c r="BR1066" t="s">
        <v>101</v>
      </c>
      <c r="BS1066" t="s">
        <v>19926</v>
      </c>
      <c r="BT1066" t="str">
        <f>HYPERLINK("https%3A%2F%2Fwww.webofscience.com%2Fwos%2Fwoscc%2Ffull-record%2FWOS:001080457200001","View Full Record in Web of Science")</f>
        <v>View Full Record in Web of Science</v>
      </c>
    </row>
    <row r="1067" spans="1:72" x14ac:dyDescent="0.2">
      <c r="A1067" t="s">
        <v>72</v>
      </c>
      <c r="B1067" t="s">
        <v>19927</v>
      </c>
      <c r="C1067" t="s">
        <v>74</v>
      </c>
      <c r="D1067" t="s">
        <v>74</v>
      </c>
      <c r="E1067" t="s">
        <v>284</v>
      </c>
      <c r="F1067" t="s">
        <v>19928</v>
      </c>
      <c r="G1067" t="s">
        <v>74</v>
      </c>
      <c r="H1067" t="s">
        <v>74</v>
      </c>
      <c r="I1067" t="s">
        <v>19929</v>
      </c>
      <c r="J1067" t="s">
        <v>10100</v>
      </c>
      <c r="K1067" t="s">
        <v>8246</v>
      </c>
      <c r="L1067" t="s">
        <v>74</v>
      </c>
      <c r="M1067" t="s">
        <v>79</v>
      </c>
      <c r="N1067" t="s">
        <v>80</v>
      </c>
      <c r="O1067" t="s">
        <v>8247</v>
      </c>
      <c r="P1067" t="s">
        <v>8248</v>
      </c>
      <c r="Q1067" t="s">
        <v>6017</v>
      </c>
      <c r="R1067" t="s">
        <v>8249</v>
      </c>
      <c r="S1067" t="s">
        <v>74</v>
      </c>
      <c r="T1067" t="s">
        <v>74</v>
      </c>
      <c r="U1067" t="s">
        <v>7522</v>
      </c>
      <c r="V1067" t="s">
        <v>19930</v>
      </c>
      <c r="W1067" t="s">
        <v>19931</v>
      </c>
      <c r="X1067" t="s">
        <v>19932</v>
      </c>
      <c r="Y1067" t="s">
        <v>19933</v>
      </c>
      <c r="Z1067" t="s">
        <v>19934</v>
      </c>
      <c r="AA1067" t="s">
        <v>19935</v>
      </c>
      <c r="AB1067" t="s">
        <v>19936</v>
      </c>
      <c r="AC1067" t="s">
        <v>19937</v>
      </c>
      <c r="AD1067" t="s">
        <v>16999</v>
      </c>
      <c r="AE1067" t="s">
        <v>19938</v>
      </c>
      <c r="AF1067" t="s">
        <v>74</v>
      </c>
      <c r="AG1067">
        <v>74</v>
      </c>
      <c r="AH1067">
        <v>1</v>
      </c>
      <c r="AI1067">
        <v>1</v>
      </c>
      <c r="AJ1067">
        <v>1</v>
      </c>
      <c r="AK1067">
        <v>1</v>
      </c>
      <c r="AL1067" t="s">
        <v>638</v>
      </c>
      <c r="AM1067" t="s">
        <v>639</v>
      </c>
      <c r="AN1067" t="s">
        <v>640</v>
      </c>
      <c r="AO1067" t="s">
        <v>8260</v>
      </c>
      <c r="AP1067" t="s">
        <v>74</v>
      </c>
      <c r="AQ1067" t="s">
        <v>8261</v>
      </c>
      <c r="AR1067" t="s">
        <v>8262</v>
      </c>
      <c r="AS1067" t="s">
        <v>74</v>
      </c>
      <c r="AT1067" t="s">
        <v>74</v>
      </c>
      <c r="AU1067">
        <v>2023</v>
      </c>
      <c r="AV1067" t="s">
        <v>74</v>
      </c>
      <c r="AW1067" t="s">
        <v>74</v>
      </c>
      <c r="AX1067" t="s">
        <v>74</v>
      </c>
      <c r="AY1067" t="s">
        <v>74</v>
      </c>
      <c r="AZ1067" t="s">
        <v>74</v>
      </c>
      <c r="BA1067" t="s">
        <v>74</v>
      </c>
      <c r="BB1067">
        <v>4800</v>
      </c>
      <c r="BC1067">
        <v>4810</v>
      </c>
      <c r="BD1067" t="s">
        <v>74</v>
      </c>
      <c r="BE1067" t="s">
        <v>19939</v>
      </c>
      <c r="BF1067" t="str">
        <f>HYPERLINK("http://dx.doi.org/10.1109/CVPR52729.2023.00465","http://dx.doi.org/10.1109/CVPR52729.2023.00465")</f>
        <v>http://dx.doi.org/10.1109/CVPR52729.2023.00465</v>
      </c>
      <c r="BG1067" t="s">
        <v>74</v>
      </c>
      <c r="BH1067" t="s">
        <v>74</v>
      </c>
      <c r="BI1067">
        <v>11</v>
      </c>
      <c r="BJ1067" t="s">
        <v>10109</v>
      </c>
      <c r="BK1067" t="s">
        <v>98</v>
      </c>
      <c r="BL1067" t="s">
        <v>99</v>
      </c>
      <c r="BM1067" t="s">
        <v>10110</v>
      </c>
      <c r="BN1067" t="s">
        <v>74</v>
      </c>
      <c r="BO1067" t="s">
        <v>646</v>
      </c>
      <c r="BP1067" t="s">
        <v>74</v>
      </c>
      <c r="BQ1067" t="s">
        <v>74</v>
      </c>
      <c r="BR1067" t="s">
        <v>101</v>
      </c>
      <c r="BS1067" t="s">
        <v>19940</v>
      </c>
      <c r="BT1067" t="str">
        <f>HYPERLINK("https%3A%2F%2Fwww.webofscience.com%2Fwos%2Fwoscc%2Ffull-record%2FWOS:001058542605013","View Full Record in Web of Science")</f>
        <v>View Full Record in Web of Science</v>
      </c>
    </row>
    <row r="1068" spans="1:72" x14ac:dyDescent="0.2">
      <c r="A1068" t="s">
        <v>103</v>
      </c>
      <c r="B1068" t="s">
        <v>19941</v>
      </c>
      <c r="C1068" t="s">
        <v>74</v>
      </c>
      <c r="D1068" t="s">
        <v>74</v>
      </c>
      <c r="E1068" t="s">
        <v>74</v>
      </c>
      <c r="F1068" t="s">
        <v>19942</v>
      </c>
      <c r="G1068" t="s">
        <v>74</v>
      </c>
      <c r="H1068" t="s">
        <v>74</v>
      </c>
      <c r="I1068" t="s">
        <v>19943</v>
      </c>
      <c r="J1068" t="s">
        <v>5637</v>
      </c>
      <c r="K1068" t="s">
        <v>74</v>
      </c>
      <c r="L1068" t="s">
        <v>74</v>
      </c>
      <c r="M1068" t="s">
        <v>79</v>
      </c>
      <c r="N1068" t="s">
        <v>108</v>
      </c>
      <c r="O1068" t="s">
        <v>74</v>
      </c>
      <c r="P1068" t="s">
        <v>74</v>
      </c>
      <c r="Q1068" t="s">
        <v>74</v>
      </c>
      <c r="R1068" t="s">
        <v>74</v>
      </c>
      <c r="S1068" t="s">
        <v>74</v>
      </c>
      <c r="T1068" t="s">
        <v>19944</v>
      </c>
      <c r="U1068" t="s">
        <v>19945</v>
      </c>
      <c r="V1068" t="s">
        <v>19946</v>
      </c>
      <c r="W1068" t="s">
        <v>19947</v>
      </c>
      <c r="X1068" t="s">
        <v>19948</v>
      </c>
      <c r="Y1068" t="s">
        <v>19949</v>
      </c>
      <c r="Z1068" t="s">
        <v>74</v>
      </c>
      <c r="AA1068" t="s">
        <v>74</v>
      </c>
      <c r="AB1068" t="s">
        <v>74</v>
      </c>
      <c r="AC1068" t="s">
        <v>74</v>
      </c>
      <c r="AD1068" t="s">
        <v>74</v>
      </c>
      <c r="AE1068" t="s">
        <v>74</v>
      </c>
      <c r="AF1068" t="s">
        <v>74</v>
      </c>
      <c r="AG1068">
        <v>62</v>
      </c>
      <c r="AH1068">
        <v>0</v>
      </c>
      <c r="AI1068">
        <v>0</v>
      </c>
      <c r="AJ1068">
        <v>0</v>
      </c>
      <c r="AK1068">
        <v>0</v>
      </c>
      <c r="AL1068" t="s">
        <v>5644</v>
      </c>
      <c r="AM1068" t="s">
        <v>5645</v>
      </c>
      <c r="AN1068" t="s">
        <v>5646</v>
      </c>
      <c r="AO1068" t="s">
        <v>5647</v>
      </c>
      <c r="AP1068" t="s">
        <v>74</v>
      </c>
      <c r="AQ1068" t="s">
        <v>74</v>
      </c>
      <c r="AR1068" t="s">
        <v>5648</v>
      </c>
      <c r="AS1068" t="s">
        <v>5649</v>
      </c>
      <c r="AT1068" t="s">
        <v>74</v>
      </c>
      <c r="AU1068">
        <v>2023</v>
      </c>
      <c r="AV1068">
        <v>15</v>
      </c>
      <c r="AW1068">
        <v>4</v>
      </c>
      <c r="AX1068" t="s">
        <v>74</v>
      </c>
      <c r="AY1068" t="s">
        <v>74</v>
      </c>
      <c r="AZ1068" t="s">
        <v>74</v>
      </c>
      <c r="BA1068" t="s">
        <v>74</v>
      </c>
      <c r="BB1068" t="s">
        <v>74</v>
      </c>
      <c r="BC1068" t="s">
        <v>74</v>
      </c>
      <c r="BD1068">
        <v>2</v>
      </c>
      <c r="BE1068" t="s">
        <v>19950</v>
      </c>
      <c r="BF1068" t="str">
        <f>HYPERLINK("http://dx.doi.org/10.21659/rupkatha.v15n4.02","http://dx.doi.org/10.21659/rupkatha.v15n4.02")</f>
        <v>http://dx.doi.org/10.21659/rupkatha.v15n4.02</v>
      </c>
      <c r="BG1068" t="s">
        <v>74</v>
      </c>
      <c r="BH1068" t="s">
        <v>74</v>
      </c>
      <c r="BI1068">
        <v>27</v>
      </c>
      <c r="BJ1068" t="s">
        <v>4903</v>
      </c>
      <c r="BK1068" t="s">
        <v>352</v>
      </c>
      <c r="BL1068" t="s">
        <v>4904</v>
      </c>
      <c r="BM1068" t="s">
        <v>5651</v>
      </c>
      <c r="BN1068" t="s">
        <v>74</v>
      </c>
      <c r="BO1068" t="s">
        <v>425</v>
      </c>
      <c r="BP1068" t="s">
        <v>74</v>
      </c>
      <c r="BQ1068" t="s">
        <v>74</v>
      </c>
      <c r="BR1068" t="s">
        <v>101</v>
      </c>
      <c r="BS1068" t="s">
        <v>19951</v>
      </c>
      <c r="BT1068" t="str">
        <f>HYPERLINK("https%3A%2F%2Fwww.webofscience.com%2Fwos%2Fwoscc%2Ffull-record%2FWOS:001158277600006","View Full Record in Web of Science")</f>
        <v>View Full Record in Web of Science</v>
      </c>
    </row>
    <row r="1069" spans="1:72" x14ac:dyDescent="0.2">
      <c r="A1069" t="s">
        <v>103</v>
      </c>
      <c r="B1069" t="s">
        <v>19952</v>
      </c>
      <c r="C1069" t="s">
        <v>74</v>
      </c>
      <c r="D1069" t="s">
        <v>74</v>
      </c>
      <c r="E1069" t="s">
        <v>74</v>
      </c>
      <c r="F1069" t="s">
        <v>19953</v>
      </c>
      <c r="G1069" t="s">
        <v>74</v>
      </c>
      <c r="H1069" t="s">
        <v>74</v>
      </c>
      <c r="I1069" t="s">
        <v>19954</v>
      </c>
      <c r="J1069" t="s">
        <v>4778</v>
      </c>
      <c r="K1069" t="s">
        <v>74</v>
      </c>
      <c r="L1069" t="s">
        <v>74</v>
      </c>
      <c r="M1069" t="s">
        <v>79</v>
      </c>
      <c r="N1069" t="s">
        <v>108</v>
      </c>
      <c r="O1069" t="s">
        <v>74</v>
      </c>
      <c r="P1069" t="s">
        <v>74</v>
      </c>
      <c r="Q1069" t="s">
        <v>74</v>
      </c>
      <c r="R1069" t="s">
        <v>74</v>
      </c>
      <c r="S1069" t="s">
        <v>74</v>
      </c>
      <c r="T1069" t="s">
        <v>19955</v>
      </c>
      <c r="U1069" t="s">
        <v>74</v>
      </c>
      <c r="V1069" t="s">
        <v>19956</v>
      </c>
      <c r="W1069" t="s">
        <v>19957</v>
      </c>
      <c r="X1069" t="s">
        <v>19958</v>
      </c>
      <c r="Y1069" t="s">
        <v>19959</v>
      </c>
      <c r="Z1069" t="s">
        <v>19960</v>
      </c>
      <c r="AA1069" t="s">
        <v>74</v>
      </c>
      <c r="AB1069" t="s">
        <v>74</v>
      </c>
      <c r="AC1069" t="s">
        <v>19961</v>
      </c>
      <c r="AD1069" t="s">
        <v>19961</v>
      </c>
      <c r="AE1069" t="s">
        <v>19962</v>
      </c>
      <c r="AF1069" t="s">
        <v>74</v>
      </c>
      <c r="AG1069">
        <v>69</v>
      </c>
      <c r="AH1069">
        <v>0</v>
      </c>
      <c r="AI1069">
        <v>0</v>
      </c>
      <c r="AJ1069">
        <v>6</v>
      </c>
      <c r="AK1069">
        <v>6</v>
      </c>
      <c r="AL1069" t="s">
        <v>92</v>
      </c>
      <c r="AM1069" t="s">
        <v>93</v>
      </c>
      <c r="AN1069" t="s">
        <v>3186</v>
      </c>
      <c r="AO1069" t="s">
        <v>4794</v>
      </c>
      <c r="AP1069" t="s">
        <v>4795</v>
      </c>
      <c r="AQ1069" t="s">
        <v>74</v>
      </c>
      <c r="AR1069" t="s">
        <v>4796</v>
      </c>
      <c r="AS1069" t="s">
        <v>4797</v>
      </c>
      <c r="AT1069" t="s">
        <v>467</v>
      </c>
      <c r="AU1069">
        <v>2023</v>
      </c>
      <c r="AV1069">
        <v>42</v>
      </c>
      <c r="AW1069">
        <v>5</v>
      </c>
      <c r="AX1069" t="s">
        <v>74</v>
      </c>
      <c r="AY1069" t="s">
        <v>74</v>
      </c>
      <c r="AZ1069" t="s">
        <v>74</v>
      </c>
      <c r="BA1069" t="s">
        <v>74</v>
      </c>
      <c r="BB1069" t="s">
        <v>74</v>
      </c>
      <c r="BC1069" t="s">
        <v>74</v>
      </c>
      <c r="BD1069">
        <v>172</v>
      </c>
      <c r="BE1069" t="s">
        <v>19963</v>
      </c>
      <c r="BF1069" t="str">
        <f>HYPERLINK("http://dx.doi.org/10.1145/3610287","http://dx.doi.org/10.1145/3610287")</f>
        <v>http://dx.doi.org/10.1145/3610287</v>
      </c>
      <c r="BG1069" t="s">
        <v>74</v>
      </c>
      <c r="BH1069" t="s">
        <v>74</v>
      </c>
      <c r="BI1069">
        <v>18</v>
      </c>
      <c r="BJ1069" t="s">
        <v>1563</v>
      </c>
      <c r="BK1069" t="s">
        <v>130</v>
      </c>
      <c r="BL1069" t="s">
        <v>99</v>
      </c>
      <c r="BM1069" t="s">
        <v>19964</v>
      </c>
      <c r="BN1069" t="s">
        <v>74</v>
      </c>
      <c r="BO1069" t="s">
        <v>4199</v>
      </c>
      <c r="BP1069" t="s">
        <v>74</v>
      </c>
      <c r="BQ1069" t="s">
        <v>74</v>
      </c>
      <c r="BR1069" t="s">
        <v>101</v>
      </c>
      <c r="BS1069" t="s">
        <v>19965</v>
      </c>
      <c r="BT1069" t="str">
        <f>HYPERLINK("https%3A%2F%2Fwww.webofscience.com%2Fwos%2Fwoscc%2Ffull-record%2FWOS:001086833300011","View Full Record in Web of Science")</f>
        <v>View Full Record in Web of Science</v>
      </c>
    </row>
    <row r="1070" spans="1:72" x14ac:dyDescent="0.2">
      <c r="A1070" t="s">
        <v>103</v>
      </c>
      <c r="B1070" t="s">
        <v>19966</v>
      </c>
      <c r="C1070" t="s">
        <v>74</v>
      </c>
      <c r="D1070" t="s">
        <v>74</v>
      </c>
      <c r="E1070" t="s">
        <v>74</v>
      </c>
      <c r="F1070" t="s">
        <v>19967</v>
      </c>
      <c r="G1070" t="s">
        <v>74</v>
      </c>
      <c r="H1070" t="s">
        <v>74</v>
      </c>
      <c r="I1070" t="s">
        <v>19968</v>
      </c>
      <c r="J1070" t="s">
        <v>10711</v>
      </c>
      <c r="K1070" t="s">
        <v>74</v>
      </c>
      <c r="L1070" t="s">
        <v>74</v>
      </c>
      <c r="M1070" t="s">
        <v>79</v>
      </c>
      <c r="N1070" t="s">
        <v>108</v>
      </c>
      <c r="O1070" t="s">
        <v>74</v>
      </c>
      <c r="P1070" t="s">
        <v>74</v>
      </c>
      <c r="Q1070" t="s">
        <v>74</v>
      </c>
      <c r="R1070" t="s">
        <v>74</v>
      </c>
      <c r="S1070" t="s">
        <v>74</v>
      </c>
      <c r="T1070" t="s">
        <v>74</v>
      </c>
      <c r="U1070" t="s">
        <v>19969</v>
      </c>
      <c r="V1070" t="s">
        <v>19970</v>
      </c>
      <c r="W1070" t="s">
        <v>19971</v>
      </c>
      <c r="X1070" t="s">
        <v>19972</v>
      </c>
      <c r="Y1070" t="s">
        <v>19973</v>
      </c>
      <c r="Z1070" t="s">
        <v>19974</v>
      </c>
      <c r="AA1070" t="s">
        <v>19975</v>
      </c>
      <c r="AB1070" t="s">
        <v>19976</v>
      </c>
      <c r="AC1070" t="s">
        <v>19977</v>
      </c>
      <c r="AD1070" t="s">
        <v>19978</v>
      </c>
      <c r="AE1070" t="s">
        <v>19979</v>
      </c>
      <c r="AF1070" t="s">
        <v>74</v>
      </c>
      <c r="AG1070">
        <v>21</v>
      </c>
      <c r="AH1070">
        <v>0</v>
      </c>
      <c r="AI1070">
        <v>0</v>
      </c>
      <c r="AJ1070">
        <v>0</v>
      </c>
      <c r="AK1070">
        <v>0</v>
      </c>
      <c r="AL1070" t="s">
        <v>1880</v>
      </c>
      <c r="AM1070" t="s">
        <v>369</v>
      </c>
      <c r="AN1070" t="s">
        <v>1881</v>
      </c>
      <c r="AO1070" t="s">
        <v>10723</v>
      </c>
      <c r="AP1070" t="s">
        <v>74</v>
      </c>
      <c r="AQ1070" t="s">
        <v>74</v>
      </c>
      <c r="AR1070" t="s">
        <v>10724</v>
      </c>
      <c r="AS1070" t="s">
        <v>10725</v>
      </c>
      <c r="AT1070" t="s">
        <v>2551</v>
      </c>
      <c r="AU1070">
        <v>2023</v>
      </c>
      <c r="AV1070">
        <v>13</v>
      </c>
      <c r="AW1070">
        <v>1</v>
      </c>
      <c r="AX1070" t="s">
        <v>74</v>
      </c>
      <c r="AY1070" t="s">
        <v>74</v>
      </c>
      <c r="AZ1070" t="s">
        <v>74</v>
      </c>
      <c r="BA1070" t="s">
        <v>74</v>
      </c>
      <c r="BB1070" t="s">
        <v>74</v>
      </c>
      <c r="BC1070" t="s">
        <v>74</v>
      </c>
      <c r="BD1070">
        <v>21709</v>
      </c>
      <c r="BE1070" t="s">
        <v>19980</v>
      </c>
      <c r="BF1070" t="str">
        <f>HYPERLINK("http://dx.doi.org/10.1038/s41598-023-48755-5","http://dx.doi.org/10.1038/s41598-023-48755-5")</f>
        <v>http://dx.doi.org/10.1038/s41598-023-48755-5</v>
      </c>
      <c r="BG1070" t="s">
        <v>74</v>
      </c>
      <c r="BH1070" t="s">
        <v>74</v>
      </c>
      <c r="BI1070">
        <v>9</v>
      </c>
      <c r="BJ1070" t="s">
        <v>5686</v>
      </c>
      <c r="BK1070" t="s">
        <v>130</v>
      </c>
      <c r="BL1070" t="s">
        <v>5687</v>
      </c>
      <c r="BM1070" t="s">
        <v>19981</v>
      </c>
      <c r="BN1070">
        <v>38066174</v>
      </c>
      <c r="BO1070" t="s">
        <v>425</v>
      </c>
      <c r="BP1070" t="s">
        <v>74</v>
      </c>
      <c r="BQ1070" t="s">
        <v>74</v>
      </c>
      <c r="BR1070" t="s">
        <v>101</v>
      </c>
      <c r="BS1070" t="s">
        <v>19982</v>
      </c>
      <c r="BT1070" t="str">
        <f>HYPERLINK("https%3A%2F%2Fwww.webofscience.com%2Fwos%2Fwoscc%2Ffull-record%2FWOS:001139686600062","View Full Record in Web of Science")</f>
        <v>View Full Record in Web of Science</v>
      </c>
    </row>
    <row r="1071" spans="1:72" x14ac:dyDescent="0.2">
      <c r="A1071" t="s">
        <v>103</v>
      </c>
      <c r="B1071" t="s">
        <v>19983</v>
      </c>
      <c r="C1071" t="s">
        <v>74</v>
      </c>
      <c r="D1071" t="s">
        <v>74</v>
      </c>
      <c r="E1071" t="s">
        <v>74</v>
      </c>
      <c r="F1071" t="s">
        <v>19984</v>
      </c>
      <c r="G1071" t="s">
        <v>74</v>
      </c>
      <c r="H1071" t="s">
        <v>74</v>
      </c>
      <c r="I1071" t="s">
        <v>19985</v>
      </c>
      <c r="J1071" t="s">
        <v>11207</v>
      </c>
      <c r="K1071" t="s">
        <v>74</v>
      </c>
      <c r="L1071" t="s">
        <v>74</v>
      </c>
      <c r="M1071" t="s">
        <v>79</v>
      </c>
      <c r="N1071" t="s">
        <v>138</v>
      </c>
      <c r="O1071" t="s">
        <v>74</v>
      </c>
      <c r="P1071" t="s">
        <v>74</v>
      </c>
      <c r="Q1071" t="s">
        <v>74</v>
      </c>
      <c r="R1071" t="s">
        <v>74</v>
      </c>
      <c r="S1071" t="s">
        <v>74</v>
      </c>
      <c r="T1071" t="s">
        <v>74</v>
      </c>
      <c r="U1071" t="s">
        <v>19986</v>
      </c>
      <c r="V1071" t="s">
        <v>19987</v>
      </c>
      <c r="W1071" t="s">
        <v>19988</v>
      </c>
      <c r="X1071" t="s">
        <v>6858</v>
      </c>
      <c r="Y1071" t="s">
        <v>19989</v>
      </c>
      <c r="Z1071" t="s">
        <v>19990</v>
      </c>
      <c r="AA1071" t="s">
        <v>19991</v>
      </c>
      <c r="AB1071" t="s">
        <v>19992</v>
      </c>
      <c r="AC1071" t="s">
        <v>19993</v>
      </c>
      <c r="AD1071" t="s">
        <v>19994</v>
      </c>
      <c r="AE1071" t="s">
        <v>19995</v>
      </c>
      <c r="AF1071" t="s">
        <v>74</v>
      </c>
      <c r="AG1071">
        <v>74</v>
      </c>
      <c r="AH1071">
        <v>2</v>
      </c>
      <c r="AI1071">
        <v>2</v>
      </c>
      <c r="AJ1071">
        <v>6</v>
      </c>
      <c r="AK1071">
        <v>7</v>
      </c>
      <c r="AL1071" t="s">
        <v>547</v>
      </c>
      <c r="AM1071" t="s">
        <v>548</v>
      </c>
      <c r="AN1071" t="s">
        <v>549</v>
      </c>
      <c r="AO1071" t="s">
        <v>11215</v>
      </c>
      <c r="AP1071" t="s">
        <v>11216</v>
      </c>
      <c r="AQ1071" t="s">
        <v>74</v>
      </c>
      <c r="AR1071" t="s">
        <v>11217</v>
      </c>
      <c r="AS1071" t="s">
        <v>11218</v>
      </c>
      <c r="AT1071" t="s">
        <v>19996</v>
      </c>
      <c r="AU1071">
        <v>2023</v>
      </c>
      <c r="AV1071" t="s">
        <v>74</v>
      </c>
      <c r="AW1071" t="s">
        <v>74</v>
      </c>
      <c r="AX1071" t="s">
        <v>74</v>
      </c>
      <c r="AY1071" t="s">
        <v>74</v>
      </c>
      <c r="AZ1071" t="s">
        <v>74</v>
      </c>
      <c r="BA1071" t="s">
        <v>74</v>
      </c>
      <c r="BB1071" t="s">
        <v>74</v>
      </c>
      <c r="BC1071" t="s">
        <v>74</v>
      </c>
      <c r="BD1071" t="s">
        <v>74</v>
      </c>
      <c r="BE1071" t="s">
        <v>19997</v>
      </c>
      <c r="BF1071" t="str">
        <f>HYPERLINK("http://dx.doi.org/10.1021/acs.jcim.3c01134","http://dx.doi.org/10.1021/acs.jcim.3c01134")</f>
        <v>http://dx.doi.org/10.1021/acs.jcim.3c01134</v>
      </c>
      <c r="BG1071" t="s">
        <v>74</v>
      </c>
      <c r="BH1071" t="s">
        <v>255</v>
      </c>
      <c r="BI1071">
        <v>13</v>
      </c>
      <c r="BJ1071" t="s">
        <v>11221</v>
      </c>
      <c r="BK1071" t="s">
        <v>130</v>
      </c>
      <c r="BL1071" t="s">
        <v>11222</v>
      </c>
      <c r="BM1071" t="s">
        <v>19998</v>
      </c>
      <c r="BN1071">
        <v>37651152</v>
      </c>
      <c r="BO1071" t="s">
        <v>74</v>
      </c>
      <c r="BP1071" t="s">
        <v>74</v>
      </c>
      <c r="BQ1071" t="s">
        <v>74</v>
      </c>
      <c r="BR1071" t="s">
        <v>101</v>
      </c>
      <c r="BS1071" t="s">
        <v>19999</v>
      </c>
      <c r="BT1071" t="str">
        <f>HYPERLINK("https%3A%2F%2Fwww.webofscience.com%2Fwos%2Fwoscc%2Ffull-record%2FWOS:001061528600001","View Full Record in Web of Science")</f>
        <v>View Full Record in Web of Science</v>
      </c>
    </row>
    <row r="1072" spans="1:72" x14ac:dyDescent="0.2">
      <c r="A1072" t="s">
        <v>103</v>
      </c>
      <c r="B1072" t="s">
        <v>20000</v>
      </c>
      <c r="C1072" t="s">
        <v>74</v>
      </c>
      <c r="D1072" t="s">
        <v>74</v>
      </c>
      <c r="E1072" t="s">
        <v>74</v>
      </c>
      <c r="F1072" t="s">
        <v>20001</v>
      </c>
      <c r="G1072" t="s">
        <v>74</v>
      </c>
      <c r="H1072" t="s">
        <v>74</v>
      </c>
      <c r="I1072" t="s">
        <v>20002</v>
      </c>
      <c r="J1072" t="s">
        <v>6611</v>
      </c>
      <c r="K1072" t="s">
        <v>74</v>
      </c>
      <c r="L1072" t="s">
        <v>74</v>
      </c>
      <c r="M1072" t="s">
        <v>79</v>
      </c>
      <c r="N1072" t="s">
        <v>108</v>
      </c>
      <c r="O1072" t="s">
        <v>74</v>
      </c>
      <c r="P1072" t="s">
        <v>74</v>
      </c>
      <c r="Q1072" t="s">
        <v>74</v>
      </c>
      <c r="R1072" t="s">
        <v>74</v>
      </c>
      <c r="S1072" t="s">
        <v>74</v>
      </c>
      <c r="T1072" t="s">
        <v>20003</v>
      </c>
      <c r="U1072" t="s">
        <v>74</v>
      </c>
      <c r="V1072" t="s">
        <v>20004</v>
      </c>
      <c r="W1072" t="s">
        <v>20005</v>
      </c>
      <c r="X1072" t="s">
        <v>20006</v>
      </c>
      <c r="Y1072" t="s">
        <v>20007</v>
      </c>
      <c r="Z1072" t="s">
        <v>20008</v>
      </c>
      <c r="AA1072" t="s">
        <v>74</v>
      </c>
      <c r="AB1072" t="s">
        <v>20009</v>
      </c>
      <c r="AC1072" t="s">
        <v>20010</v>
      </c>
      <c r="AD1072" t="s">
        <v>20011</v>
      </c>
      <c r="AE1072" t="s">
        <v>20012</v>
      </c>
      <c r="AF1072" t="s">
        <v>74</v>
      </c>
      <c r="AG1072">
        <v>110</v>
      </c>
      <c r="AH1072">
        <v>2</v>
      </c>
      <c r="AI1072">
        <v>2</v>
      </c>
      <c r="AJ1072">
        <v>0</v>
      </c>
      <c r="AK1072">
        <v>0</v>
      </c>
      <c r="AL1072" t="s">
        <v>638</v>
      </c>
      <c r="AM1072" t="s">
        <v>639</v>
      </c>
      <c r="AN1072" t="s">
        <v>1557</v>
      </c>
      <c r="AO1072" t="s">
        <v>6621</v>
      </c>
      <c r="AP1072" t="s">
        <v>6622</v>
      </c>
      <c r="AQ1072" t="s">
        <v>74</v>
      </c>
      <c r="AR1072" t="s">
        <v>6623</v>
      </c>
      <c r="AS1072" t="s">
        <v>6624</v>
      </c>
      <c r="AT1072" t="s">
        <v>527</v>
      </c>
      <c r="AU1072">
        <v>2023</v>
      </c>
      <c r="AV1072">
        <v>45</v>
      </c>
      <c r="AW1072">
        <v>12</v>
      </c>
      <c r="AX1072" t="s">
        <v>74</v>
      </c>
      <c r="AY1072" t="s">
        <v>74</v>
      </c>
      <c r="AZ1072" t="s">
        <v>74</v>
      </c>
      <c r="BA1072" t="s">
        <v>74</v>
      </c>
      <c r="BB1072">
        <v>14465</v>
      </c>
      <c r="BC1072">
        <v>14480</v>
      </c>
      <c r="BD1072" t="s">
        <v>74</v>
      </c>
      <c r="BE1072" t="s">
        <v>20013</v>
      </c>
      <c r="BF1072" t="str">
        <f>HYPERLINK("http://dx.doi.org/10.1109/TPAMI.2023.3316020","http://dx.doi.org/10.1109/TPAMI.2023.3316020")</f>
        <v>http://dx.doi.org/10.1109/TPAMI.2023.3316020</v>
      </c>
      <c r="BG1072" t="s">
        <v>74</v>
      </c>
      <c r="BH1072" t="s">
        <v>74</v>
      </c>
      <c r="BI1072">
        <v>16</v>
      </c>
      <c r="BJ1072" t="s">
        <v>6627</v>
      </c>
      <c r="BK1072" t="s">
        <v>130</v>
      </c>
      <c r="BL1072" t="s">
        <v>906</v>
      </c>
      <c r="BM1072" t="s">
        <v>8203</v>
      </c>
      <c r="BN1072">
        <v>37713217</v>
      </c>
      <c r="BO1072" t="s">
        <v>646</v>
      </c>
      <c r="BP1072" t="s">
        <v>74</v>
      </c>
      <c r="BQ1072" t="s">
        <v>74</v>
      </c>
      <c r="BR1072" t="s">
        <v>101</v>
      </c>
      <c r="BS1072" t="s">
        <v>20014</v>
      </c>
      <c r="BT1072" t="str">
        <f>HYPERLINK("https%3A%2F%2Fwww.webofscience.com%2Fwos%2Fwoscc%2Ffull-record%2FWOS:001104973300026","View Full Record in Web of Science")</f>
        <v>View Full Record in Web of Science</v>
      </c>
    </row>
    <row r="1073" spans="1:72" x14ac:dyDescent="0.2">
      <c r="A1073" t="s">
        <v>103</v>
      </c>
      <c r="B1073" t="s">
        <v>20015</v>
      </c>
      <c r="C1073" t="s">
        <v>74</v>
      </c>
      <c r="D1073" t="s">
        <v>74</v>
      </c>
      <c r="E1073" t="s">
        <v>74</v>
      </c>
      <c r="F1073" t="s">
        <v>20016</v>
      </c>
      <c r="G1073" t="s">
        <v>74</v>
      </c>
      <c r="H1073" t="s">
        <v>74</v>
      </c>
      <c r="I1073" t="s">
        <v>20017</v>
      </c>
      <c r="J1073" t="s">
        <v>15975</v>
      </c>
      <c r="K1073" t="s">
        <v>74</v>
      </c>
      <c r="L1073" t="s">
        <v>74</v>
      </c>
      <c r="M1073" t="s">
        <v>79</v>
      </c>
      <c r="N1073" t="s">
        <v>108</v>
      </c>
      <c r="O1073" t="s">
        <v>74</v>
      </c>
      <c r="P1073" t="s">
        <v>74</v>
      </c>
      <c r="Q1073" t="s">
        <v>74</v>
      </c>
      <c r="R1073" t="s">
        <v>74</v>
      </c>
      <c r="S1073" t="s">
        <v>74</v>
      </c>
      <c r="T1073" t="s">
        <v>20018</v>
      </c>
      <c r="U1073" t="s">
        <v>20019</v>
      </c>
      <c r="V1073" t="s">
        <v>20020</v>
      </c>
      <c r="W1073" t="s">
        <v>20021</v>
      </c>
      <c r="X1073" t="s">
        <v>20022</v>
      </c>
      <c r="Y1073" t="s">
        <v>20023</v>
      </c>
      <c r="Z1073" t="s">
        <v>20024</v>
      </c>
      <c r="AA1073" t="s">
        <v>74</v>
      </c>
      <c r="AB1073" t="s">
        <v>20025</v>
      </c>
      <c r="AC1073" t="s">
        <v>20026</v>
      </c>
      <c r="AD1073" t="s">
        <v>20026</v>
      </c>
      <c r="AE1073" t="s">
        <v>3401</v>
      </c>
      <c r="AF1073" t="s">
        <v>74</v>
      </c>
      <c r="AG1073">
        <v>66</v>
      </c>
      <c r="AH1073">
        <v>2</v>
      </c>
      <c r="AI1073">
        <v>2</v>
      </c>
      <c r="AJ1073">
        <v>5</v>
      </c>
      <c r="AK1073">
        <v>5</v>
      </c>
      <c r="AL1073" t="s">
        <v>1379</v>
      </c>
      <c r="AM1073" t="s">
        <v>1380</v>
      </c>
      <c r="AN1073" t="s">
        <v>1381</v>
      </c>
      <c r="AO1073" t="s">
        <v>15987</v>
      </c>
      <c r="AP1073" t="s">
        <v>74</v>
      </c>
      <c r="AQ1073" t="s">
        <v>74</v>
      </c>
      <c r="AR1073" t="s">
        <v>15988</v>
      </c>
      <c r="AS1073" t="s">
        <v>15989</v>
      </c>
      <c r="AT1073" t="s">
        <v>527</v>
      </c>
      <c r="AU1073">
        <v>2023</v>
      </c>
      <c r="AV1073">
        <v>20</v>
      </c>
      <c r="AW1073">
        <v>4</v>
      </c>
      <c r="AX1073" t="s">
        <v>74</v>
      </c>
      <c r="AY1073" t="s">
        <v>74</v>
      </c>
      <c r="AZ1073" t="s">
        <v>74</v>
      </c>
      <c r="BA1073" t="s">
        <v>74</v>
      </c>
      <c r="BB1073">
        <v>4951</v>
      </c>
      <c r="BC1073">
        <v>4963</v>
      </c>
      <c r="BD1073" t="s">
        <v>74</v>
      </c>
      <c r="BE1073" t="s">
        <v>20027</v>
      </c>
      <c r="BF1073" t="str">
        <f>HYPERLINK("http://dx.doi.org/10.1109/TNSM.2023.3260039","http://dx.doi.org/10.1109/TNSM.2023.3260039")</f>
        <v>http://dx.doi.org/10.1109/TNSM.2023.3260039</v>
      </c>
      <c r="BG1073" t="s">
        <v>74</v>
      </c>
      <c r="BH1073" t="s">
        <v>74</v>
      </c>
      <c r="BI1073">
        <v>13</v>
      </c>
      <c r="BJ1073" t="s">
        <v>230</v>
      </c>
      <c r="BK1073" t="s">
        <v>130</v>
      </c>
      <c r="BL1073" t="s">
        <v>99</v>
      </c>
      <c r="BM1073" t="s">
        <v>20028</v>
      </c>
      <c r="BN1073" t="s">
        <v>74</v>
      </c>
      <c r="BO1073" t="s">
        <v>74</v>
      </c>
      <c r="BP1073" t="s">
        <v>74</v>
      </c>
      <c r="BQ1073" t="s">
        <v>74</v>
      </c>
      <c r="BR1073" t="s">
        <v>101</v>
      </c>
      <c r="BS1073" t="s">
        <v>20029</v>
      </c>
      <c r="BT1073" t="str">
        <f>HYPERLINK("https%3A%2F%2Fwww.webofscience.com%2Fwos%2Fwoscc%2Ffull-record%2FWOS:001128152200043","View Full Record in Web of Science")</f>
        <v>View Full Record in Web of Science</v>
      </c>
    </row>
    <row r="1074" spans="1:72" x14ac:dyDescent="0.2">
      <c r="A1074" t="s">
        <v>72</v>
      </c>
      <c r="B1074" t="s">
        <v>20030</v>
      </c>
      <c r="C1074" t="s">
        <v>74</v>
      </c>
      <c r="D1074" t="s">
        <v>74</v>
      </c>
      <c r="E1074" t="s">
        <v>75</v>
      </c>
      <c r="F1074" t="s">
        <v>20031</v>
      </c>
      <c r="G1074" t="s">
        <v>74</v>
      </c>
      <c r="H1074" t="s">
        <v>74</v>
      </c>
      <c r="I1074" t="s">
        <v>20032</v>
      </c>
      <c r="J1074" t="s">
        <v>166</v>
      </c>
      <c r="K1074" t="s">
        <v>74</v>
      </c>
      <c r="L1074" t="s">
        <v>74</v>
      </c>
      <c r="M1074" t="s">
        <v>79</v>
      </c>
      <c r="N1074" t="s">
        <v>80</v>
      </c>
      <c r="O1074" t="s">
        <v>167</v>
      </c>
      <c r="P1074" t="s">
        <v>168</v>
      </c>
      <c r="Q1074" t="s">
        <v>169</v>
      </c>
      <c r="R1074" t="s">
        <v>170</v>
      </c>
      <c r="S1074" t="s">
        <v>74</v>
      </c>
      <c r="T1074" t="s">
        <v>20033</v>
      </c>
      <c r="U1074" t="s">
        <v>74</v>
      </c>
      <c r="V1074" t="s">
        <v>20034</v>
      </c>
      <c r="W1074" t="s">
        <v>20035</v>
      </c>
      <c r="X1074" t="s">
        <v>20036</v>
      </c>
      <c r="Y1074" t="s">
        <v>20037</v>
      </c>
      <c r="Z1074" t="s">
        <v>20038</v>
      </c>
      <c r="AA1074" t="s">
        <v>74</v>
      </c>
      <c r="AB1074" t="s">
        <v>74</v>
      </c>
      <c r="AC1074" t="s">
        <v>74</v>
      </c>
      <c r="AD1074" t="s">
        <v>74</v>
      </c>
      <c r="AE1074" t="s">
        <v>74</v>
      </c>
      <c r="AF1074" t="s">
        <v>74</v>
      </c>
      <c r="AG1074">
        <v>14</v>
      </c>
      <c r="AH1074">
        <v>0</v>
      </c>
      <c r="AI1074">
        <v>0</v>
      </c>
      <c r="AJ1074">
        <v>2</v>
      </c>
      <c r="AK1074">
        <v>2</v>
      </c>
      <c r="AL1074" t="s">
        <v>92</v>
      </c>
      <c r="AM1074" t="s">
        <v>93</v>
      </c>
      <c r="AN1074" t="s">
        <v>94</v>
      </c>
      <c r="AO1074" t="s">
        <v>74</v>
      </c>
      <c r="AP1074" t="s">
        <v>74</v>
      </c>
      <c r="AQ1074" t="s">
        <v>177</v>
      </c>
      <c r="AR1074" t="s">
        <v>74</v>
      </c>
      <c r="AS1074" t="s">
        <v>74</v>
      </c>
      <c r="AT1074" t="s">
        <v>74</v>
      </c>
      <c r="AU1074">
        <v>2023</v>
      </c>
      <c r="AV1074" t="s">
        <v>74</v>
      </c>
      <c r="AW1074" t="s">
        <v>74</v>
      </c>
      <c r="AX1074" t="s">
        <v>74</v>
      </c>
      <c r="AY1074" t="s">
        <v>74</v>
      </c>
      <c r="AZ1074" t="s">
        <v>74</v>
      </c>
      <c r="BA1074" t="s">
        <v>74</v>
      </c>
      <c r="BB1074">
        <v>282</v>
      </c>
      <c r="BC1074">
        <v>287</v>
      </c>
      <c r="BD1074" t="s">
        <v>74</v>
      </c>
      <c r="BE1074" t="s">
        <v>20039</v>
      </c>
      <c r="BF1074" t="str">
        <f>HYPERLINK("http://dx.doi.org/10.1145/3591196.3596827","http://dx.doi.org/10.1145/3591196.3596827")</f>
        <v>http://dx.doi.org/10.1145/3591196.3596827</v>
      </c>
      <c r="BG1074" t="s">
        <v>74</v>
      </c>
      <c r="BH1074" t="s">
        <v>74</v>
      </c>
      <c r="BI1074">
        <v>6</v>
      </c>
      <c r="BJ1074" t="s">
        <v>179</v>
      </c>
      <c r="BK1074" t="s">
        <v>180</v>
      </c>
      <c r="BL1074" t="s">
        <v>181</v>
      </c>
      <c r="BM1074" t="s">
        <v>182</v>
      </c>
      <c r="BN1074" t="s">
        <v>74</v>
      </c>
      <c r="BO1074" t="s">
        <v>74</v>
      </c>
      <c r="BP1074" t="s">
        <v>74</v>
      </c>
      <c r="BQ1074" t="s">
        <v>74</v>
      </c>
      <c r="BR1074" t="s">
        <v>101</v>
      </c>
      <c r="BS1074" t="s">
        <v>20040</v>
      </c>
      <c r="BT1074" t="str">
        <f>HYPERLINK("https%3A%2F%2Fwww.webofscience.com%2Fwos%2Fwoscc%2Ffull-record%2FWOS:001119074200037","View Full Record in Web of Science")</f>
        <v>View Full Record in Web of Science</v>
      </c>
    </row>
    <row r="1075" spans="1:72" x14ac:dyDescent="0.2">
      <c r="A1075" t="s">
        <v>72</v>
      </c>
      <c r="B1075" t="s">
        <v>20041</v>
      </c>
      <c r="C1075" t="s">
        <v>74</v>
      </c>
      <c r="D1075" t="s">
        <v>74</v>
      </c>
      <c r="E1075" t="s">
        <v>284</v>
      </c>
      <c r="F1075" t="s">
        <v>20042</v>
      </c>
      <c r="G1075" t="s">
        <v>74</v>
      </c>
      <c r="H1075" t="s">
        <v>74</v>
      </c>
      <c r="I1075" t="s">
        <v>20043</v>
      </c>
      <c r="J1075" t="s">
        <v>15358</v>
      </c>
      <c r="K1075" t="s">
        <v>15359</v>
      </c>
      <c r="L1075" t="s">
        <v>74</v>
      </c>
      <c r="M1075" t="s">
        <v>79</v>
      </c>
      <c r="N1075" t="s">
        <v>80</v>
      </c>
      <c r="O1075" t="s">
        <v>15360</v>
      </c>
      <c r="P1075" t="s">
        <v>1221</v>
      </c>
      <c r="Q1075" t="s">
        <v>15361</v>
      </c>
      <c r="R1075" t="s">
        <v>15362</v>
      </c>
      <c r="S1075" t="s">
        <v>74</v>
      </c>
      <c r="T1075" t="s">
        <v>20044</v>
      </c>
      <c r="U1075" t="s">
        <v>74</v>
      </c>
      <c r="V1075" t="s">
        <v>20045</v>
      </c>
      <c r="W1075" t="s">
        <v>20046</v>
      </c>
      <c r="X1075" t="s">
        <v>20047</v>
      </c>
      <c r="Y1075" t="s">
        <v>20048</v>
      </c>
      <c r="Z1075" t="s">
        <v>20049</v>
      </c>
      <c r="AA1075" t="s">
        <v>74</v>
      </c>
      <c r="AB1075" t="s">
        <v>74</v>
      </c>
      <c r="AC1075" t="s">
        <v>20050</v>
      </c>
      <c r="AD1075" t="s">
        <v>20051</v>
      </c>
      <c r="AE1075" t="s">
        <v>20052</v>
      </c>
      <c r="AF1075" t="s">
        <v>74</v>
      </c>
      <c r="AG1075">
        <v>26</v>
      </c>
      <c r="AH1075">
        <v>0</v>
      </c>
      <c r="AI1075">
        <v>0</v>
      </c>
      <c r="AJ1075">
        <v>3</v>
      </c>
      <c r="AK1075">
        <v>3</v>
      </c>
      <c r="AL1075" t="s">
        <v>284</v>
      </c>
      <c r="AM1075" t="s">
        <v>93</v>
      </c>
      <c r="AN1075" t="s">
        <v>299</v>
      </c>
      <c r="AO1075" t="s">
        <v>15372</v>
      </c>
      <c r="AP1075" t="s">
        <v>74</v>
      </c>
      <c r="AQ1075" t="s">
        <v>15373</v>
      </c>
      <c r="AR1075" t="s">
        <v>15374</v>
      </c>
      <c r="AS1075" t="s">
        <v>74</v>
      </c>
      <c r="AT1075" t="s">
        <v>74</v>
      </c>
      <c r="AU1075">
        <v>2023</v>
      </c>
      <c r="AV1075" t="s">
        <v>74</v>
      </c>
      <c r="AW1075" t="s">
        <v>74</v>
      </c>
      <c r="AX1075" t="s">
        <v>74</v>
      </c>
      <c r="AY1075" t="s">
        <v>74</v>
      </c>
      <c r="AZ1075" t="s">
        <v>74</v>
      </c>
      <c r="BA1075" t="s">
        <v>74</v>
      </c>
      <c r="BB1075">
        <v>2105</v>
      </c>
      <c r="BC1075">
        <v>2110</v>
      </c>
      <c r="BD1075" t="s">
        <v>74</v>
      </c>
      <c r="BE1075" t="s">
        <v>20053</v>
      </c>
      <c r="BF1075" t="str">
        <f>HYPERLINK("http://dx.doi.org/10.1109/ICME55011.2023.00360","http://dx.doi.org/10.1109/ICME55011.2023.00360")</f>
        <v>http://dx.doi.org/10.1109/ICME55011.2023.00360</v>
      </c>
      <c r="BG1075" t="s">
        <v>74</v>
      </c>
      <c r="BH1075" t="s">
        <v>74</v>
      </c>
      <c r="BI1075">
        <v>6</v>
      </c>
      <c r="BJ1075" t="s">
        <v>6374</v>
      </c>
      <c r="BK1075" t="s">
        <v>98</v>
      </c>
      <c r="BL1075" t="s">
        <v>99</v>
      </c>
      <c r="BM1075" t="s">
        <v>15376</v>
      </c>
      <c r="BN1075" t="s">
        <v>74</v>
      </c>
      <c r="BO1075" t="s">
        <v>74</v>
      </c>
      <c r="BP1075" t="s">
        <v>74</v>
      </c>
      <c r="BQ1075" t="s">
        <v>74</v>
      </c>
      <c r="BR1075" t="s">
        <v>101</v>
      </c>
      <c r="BS1075" t="s">
        <v>20054</v>
      </c>
      <c r="BT1075" t="str">
        <f>HYPERLINK("https%3A%2F%2Fwww.webofscience.com%2Fwos%2Fwoscc%2Ffull-record%2FWOS:001062707300342","View Full Record in Web of Science")</f>
        <v>View Full Record in Web of Science</v>
      </c>
    </row>
    <row r="1076" spans="1:72" x14ac:dyDescent="0.2">
      <c r="A1076" t="s">
        <v>72</v>
      </c>
      <c r="B1076" t="s">
        <v>20055</v>
      </c>
      <c r="C1076" t="s">
        <v>74</v>
      </c>
      <c r="D1076" t="s">
        <v>74</v>
      </c>
      <c r="E1076" t="s">
        <v>75</v>
      </c>
      <c r="F1076" t="s">
        <v>20056</v>
      </c>
      <c r="G1076" t="s">
        <v>74</v>
      </c>
      <c r="H1076" t="s">
        <v>74</v>
      </c>
      <c r="I1076" t="s">
        <v>20057</v>
      </c>
      <c r="J1076" t="s">
        <v>1636</v>
      </c>
      <c r="K1076" t="s">
        <v>74</v>
      </c>
      <c r="L1076" t="s">
        <v>74</v>
      </c>
      <c r="M1076" t="s">
        <v>79</v>
      </c>
      <c r="N1076" t="s">
        <v>80</v>
      </c>
      <c r="O1076" t="s">
        <v>1637</v>
      </c>
      <c r="P1076" t="s">
        <v>1638</v>
      </c>
      <c r="Q1076" t="s">
        <v>1639</v>
      </c>
      <c r="R1076" t="s">
        <v>1640</v>
      </c>
      <c r="S1076" t="s">
        <v>74</v>
      </c>
      <c r="T1076" t="s">
        <v>20058</v>
      </c>
      <c r="U1076" t="s">
        <v>20059</v>
      </c>
      <c r="V1076" t="s">
        <v>20060</v>
      </c>
      <c r="W1076" t="s">
        <v>20061</v>
      </c>
      <c r="X1076" t="s">
        <v>4031</v>
      </c>
      <c r="Y1076" t="s">
        <v>20062</v>
      </c>
      <c r="Z1076" t="s">
        <v>20063</v>
      </c>
      <c r="AA1076" t="s">
        <v>74</v>
      </c>
      <c r="AB1076" t="s">
        <v>74</v>
      </c>
      <c r="AC1076" t="s">
        <v>20064</v>
      </c>
      <c r="AD1076" t="s">
        <v>11618</v>
      </c>
      <c r="AE1076" t="s">
        <v>20065</v>
      </c>
      <c r="AF1076" t="s">
        <v>74</v>
      </c>
      <c r="AG1076">
        <v>78</v>
      </c>
      <c r="AH1076">
        <v>1</v>
      </c>
      <c r="AI1076">
        <v>1</v>
      </c>
      <c r="AJ1076">
        <v>2</v>
      </c>
      <c r="AK1076">
        <v>2</v>
      </c>
      <c r="AL1076" t="s">
        <v>92</v>
      </c>
      <c r="AM1076" t="s">
        <v>93</v>
      </c>
      <c r="AN1076" t="s">
        <v>94</v>
      </c>
      <c r="AO1076" t="s">
        <v>74</v>
      </c>
      <c r="AP1076" t="s">
        <v>74</v>
      </c>
      <c r="AQ1076" t="s">
        <v>1651</v>
      </c>
      <c r="AR1076" t="s">
        <v>74</v>
      </c>
      <c r="AS1076" t="s">
        <v>74</v>
      </c>
      <c r="AT1076" t="s">
        <v>74</v>
      </c>
      <c r="AU1076">
        <v>2023</v>
      </c>
      <c r="AV1076" t="s">
        <v>74</v>
      </c>
      <c r="AW1076" t="s">
        <v>74</v>
      </c>
      <c r="AX1076" t="s">
        <v>74</v>
      </c>
      <c r="AY1076" t="s">
        <v>74</v>
      </c>
      <c r="AZ1076" t="s">
        <v>74</v>
      </c>
      <c r="BA1076" t="s">
        <v>74</v>
      </c>
      <c r="BB1076" t="s">
        <v>74</v>
      </c>
      <c r="BC1076" t="s">
        <v>74</v>
      </c>
      <c r="BD1076" t="s">
        <v>74</v>
      </c>
      <c r="BE1076" t="s">
        <v>20066</v>
      </c>
      <c r="BF1076" t="str">
        <f>HYPERLINK("http://dx.doi.org/10.1145/3544548.3581363","http://dx.doi.org/10.1145/3544548.3581363")</f>
        <v>http://dx.doi.org/10.1145/3544548.3581363</v>
      </c>
      <c r="BG1076" t="s">
        <v>74</v>
      </c>
      <c r="BH1076" t="s">
        <v>74</v>
      </c>
      <c r="BI1076">
        <v>16</v>
      </c>
      <c r="BJ1076" t="s">
        <v>1653</v>
      </c>
      <c r="BK1076" t="s">
        <v>98</v>
      </c>
      <c r="BL1076" t="s">
        <v>1654</v>
      </c>
      <c r="BM1076" t="s">
        <v>1655</v>
      </c>
      <c r="BN1076" t="s">
        <v>74</v>
      </c>
      <c r="BO1076" t="s">
        <v>646</v>
      </c>
      <c r="BP1076" t="s">
        <v>74</v>
      </c>
      <c r="BQ1076" t="s">
        <v>74</v>
      </c>
      <c r="BR1076" t="s">
        <v>101</v>
      </c>
      <c r="BS1076" t="s">
        <v>20067</v>
      </c>
      <c r="BT1076" t="str">
        <f>HYPERLINK("https%3A%2F%2Fwww.webofscience.com%2Fwos%2Fwoscc%2Ffull-record%2FWOS:001048393804011","View Full Record in Web of Science")</f>
        <v>View Full Record in Web of Science</v>
      </c>
    </row>
    <row r="1077" spans="1:72" x14ac:dyDescent="0.2">
      <c r="A1077" t="s">
        <v>103</v>
      </c>
      <c r="B1077" t="s">
        <v>20068</v>
      </c>
      <c r="C1077" t="s">
        <v>74</v>
      </c>
      <c r="D1077" t="s">
        <v>74</v>
      </c>
      <c r="E1077" t="s">
        <v>74</v>
      </c>
      <c r="F1077" t="s">
        <v>20069</v>
      </c>
      <c r="G1077" t="s">
        <v>74</v>
      </c>
      <c r="H1077" t="s">
        <v>74</v>
      </c>
      <c r="I1077" t="s">
        <v>20070</v>
      </c>
      <c r="J1077" t="s">
        <v>20071</v>
      </c>
      <c r="K1077" t="s">
        <v>74</v>
      </c>
      <c r="L1077" t="s">
        <v>74</v>
      </c>
      <c r="M1077" t="s">
        <v>79</v>
      </c>
      <c r="N1077" t="s">
        <v>108</v>
      </c>
      <c r="O1077" t="s">
        <v>74</v>
      </c>
      <c r="P1077" t="s">
        <v>74</v>
      </c>
      <c r="Q1077" t="s">
        <v>74</v>
      </c>
      <c r="R1077" t="s">
        <v>74</v>
      </c>
      <c r="S1077" t="s">
        <v>74</v>
      </c>
      <c r="T1077" t="s">
        <v>20072</v>
      </c>
      <c r="U1077" t="s">
        <v>74</v>
      </c>
      <c r="V1077" t="s">
        <v>20073</v>
      </c>
      <c r="W1077" t="s">
        <v>20074</v>
      </c>
      <c r="X1077" t="s">
        <v>20075</v>
      </c>
      <c r="Y1077" t="s">
        <v>20076</v>
      </c>
      <c r="Z1077" t="s">
        <v>20077</v>
      </c>
      <c r="AA1077" t="s">
        <v>74</v>
      </c>
      <c r="AB1077" t="s">
        <v>20078</v>
      </c>
      <c r="AC1077" t="s">
        <v>20079</v>
      </c>
      <c r="AD1077" t="s">
        <v>20080</v>
      </c>
      <c r="AE1077" t="s">
        <v>20081</v>
      </c>
      <c r="AF1077" t="s">
        <v>74</v>
      </c>
      <c r="AG1077">
        <v>32</v>
      </c>
      <c r="AH1077">
        <v>0</v>
      </c>
      <c r="AI1077">
        <v>0</v>
      </c>
      <c r="AJ1077">
        <v>8</v>
      </c>
      <c r="AK1077">
        <v>8</v>
      </c>
      <c r="AL1077" t="s">
        <v>270</v>
      </c>
      <c r="AM1077" t="s">
        <v>120</v>
      </c>
      <c r="AN1077" t="s">
        <v>271</v>
      </c>
      <c r="AO1077" t="s">
        <v>20082</v>
      </c>
      <c r="AP1077" t="s">
        <v>20083</v>
      </c>
      <c r="AQ1077" t="s">
        <v>74</v>
      </c>
      <c r="AR1077" t="s">
        <v>20084</v>
      </c>
      <c r="AS1077" t="s">
        <v>20085</v>
      </c>
      <c r="AT1077" t="s">
        <v>20086</v>
      </c>
      <c r="AU1077">
        <v>2024</v>
      </c>
      <c r="AV1077">
        <v>353</v>
      </c>
      <c r="AW1077" t="s">
        <v>74</v>
      </c>
      <c r="AX1077" t="s">
        <v>3738</v>
      </c>
      <c r="AY1077" t="s">
        <v>74</v>
      </c>
      <c r="AZ1077" t="s">
        <v>74</v>
      </c>
      <c r="BA1077" t="s">
        <v>74</v>
      </c>
      <c r="BB1077" t="s">
        <v>74</v>
      </c>
      <c r="BC1077" t="s">
        <v>74</v>
      </c>
      <c r="BD1077">
        <v>122124</v>
      </c>
      <c r="BE1077" t="s">
        <v>20087</v>
      </c>
      <c r="BF1077" t="str">
        <f>HYPERLINK("http://dx.doi.org/10.1016/j.apenergy.2023.122124","http://dx.doi.org/10.1016/j.apenergy.2023.122124")</f>
        <v>http://dx.doi.org/10.1016/j.apenergy.2023.122124</v>
      </c>
      <c r="BG1077" t="s">
        <v>74</v>
      </c>
      <c r="BH1077" t="s">
        <v>1886</v>
      </c>
      <c r="BI1077">
        <v>16</v>
      </c>
      <c r="BJ1077" t="s">
        <v>20088</v>
      </c>
      <c r="BK1077" t="s">
        <v>130</v>
      </c>
      <c r="BL1077" t="s">
        <v>20089</v>
      </c>
      <c r="BM1077" t="s">
        <v>20090</v>
      </c>
      <c r="BN1077" t="s">
        <v>74</v>
      </c>
      <c r="BO1077" t="s">
        <v>74</v>
      </c>
      <c r="BP1077" t="s">
        <v>74</v>
      </c>
      <c r="BQ1077" t="s">
        <v>74</v>
      </c>
      <c r="BR1077" t="s">
        <v>101</v>
      </c>
      <c r="BS1077" t="s">
        <v>20091</v>
      </c>
      <c r="BT1077" t="str">
        <f>HYPERLINK("https%3A%2F%2Fwww.webofscience.com%2Fwos%2Fwoscc%2Ffull-record%2FWOS:001092522000001","View Full Record in Web of Science")</f>
        <v>View Full Record in Web of Science</v>
      </c>
    </row>
    <row r="1078" spans="1:72" x14ac:dyDescent="0.2">
      <c r="A1078" t="s">
        <v>103</v>
      </c>
      <c r="B1078" t="s">
        <v>20092</v>
      </c>
      <c r="C1078" t="s">
        <v>74</v>
      </c>
      <c r="D1078" t="s">
        <v>74</v>
      </c>
      <c r="E1078" t="s">
        <v>74</v>
      </c>
      <c r="F1078" t="s">
        <v>20093</v>
      </c>
      <c r="G1078" t="s">
        <v>74</v>
      </c>
      <c r="H1078" t="s">
        <v>74</v>
      </c>
      <c r="I1078" t="s">
        <v>20094</v>
      </c>
      <c r="J1078" t="s">
        <v>12753</v>
      </c>
      <c r="K1078" t="s">
        <v>74</v>
      </c>
      <c r="L1078" t="s">
        <v>74</v>
      </c>
      <c r="M1078" t="s">
        <v>79</v>
      </c>
      <c r="N1078" t="s">
        <v>108</v>
      </c>
      <c r="O1078" t="s">
        <v>74</v>
      </c>
      <c r="P1078" t="s">
        <v>74</v>
      </c>
      <c r="Q1078" t="s">
        <v>74</v>
      </c>
      <c r="R1078" t="s">
        <v>74</v>
      </c>
      <c r="S1078" t="s">
        <v>74</v>
      </c>
      <c r="T1078" t="s">
        <v>20095</v>
      </c>
      <c r="U1078" t="s">
        <v>74</v>
      </c>
      <c r="V1078" t="s">
        <v>20096</v>
      </c>
      <c r="W1078" t="s">
        <v>20097</v>
      </c>
      <c r="X1078" t="s">
        <v>20098</v>
      </c>
      <c r="Y1078" t="s">
        <v>20099</v>
      </c>
      <c r="Z1078" t="s">
        <v>20100</v>
      </c>
      <c r="AA1078" t="s">
        <v>20101</v>
      </c>
      <c r="AB1078" t="s">
        <v>20102</v>
      </c>
      <c r="AC1078" t="s">
        <v>74</v>
      </c>
      <c r="AD1078" t="s">
        <v>74</v>
      </c>
      <c r="AE1078" t="s">
        <v>74</v>
      </c>
      <c r="AF1078" t="s">
        <v>74</v>
      </c>
      <c r="AG1078">
        <v>60</v>
      </c>
      <c r="AH1078">
        <v>2</v>
      </c>
      <c r="AI1078">
        <v>2</v>
      </c>
      <c r="AJ1078">
        <v>5</v>
      </c>
      <c r="AK1078">
        <v>16</v>
      </c>
      <c r="AL1078" t="s">
        <v>270</v>
      </c>
      <c r="AM1078" t="s">
        <v>1424</v>
      </c>
      <c r="AN1078" t="s">
        <v>1425</v>
      </c>
      <c r="AO1078" t="s">
        <v>12766</v>
      </c>
      <c r="AP1078" t="s">
        <v>12767</v>
      </c>
      <c r="AQ1078" t="s">
        <v>74</v>
      </c>
      <c r="AR1078" t="s">
        <v>12768</v>
      </c>
      <c r="AS1078" t="s">
        <v>12769</v>
      </c>
      <c r="AT1078" t="s">
        <v>2582</v>
      </c>
      <c r="AU1078">
        <v>2023</v>
      </c>
      <c r="AV1078">
        <v>138</v>
      </c>
      <c r="AW1078" t="s">
        <v>74</v>
      </c>
      <c r="AX1078" t="s">
        <v>74</v>
      </c>
      <c r="AY1078" t="s">
        <v>74</v>
      </c>
      <c r="AZ1078" t="s">
        <v>74</v>
      </c>
      <c r="BA1078" t="s">
        <v>74</v>
      </c>
      <c r="BB1078" t="s">
        <v>74</v>
      </c>
      <c r="BC1078" t="s">
        <v>74</v>
      </c>
      <c r="BD1078">
        <v>109416</v>
      </c>
      <c r="BE1078" t="s">
        <v>20103</v>
      </c>
      <c r="BF1078" t="str">
        <f>HYPERLINK("http://dx.doi.org/10.1016/j.patcog.2023.109416","http://dx.doi.org/10.1016/j.patcog.2023.109416")</f>
        <v>http://dx.doi.org/10.1016/j.patcog.2023.109416</v>
      </c>
      <c r="BG1078" t="s">
        <v>74</v>
      </c>
      <c r="BH1078" t="s">
        <v>2647</v>
      </c>
      <c r="BI1078">
        <v>13</v>
      </c>
      <c r="BJ1078" t="s">
        <v>6627</v>
      </c>
      <c r="BK1078" t="s">
        <v>130</v>
      </c>
      <c r="BL1078" t="s">
        <v>906</v>
      </c>
      <c r="BM1078" t="s">
        <v>20104</v>
      </c>
      <c r="BN1078" t="s">
        <v>74</v>
      </c>
      <c r="BO1078" t="s">
        <v>74</v>
      </c>
      <c r="BP1078" t="s">
        <v>74</v>
      </c>
      <c r="BQ1078" t="s">
        <v>74</v>
      </c>
      <c r="BR1078" t="s">
        <v>101</v>
      </c>
      <c r="BS1078" t="s">
        <v>20105</v>
      </c>
      <c r="BT1078" t="str">
        <f>HYPERLINK("https%3A%2F%2Fwww.webofscience.com%2Fwos%2Fwoscc%2Ffull-record%2FWOS:000942434700001","View Full Record in Web of Science")</f>
        <v>View Full Record in Web of Science</v>
      </c>
    </row>
    <row r="1079" spans="1:72" x14ac:dyDescent="0.2">
      <c r="A1079" t="s">
        <v>103</v>
      </c>
      <c r="B1079" t="s">
        <v>20106</v>
      </c>
      <c r="C1079" t="s">
        <v>74</v>
      </c>
      <c r="D1079" t="s">
        <v>74</v>
      </c>
      <c r="E1079" t="s">
        <v>74</v>
      </c>
      <c r="F1079" t="s">
        <v>20107</v>
      </c>
      <c r="G1079" t="s">
        <v>74</v>
      </c>
      <c r="H1079" t="s">
        <v>74</v>
      </c>
      <c r="I1079" t="s">
        <v>20108</v>
      </c>
      <c r="J1079" t="s">
        <v>20109</v>
      </c>
      <c r="K1079" t="s">
        <v>74</v>
      </c>
      <c r="L1079" t="s">
        <v>74</v>
      </c>
      <c r="M1079" t="s">
        <v>79</v>
      </c>
      <c r="N1079" t="s">
        <v>108</v>
      </c>
      <c r="O1079" t="s">
        <v>74</v>
      </c>
      <c r="P1079" t="s">
        <v>74</v>
      </c>
      <c r="Q1079" t="s">
        <v>74</v>
      </c>
      <c r="R1079" t="s">
        <v>74</v>
      </c>
      <c r="S1079" t="s">
        <v>74</v>
      </c>
      <c r="T1079" t="s">
        <v>20110</v>
      </c>
      <c r="U1079" t="s">
        <v>74</v>
      </c>
      <c r="V1079" t="s">
        <v>20111</v>
      </c>
      <c r="W1079" t="s">
        <v>20112</v>
      </c>
      <c r="X1079" t="s">
        <v>20113</v>
      </c>
      <c r="Y1079" t="s">
        <v>20114</v>
      </c>
      <c r="Z1079" t="s">
        <v>20115</v>
      </c>
      <c r="AA1079" t="s">
        <v>74</v>
      </c>
      <c r="AB1079" t="s">
        <v>74</v>
      </c>
      <c r="AC1079" t="s">
        <v>74</v>
      </c>
      <c r="AD1079" t="s">
        <v>74</v>
      </c>
      <c r="AE1079" t="s">
        <v>74</v>
      </c>
      <c r="AF1079" t="s">
        <v>74</v>
      </c>
      <c r="AG1079">
        <v>9</v>
      </c>
      <c r="AH1079">
        <v>1</v>
      </c>
      <c r="AI1079">
        <v>1</v>
      </c>
      <c r="AJ1079">
        <v>9</v>
      </c>
      <c r="AK1079">
        <v>9</v>
      </c>
      <c r="AL1079" t="s">
        <v>18341</v>
      </c>
      <c r="AM1079" t="s">
        <v>221</v>
      </c>
      <c r="AN1079" t="s">
        <v>18342</v>
      </c>
      <c r="AO1079" t="s">
        <v>20116</v>
      </c>
      <c r="AP1079" t="s">
        <v>20117</v>
      </c>
      <c r="AQ1079" t="s">
        <v>74</v>
      </c>
      <c r="AR1079" t="s">
        <v>20118</v>
      </c>
      <c r="AS1079" t="s">
        <v>20119</v>
      </c>
      <c r="AT1079" t="s">
        <v>20120</v>
      </c>
      <c r="AU1079">
        <v>2024</v>
      </c>
      <c r="AV1079">
        <v>45</v>
      </c>
      <c r="AW1079">
        <v>2</v>
      </c>
      <c r="AX1079" t="s">
        <v>74</v>
      </c>
      <c r="AY1079" t="s">
        <v>74</v>
      </c>
      <c r="AZ1079" t="s">
        <v>74</v>
      </c>
      <c r="BA1079" t="s">
        <v>74</v>
      </c>
      <c r="BB1079" t="s">
        <v>74</v>
      </c>
      <c r="BC1079" t="s">
        <v>74</v>
      </c>
      <c r="BD1079">
        <v>104144</v>
      </c>
      <c r="BE1079" t="s">
        <v>20121</v>
      </c>
      <c r="BF1079" t="str">
        <f>HYPERLINK("http://dx.doi.org/10.1016/j.amjoto.2023.104144","http://dx.doi.org/10.1016/j.amjoto.2023.104144")</f>
        <v>http://dx.doi.org/10.1016/j.amjoto.2023.104144</v>
      </c>
      <c r="BG1079" t="s">
        <v>74</v>
      </c>
      <c r="BH1079" t="s">
        <v>128</v>
      </c>
      <c r="BI1079">
        <v>6</v>
      </c>
      <c r="BJ1079" t="s">
        <v>20122</v>
      </c>
      <c r="BK1079" t="s">
        <v>130</v>
      </c>
      <c r="BL1079" t="s">
        <v>20122</v>
      </c>
      <c r="BM1079" t="s">
        <v>20123</v>
      </c>
      <c r="BN1079">
        <v>38113774</v>
      </c>
      <c r="BO1079" t="s">
        <v>74</v>
      </c>
      <c r="BP1079" t="s">
        <v>74</v>
      </c>
      <c r="BQ1079" t="s">
        <v>74</v>
      </c>
      <c r="BR1079" t="s">
        <v>101</v>
      </c>
      <c r="BS1079" t="s">
        <v>20124</v>
      </c>
      <c r="BT1079" t="str">
        <f>HYPERLINK("https%3A%2F%2Fwww.webofscience.com%2Fwos%2Fwoscc%2Ffull-record%2FWOS:001140138800001","View Full Record in Web of Science")</f>
        <v>View Full Record in Web of Science</v>
      </c>
    </row>
    <row r="1080" spans="1:72" x14ac:dyDescent="0.2">
      <c r="A1080" t="s">
        <v>72</v>
      </c>
      <c r="B1080" t="s">
        <v>20125</v>
      </c>
      <c r="C1080" t="s">
        <v>74</v>
      </c>
      <c r="D1080" t="s">
        <v>7685</v>
      </c>
      <c r="E1080" t="s">
        <v>74</v>
      </c>
      <c r="F1080" t="s">
        <v>20126</v>
      </c>
      <c r="G1080" t="s">
        <v>74</v>
      </c>
      <c r="H1080" t="s">
        <v>74</v>
      </c>
      <c r="I1080" t="s">
        <v>20127</v>
      </c>
      <c r="J1080" t="s">
        <v>7688</v>
      </c>
      <c r="K1080" t="s">
        <v>74</v>
      </c>
      <c r="L1080" t="s">
        <v>74</v>
      </c>
      <c r="M1080" t="s">
        <v>79</v>
      </c>
      <c r="N1080" t="s">
        <v>80</v>
      </c>
      <c r="O1080" t="s">
        <v>7689</v>
      </c>
      <c r="P1080" t="s">
        <v>7690</v>
      </c>
      <c r="Q1080" t="s">
        <v>7691</v>
      </c>
      <c r="R1080" t="s">
        <v>74</v>
      </c>
      <c r="S1080" t="s">
        <v>7692</v>
      </c>
      <c r="T1080" t="s">
        <v>74</v>
      </c>
      <c r="U1080" t="s">
        <v>74</v>
      </c>
      <c r="V1080" t="s">
        <v>20128</v>
      </c>
      <c r="W1080" t="s">
        <v>20129</v>
      </c>
      <c r="X1080" t="s">
        <v>4063</v>
      </c>
      <c r="Y1080" t="s">
        <v>20130</v>
      </c>
      <c r="Z1080" t="s">
        <v>4065</v>
      </c>
      <c r="AA1080" t="s">
        <v>74</v>
      </c>
      <c r="AB1080" t="s">
        <v>74</v>
      </c>
      <c r="AC1080" t="s">
        <v>74</v>
      </c>
      <c r="AD1080" t="s">
        <v>74</v>
      </c>
      <c r="AE1080" t="s">
        <v>74</v>
      </c>
      <c r="AF1080" t="s">
        <v>74</v>
      </c>
      <c r="AG1080">
        <v>18</v>
      </c>
      <c r="AH1080">
        <v>0</v>
      </c>
      <c r="AI1080">
        <v>0</v>
      </c>
      <c r="AJ1080">
        <v>1</v>
      </c>
      <c r="AK1080">
        <v>4</v>
      </c>
      <c r="AL1080" t="s">
        <v>325</v>
      </c>
      <c r="AM1080" t="s">
        <v>245</v>
      </c>
      <c r="AN1080" t="s">
        <v>246</v>
      </c>
      <c r="AO1080" t="s">
        <v>74</v>
      </c>
      <c r="AP1080" t="s">
        <v>74</v>
      </c>
      <c r="AQ1080" t="s">
        <v>7699</v>
      </c>
      <c r="AR1080" t="s">
        <v>74</v>
      </c>
      <c r="AS1080" t="s">
        <v>74</v>
      </c>
      <c r="AT1080" t="s">
        <v>74</v>
      </c>
      <c r="AU1080">
        <v>2023</v>
      </c>
      <c r="AV1080" t="s">
        <v>74</v>
      </c>
      <c r="AW1080" t="s">
        <v>74</v>
      </c>
      <c r="AX1080" t="s">
        <v>74</v>
      </c>
      <c r="AY1080" t="s">
        <v>74</v>
      </c>
      <c r="AZ1080" t="s">
        <v>74</v>
      </c>
      <c r="BA1080" t="s">
        <v>74</v>
      </c>
      <c r="BB1080">
        <v>133</v>
      </c>
      <c r="BC1080">
        <v>148</v>
      </c>
      <c r="BD1080" t="s">
        <v>74</v>
      </c>
      <c r="BE1080" t="s">
        <v>20131</v>
      </c>
      <c r="BF1080" t="str">
        <f>HYPERLINK("http://dx.doi.org/10.1007/978-3-031-13249-0_12","http://dx.doi.org/10.1007/978-3-031-13249-0_12")</f>
        <v>http://dx.doi.org/10.1007/978-3-031-13249-0_12</v>
      </c>
      <c r="BG1080" t="s">
        <v>74</v>
      </c>
      <c r="BH1080" t="s">
        <v>74</v>
      </c>
      <c r="BI1080">
        <v>16</v>
      </c>
      <c r="BJ1080" t="s">
        <v>7701</v>
      </c>
      <c r="BK1080" t="s">
        <v>180</v>
      </c>
      <c r="BL1080" t="s">
        <v>7702</v>
      </c>
      <c r="BM1080" t="s">
        <v>7703</v>
      </c>
      <c r="BN1080" t="s">
        <v>74</v>
      </c>
      <c r="BO1080" t="s">
        <v>74</v>
      </c>
      <c r="BP1080" t="s">
        <v>74</v>
      </c>
      <c r="BQ1080" t="s">
        <v>74</v>
      </c>
      <c r="BR1080" t="s">
        <v>101</v>
      </c>
      <c r="BS1080" t="s">
        <v>20132</v>
      </c>
      <c r="BT1080" t="str">
        <f>HYPERLINK("https%3A%2F%2Fwww.webofscience.com%2Fwos%2Fwoscc%2Ffull-record%2FWOS:000870223800012","View Full Record in Web of Science")</f>
        <v>View Full Record in Web of Science</v>
      </c>
    </row>
    <row r="1081" spans="1:72" x14ac:dyDescent="0.2">
      <c r="A1081" t="s">
        <v>103</v>
      </c>
      <c r="B1081" t="s">
        <v>20133</v>
      </c>
      <c r="C1081" t="s">
        <v>74</v>
      </c>
      <c r="D1081" t="s">
        <v>74</v>
      </c>
      <c r="E1081" t="s">
        <v>74</v>
      </c>
      <c r="F1081" t="s">
        <v>20134</v>
      </c>
      <c r="G1081" t="s">
        <v>74</v>
      </c>
      <c r="H1081" t="s">
        <v>74</v>
      </c>
      <c r="I1081" t="s">
        <v>20135</v>
      </c>
      <c r="J1081" t="s">
        <v>7805</v>
      </c>
      <c r="K1081" t="s">
        <v>74</v>
      </c>
      <c r="L1081" t="s">
        <v>74</v>
      </c>
      <c r="M1081" t="s">
        <v>79</v>
      </c>
      <c r="N1081" t="s">
        <v>108</v>
      </c>
      <c r="O1081" t="s">
        <v>74</v>
      </c>
      <c r="P1081" t="s">
        <v>74</v>
      </c>
      <c r="Q1081" t="s">
        <v>74</v>
      </c>
      <c r="R1081" t="s">
        <v>74</v>
      </c>
      <c r="S1081" t="s">
        <v>74</v>
      </c>
      <c r="T1081" t="s">
        <v>20136</v>
      </c>
      <c r="U1081" t="s">
        <v>20137</v>
      </c>
      <c r="V1081" t="s">
        <v>20138</v>
      </c>
      <c r="W1081" t="s">
        <v>20139</v>
      </c>
      <c r="X1081" t="s">
        <v>20140</v>
      </c>
      <c r="Y1081" t="s">
        <v>20141</v>
      </c>
      <c r="Z1081" t="s">
        <v>20142</v>
      </c>
      <c r="AA1081" t="s">
        <v>20143</v>
      </c>
      <c r="AB1081" t="s">
        <v>20144</v>
      </c>
      <c r="AC1081" t="s">
        <v>20145</v>
      </c>
      <c r="AD1081" t="s">
        <v>20145</v>
      </c>
      <c r="AE1081" t="s">
        <v>20146</v>
      </c>
      <c r="AF1081" t="s">
        <v>74</v>
      </c>
      <c r="AG1081">
        <v>52</v>
      </c>
      <c r="AH1081">
        <v>2</v>
      </c>
      <c r="AI1081">
        <v>2</v>
      </c>
      <c r="AJ1081">
        <v>2</v>
      </c>
      <c r="AK1081">
        <v>2</v>
      </c>
      <c r="AL1081" t="s">
        <v>1379</v>
      </c>
      <c r="AM1081" t="s">
        <v>1380</v>
      </c>
      <c r="AN1081" t="s">
        <v>1381</v>
      </c>
      <c r="AO1081" t="s">
        <v>7816</v>
      </c>
      <c r="AP1081" t="s">
        <v>7817</v>
      </c>
      <c r="AQ1081" t="s">
        <v>74</v>
      </c>
      <c r="AR1081" t="s">
        <v>7818</v>
      </c>
      <c r="AS1081" t="s">
        <v>7819</v>
      </c>
      <c r="AT1081" t="s">
        <v>276</v>
      </c>
      <c r="AU1081">
        <v>2023</v>
      </c>
      <c r="AV1081">
        <v>27</v>
      </c>
      <c r="AW1081">
        <v>11</v>
      </c>
      <c r="AX1081" t="s">
        <v>74</v>
      </c>
      <c r="AY1081" t="s">
        <v>74</v>
      </c>
      <c r="AZ1081" t="s">
        <v>74</v>
      </c>
      <c r="BA1081" t="s">
        <v>74</v>
      </c>
      <c r="BB1081">
        <v>5634</v>
      </c>
      <c r="BC1081">
        <v>5643</v>
      </c>
      <c r="BD1081" t="s">
        <v>74</v>
      </c>
      <c r="BE1081" t="s">
        <v>20147</v>
      </c>
      <c r="BF1081" t="str">
        <f>HYPERLINK("http://dx.doi.org/10.1109/JBHI.2023.3299028","http://dx.doi.org/10.1109/JBHI.2023.3299028")</f>
        <v>http://dx.doi.org/10.1109/JBHI.2023.3299028</v>
      </c>
      <c r="BG1081" t="s">
        <v>74</v>
      </c>
      <c r="BH1081" t="s">
        <v>74</v>
      </c>
      <c r="BI1081">
        <v>10</v>
      </c>
      <c r="BJ1081" t="s">
        <v>7821</v>
      </c>
      <c r="BK1081" t="s">
        <v>130</v>
      </c>
      <c r="BL1081" t="s">
        <v>7822</v>
      </c>
      <c r="BM1081" t="s">
        <v>7840</v>
      </c>
      <c r="BN1081">
        <v>37549083</v>
      </c>
      <c r="BO1081" t="s">
        <v>74</v>
      </c>
      <c r="BP1081" t="s">
        <v>74</v>
      </c>
      <c r="BQ1081" t="s">
        <v>74</v>
      </c>
      <c r="BR1081" t="s">
        <v>101</v>
      </c>
      <c r="BS1081" t="s">
        <v>20148</v>
      </c>
      <c r="BT1081" t="str">
        <f>HYPERLINK("https%3A%2F%2Fwww.webofscience.com%2Fwos%2Fwoscc%2Ffull-record%2FWOS:001129955100039","View Full Record in Web of Science")</f>
        <v>View Full Record in Web of Science</v>
      </c>
    </row>
    <row r="1082" spans="1:72" x14ac:dyDescent="0.2">
      <c r="A1082" t="s">
        <v>72</v>
      </c>
      <c r="B1082" t="s">
        <v>20149</v>
      </c>
      <c r="C1082" t="s">
        <v>74</v>
      </c>
      <c r="D1082" t="s">
        <v>4124</v>
      </c>
      <c r="E1082" t="s">
        <v>74</v>
      </c>
      <c r="F1082" t="s">
        <v>20150</v>
      </c>
      <c r="G1082" t="s">
        <v>74</v>
      </c>
      <c r="H1082" t="s">
        <v>74</v>
      </c>
      <c r="I1082" t="s">
        <v>20151</v>
      </c>
      <c r="J1082" t="s">
        <v>4127</v>
      </c>
      <c r="K1082" t="s">
        <v>4128</v>
      </c>
      <c r="L1082" t="s">
        <v>74</v>
      </c>
      <c r="M1082" t="s">
        <v>79</v>
      </c>
      <c r="N1082" t="s">
        <v>80</v>
      </c>
      <c r="O1082" t="s">
        <v>4129</v>
      </c>
      <c r="P1082" t="s">
        <v>4130</v>
      </c>
      <c r="Q1082" t="s">
        <v>4131</v>
      </c>
      <c r="R1082" t="s">
        <v>4132</v>
      </c>
      <c r="S1082" t="s">
        <v>74</v>
      </c>
      <c r="T1082" t="s">
        <v>74</v>
      </c>
      <c r="U1082" t="s">
        <v>74</v>
      </c>
      <c r="V1082" t="s">
        <v>20152</v>
      </c>
      <c r="W1082" t="s">
        <v>20153</v>
      </c>
      <c r="X1082" t="s">
        <v>4137</v>
      </c>
      <c r="Y1082" t="s">
        <v>20154</v>
      </c>
      <c r="Z1082" t="s">
        <v>20155</v>
      </c>
      <c r="AA1082" t="s">
        <v>4140</v>
      </c>
      <c r="AB1082" t="s">
        <v>74</v>
      </c>
      <c r="AC1082" t="s">
        <v>20156</v>
      </c>
      <c r="AD1082" t="s">
        <v>20157</v>
      </c>
      <c r="AE1082" t="s">
        <v>4143</v>
      </c>
      <c r="AF1082" t="s">
        <v>74</v>
      </c>
      <c r="AG1082">
        <v>28</v>
      </c>
      <c r="AH1082">
        <v>0</v>
      </c>
      <c r="AI1082">
        <v>0</v>
      </c>
      <c r="AJ1082">
        <v>0</v>
      </c>
      <c r="AK1082">
        <v>0</v>
      </c>
      <c r="AL1082" t="s">
        <v>284</v>
      </c>
      <c r="AM1082" t="s">
        <v>93</v>
      </c>
      <c r="AN1082" t="s">
        <v>299</v>
      </c>
      <c r="AO1082" t="s">
        <v>4144</v>
      </c>
      <c r="AP1082" t="s">
        <v>74</v>
      </c>
      <c r="AQ1082" t="s">
        <v>4145</v>
      </c>
      <c r="AR1082" t="s">
        <v>4146</v>
      </c>
      <c r="AS1082" t="s">
        <v>74</v>
      </c>
      <c r="AT1082" t="s">
        <v>74</v>
      </c>
      <c r="AU1082">
        <v>2023</v>
      </c>
      <c r="AV1082" t="s">
        <v>74</v>
      </c>
      <c r="AW1082" t="s">
        <v>74</v>
      </c>
      <c r="AX1082" t="s">
        <v>74</v>
      </c>
      <c r="AY1082" t="s">
        <v>74</v>
      </c>
      <c r="AZ1082" t="s">
        <v>74</v>
      </c>
      <c r="BA1082" t="s">
        <v>74</v>
      </c>
      <c r="BB1082" t="s">
        <v>74</v>
      </c>
      <c r="BC1082" t="s">
        <v>74</v>
      </c>
      <c r="BD1082" t="s">
        <v>74</v>
      </c>
      <c r="BE1082" t="s">
        <v>74</v>
      </c>
      <c r="BF1082" t="s">
        <v>74</v>
      </c>
      <c r="BG1082" t="s">
        <v>74</v>
      </c>
      <c r="BH1082" t="s">
        <v>74</v>
      </c>
      <c r="BI1082">
        <v>7</v>
      </c>
      <c r="BJ1082" t="s">
        <v>1385</v>
      </c>
      <c r="BK1082" t="s">
        <v>98</v>
      </c>
      <c r="BL1082" t="s">
        <v>1386</v>
      </c>
      <c r="BM1082" t="s">
        <v>4147</v>
      </c>
      <c r="BN1082" t="s">
        <v>74</v>
      </c>
      <c r="BO1082" t="s">
        <v>74</v>
      </c>
      <c r="BP1082" t="s">
        <v>74</v>
      </c>
      <c r="BQ1082" t="s">
        <v>74</v>
      </c>
      <c r="BR1082" t="s">
        <v>101</v>
      </c>
      <c r="BS1082" t="s">
        <v>20158</v>
      </c>
      <c r="BT1082" t="str">
        <f>HYPERLINK("https%3A%2F%2Fwww.webofscience.com%2Fwos%2Fwoscc%2Ffull-record%2FWOS:001117985100015","View Full Record in Web of Science")</f>
        <v>View Full Record in Web of Science</v>
      </c>
    </row>
    <row r="1083" spans="1:72" x14ac:dyDescent="0.2">
      <c r="A1083" t="s">
        <v>103</v>
      </c>
      <c r="B1083" t="s">
        <v>20159</v>
      </c>
      <c r="C1083" t="s">
        <v>74</v>
      </c>
      <c r="D1083" t="s">
        <v>74</v>
      </c>
      <c r="E1083" t="s">
        <v>74</v>
      </c>
      <c r="F1083" t="s">
        <v>20160</v>
      </c>
      <c r="G1083" t="s">
        <v>74</v>
      </c>
      <c r="H1083" t="s">
        <v>74</v>
      </c>
      <c r="I1083" t="s">
        <v>20161</v>
      </c>
      <c r="J1083" t="s">
        <v>705</v>
      </c>
      <c r="K1083" t="s">
        <v>74</v>
      </c>
      <c r="L1083" t="s">
        <v>74</v>
      </c>
      <c r="M1083" t="s">
        <v>79</v>
      </c>
      <c r="N1083" t="s">
        <v>138</v>
      </c>
      <c r="O1083" t="s">
        <v>74</v>
      </c>
      <c r="P1083" t="s">
        <v>74</v>
      </c>
      <c r="Q1083" t="s">
        <v>74</v>
      </c>
      <c r="R1083" t="s">
        <v>74</v>
      </c>
      <c r="S1083" t="s">
        <v>74</v>
      </c>
      <c r="T1083" t="s">
        <v>20162</v>
      </c>
      <c r="U1083" t="s">
        <v>74</v>
      </c>
      <c r="V1083" t="s">
        <v>20163</v>
      </c>
      <c r="W1083" t="s">
        <v>20164</v>
      </c>
      <c r="X1083" t="s">
        <v>20165</v>
      </c>
      <c r="Y1083" t="s">
        <v>20166</v>
      </c>
      <c r="Z1083" t="s">
        <v>20167</v>
      </c>
      <c r="AA1083" t="s">
        <v>20168</v>
      </c>
      <c r="AB1083" t="s">
        <v>20169</v>
      </c>
      <c r="AC1083" t="s">
        <v>20170</v>
      </c>
      <c r="AD1083" t="s">
        <v>20170</v>
      </c>
      <c r="AE1083" t="s">
        <v>3401</v>
      </c>
      <c r="AF1083" t="s">
        <v>74</v>
      </c>
      <c r="AG1083">
        <v>29</v>
      </c>
      <c r="AH1083">
        <v>0</v>
      </c>
      <c r="AI1083">
        <v>0</v>
      </c>
      <c r="AJ1083">
        <v>80</v>
      </c>
      <c r="AK1083">
        <v>80</v>
      </c>
      <c r="AL1083" t="s">
        <v>343</v>
      </c>
      <c r="AM1083" t="s">
        <v>93</v>
      </c>
      <c r="AN1083" t="s">
        <v>344</v>
      </c>
      <c r="AO1083" t="s">
        <v>714</v>
      </c>
      <c r="AP1083" t="s">
        <v>715</v>
      </c>
      <c r="AQ1083" t="s">
        <v>74</v>
      </c>
      <c r="AR1083" t="s">
        <v>716</v>
      </c>
      <c r="AS1083" t="s">
        <v>717</v>
      </c>
      <c r="AT1083" t="s">
        <v>4303</v>
      </c>
      <c r="AU1083">
        <v>2023</v>
      </c>
      <c r="AV1083" t="s">
        <v>74</v>
      </c>
      <c r="AW1083" t="s">
        <v>74</v>
      </c>
      <c r="AX1083" t="s">
        <v>74</v>
      </c>
      <c r="AY1083" t="s">
        <v>74</v>
      </c>
      <c r="AZ1083" t="s">
        <v>74</v>
      </c>
      <c r="BA1083" t="s">
        <v>74</v>
      </c>
      <c r="BB1083" t="s">
        <v>74</v>
      </c>
      <c r="BC1083" t="s">
        <v>74</v>
      </c>
      <c r="BD1083" t="s">
        <v>74</v>
      </c>
      <c r="BE1083" t="s">
        <v>20171</v>
      </c>
      <c r="BF1083" t="str">
        <f>HYPERLINK("http://dx.doi.org/10.1007/s10639-023-12397-x","http://dx.doi.org/10.1007/s10639-023-12397-x")</f>
        <v>http://dx.doi.org/10.1007/s10639-023-12397-x</v>
      </c>
      <c r="BG1083" t="s">
        <v>74</v>
      </c>
      <c r="BH1083" t="s">
        <v>128</v>
      </c>
      <c r="BI1083">
        <v>19</v>
      </c>
      <c r="BJ1083" t="s">
        <v>423</v>
      </c>
      <c r="BK1083" t="s">
        <v>159</v>
      </c>
      <c r="BL1083" t="s">
        <v>423</v>
      </c>
      <c r="BM1083" t="s">
        <v>20172</v>
      </c>
      <c r="BN1083" t="s">
        <v>74</v>
      </c>
      <c r="BO1083" t="s">
        <v>74</v>
      </c>
      <c r="BP1083" t="s">
        <v>74</v>
      </c>
      <c r="BQ1083" t="s">
        <v>74</v>
      </c>
      <c r="BR1083" t="s">
        <v>101</v>
      </c>
      <c r="BS1083" t="s">
        <v>20173</v>
      </c>
      <c r="BT1083" t="str">
        <f>HYPERLINK("https%3A%2F%2Fwww.webofscience.com%2Fwos%2Fwoscc%2Ffull-record%2FWOS:001121784800002","View Full Record in Web of Science")</f>
        <v>View Full Record in Web of Science</v>
      </c>
    </row>
    <row r="1084" spans="1:72" x14ac:dyDescent="0.2">
      <c r="A1084" t="s">
        <v>103</v>
      </c>
      <c r="B1084" t="s">
        <v>20174</v>
      </c>
      <c r="C1084" t="s">
        <v>74</v>
      </c>
      <c r="D1084" t="s">
        <v>74</v>
      </c>
      <c r="E1084" t="s">
        <v>74</v>
      </c>
      <c r="F1084" t="s">
        <v>20175</v>
      </c>
      <c r="G1084" t="s">
        <v>74</v>
      </c>
      <c r="H1084" t="s">
        <v>74</v>
      </c>
      <c r="I1084" t="s">
        <v>20176</v>
      </c>
      <c r="J1084" t="s">
        <v>13753</v>
      </c>
      <c r="K1084" t="s">
        <v>74</v>
      </c>
      <c r="L1084" t="s">
        <v>74</v>
      </c>
      <c r="M1084" t="s">
        <v>79</v>
      </c>
      <c r="N1084" t="s">
        <v>108</v>
      </c>
      <c r="O1084" t="s">
        <v>74</v>
      </c>
      <c r="P1084" t="s">
        <v>74</v>
      </c>
      <c r="Q1084" t="s">
        <v>74</v>
      </c>
      <c r="R1084" t="s">
        <v>74</v>
      </c>
      <c r="S1084" t="s">
        <v>74</v>
      </c>
      <c r="T1084" t="s">
        <v>20177</v>
      </c>
      <c r="U1084" t="s">
        <v>20178</v>
      </c>
      <c r="V1084" t="s">
        <v>20179</v>
      </c>
      <c r="W1084" t="s">
        <v>20180</v>
      </c>
      <c r="X1084" t="s">
        <v>20181</v>
      </c>
      <c r="Y1084" t="s">
        <v>20182</v>
      </c>
      <c r="Z1084" t="s">
        <v>20183</v>
      </c>
      <c r="AA1084" t="s">
        <v>20184</v>
      </c>
      <c r="AB1084" t="s">
        <v>74</v>
      </c>
      <c r="AC1084" t="s">
        <v>20185</v>
      </c>
      <c r="AD1084" t="s">
        <v>20186</v>
      </c>
      <c r="AE1084" t="s">
        <v>20187</v>
      </c>
      <c r="AF1084" t="s">
        <v>74</v>
      </c>
      <c r="AG1084">
        <v>67</v>
      </c>
      <c r="AH1084">
        <v>5</v>
      </c>
      <c r="AI1084">
        <v>5</v>
      </c>
      <c r="AJ1084">
        <v>39</v>
      </c>
      <c r="AK1084">
        <v>47</v>
      </c>
      <c r="AL1084" t="s">
        <v>764</v>
      </c>
      <c r="AM1084" t="s">
        <v>765</v>
      </c>
      <c r="AN1084" t="s">
        <v>766</v>
      </c>
      <c r="AO1084" t="s">
        <v>13762</v>
      </c>
      <c r="AP1084" t="s">
        <v>13763</v>
      </c>
      <c r="AQ1084" t="s">
        <v>74</v>
      </c>
      <c r="AR1084" t="s">
        <v>13764</v>
      </c>
      <c r="AS1084" t="s">
        <v>13765</v>
      </c>
      <c r="AT1084" t="s">
        <v>467</v>
      </c>
      <c r="AU1084">
        <v>2023</v>
      </c>
      <c r="AV1084">
        <v>154</v>
      </c>
      <c r="AW1084" t="s">
        <v>74</v>
      </c>
      <c r="AX1084" t="s">
        <v>74</v>
      </c>
      <c r="AY1084" t="s">
        <v>74</v>
      </c>
      <c r="AZ1084" t="s">
        <v>74</v>
      </c>
      <c r="BA1084" t="s">
        <v>74</v>
      </c>
      <c r="BB1084" t="s">
        <v>74</v>
      </c>
      <c r="BC1084" t="s">
        <v>74</v>
      </c>
      <c r="BD1084">
        <v>105036</v>
      </c>
      <c r="BE1084" t="s">
        <v>20188</v>
      </c>
      <c r="BF1084" t="str">
        <f>HYPERLINK("http://dx.doi.org/10.1016/j.autcon.2023.105036","http://dx.doi.org/10.1016/j.autcon.2023.105036")</f>
        <v>http://dx.doi.org/10.1016/j.autcon.2023.105036</v>
      </c>
      <c r="BG1084" t="s">
        <v>74</v>
      </c>
      <c r="BH1084" t="s">
        <v>229</v>
      </c>
      <c r="BI1084">
        <v>21</v>
      </c>
      <c r="BJ1084" t="s">
        <v>13051</v>
      </c>
      <c r="BK1084" t="s">
        <v>130</v>
      </c>
      <c r="BL1084" t="s">
        <v>13052</v>
      </c>
      <c r="BM1084" t="s">
        <v>20189</v>
      </c>
      <c r="BN1084" t="s">
        <v>74</v>
      </c>
      <c r="BO1084" t="s">
        <v>74</v>
      </c>
      <c r="BP1084" t="s">
        <v>74</v>
      </c>
      <c r="BQ1084" t="s">
        <v>74</v>
      </c>
      <c r="BR1084" t="s">
        <v>101</v>
      </c>
      <c r="BS1084" t="s">
        <v>20190</v>
      </c>
      <c r="BT1084" t="str">
        <f>HYPERLINK("https%3A%2F%2Fwww.webofscience.com%2Fwos%2Fwoscc%2Ffull-record%2FWOS:001050724900001","View Full Record in Web of Science")</f>
        <v>View Full Record in Web of Science</v>
      </c>
    </row>
    <row r="1085" spans="1:72" x14ac:dyDescent="0.2">
      <c r="A1085" t="s">
        <v>103</v>
      </c>
      <c r="B1085" t="s">
        <v>20191</v>
      </c>
      <c r="C1085" t="s">
        <v>74</v>
      </c>
      <c r="D1085" t="s">
        <v>74</v>
      </c>
      <c r="E1085" t="s">
        <v>74</v>
      </c>
      <c r="F1085" t="s">
        <v>20192</v>
      </c>
      <c r="G1085" t="s">
        <v>74</v>
      </c>
      <c r="H1085" t="s">
        <v>74</v>
      </c>
      <c r="I1085" t="s">
        <v>20193</v>
      </c>
      <c r="J1085" t="s">
        <v>15092</v>
      </c>
      <c r="K1085" t="s">
        <v>74</v>
      </c>
      <c r="L1085" t="s">
        <v>74</v>
      </c>
      <c r="M1085" t="s">
        <v>79</v>
      </c>
      <c r="N1085" t="s">
        <v>108</v>
      </c>
      <c r="O1085" t="s">
        <v>74</v>
      </c>
      <c r="P1085" t="s">
        <v>74</v>
      </c>
      <c r="Q1085" t="s">
        <v>74</v>
      </c>
      <c r="R1085" t="s">
        <v>74</v>
      </c>
      <c r="S1085" t="s">
        <v>74</v>
      </c>
      <c r="T1085" t="s">
        <v>20194</v>
      </c>
      <c r="U1085" t="s">
        <v>74</v>
      </c>
      <c r="V1085" t="s">
        <v>20195</v>
      </c>
      <c r="W1085" t="s">
        <v>20196</v>
      </c>
      <c r="X1085" t="s">
        <v>20197</v>
      </c>
      <c r="Y1085" t="s">
        <v>20198</v>
      </c>
      <c r="Z1085" t="s">
        <v>20199</v>
      </c>
      <c r="AA1085" t="s">
        <v>74</v>
      </c>
      <c r="AB1085" t="s">
        <v>74</v>
      </c>
      <c r="AC1085" t="s">
        <v>74</v>
      </c>
      <c r="AD1085" t="s">
        <v>74</v>
      </c>
      <c r="AE1085" t="s">
        <v>74</v>
      </c>
      <c r="AF1085" t="s">
        <v>74</v>
      </c>
      <c r="AG1085">
        <v>21</v>
      </c>
      <c r="AH1085">
        <v>1</v>
      </c>
      <c r="AI1085">
        <v>1</v>
      </c>
      <c r="AJ1085">
        <v>17</v>
      </c>
      <c r="AK1085">
        <v>23</v>
      </c>
      <c r="AL1085" t="s">
        <v>270</v>
      </c>
      <c r="AM1085" t="s">
        <v>120</v>
      </c>
      <c r="AN1085" t="s">
        <v>271</v>
      </c>
      <c r="AO1085" t="s">
        <v>15103</v>
      </c>
      <c r="AP1085" t="s">
        <v>15104</v>
      </c>
      <c r="AQ1085" t="s">
        <v>74</v>
      </c>
      <c r="AR1085" t="s">
        <v>15105</v>
      </c>
      <c r="AS1085" t="s">
        <v>15106</v>
      </c>
      <c r="AT1085" t="s">
        <v>771</v>
      </c>
      <c r="AU1085">
        <v>2023</v>
      </c>
      <c r="AV1085">
        <v>86</v>
      </c>
      <c r="AW1085" t="s">
        <v>74</v>
      </c>
      <c r="AX1085" t="s">
        <v>72</v>
      </c>
      <c r="AY1085" t="s">
        <v>74</v>
      </c>
      <c r="AZ1085" t="s">
        <v>74</v>
      </c>
      <c r="BA1085" t="s">
        <v>74</v>
      </c>
      <c r="BB1085" t="s">
        <v>74</v>
      </c>
      <c r="BC1085" t="s">
        <v>74</v>
      </c>
      <c r="BD1085">
        <v>105292</v>
      </c>
      <c r="BE1085" t="s">
        <v>20200</v>
      </c>
      <c r="BF1085" t="str">
        <f>HYPERLINK("http://dx.doi.org/10.1016/j.bspc.2023.105292","http://dx.doi.org/10.1016/j.bspc.2023.105292")</f>
        <v>http://dx.doi.org/10.1016/j.bspc.2023.105292</v>
      </c>
      <c r="BG1085" t="s">
        <v>74</v>
      </c>
      <c r="BH1085" t="s">
        <v>229</v>
      </c>
      <c r="BI1085">
        <v>4</v>
      </c>
      <c r="BJ1085" t="s">
        <v>4718</v>
      </c>
      <c r="BK1085" t="s">
        <v>130</v>
      </c>
      <c r="BL1085" t="s">
        <v>2823</v>
      </c>
      <c r="BM1085" t="s">
        <v>20201</v>
      </c>
      <c r="BN1085" t="s">
        <v>74</v>
      </c>
      <c r="BO1085" t="s">
        <v>74</v>
      </c>
      <c r="BP1085" t="s">
        <v>74</v>
      </c>
      <c r="BQ1085" t="s">
        <v>74</v>
      </c>
      <c r="BR1085" t="s">
        <v>101</v>
      </c>
      <c r="BS1085" t="s">
        <v>20202</v>
      </c>
      <c r="BT1085" t="str">
        <f>HYPERLINK("https%3A%2F%2Fwww.webofscience.com%2Fwos%2Fwoscc%2Ffull-record%2FWOS:001051813500001","View Full Record in Web of Science")</f>
        <v>View Full Record in Web of Science</v>
      </c>
    </row>
    <row r="1086" spans="1:72" x14ac:dyDescent="0.2">
      <c r="A1086" t="s">
        <v>103</v>
      </c>
      <c r="B1086" t="s">
        <v>20203</v>
      </c>
      <c r="C1086" t="s">
        <v>74</v>
      </c>
      <c r="D1086" t="s">
        <v>74</v>
      </c>
      <c r="E1086" t="s">
        <v>74</v>
      </c>
      <c r="F1086" t="s">
        <v>20204</v>
      </c>
      <c r="G1086" t="s">
        <v>74</v>
      </c>
      <c r="H1086" t="s">
        <v>74</v>
      </c>
      <c r="I1086" t="s">
        <v>20205</v>
      </c>
      <c r="J1086" t="s">
        <v>20206</v>
      </c>
      <c r="K1086" t="s">
        <v>74</v>
      </c>
      <c r="L1086" t="s">
        <v>74</v>
      </c>
      <c r="M1086" t="s">
        <v>79</v>
      </c>
      <c r="N1086" t="s">
        <v>108</v>
      </c>
      <c r="O1086" t="s">
        <v>74</v>
      </c>
      <c r="P1086" t="s">
        <v>74</v>
      </c>
      <c r="Q1086" t="s">
        <v>74</v>
      </c>
      <c r="R1086" t="s">
        <v>74</v>
      </c>
      <c r="S1086" t="s">
        <v>74</v>
      </c>
      <c r="T1086" t="s">
        <v>20207</v>
      </c>
      <c r="U1086" t="s">
        <v>20208</v>
      </c>
      <c r="V1086" t="s">
        <v>20209</v>
      </c>
      <c r="W1086" t="s">
        <v>20210</v>
      </c>
      <c r="X1086" t="s">
        <v>20211</v>
      </c>
      <c r="Y1086" t="s">
        <v>20212</v>
      </c>
      <c r="Z1086" t="s">
        <v>20213</v>
      </c>
      <c r="AA1086" t="s">
        <v>74</v>
      </c>
      <c r="AB1086" t="s">
        <v>20214</v>
      </c>
      <c r="AC1086" t="s">
        <v>20215</v>
      </c>
      <c r="AD1086" t="s">
        <v>20216</v>
      </c>
      <c r="AE1086" t="s">
        <v>20217</v>
      </c>
      <c r="AF1086" t="s">
        <v>74</v>
      </c>
      <c r="AG1086">
        <v>90</v>
      </c>
      <c r="AH1086">
        <v>0</v>
      </c>
      <c r="AI1086">
        <v>0</v>
      </c>
      <c r="AJ1086">
        <v>3</v>
      </c>
      <c r="AK1086">
        <v>3</v>
      </c>
      <c r="AL1086" t="s">
        <v>1379</v>
      </c>
      <c r="AM1086" t="s">
        <v>1380</v>
      </c>
      <c r="AN1086" t="s">
        <v>1381</v>
      </c>
      <c r="AO1086" t="s">
        <v>20218</v>
      </c>
      <c r="AP1086" t="s">
        <v>20219</v>
      </c>
      <c r="AQ1086" t="s">
        <v>74</v>
      </c>
      <c r="AR1086" t="s">
        <v>20220</v>
      </c>
      <c r="AS1086" t="s">
        <v>20221</v>
      </c>
      <c r="AT1086" t="s">
        <v>74</v>
      </c>
      <c r="AU1086">
        <v>2023</v>
      </c>
      <c r="AV1086">
        <v>31</v>
      </c>
      <c r="AW1086" t="s">
        <v>74</v>
      </c>
      <c r="AX1086" t="s">
        <v>74</v>
      </c>
      <c r="AY1086" t="s">
        <v>74</v>
      </c>
      <c r="AZ1086" t="s">
        <v>74</v>
      </c>
      <c r="BA1086" t="s">
        <v>74</v>
      </c>
      <c r="BB1086">
        <v>3499</v>
      </c>
      <c r="BC1086">
        <v>3512</v>
      </c>
      <c r="BD1086" t="s">
        <v>74</v>
      </c>
      <c r="BE1086" t="s">
        <v>20222</v>
      </c>
      <c r="BF1086" t="str">
        <f>HYPERLINK("http://dx.doi.org/10.1109/TASLP.2023.3313433","http://dx.doi.org/10.1109/TASLP.2023.3313433")</f>
        <v>http://dx.doi.org/10.1109/TASLP.2023.3313433</v>
      </c>
      <c r="BG1086" t="s">
        <v>74</v>
      </c>
      <c r="BH1086" t="s">
        <v>74</v>
      </c>
      <c r="BI1086">
        <v>14</v>
      </c>
      <c r="BJ1086" t="s">
        <v>11496</v>
      </c>
      <c r="BK1086" t="s">
        <v>130</v>
      </c>
      <c r="BL1086" t="s">
        <v>11497</v>
      </c>
      <c r="BM1086" t="s">
        <v>20223</v>
      </c>
      <c r="BN1086" t="s">
        <v>74</v>
      </c>
      <c r="BO1086" t="s">
        <v>646</v>
      </c>
      <c r="BP1086" t="s">
        <v>74</v>
      </c>
      <c r="BQ1086" t="s">
        <v>74</v>
      </c>
      <c r="BR1086" t="s">
        <v>101</v>
      </c>
      <c r="BS1086" t="s">
        <v>20224</v>
      </c>
      <c r="BT1086" t="str">
        <f>HYPERLINK("https%3A%2F%2Fwww.webofscience.com%2Fwos%2Fwoscc%2Ffull-record%2FWOS:001089305500010","View Full Record in Web of Science")</f>
        <v>View Full Record in Web of Science</v>
      </c>
    </row>
    <row r="1087" spans="1:72" x14ac:dyDescent="0.2">
      <c r="A1087" t="s">
        <v>103</v>
      </c>
      <c r="B1087" t="s">
        <v>20225</v>
      </c>
      <c r="C1087" t="s">
        <v>74</v>
      </c>
      <c r="D1087" t="s">
        <v>74</v>
      </c>
      <c r="E1087" t="s">
        <v>74</v>
      </c>
      <c r="F1087" t="s">
        <v>20226</v>
      </c>
      <c r="G1087" t="s">
        <v>74</v>
      </c>
      <c r="H1087" t="s">
        <v>74</v>
      </c>
      <c r="I1087" t="s">
        <v>20227</v>
      </c>
      <c r="J1087" t="s">
        <v>20228</v>
      </c>
      <c r="K1087" t="s">
        <v>74</v>
      </c>
      <c r="L1087" t="s">
        <v>74</v>
      </c>
      <c r="M1087" t="s">
        <v>79</v>
      </c>
      <c r="N1087" t="s">
        <v>108</v>
      </c>
      <c r="O1087" t="s">
        <v>74</v>
      </c>
      <c r="P1087" t="s">
        <v>74</v>
      </c>
      <c r="Q1087" t="s">
        <v>74</v>
      </c>
      <c r="R1087" t="s">
        <v>74</v>
      </c>
      <c r="S1087" t="s">
        <v>74</v>
      </c>
      <c r="T1087" t="s">
        <v>20229</v>
      </c>
      <c r="U1087" t="s">
        <v>20230</v>
      </c>
      <c r="V1087" t="s">
        <v>20231</v>
      </c>
      <c r="W1087" t="s">
        <v>20232</v>
      </c>
      <c r="X1087" t="s">
        <v>20233</v>
      </c>
      <c r="Y1087" t="s">
        <v>20234</v>
      </c>
      <c r="Z1087" t="s">
        <v>20235</v>
      </c>
      <c r="AA1087" t="s">
        <v>20236</v>
      </c>
      <c r="AB1087" t="s">
        <v>20237</v>
      </c>
      <c r="AC1087" t="s">
        <v>20238</v>
      </c>
      <c r="AD1087" t="s">
        <v>20239</v>
      </c>
      <c r="AE1087" t="s">
        <v>20240</v>
      </c>
      <c r="AF1087" t="s">
        <v>74</v>
      </c>
      <c r="AG1087">
        <v>174</v>
      </c>
      <c r="AH1087">
        <v>0</v>
      </c>
      <c r="AI1087">
        <v>0</v>
      </c>
      <c r="AJ1087">
        <v>9</v>
      </c>
      <c r="AK1087">
        <v>17</v>
      </c>
      <c r="AL1087" t="s">
        <v>13480</v>
      </c>
      <c r="AM1087" t="s">
        <v>13481</v>
      </c>
      <c r="AN1087" t="s">
        <v>13482</v>
      </c>
      <c r="AO1087" t="s">
        <v>20241</v>
      </c>
      <c r="AP1087" t="s">
        <v>20242</v>
      </c>
      <c r="AQ1087" t="s">
        <v>74</v>
      </c>
      <c r="AR1087" t="s">
        <v>20228</v>
      </c>
      <c r="AS1087" t="s">
        <v>20243</v>
      </c>
      <c r="AT1087" t="s">
        <v>15843</v>
      </c>
      <c r="AU1087">
        <v>2023</v>
      </c>
      <c r="AV1087">
        <v>275</v>
      </c>
      <c r="AW1087" t="s">
        <v>74</v>
      </c>
      <c r="AX1087" t="s">
        <v>74</v>
      </c>
      <c r="AY1087" t="s">
        <v>74</v>
      </c>
      <c r="AZ1087" t="s">
        <v>74</v>
      </c>
      <c r="BA1087" t="s">
        <v>74</v>
      </c>
      <c r="BB1087" t="s">
        <v>74</v>
      </c>
      <c r="BC1087" t="s">
        <v>74</v>
      </c>
      <c r="BD1087">
        <v>120162</v>
      </c>
      <c r="BE1087" t="s">
        <v>20244</v>
      </c>
      <c r="BF1087" t="str">
        <f>HYPERLINK("http://dx.doi.org/10.1016/j.neuroimage.2023.120162","http://dx.doi.org/10.1016/j.neuroimage.2023.120162")</f>
        <v>http://dx.doi.org/10.1016/j.neuroimage.2023.120162</v>
      </c>
      <c r="BG1087" t="s">
        <v>74</v>
      </c>
      <c r="BH1087" t="s">
        <v>2889</v>
      </c>
      <c r="BI1087">
        <v>16</v>
      </c>
      <c r="BJ1087" t="s">
        <v>20245</v>
      </c>
      <c r="BK1087" t="s">
        <v>130</v>
      </c>
      <c r="BL1087" t="s">
        <v>20246</v>
      </c>
      <c r="BM1087" t="s">
        <v>20247</v>
      </c>
      <c r="BN1087">
        <v>37196986</v>
      </c>
      <c r="BO1087" t="s">
        <v>14333</v>
      </c>
      <c r="BP1087" t="s">
        <v>74</v>
      </c>
      <c r="BQ1087" t="s">
        <v>74</v>
      </c>
      <c r="BR1087" t="s">
        <v>101</v>
      </c>
      <c r="BS1087" t="s">
        <v>20248</v>
      </c>
      <c r="BT1087" t="str">
        <f>HYPERLINK("https%3A%2F%2Fwww.webofscience.com%2Fwos%2Fwoscc%2Ffull-record%2FWOS:001015762700001","View Full Record in Web of Science")</f>
        <v>View Full Record in Web of Science</v>
      </c>
    </row>
    <row r="1088" spans="1:72" x14ac:dyDescent="0.2">
      <c r="A1088" t="s">
        <v>103</v>
      </c>
      <c r="B1088" t="s">
        <v>20249</v>
      </c>
      <c r="C1088" t="s">
        <v>74</v>
      </c>
      <c r="D1088" t="s">
        <v>74</v>
      </c>
      <c r="E1088" t="s">
        <v>74</v>
      </c>
      <c r="F1088" t="s">
        <v>20250</v>
      </c>
      <c r="G1088" t="s">
        <v>74</v>
      </c>
      <c r="H1088" t="s">
        <v>74</v>
      </c>
      <c r="I1088" t="s">
        <v>20251</v>
      </c>
      <c r="J1088" t="s">
        <v>3782</v>
      </c>
      <c r="K1088" t="s">
        <v>74</v>
      </c>
      <c r="L1088" t="s">
        <v>74</v>
      </c>
      <c r="M1088" t="s">
        <v>79</v>
      </c>
      <c r="N1088" t="s">
        <v>108</v>
      </c>
      <c r="O1088" t="s">
        <v>74</v>
      </c>
      <c r="P1088" t="s">
        <v>74</v>
      </c>
      <c r="Q1088" t="s">
        <v>74</v>
      </c>
      <c r="R1088" t="s">
        <v>74</v>
      </c>
      <c r="S1088" t="s">
        <v>74</v>
      </c>
      <c r="T1088" t="s">
        <v>20252</v>
      </c>
      <c r="U1088" t="s">
        <v>20253</v>
      </c>
      <c r="V1088" t="s">
        <v>20254</v>
      </c>
      <c r="W1088" t="s">
        <v>20255</v>
      </c>
      <c r="X1088" t="s">
        <v>20256</v>
      </c>
      <c r="Y1088" t="s">
        <v>20257</v>
      </c>
      <c r="Z1088" t="s">
        <v>20258</v>
      </c>
      <c r="AA1088" t="s">
        <v>20259</v>
      </c>
      <c r="AB1088" t="s">
        <v>20260</v>
      </c>
      <c r="AC1088" t="s">
        <v>20261</v>
      </c>
      <c r="AD1088" t="s">
        <v>20262</v>
      </c>
      <c r="AE1088" t="s">
        <v>20263</v>
      </c>
      <c r="AF1088" t="s">
        <v>74</v>
      </c>
      <c r="AG1088">
        <v>60</v>
      </c>
      <c r="AH1088">
        <v>1</v>
      </c>
      <c r="AI1088">
        <v>1</v>
      </c>
      <c r="AJ1088">
        <v>10</v>
      </c>
      <c r="AK1088">
        <v>10</v>
      </c>
      <c r="AL1088" t="s">
        <v>1379</v>
      </c>
      <c r="AM1088" t="s">
        <v>1380</v>
      </c>
      <c r="AN1088" t="s">
        <v>1381</v>
      </c>
      <c r="AO1088" t="s">
        <v>3794</v>
      </c>
      <c r="AP1088" t="s">
        <v>3795</v>
      </c>
      <c r="AQ1088" t="s">
        <v>74</v>
      </c>
      <c r="AR1088" t="s">
        <v>3796</v>
      </c>
      <c r="AS1088" t="s">
        <v>3797</v>
      </c>
      <c r="AT1088" t="s">
        <v>74</v>
      </c>
      <c r="AU1088">
        <v>2023</v>
      </c>
      <c r="AV1088">
        <v>25</v>
      </c>
      <c r="AW1088" t="s">
        <v>74</v>
      </c>
      <c r="AX1088" t="s">
        <v>74</v>
      </c>
      <c r="AY1088" t="s">
        <v>74</v>
      </c>
      <c r="AZ1088" t="s">
        <v>74</v>
      </c>
      <c r="BA1088" t="s">
        <v>74</v>
      </c>
      <c r="BB1088">
        <v>3343</v>
      </c>
      <c r="BC1088">
        <v>3353</v>
      </c>
      <c r="BD1088" t="s">
        <v>74</v>
      </c>
      <c r="BE1088" t="s">
        <v>20264</v>
      </c>
      <c r="BF1088" t="str">
        <f>HYPERLINK("http://dx.doi.org/10.1109/TMM.2022.3159115","http://dx.doi.org/10.1109/TMM.2022.3159115")</f>
        <v>http://dx.doi.org/10.1109/TMM.2022.3159115</v>
      </c>
      <c r="BG1088" t="s">
        <v>74</v>
      </c>
      <c r="BH1088" t="s">
        <v>74</v>
      </c>
      <c r="BI1088">
        <v>11</v>
      </c>
      <c r="BJ1088" t="s">
        <v>3799</v>
      </c>
      <c r="BK1088" t="s">
        <v>130</v>
      </c>
      <c r="BL1088" t="s">
        <v>644</v>
      </c>
      <c r="BM1088" t="s">
        <v>20265</v>
      </c>
      <c r="BN1088" t="s">
        <v>74</v>
      </c>
      <c r="BO1088" t="s">
        <v>646</v>
      </c>
      <c r="BP1088" t="s">
        <v>74</v>
      </c>
      <c r="BQ1088" t="s">
        <v>74</v>
      </c>
      <c r="BR1088" t="s">
        <v>101</v>
      </c>
      <c r="BS1088" t="s">
        <v>20266</v>
      </c>
      <c r="BT1088" t="str">
        <f>HYPERLINK("https%3A%2F%2Fwww.webofscience.com%2Fwos%2Fwoscc%2Ffull-record%2FWOS:001045742200030","View Full Record in Web of Science")</f>
        <v>View Full Record in Web of Science</v>
      </c>
    </row>
    <row r="1089" spans="1:72" x14ac:dyDescent="0.2">
      <c r="A1089" t="s">
        <v>72</v>
      </c>
      <c r="B1089" t="s">
        <v>20267</v>
      </c>
      <c r="C1089" t="s">
        <v>74</v>
      </c>
      <c r="D1089" t="s">
        <v>74</v>
      </c>
      <c r="E1089" t="s">
        <v>284</v>
      </c>
      <c r="F1089" t="s">
        <v>20268</v>
      </c>
      <c r="G1089" t="s">
        <v>74</v>
      </c>
      <c r="H1089" t="s">
        <v>74</v>
      </c>
      <c r="I1089" t="s">
        <v>20269</v>
      </c>
      <c r="J1089" t="s">
        <v>10100</v>
      </c>
      <c r="K1089" t="s">
        <v>8246</v>
      </c>
      <c r="L1089" t="s">
        <v>74</v>
      </c>
      <c r="M1089" t="s">
        <v>79</v>
      </c>
      <c r="N1089" t="s">
        <v>80</v>
      </c>
      <c r="O1089" t="s">
        <v>8247</v>
      </c>
      <c r="P1089" t="s">
        <v>8248</v>
      </c>
      <c r="Q1089" t="s">
        <v>6017</v>
      </c>
      <c r="R1089" t="s">
        <v>8249</v>
      </c>
      <c r="S1089" t="s">
        <v>74</v>
      </c>
      <c r="T1089" t="s">
        <v>74</v>
      </c>
      <c r="U1089" t="s">
        <v>74</v>
      </c>
      <c r="V1089" t="s">
        <v>20270</v>
      </c>
      <c r="W1089" t="s">
        <v>20271</v>
      </c>
      <c r="X1089" t="s">
        <v>20272</v>
      </c>
      <c r="Y1089" t="s">
        <v>20273</v>
      </c>
      <c r="Z1089" t="s">
        <v>20274</v>
      </c>
      <c r="AA1089" t="s">
        <v>20275</v>
      </c>
      <c r="AB1089" t="s">
        <v>20276</v>
      </c>
      <c r="AC1089" t="s">
        <v>20277</v>
      </c>
      <c r="AD1089" t="s">
        <v>20277</v>
      </c>
      <c r="AE1089" t="s">
        <v>20278</v>
      </c>
      <c r="AF1089" t="s">
        <v>74</v>
      </c>
      <c r="AG1089">
        <v>41</v>
      </c>
      <c r="AH1089">
        <v>1</v>
      </c>
      <c r="AI1089">
        <v>1</v>
      </c>
      <c r="AJ1089">
        <v>3</v>
      </c>
      <c r="AK1089">
        <v>3</v>
      </c>
      <c r="AL1089" t="s">
        <v>638</v>
      </c>
      <c r="AM1089" t="s">
        <v>639</v>
      </c>
      <c r="AN1089" t="s">
        <v>640</v>
      </c>
      <c r="AO1089" t="s">
        <v>8260</v>
      </c>
      <c r="AP1089" t="s">
        <v>74</v>
      </c>
      <c r="AQ1089" t="s">
        <v>8261</v>
      </c>
      <c r="AR1089" t="s">
        <v>8262</v>
      </c>
      <c r="AS1089" t="s">
        <v>74</v>
      </c>
      <c r="AT1089" t="s">
        <v>74</v>
      </c>
      <c r="AU1089">
        <v>2023</v>
      </c>
      <c r="AV1089" t="s">
        <v>74</v>
      </c>
      <c r="AW1089" t="s">
        <v>74</v>
      </c>
      <c r="AX1089" t="s">
        <v>74</v>
      </c>
      <c r="AY1089" t="s">
        <v>74</v>
      </c>
      <c r="AZ1089" t="s">
        <v>74</v>
      </c>
      <c r="BA1089" t="s">
        <v>74</v>
      </c>
      <c r="BB1089">
        <v>271</v>
      </c>
      <c r="BC1089">
        <v>280</v>
      </c>
      <c r="BD1089" t="s">
        <v>74</v>
      </c>
      <c r="BE1089" t="s">
        <v>20279</v>
      </c>
      <c r="BF1089" t="str">
        <f>HYPERLINK("http://dx.doi.org/10.1109/CVPR52729.2023.00034","http://dx.doi.org/10.1109/CVPR52729.2023.00034")</f>
        <v>http://dx.doi.org/10.1109/CVPR52729.2023.00034</v>
      </c>
      <c r="BG1089" t="s">
        <v>74</v>
      </c>
      <c r="BH1089" t="s">
        <v>74</v>
      </c>
      <c r="BI1089">
        <v>10</v>
      </c>
      <c r="BJ1089" t="s">
        <v>10109</v>
      </c>
      <c r="BK1089" t="s">
        <v>98</v>
      </c>
      <c r="BL1089" t="s">
        <v>99</v>
      </c>
      <c r="BM1089" t="s">
        <v>10110</v>
      </c>
      <c r="BN1089" t="s">
        <v>74</v>
      </c>
      <c r="BO1089" t="s">
        <v>646</v>
      </c>
      <c r="BP1089" t="s">
        <v>74</v>
      </c>
      <c r="BQ1089" t="s">
        <v>74</v>
      </c>
      <c r="BR1089" t="s">
        <v>101</v>
      </c>
      <c r="BS1089" t="s">
        <v>20280</v>
      </c>
      <c r="BT1089" t="str">
        <f>HYPERLINK("https%3A%2F%2Fwww.webofscience.com%2Fwos%2Fwoscc%2Ffull-record%2FWOS:001058542600026","View Full Record in Web of Science")</f>
        <v>View Full Record in Web of Science</v>
      </c>
    </row>
    <row r="1090" spans="1:72" x14ac:dyDescent="0.2">
      <c r="A1090" t="s">
        <v>103</v>
      </c>
      <c r="B1090" t="s">
        <v>20281</v>
      </c>
      <c r="C1090" t="s">
        <v>74</v>
      </c>
      <c r="D1090" t="s">
        <v>74</v>
      </c>
      <c r="E1090" t="s">
        <v>74</v>
      </c>
      <c r="F1090" t="s">
        <v>20282</v>
      </c>
      <c r="G1090" t="s">
        <v>74</v>
      </c>
      <c r="H1090" t="s">
        <v>74</v>
      </c>
      <c r="I1090" t="s">
        <v>20283</v>
      </c>
      <c r="J1090" t="s">
        <v>3389</v>
      </c>
      <c r="K1090" t="s">
        <v>74</v>
      </c>
      <c r="L1090" t="s">
        <v>74</v>
      </c>
      <c r="M1090" t="s">
        <v>79</v>
      </c>
      <c r="N1090" t="s">
        <v>108</v>
      </c>
      <c r="O1090" t="s">
        <v>74</v>
      </c>
      <c r="P1090" t="s">
        <v>74</v>
      </c>
      <c r="Q1090" t="s">
        <v>74</v>
      </c>
      <c r="R1090" t="s">
        <v>74</v>
      </c>
      <c r="S1090" t="s">
        <v>74</v>
      </c>
      <c r="T1090" t="s">
        <v>20284</v>
      </c>
      <c r="U1090" t="s">
        <v>13451</v>
      </c>
      <c r="V1090" t="s">
        <v>20285</v>
      </c>
      <c r="W1090" t="s">
        <v>20286</v>
      </c>
      <c r="X1090" t="s">
        <v>20287</v>
      </c>
      <c r="Y1090" t="s">
        <v>20288</v>
      </c>
      <c r="Z1090" t="s">
        <v>20289</v>
      </c>
      <c r="AA1090" t="s">
        <v>20290</v>
      </c>
      <c r="AB1090" t="s">
        <v>20291</v>
      </c>
      <c r="AC1090" t="s">
        <v>3399</v>
      </c>
      <c r="AD1090" t="s">
        <v>3400</v>
      </c>
      <c r="AE1090" t="s">
        <v>3401</v>
      </c>
      <c r="AF1090" t="s">
        <v>74</v>
      </c>
      <c r="AG1090">
        <v>101</v>
      </c>
      <c r="AH1090">
        <v>0</v>
      </c>
      <c r="AI1090">
        <v>0</v>
      </c>
      <c r="AJ1090">
        <v>19</v>
      </c>
      <c r="AK1090">
        <v>19</v>
      </c>
      <c r="AL1090" t="s">
        <v>1379</v>
      </c>
      <c r="AM1090" t="s">
        <v>1380</v>
      </c>
      <c r="AN1090" t="s">
        <v>1381</v>
      </c>
      <c r="AO1090" t="s">
        <v>74</v>
      </c>
      <c r="AP1090" t="s">
        <v>3402</v>
      </c>
      <c r="AQ1090" t="s">
        <v>74</v>
      </c>
      <c r="AR1090" t="s">
        <v>3403</v>
      </c>
      <c r="AS1090" t="s">
        <v>3404</v>
      </c>
      <c r="AT1090" t="s">
        <v>74</v>
      </c>
      <c r="AU1090">
        <v>2023</v>
      </c>
      <c r="AV1090">
        <v>4</v>
      </c>
      <c r="AW1090" t="s">
        <v>74</v>
      </c>
      <c r="AX1090" t="s">
        <v>74</v>
      </c>
      <c r="AY1090" t="s">
        <v>74</v>
      </c>
      <c r="AZ1090" t="s">
        <v>74</v>
      </c>
      <c r="BA1090" t="s">
        <v>74</v>
      </c>
      <c r="BB1090">
        <v>326</v>
      </c>
      <c r="BC1090">
        <v>337</v>
      </c>
      <c r="BD1090" t="s">
        <v>74</v>
      </c>
      <c r="BE1090" t="s">
        <v>20292</v>
      </c>
      <c r="BF1090" t="str">
        <f>HYPERLINK("http://dx.doi.org/10.1109/OJCS.2023.3315835","http://dx.doi.org/10.1109/OJCS.2023.3315835")</f>
        <v>http://dx.doi.org/10.1109/OJCS.2023.3315835</v>
      </c>
      <c r="BG1090" t="s">
        <v>74</v>
      </c>
      <c r="BH1090" t="s">
        <v>74</v>
      </c>
      <c r="BI1090">
        <v>12</v>
      </c>
      <c r="BJ1090" t="s">
        <v>3406</v>
      </c>
      <c r="BK1090" t="s">
        <v>352</v>
      </c>
      <c r="BL1090" t="s">
        <v>906</v>
      </c>
      <c r="BM1090" t="s">
        <v>20293</v>
      </c>
      <c r="BN1090" t="s">
        <v>74</v>
      </c>
      <c r="BO1090" t="s">
        <v>425</v>
      </c>
      <c r="BP1090" t="s">
        <v>74</v>
      </c>
      <c r="BQ1090" t="s">
        <v>74</v>
      </c>
      <c r="BR1090" t="s">
        <v>101</v>
      </c>
      <c r="BS1090" t="s">
        <v>20294</v>
      </c>
      <c r="BT1090" t="str">
        <f>HYPERLINK("https%3A%2F%2Fwww.webofscience.com%2Fwos%2Fwoscc%2Ffull-record%2FWOS:001122789900001","View Full Record in Web of Science")</f>
        <v>View Full Record in Web of Science</v>
      </c>
    </row>
    <row r="1091" spans="1:72" x14ac:dyDescent="0.2">
      <c r="A1091" t="s">
        <v>103</v>
      </c>
      <c r="B1091" t="s">
        <v>20295</v>
      </c>
      <c r="C1091" t="s">
        <v>74</v>
      </c>
      <c r="D1091" t="s">
        <v>74</v>
      </c>
      <c r="E1091" t="s">
        <v>74</v>
      </c>
      <c r="F1091" t="s">
        <v>20296</v>
      </c>
      <c r="G1091" t="s">
        <v>74</v>
      </c>
      <c r="H1091" t="s">
        <v>74</v>
      </c>
      <c r="I1091" t="s">
        <v>20297</v>
      </c>
      <c r="J1091" t="s">
        <v>20298</v>
      </c>
      <c r="K1091" t="s">
        <v>74</v>
      </c>
      <c r="L1091" t="s">
        <v>74</v>
      </c>
      <c r="M1091" t="s">
        <v>79</v>
      </c>
      <c r="N1091" t="s">
        <v>138</v>
      </c>
      <c r="O1091" t="s">
        <v>74</v>
      </c>
      <c r="P1091" t="s">
        <v>74</v>
      </c>
      <c r="Q1091" t="s">
        <v>74</v>
      </c>
      <c r="R1091" t="s">
        <v>74</v>
      </c>
      <c r="S1091" t="s">
        <v>74</v>
      </c>
      <c r="T1091" t="s">
        <v>20299</v>
      </c>
      <c r="U1091" t="s">
        <v>20300</v>
      </c>
      <c r="V1091" t="s">
        <v>20301</v>
      </c>
      <c r="W1091" t="s">
        <v>20302</v>
      </c>
      <c r="X1091" t="s">
        <v>20303</v>
      </c>
      <c r="Y1091" t="s">
        <v>20304</v>
      </c>
      <c r="Z1091" t="s">
        <v>20305</v>
      </c>
      <c r="AA1091" t="s">
        <v>74</v>
      </c>
      <c r="AB1091" t="s">
        <v>20306</v>
      </c>
      <c r="AC1091" t="s">
        <v>20307</v>
      </c>
      <c r="AD1091" t="s">
        <v>20307</v>
      </c>
      <c r="AE1091" t="s">
        <v>3401</v>
      </c>
      <c r="AF1091" t="s">
        <v>74</v>
      </c>
      <c r="AG1091">
        <v>67</v>
      </c>
      <c r="AH1091">
        <v>1</v>
      </c>
      <c r="AI1091">
        <v>1</v>
      </c>
      <c r="AJ1091">
        <v>1</v>
      </c>
      <c r="AK1091">
        <v>1</v>
      </c>
      <c r="AL1091" t="s">
        <v>737</v>
      </c>
      <c r="AM1091" t="s">
        <v>738</v>
      </c>
      <c r="AN1091" t="s">
        <v>739</v>
      </c>
      <c r="AO1091" t="s">
        <v>20308</v>
      </c>
      <c r="AP1091" t="s">
        <v>20309</v>
      </c>
      <c r="AQ1091" t="s">
        <v>74</v>
      </c>
      <c r="AR1091" t="s">
        <v>20310</v>
      </c>
      <c r="AS1091" t="s">
        <v>20311</v>
      </c>
      <c r="AT1091" t="s">
        <v>1406</v>
      </c>
      <c r="AU1091">
        <v>2023</v>
      </c>
      <c r="AV1091" t="s">
        <v>74</v>
      </c>
      <c r="AW1091" t="s">
        <v>74</v>
      </c>
      <c r="AX1091" t="s">
        <v>74</v>
      </c>
      <c r="AY1091" t="s">
        <v>74</v>
      </c>
      <c r="AZ1091" t="s">
        <v>74</v>
      </c>
      <c r="BA1091" t="s">
        <v>74</v>
      </c>
      <c r="BB1091" t="s">
        <v>74</v>
      </c>
      <c r="BC1091" t="s">
        <v>74</v>
      </c>
      <c r="BD1091" t="s">
        <v>74</v>
      </c>
      <c r="BE1091" t="s">
        <v>20312</v>
      </c>
      <c r="BF1091" t="str">
        <f>HYPERLINK("http://dx.doi.org/10.1080/15265161.2023.2296402","http://dx.doi.org/10.1080/15265161.2023.2296402")</f>
        <v>http://dx.doi.org/10.1080/15265161.2023.2296402</v>
      </c>
      <c r="BG1091" t="s">
        <v>74</v>
      </c>
      <c r="BH1091" t="s">
        <v>128</v>
      </c>
      <c r="BI1091">
        <v>14</v>
      </c>
      <c r="BJ1091" t="s">
        <v>20313</v>
      </c>
      <c r="BK1091" t="s">
        <v>947</v>
      </c>
      <c r="BL1091" t="s">
        <v>20314</v>
      </c>
      <c r="BM1091" t="s">
        <v>20315</v>
      </c>
      <c r="BN1091">
        <v>38226965</v>
      </c>
      <c r="BO1091" t="s">
        <v>161</v>
      </c>
      <c r="BP1091" t="s">
        <v>74</v>
      </c>
      <c r="BQ1091" t="s">
        <v>74</v>
      </c>
      <c r="BR1091" t="s">
        <v>101</v>
      </c>
      <c r="BS1091" t="s">
        <v>20316</v>
      </c>
      <c r="BT1091" t="str">
        <f>HYPERLINK("https%3A%2F%2Fwww.webofscience.com%2Fwos%2Fwoscc%2Ffull-record%2FWOS:001143951700001","View Full Record in Web of Science")</f>
        <v>View Full Record in Web of Science</v>
      </c>
    </row>
    <row r="1092" spans="1:72" x14ac:dyDescent="0.2">
      <c r="A1092" t="s">
        <v>72</v>
      </c>
      <c r="B1092" t="s">
        <v>20317</v>
      </c>
      <c r="C1092" t="s">
        <v>74</v>
      </c>
      <c r="D1092" t="s">
        <v>74</v>
      </c>
      <c r="E1092" t="s">
        <v>75</v>
      </c>
      <c r="F1092" t="s">
        <v>20318</v>
      </c>
      <c r="G1092" t="s">
        <v>74</v>
      </c>
      <c r="H1092" t="s">
        <v>74</v>
      </c>
      <c r="I1092" t="s">
        <v>20319</v>
      </c>
      <c r="J1092" t="s">
        <v>1264</v>
      </c>
      <c r="K1092" t="s">
        <v>74</v>
      </c>
      <c r="L1092" t="s">
        <v>74</v>
      </c>
      <c r="M1092" t="s">
        <v>79</v>
      </c>
      <c r="N1092" t="s">
        <v>80</v>
      </c>
      <c r="O1092" t="s">
        <v>1265</v>
      </c>
      <c r="P1092" t="s">
        <v>290</v>
      </c>
      <c r="Q1092" t="s">
        <v>1266</v>
      </c>
      <c r="R1092" t="s">
        <v>1267</v>
      </c>
      <c r="S1092" t="s">
        <v>74</v>
      </c>
      <c r="T1092" t="s">
        <v>20320</v>
      </c>
      <c r="U1092" t="s">
        <v>74</v>
      </c>
      <c r="V1092" t="s">
        <v>20321</v>
      </c>
      <c r="W1092" t="s">
        <v>20322</v>
      </c>
      <c r="X1092" t="s">
        <v>74</v>
      </c>
      <c r="Y1092" t="s">
        <v>20323</v>
      </c>
      <c r="Z1092" t="s">
        <v>20324</v>
      </c>
      <c r="AA1092" t="s">
        <v>74</v>
      </c>
      <c r="AB1092" t="s">
        <v>20325</v>
      </c>
      <c r="AC1092" t="s">
        <v>74</v>
      </c>
      <c r="AD1092" t="s">
        <v>74</v>
      </c>
      <c r="AE1092" t="s">
        <v>74</v>
      </c>
      <c r="AF1092" t="s">
        <v>74</v>
      </c>
      <c r="AG1092">
        <v>33</v>
      </c>
      <c r="AH1092">
        <v>0</v>
      </c>
      <c r="AI1092">
        <v>0</v>
      </c>
      <c r="AJ1092">
        <v>5</v>
      </c>
      <c r="AK1092">
        <v>5</v>
      </c>
      <c r="AL1092" t="s">
        <v>92</v>
      </c>
      <c r="AM1092" t="s">
        <v>93</v>
      </c>
      <c r="AN1092" t="s">
        <v>94</v>
      </c>
      <c r="AO1092" t="s">
        <v>74</v>
      </c>
      <c r="AP1092" t="s">
        <v>74</v>
      </c>
      <c r="AQ1092" t="s">
        <v>1278</v>
      </c>
      <c r="AR1092" t="s">
        <v>74</v>
      </c>
      <c r="AS1092" t="s">
        <v>74</v>
      </c>
      <c r="AT1092" t="s">
        <v>74</v>
      </c>
      <c r="AU1092">
        <v>2023</v>
      </c>
      <c r="AV1092" t="s">
        <v>74</v>
      </c>
      <c r="AW1092" t="s">
        <v>74</v>
      </c>
      <c r="AX1092" t="s">
        <v>74</v>
      </c>
      <c r="AY1092" t="s">
        <v>74</v>
      </c>
      <c r="AZ1092" t="s">
        <v>74</v>
      </c>
      <c r="BA1092" t="s">
        <v>74</v>
      </c>
      <c r="BB1092">
        <v>73</v>
      </c>
      <c r="BC1092">
        <v>81</v>
      </c>
      <c r="BD1092" t="s">
        <v>74</v>
      </c>
      <c r="BE1092" t="s">
        <v>20326</v>
      </c>
      <c r="BF1092" t="str">
        <f>HYPERLINK("http://dx.doi.org/10.1145/3604237.3626908","http://dx.doi.org/10.1145/3604237.3626908")</f>
        <v>http://dx.doi.org/10.1145/3604237.3626908</v>
      </c>
      <c r="BG1092" t="s">
        <v>74</v>
      </c>
      <c r="BH1092" t="s">
        <v>74</v>
      </c>
      <c r="BI1092">
        <v>9</v>
      </c>
      <c r="BJ1092" t="s">
        <v>1280</v>
      </c>
      <c r="BK1092" t="s">
        <v>180</v>
      </c>
      <c r="BL1092" t="s">
        <v>1281</v>
      </c>
      <c r="BM1092" t="s">
        <v>1282</v>
      </c>
      <c r="BN1092" t="s">
        <v>74</v>
      </c>
      <c r="BO1092" t="s">
        <v>74</v>
      </c>
      <c r="BP1092" t="s">
        <v>74</v>
      </c>
      <c r="BQ1092" t="s">
        <v>74</v>
      </c>
      <c r="BR1092" t="s">
        <v>101</v>
      </c>
      <c r="BS1092" t="s">
        <v>20327</v>
      </c>
      <c r="BT1092" t="str">
        <f>HYPERLINK("https%3A%2F%2Fwww.webofscience.com%2Fwos%2Fwoscc%2Ffull-record%2FWOS:001124982700009","View Full Record in Web of Science")</f>
        <v>View Full Record in Web of Science</v>
      </c>
    </row>
    <row r="1093" spans="1:72" x14ac:dyDescent="0.2">
      <c r="A1093" t="s">
        <v>103</v>
      </c>
      <c r="B1093" t="s">
        <v>20328</v>
      </c>
      <c r="C1093" t="s">
        <v>74</v>
      </c>
      <c r="D1093" t="s">
        <v>74</v>
      </c>
      <c r="E1093" t="s">
        <v>74</v>
      </c>
      <c r="F1093" t="s">
        <v>20329</v>
      </c>
      <c r="G1093" t="s">
        <v>74</v>
      </c>
      <c r="H1093" t="s">
        <v>74</v>
      </c>
      <c r="I1093" t="s">
        <v>20330</v>
      </c>
      <c r="J1093" t="s">
        <v>20331</v>
      </c>
      <c r="K1093" t="s">
        <v>74</v>
      </c>
      <c r="L1093" t="s">
        <v>74</v>
      </c>
      <c r="M1093" t="s">
        <v>79</v>
      </c>
      <c r="N1093" t="s">
        <v>108</v>
      </c>
      <c r="O1093" t="s">
        <v>74</v>
      </c>
      <c r="P1093" t="s">
        <v>74</v>
      </c>
      <c r="Q1093" t="s">
        <v>74</v>
      </c>
      <c r="R1093" t="s">
        <v>74</v>
      </c>
      <c r="S1093" t="s">
        <v>74</v>
      </c>
      <c r="T1093" t="s">
        <v>74</v>
      </c>
      <c r="U1093" t="s">
        <v>20332</v>
      </c>
      <c r="V1093" t="s">
        <v>20333</v>
      </c>
      <c r="W1093" t="s">
        <v>20334</v>
      </c>
      <c r="X1093" t="s">
        <v>20335</v>
      </c>
      <c r="Y1093" t="s">
        <v>20336</v>
      </c>
      <c r="Z1093" t="s">
        <v>20337</v>
      </c>
      <c r="AA1093" t="s">
        <v>74</v>
      </c>
      <c r="AB1093" t="s">
        <v>74</v>
      </c>
      <c r="AC1093" t="s">
        <v>74</v>
      </c>
      <c r="AD1093" t="s">
        <v>74</v>
      </c>
      <c r="AE1093" t="s">
        <v>74</v>
      </c>
      <c r="AF1093" t="s">
        <v>74</v>
      </c>
      <c r="AG1093">
        <v>51</v>
      </c>
      <c r="AH1093">
        <v>0</v>
      </c>
      <c r="AI1093">
        <v>0</v>
      </c>
      <c r="AJ1093">
        <v>2</v>
      </c>
      <c r="AK1093">
        <v>2</v>
      </c>
      <c r="AL1093" t="s">
        <v>20338</v>
      </c>
      <c r="AM1093" t="s">
        <v>20339</v>
      </c>
      <c r="AN1093" t="s">
        <v>20340</v>
      </c>
      <c r="AO1093" t="s">
        <v>20341</v>
      </c>
      <c r="AP1093" t="s">
        <v>20342</v>
      </c>
      <c r="AQ1093" t="s">
        <v>74</v>
      </c>
      <c r="AR1093" t="s">
        <v>20343</v>
      </c>
      <c r="AS1093" t="s">
        <v>20344</v>
      </c>
      <c r="AT1093" t="s">
        <v>74</v>
      </c>
      <c r="AU1093">
        <v>2023</v>
      </c>
      <c r="AV1093">
        <v>44</v>
      </c>
      <c r="AW1093" t="s">
        <v>74</v>
      </c>
      <c r="AX1093" t="s">
        <v>74</v>
      </c>
      <c r="AY1093" t="s">
        <v>74</v>
      </c>
      <c r="AZ1093" t="s">
        <v>74</v>
      </c>
      <c r="BA1093" t="s">
        <v>74</v>
      </c>
      <c r="BB1093">
        <v>120</v>
      </c>
      <c r="BC1093">
        <v>149</v>
      </c>
      <c r="BD1093" t="s">
        <v>74</v>
      </c>
      <c r="BE1093" t="s">
        <v>74</v>
      </c>
      <c r="BF1093" t="s">
        <v>74</v>
      </c>
      <c r="BG1093" t="s">
        <v>74</v>
      </c>
      <c r="BH1093" t="s">
        <v>74</v>
      </c>
      <c r="BI1093">
        <v>30</v>
      </c>
      <c r="BJ1093" t="s">
        <v>469</v>
      </c>
      <c r="BK1093" t="s">
        <v>352</v>
      </c>
      <c r="BL1093" t="s">
        <v>470</v>
      </c>
      <c r="BM1093" t="s">
        <v>20345</v>
      </c>
      <c r="BN1093" t="s">
        <v>74</v>
      </c>
      <c r="BO1093" t="s">
        <v>74</v>
      </c>
      <c r="BP1093" t="s">
        <v>74</v>
      </c>
      <c r="BQ1093" t="s">
        <v>74</v>
      </c>
      <c r="BR1093" t="s">
        <v>101</v>
      </c>
      <c r="BS1093" t="s">
        <v>20346</v>
      </c>
      <c r="BT1093" t="str">
        <f>HYPERLINK("https%3A%2F%2Fwww.webofscience.com%2Fwos%2Fwoscc%2Ffull-record%2FWOS:001021627000001","View Full Record in Web of Science")</f>
        <v>View Full Record in Web of Science</v>
      </c>
    </row>
    <row r="1094" spans="1:72" x14ac:dyDescent="0.2">
      <c r="A1094" t="s">
        <v>72</v>
      </c>
      <c r="B1094" t="s">
        <v>20347</v>
      </c>
      <c r="C1094" t="s">
        <v>74</v>
      </c>
      <c r="D1094" t="s">
        <v>74</v>
      </c>
      <c r="E1094" t="s">
        <v>284</v>
      </c>
      <c r="F1094" t="s">
        <v>20348</v>
      </c>
      <c r="G1094" t="s">
        <v>74</v>
      </c>
      <c r="H1094" t="s">
        <v>74</v>
      </c>
      <c r="I1094" t="s">
        <v>20349</v>
      </c>
      <c r="J1094" t="s">
        <v>15616</v>
      </c>
      <c r="K1094" t="s">
        <v>15617</v>
      </c>
      <c r="L1094" t="s">
        <v>74</v>
      </c>
      <c r="M1094" t="s">
        <v>79</v>
      </c>
      <c r="N1094" t="s">
        <v>80</v>
      </c>
      <c r="O1094" t="s">
        <v>15618</v>
      </c>
      <c r="P1094" t="s">
        <v>15619</v>
      </c>
      <c r="Q1094" t="s">
        <v>15620</v>
      </c>
      <c r="R1094" t="s">
        <v>15621</v>
      </c>
      <c r="S1094" t="s">
        <v>74</v>
      </c>
      <c r="T1094" t="s">
        <v>20350</v>
      </c>
      <c r="U1094" t="s">
        <v>74</v>
      </c>
      <c r="V1094" t="s">
        <v>20351</v>
      </c>
      <c r="W1094" t="s">
        <v>20352</v>
      </c>
      <c r="X1094" t="s">
        <v>20353</v>
      </c>
      <c r="Y1094" t="s">
        <v>20354</v>
      </c>
      <c r="Z1094" t="s">
        <v>20355</v>
      </c>
      <c r="AA1094" t="s">
        <v>20356</v>
      </c>
      <c r="AB1094" t="s">
        <v>20357</v>
      </c>
      <c r="AC1094" t="s">
        <v>20358</v>
      </c>
      <c r="AD1094" t="s">
        <v>20359</v>
      </c>
      <c r="AE1094" t="s">
        <v>20360</v>
      </c>
      <c r="AF1094" t="s">
        <v>74</v>
      </c>
      <c r="AG1094">
        <v>26</v>
      </c>
      <c r="AH1094">
        <v>0</v>
      </c>
      <c r="AI1094">
        <v>0</v>
      </c>
      <c r="AJ1094">
        <v>0</v>
      </c>
      <c r="AK1094">
        <v>0</v>
      </c>
      <c r="AL1094" t="s">
        <v>284</v>
      </c>
      <c r="AM1094" t="s">
        <v>93</v>
      </c>
      <c r="AN1094" t="s">
        <v>299</v>
      </c>
      <c r="AO1094" t="s">
        <v>15630</v>
      </c>
      <c r="AP1094" t="s">
        <v>74</v>
      </c>
      <c r="AQ1094" t="s">
        <v>15631</v>
      </c>
      <c r="AR1094" t="s">
        <v>15632</v>
      </c>
      <c r="AS1094" t="s">
        <v>74</v>
      </c>
      <c r="AT1094" t="s">
        <v>74</v>
      </c>
      <c r="AU1094">
        <v>2023</v>
      </c>
      <c r="AV1094" t="s">
        <v>74</v>
      </c>
      <c r="AW1094" t="s">
        <v>74</v>
      </c>
      <c r="AX1094" t="s">
        <v>74</v>
      </c>
      <c r="AY1094" t="s">
        <v>74</v>
      </c>
      <c r="AZ1094" t="s">
        <v>74</v>
      </c>
      <c r="BA1094" t="s">
        <v>74</v>
      </c>
      <c r="BB1094" t="s">
        <v>74</v>
      </c>
      <c r="BC1094" t="s">
        <v>74</v>
      </c>
      <c r="BD1094" t="s">
        <v>74</v>
      </c>
      <c r="BE1094" t="s">
        <v>20361</v>
      </c>
      <c r="BF1094" t="str">
        <f>HYPERLINK("http://dx.doi.org/10.1109/IJCNN54540.2023.10191835","http://dx.doi.org/10.1109/IJCNN54540.2023.10191835")</f>
        <v>http://dx.doi.org/10.1109/IJCNN54540.2023.10191835</v>
      </c>
      <c r="BG1094" t="s">
        <v>74</v>
      </c>
      <c r="BH1094" t="s">
        <v>74</v>
      </c>
      <c r="BI1094">
        <v>8</v>
      </c>
      <c r="BJ1094" t="s">
        <v>15634</v>
      </c>
      <c r="BK1094" t="s">
        <v>98</v>
      </c>
      <c r="BL1094" t="s">
        <v>906</v>
      </c>
      <c r="BM1094" t="s">
        <v>15635</v>
      </c>
      <c r="BN1094" t="s">
        <v>74</v>
      </c>
      <c r="BO1094" t="s">
        <v>74</v>
      </c>
      <c r="BP1094" t="s">
        <v>74</v>
      </c>
      <c r="BQ1094" t="s">
        <v>74</v>
      </c>
      <c r="BR1094" t="s">
        <v>101</v>
      </c>
      <c r="BS1094" t="s">
        <v>20362</v>
      </c>
      <c r="BT1094" t="str">
        <f>HYPERLINK("https%3A%2F%2Fwww.webofscience.com%2Fwos%2Fwoscc%2Ffull-record%2FWOS:001046198706030","View Full Record in Web of Science")</f>
        <v>View Full Record in Web of Science</v>
      </c>
    </row>
    <row r="1095" spans="1:72" x14ac:dyDescent="0.2">
      <c r="A1095" t="s">
        <v>103</v>
      </c>
      <c r="B1095" t="s">
        <v>20363</v>
      </c>
      <c r="C1095" t="s">
        <v>74</v>
      </c>
      <c r="D1095" t="s">
        <v>74</v>
      </c>
      <c r="E1095" t="s">
        <v>74</v>
      </c>
      <c r="F1095" t="s">
        <v>20364</v>
      </c>
      <c r="G1095" t="s">
        <v>74</v>
      </c>
      <c r="H1095" t="s">
        <v>74</v>
      </c>
      <c r="I1095" t="s">
        <v>20365</v>
      </c>
      <c r="J1095" t="s">
        <v>3704</v>
      </c>
      <c r="K1095" t="s">
        <v>74</v>
      </c>
      <c r="L1095" t="s">
        <v>74</v>
      </c>
      <c r="M1095" t="s">
        <v>79</v>
      </c>
      <c r="N1095" t="s">
        <v>108</v>
      </c>
      <c r="O1095" t="s">
        <v>74</v>
      </c>
      <c r="P1095" t="s">
        <v>74</v>
      </c>
      <c r="Q1095" t="s">
        <v>74</v>
      </c>
      <c r="R1095" t="s">
        <v>74</v>
      </c>
      <c r="S1095" t="s">
        <v>74</v>
      </c>
      <c r="T1095" t="s">
        <v>20366</v>
      </c>
      <c r="U1095" t="s">
        <v>74</v>
      </c>
      <c r="V1095" t="s">
        <v>74</v>
      </c>
      <c r="W1095" t="s">
        <v>20367</v>
      </c>
      <c r="X1095" t="s">
        <v>3357</v>
      </c>
      <c r="Y1095" t="s">
        <v>20368</v>
      </c>
      <c r="Z1095" t="s">
        <v>20369</v>
      </c>
      <c r="AA1095" t="s">
        <v>74</v>
      </c>
      <c r="AB1095" t="s">
        <v>74</v>
      </c>
      <c r="AC1095" t="s">
        <v>74</v>
      </c>
      <c r="AD1095" t="s">
        <v>74</v>
      </c>
      <c r="AE1095" t="s">
        <v>74</v>
      </c>
      <c r="AF1095" t="s">
        <v>74</v>
      </c>
      <c r="AG1095">
        <v>14</v>
      </c>
      <c r="AH1095">
        <v>1</v>
      </c>
      <c r="AI1095">
        <v>1</v>
      </c>
      <c r="AJ1095">
        <v>10</v>
      </c>
      <c r="AK1095">
        <v>10</v>
      </c>
      <c r="AL1095" t="s">
        <v>244</v>
      </c>
      <c r="AM1095" t="s">
        <v>245</v>
      </c>
      <c r="AN1095" t="s">
        <v>246</v>
      </c>
      <c r="AO1095" t="s">
        <v>3713</v>
      </c>
      <c r="AP1095" t="s">
        <v>3714</v>
      </c>
      <c r="AQ1095" t="s">
        <v>74</v>
      </c>
      <c r="AR1095" t="s">
        <v>3704</v>
      </c>
      <c r="AS1095" t="s">
        <v>3715</v>
      </c>
      <c r="AT1095" t="s">
        <v>2016</v>
      </c>
      <c r="AU1095">
        <v>2024</v>
      </c>
      <c r="AV1095">
        <v>68</v>
      </c>
      <c r="AW1095">
        <v>1</v>
      </c>
      <c r="AX1095" t="s">
        <v>74</v>
      </c>
      <c r="AY1095" t="s">
        <v>74</v>
      </c>
      <c r="AZ1095" t="s">
        <v>253</v>
      </c>
      <c r="BA1095" t="s">
        <v>74</v>
      </c>
      <c r="BB1095">
        <v>5</v>
      </c>
      <c r="BC1095">
        <v>11</v>
      </c>
      <c r="BD1095" t="s">
        <v>74</v>
      </c>
      <c r="BE1095" t="s">
        <v>20370</v>
      </c>
      <c r="BF1095" t="str">
        <f>HYPERLINK("http://dx.doi.org/10.1007/s11528-023-00921-2","http://dx.doi.org/10.1007/s11528-023-00921-2")</f>
        <v>http://dx.doi.org/10.1007/s11528-023-00921-2</v>
      </c>
      <c r="BG1095" t="s">
        <v>74</v>
      </c>
      <c r="BH1095" t="s">
        <v>128</v>
      </c>
      <c r="BI1095">
        <v>7</v>
      </c>
      <c r="BJ1095" t="s">
        <v>423</v>
      </c>
      <c r="BK1095" t="s">
        <v>352</v>
      </c>
      <c r="BL1095" t="s">
        <v>423</v>
      </c>
      <c r="BM1095" t="s">
        <v>3717</v>
      </c>
      <c r="BN1095" t="s">
        <v>74</v>
      </c>
      <c r="BO1095" t="s">
        <v>74</v>
      </c>
      <c r="BP1095" t="s">
        <v>74</v>
      </c>
      <c r="BQ1095" t="s">
        <v>74</v>
      </c>
      <c r="BR1095" t="s">
        <v>101</v>
      </c>
      <c r="BS1095" t="s">
        <v>20371</v>
      </c>
      <c r="BT1095" t="str">
        <f>HYPERLINK("https%3A%2F%2Fwww.webofscience.com%2Fwos%2Fwoscc%2Ffull-record%2FWOS:001129611500001","View Full Record in Web of Science")</f>
        <v>View Full Record in Web of Science</v>
      </c>
    </row>
    <row r="1096" spans="1:72" x14ac:dyDescent="0.2">
      <c r="A1096" t="s">
        <v>103</v>
      </c>
      <c r="B1096" t="s">
        <v>20328</v>
      </c>
      <c r="C1096" t="s">
        <v>74</v>
      </c>
      <c r="D1096" t="s">
        <v>74</v>
      </c>
      <c r="E1096" t="s">
        <v>74</v>
      </c>
      <c r="F1096" t="s">
        <v>20329</v>
      </c>
      <c r="G1096" t="s">
        <v>74</v>
      </c>
      <c r="H1096" t="s">
        <v>74</v>
      </c>
      <c r="I1096" t="s">
        <v>20372</v>
      </c>
      <c r="J1096" t="s">
        <v>20331</v>
      </c>
      <c r="K1096" t="s">
        <v>74</v>
      </c>
      <c r="L1096" t="s">
        <v>74</v>
      </c>
      <c r="M1096" t="s">
        <v>79</v>
      </c>
      <c r="N1096" t="s">
        <v>108</v>
      </c>
      <c r="O1096" t="s">
        <v>74</v>
      </c>
      <c r="P1096" t="s">
        <v>74</v>
      </c>
      <c r="Q1096" t="s">
        <v>74</v>
      </c>
      <c r="R1096" t="s">
        <v>74</v>
      </c>
      <c r="S1096" t="s">
        <v>74</v>
      </c>
      <c r="T1096" t="s">
        <v>74</v>
      </c>
      <c r="U1096" t="s">
        <v>20332</v>
      </c>
      <c r="V1096" t="s">
        <v>20373</v>
      </c>
      <c r="W1096" t="s">
        <v>20334</v>
      </c>
      <c r="X1096" t="s">
        <v>20335</v>
      </c>
      <c r="Y1096" t="s">
        <v>20336</v>
      </c>
      <c r="Z1096" t="s">
        <v>20337</v>
      </c>
      <c r="AA1096" t="s">
        <v>74</v>
      </c>
      <c r="AB1096" t="s">
        <v>74</v>
      </c>
      <c r="AC1096" t="s">
        <v>74</v>
      </c>
      <c r="AD1096" t="s">
        <v>74</v>
      </c>
      <c r="AE1096" t="s">
        <v>74</v>
      </c>
      <c r="AF1096" t="s">
        <v>74</v>
      </c>
      <c r="AG1096">
        <v>51</v>
      </c>
      <c r="AH1096">
        <v>0</v>
      </c>
      <c r="AI1096">
        <v>0</v>
      </c>
      <c r="AJ1096">
        <v>3</v>
      </c>
      <c r="AK1096">
        <v>3</v>
      </c>
      <c r="AL1096" t="s">
        <v>20338</v>
      </c>
      <c r="AM1096" t="s">
        <v>20339</v>
      </c>
      <c r="AN1096" t="s">
        <v>20340</v>
      </c>
      <c r="AO1096" t="s">
        <v>20341</v>
      </c>
      <c r="AP1096" t="s">
        <v>20342</v>
      </c>
      <c r="AQ1096" t="s">
        <v>74</v>
      </c>
      <c r="AR1096" t="s">
        <v>20343</v>
      </c>
      <c r="AS1096" t="s">
        <v>20344</v>
      </c>
      <c r="AT1096" t="s">
        <v>74</v>
      </c>
      <c r="AU1096">
        <v>2023</v>
      </c>
      <c r="AV1096">
        <v>44</v>
      </c>
      <c r="AW1096" t="s">
        <v>74</v>
      </c>
      <c r="AX1096" t="s">
        <v>74</v>
      </c>
      <c r="AY1096" t="s">
        <v>74</v>
      </c>
      <c r="AZ1096" t="s">
        <v>74</v>
      </c>
      <c r="BA1096" t="s">
        <v>74</v>
      </c>
      <c r="BB1096">
        <v>120</v>
      </c>
      <c r="BC1096">
        <v>149</v>
      </c>
      <c r="BD1096" t="s">
        <v>74</v>
      </c>
      <c r="BE1096" t="s">
        <v>74</v>
      </c>
      <c r="BF1096" t="s">
        <v>74</v>
      </c>
      <c r="BG1096" t="s">
        <v>74</v>
      </c>
      <c r="BH1096" t="s">
        <v>74</v>
      </c>
      <c r="BI1096">
        <v>30</v>
      </c>
      <c r="BJ1096" t="s">
        <v>469</v>
      </c>
      <c r="BK1096" t="s">
        <v>352</v>
      </c>
      <c r="BL1096" t="s">
        <v>470</v>
      </c>
      <c r="BM1096" t="s">
        <v>20374</v>
      </c>
      <c r="BN1096" t="s">
        <v>74</v>
      </c>
      <c r="BO1096" t="s">
        <v>74</v>
      </c>
      <c r="BP1096" t="s">
        <v>74</v>
      </c>
      <c r="BQ1096" t="s">
        <v>74</v>
      </c>
      <c r="BR1096" t="s">
        <v>101</v>
      </c>
      <c r="BS1096" t="s">
        <v>20375</v>
      </c>
      <c r="BT1096" t="str">
        <f>HYPERLINK("https%3A%2F%2Fwww.webofscience.com%2Fwos%2Fwoscc%2Ffull-record%2FWOS:001027465400006","View Full Record in Web of Science")</f>
        <v>View Full Record in Web of Science</v>
      </c>
    </row>
    <row r="1097" spans="1:72" x14ac:dyDescent="0.2">
      <c r="A1097" t="s">
        <v>103</v>
      </c>
      <c r="B1097" t="s">
        <v>20376</v>
      </c>
      <c r="C1097" t="s">
        <v>74</v>
      </c>
      <c r="D1097" t="s">
        <v>74</v>
      </c>
      <c r="E1097" t="s">
        <v>74</v>
      </c>
      <c r="F1097" t="s">
        <v>20377</v>
      </c>
      <c r="G1097" t="s">
        <v>74</v>
      </c>
      <c r="H1097" t="s">
        <v>74</v>
      </c>
      <c r="I1097" t="s">
        <v>20378</v>
      </c>
      <c r="J1097" t="s">
        <v>20379</v>
      </c>
      <c r="K1097" t="s">
        <v>74</v>
      </c>
      <c r="L1097" t="s">
        <v>74</v>
      </c>
      <c r="M1097" t="s">
        <v>79</v>
      </c>
      <c r="N1097" t="s">
        <v>138</v>
      </c>
      <c r="O1097" t="s">
        <v>74</v>
      </c>
      <c r="P1097" t="s">
        <v>74</v>
      </c>
      <c r="Q1097" t="s">
        <v>74</v>
      </c>
      <c r="R1097" t="s">
        <v>74</v>
      </c>
      <c r="S1097" t="s">
        <v>74</v>
      </c>
      <c r="T1097" t="s">
        <v>20380</v>
      </c>
      <c r="U1097" t="s">
        <v>20381</v>
      </c>
      <c r="V1097" t="s">
        <v>20382</v>
      </c>
      <c r="W1097" t="s">
        <v>20383</v>
      </c>
      <c r="X1097" t="s">
        <v>20384</v>
      </c>
      <c r="Y1097" t="s">
        <v>20385</v>
      </c>
      <c r="Z1097" t="s">
        <v>20386</v>
      </c>
      <c r="AA1097" t="s">
        <v>74</v>
      </c>
      <c r="AB1097" t="s">
        <v>20387</v>
      </c>
      <c r="AC1097" t="s">
        <v>74</v>
      </c>
      <c r="AD1097" t="s">
        <v>74</v>
      </c>
      <c r="AE1097" t="s">
        <v>74</v>
      </c>
      <c r="AF1097" t="s">
        <v>74</v>
      </c>
      <c r="AG1097">
        <v>19</v>
      </c>
      <c r="AH1097">
        <v>0</v>
      </c>
      <c r="AI1097">
        <v>0</v>
      </c>
      <c r="AJ1097">
        <v>0</v>
      </c>
      <c r="AK1097">
        <v>0</v>
      </c>
      <c r="AL1097" t="s">
        <v>343</v>
      </c>
      <c r="AM1097" t="s">
        <v>93</v>
      </c>
      <c r="AN1097" t="s">
        <v>344</v>
      </c>
      <c r="AO1097" t="s">
        <v>20388</v>
      </c>
      <c r="AP1097" t="s">
        <v>20389</v>
      </c>
      <c r="AQ1097" t="s">
        <v>74</v>
      </c>
      <c r="AR1097" t="s">
        <v>20390</v>
      </c>
      <c r="AS1097" t="s">
        <v>20391</v>
      </c>
      <c r="AT1097" t="s">
        <v>3248</v>
      </c>
      <c r="AU1097">
        <v>2023</v>
      </c>
      <c r="AV1097" t="s">
        <v>74</v>
      </c>
      <c r="AW1097" t="s">
        <v>74</v>
      </c>
      <c r="AX1097" t="s">
        <v>74</v>
      </c>
      <c r="AY1097" t="s">
        <v>74</v>
      </c>
      <c r="AZ1097" t="s">
        <v>74</v>
      </c>
      <c r="BA1097" t="s">
        <v>74</v>
      </c>
      <c r="BB1097" t="s">
        <v>74</v>
      </c>
      <c r="BC1097" t="s">
        <v>74</v>
      </c>
      <c r="BD1097" t="s">
        <v>74</v>
      </c>
      <c r="BE1097" t="s">
        <v>20392</v>
      </c>
      <c r="BF1097" t="str">
        <f>HYPERLINK("http://dx.doi.org/10.1007/s00256-023-04501-6","http://dx.doi.org/10.1007/s00256-023-04501-6")</f>
        <v>http://dx.doi.org/10.1007/s00256-023-04501-6</v>
      </c>
      <c r="BG1097" t="s">
        <v>74</v>
      </c>
      <c r="BH1097" t="s">
        <v>157</v>
      </c>
      <c r="BI1097">
        <v>9</v>
      </c>
      <c r="BJ1097" t="s">
        <v>20393</v>
      </c>
      <c r="BK1097" t="s">
        <v>130</v>
      </c>
      <c r="BL1097" t="s">
        <v>20393</v>
      </c>
      <c r="BM1097" t="s">
        <v>20394</v>
      </c>
      <c r="BN1097">
        <v>37996559</v>
      </c>
      <c r="BO1097" t="s">
        <v>74</v>
      </c>
      <c r="BP1097" t="s">
        <v>74</v>
      </c>
      <c r="BQ1097" t="s">
        <v>74</v>
      </c>
      <c r="BR1097" t="s">
        <v>101</v>
      </c>
      <c r="BS1097" t="s">
        <v>20395</v>
      </c>
      <c r="BT1097" t="str">
        <f>HYPERLINK("https%3A%2F%2Fwww.webofscience.com%2Fwos%2Fwoscc%2Ffull-record%2FWOS:001105612800001","View Full Record in Web of Science")</f>
        <v>View Full Record in Web of Science</v>
      </c>
    </row>
    <row r="1098" spans="1:72" x14ac:dyDescent="0.2">
      <c r="A1098" t="s">
        <v>103</v>
      </c>
      <c r="B1098" t="s">
        <v>20396</v>
      </c>
      <c r="C1098" t="s">
        <v>74</v>
      </c>
      <c r="D1098" t="s">
        <v>74</v>
      </c>
      <c r="E1098" t="s">
        <v>74</v>
      </c>
      <c r="F1098" t="s">
        <v>20397</v>
      </c>
      <c r="G1098" t="s">
        <v>74</v>
      </c>
      <c r="H1098" t="s">
        <v>74</v>
      </c>
      <c r="I1098" t="s">
        <v>20398</v>
      </c>
      <c r="J1098" t="s">
        <v>20399</v>
      </c>
      <c r="K1098" t="s">
        <v>74</v>
      </c>
      <c r="L1098" t="s">
        <v>74</v>
      </c>
      <c r="M1098" t="s">
        <v>79</v>
      </c>
      <c r="N1098" t="s">
        <v>108</v>
      </c>
      <c r="O1098" t="s">
        <v>74</v>
      </c>
      <c r="P1098" t="s">
        <v>74</v>
      </c>
      <c r="Q1098" t="s">
        <v>74</v>
      </c>
      <c r="R1098" t="s">
        <v>74</v>
      </c>
      <c r="S1098" t="s">
        <v>74</v>
      </c>
      <c r="T1098" t="s">
        <v>74</v>
      </c>
      <c r="U1098" t="s">
        <v>74</v>
      </c>
      <c r="V1098" t="s">
        <v>20400</v>
      </c>
      <c r="W1098" t="s">
        <v>20401</v>
      </c>
      <c r="X1098" t="s">
        <v>20402</v>
      </c>
      <c r="Y1098" t="s">
        <v>20403</v>
      </c>
      <c r="Z1098" t="s">
        <v>20404</v>
      </c>
      <c r="AA1098" t="s">
        <v>74</v>
      </c>
      <c r="AB1098" t="s">
        <v>74</v>
      </c>
      <c r="AC1098" t="s">
        <v>20405</v>
      </c>
      <c r="AD1098" t="s">
        <v>20405</v>
      </c>
      <c r="AE1098" t="s">
        <v>20406</v>
      </c>
      <c r="AF1098" t="s">
        <v>74</v>
      </c>
      <c r="AG1098">
        <v>45</v>
      </c>
      <c r="AH1098">
        <v>0</v>
      </c>
      <c r="AI1098">
        <v>0</v>
      </c>
      <c r="AJ1098">
        <v>4</v>
      </c>
      <c r="AK1098">
        <v>4</v>
      </c>
      <c r="AL1098" t="s">
        <v>20407</v>
      </c>
      <c r="AM1098" t="s">
        <v>149</v>
      </c>
      <c r="AN1098" t="s">
        <v>20408</v>
      </c>
      <c r="AO1098" t="s">
        <v>20409</v>
      </c>
      <c r="AP1098" t="s">
        <v>20410</v>
      </c>
      <c r="AQ1098" t="s">
        <v>74</v>
      </c>
      <c r="AR1098" t="s">
        <v>20411</v>
      </c>
      <c r="AS1098" t="s">
        <v>20412</v>
      </c>
      <c r="AT1098" t="s">
        <v>7209</v>
      </c>
      <c r="AU1098">
        <v>2023</v>
      </c>
      <c r="AV1098">
        <v>2023</v>
      </c>
      <c r="AW1098" t="s">
        <v>74</v>
      </c>
      <c r="AX1098" t="s">
        <v>74</v>
      </c>
      <c r="AY1098" t="s">
        <v>74</v>
      </c>
      <c r="AZ1098" t="s">
        <v>74</v>
      </c>
      <c r="BA1098" t="s">
        <v>74</v>
      </c>
      <c r="BB1098" t="s">
        <v>74</v>
      </c>
      <c r="BC1098" t="s">
        <v>74</v>
      </c>
      <c r="BD1098">
        <v>9351345</v>
      </c>
      <c r="BE1098" t="s">
        <v>20413</v>
      </c>
      <c r="BF1098" t="str">
        <f>HYPERLINK("http://dx.doi.org/10.1155/2023/9351345","http://dx.doi.org/10.1155/2023/9351345")</f>
        <v>http://dx.doi.org/10.1155/2023/9351345</v>
      </c>
      <c r="BG1098" t="s">
        <v>74</v>
      </c>
      <c r="BH1098" t="s">
        <v>74</v>
      </c>
      <c r="BI1098">
        <v>11</v>
      </c>
      <c r="BJ1098" t="s">
        <v>230</v>
      </c>
      <c r="BK1098" t="s">
        <v>352</v>
      </c>
      <c r="BL1098" t="s">
        <v>99</v>
      </c>
      <c r="BM1098" t="s">
        <v>20414</v>
      </c>
      <c r="BN1098" t="s">
        <v>74</v>
      </c>
      <c r="BO1098" t="s">
        <v>425</v>
      </c>
      <c r="BP1098" t="s">
        <v>74</v>
      </c>
      <c r="BQ1098" t="s">
        <v>74</v>
      </c>
      <c r="BR1098" t="s">
        <v>101</v>
      </c>
      <c r="BS1098" t="s">
        <v>20415</v>
      </c>
      <c r="BT1098" t="str">
        <f>HYPERLINK("https%3A%2F%2Fwww.webofscience.com%2Fwos%2Fwoscc%2Ffull-record%2FWOS:001069151000001","View Full Record in Web of Science")</f>
        <v>View Full Record in Web of Science</v>
      </c>
    </row>
    <row r="1099" spans="1:72" x14ac:dyDescent="0.2">
      <c r="A1099" t="s">
        <v>103</v>
      </c>
      <c r="B1099" t="s">
        <v>20416</v>
      </c>
      <c r="C1099" t="s">
        <v>74</v>
      </c>
      <c r="D1099" t="s">
        <v>74</v>
      </c>
      <c r="E1099" t="s">
        <v>74</v>
      </c>
      <c r="F1099" t="s">
        <v>20417</v>
      </c>
      <c r="G1099" t="s">
        <v>74</v>
      </c>
      <c r="H1099" t="s">
        <v>74</v>
      </c>
      <c r="I1099" t="s">
        <v>20418</v>
      </c>
      <c r="J1099" t="s">
        <v>3782</v>
      </c>
      <c r="K1099" t="s">
        <v>74</v>
      </c>
      <c r="L1099" t="s">
        <v>74</v>
      </c>
      <c r="M1099" t="s">
        <v>79</v>
      </c>
      <c r="N1099" t="s">
        <v>108</v>
      </c>
      <c r="O1099" t="s">
        <v>74</v>
      </c>
      <c r="P1099" t="s">
        <v>74</v>
      </c>
      <c r="Q1099" t="s">
        <v>74</v>
      </c>
      <c r="R1099" t="s">
        <v>74</v>
      </c>
      <c r="S1099" t="s">
        <v>74</v>
      </c>
      <c r="T1099" t="s">
        <v>20419</v>
      </c>
      <c r="U1099" t="s">
        <v>20253</v>
      </c>
      <c r="V1099" t="s">
        <v>20420</v>
      </c>
      <c r="W1099" t="s">
        <v>20421</v>
      </c>
      <c r="X1099" t="s">
        <v>20422</v>
      </c>
      <c r="Y1099" t="s">
        <v>12977</v>
      </c>
      <c r="Z1099" t="s">
        <v>20423</v>
      </c>
      <c r="AA1099" t="s">
        <v>20424</v>
      </c>
      <c r="AB1099" t="s">
        <v>20425</v>
      </c>
      <c r="AC1099" t="s">
        <v>74</v>
      </c>
      <c r="AD1099" t="s">
        <v>74</v>
      </c>
      <c r="AE1099" t="s">
        <v>74</v>
      </c>
      <c r="AF1099" t="s">
        <v>74</v>
      </c>
      <c r="AG1099">
        <v>94</v>
      </c>
      <c r="AH1099">
        <v>1</v>
      </c>
      <c r="AI1099">
        <v>1</v>
      </c>
      <c r="AJ1099">
        <v>0</v>
      </c>
      <c r="AK1099">
        <v>0</v>
      </c>
      <c r="AL1099" t="s">
        <v>1379</v>
      </c>
      <c r="AM1099" t="s">
        <v>1380</v>
      </c>
      <c r="AN1099" t="s">
        <v>1381</v>
      </c>
      <c r="AO1099" t="s">
        <v>3794</v>
      </c>
      <c r="AP1099" t="s">
        <v>3795</v>
      </c>
      <c r="AQ1099" t="s">
        <v>74</v>
      </c>
      <c r="AR1099" t="s">
        <v>3796</v>
      </c>
      <c r="AS1099" t="s">
        <v>3797</v>
      </c>
      <c r="AT1099" t="s">
        <v>74</v>
      </c>
      <c r="AU1099">
        <v>2023</v>
      </c>
      <c r="AV1099">
        <v>25</v>
      </c>
      <c r="AW1099" t="s">
        <v>74</v>
      </c>
      <c r="AX1099" t="s">
        <v>74</v>
      </c>
      <c r="AY1099" t="s">
        <v>74</v>
      </c>
      <c r="AZ1099" t="s">
        <v>74</v>
      </c>
      <c r="BA1099" t="s">
        <v>74</v>
      </c>
      <c r="BB1099">
        <v>3737</v>
      </c>
      <c r="BC1099">
        <v>3752</v>
      </c>
      <c r="BD1099" t="s">
        <v>74</v>
      </c>
      <c r="BE1099" t="s">
        <v>20426</v>
      </c>
      <c r="BF1099" t="str">
        <f>HYPERLINK("http://dx.doi.org/10.1109/TMM.2022.3164785","http://dx.doi.org/10.1109/TMM.2022.3164785")</f>
        <v>http://dx.doi.org/10.1109/TMM.2022.3164785</v>
      </c>
      <c r="BG1099" t="s">
        <v>74</v>
      </c>
      <c r="BH1099" t="s">
        <v>74</v>
      </c>
      <c r="BI1099">
        <v>16</v>
      </c>
      <c r="BJ1099" t="s">
        <v>3799</v>
      </c>
      <c r="BK1099" t="s">
        <v>130</v>
      </c>
      <c r="BL1099" t="s">
        <v>644</v>
      </c>
      <c r="BM1099" t="s">
        <v>20427</v>
      </c>
      <c r="BN1099" t="s">
        <v>74</v>
      </c>
      <c r="BO1099" t="s">
        <v>646</v>
      </c>
      <c r="BP1099" t="s">
        <v>74</v>
      </c>
      <c r="BQ1099" t="s">
        <v>74</v>
      </c>
      <c r="BR1099" t="s">
        <v>101</v>
      </c>
      <c r="BS1099" t="s">
        <v>20428</v>
      </c>
      <c r="BT1099" t="str">
        <f>HYPERLINK("https%3A%2F%2Fwww.webofscience.com%2Fwos%2Fwoscc%2Ffull-record%2FWOS:001144015500016","View Full Record in Web of Science")</f>
        <v>View Full Record in Web of Science</v>
      </c>
    </row>
    <row r="1100" spans="1:72" x14ac:dyDescent="0.2">
      <c r="A1100" t="s">
        <v>72</v>
      </c>
      <c r="B1100" t="s">
        <v>20429</v>
      </c>
      <c r="C1100" t="s">
        <v>74</v>
      </c>
      <c r="D1100" t="s">
        <v>74</v>
      </c>
      <c r="E1100" t="s">
        <v>284</v>
      </c>
      <c r="F1100" t="s">
        <v>20430</v>
      </c>
      <c r="G1100" t="s">
        <v>74</v>
      </c>
      <c r="H1100" t="s">
        <v>74</v>
      </c>
      <c r="I1100" t="s">
        <v>20431</v>
      </c>
      <c r="J1100" t="s">
        <v>17719</v>
      </c>
      <c r="K1100" t="s">
        <v>17720</v>
      </c>
      <c r="L1100" t="s">
        <v>74</v>
      </c>
      <c r="M1100" t="s">
        <v>79</v>
      </c>
      <c r="N1100" t="s">
        <v>80</v>
      </c>
      <c r="O1100" t="s">
        <v>17721</v>
      </c>
      <c r="P1100" t="s">
        <v>17722</v>
      </c>
      <c r="Q1100" t="s">
        <v>169</v>
      </c>
      <c r="R1100" t="s">
        <v>284</v>
      </c>
      <c r="S1100" t="s">
        <v>74</v>
      </c>
      <c r="T1100" t="s">
        <v>20432</v>
      </c>
      <c r="U1100" t="s">
        <v>74</v>
      </c>
      <c r="V1100" t="s">
        <v>20433</v>
      </c>
      <c r="W1100" t="s">
        <v>20434</v>
      </c>
      <c r="X1100" t="s">
        <v>20435</v>
      </c>
      <c r="Y1100" t="s">
        <v>20436</v>
      </c>
      <c r="Z1100" t="s">
        <v>20437</v>
      </c>
      <c r="AA1100" t="s">
        <v>74</v>
      </c>
      <c r="AB1100" t="s">
        <v>74</v>
      </c>
      <c r="AC1100" t="s">
        <v>20438</v>
      </c>
      <c r="AD1100" t="s">
        <v>20439</v>
      </c>
      <c r="AE1100" t="s">
        <v>20440</v>
      </c>
      <c r="AF1100" t="s">
        <v>74</v>
      </c>
      <c r="AG1100">
        <v>35</v>
      </c>
      <c r="AH1100">
        <v>0</v>
      </c>
      <c r="AI1100">
        <v>0</v>
      </c>
      <c r="AJ1100">
        <v>0</v>
      </c>
      <c r="AK1100">
        <v>0</v>
      </c>
      <c r="AL1100" t="s">
        <v>284</v>
      </c>
      <c r="AM1100" t="s">
        <v>93</v>
      </c>
      <c r="AN1100" t="s">
        <v>299</v>
      </c>
      <c r="AO1100" t="s">
        <v>17728</v>
      </c>
      <c r="AP1100" t="s">
        <v>74</v>
      </c>
      <c r="AQ1100" t="s">
        <v>17729</v>
      </c>
      <c r="AR1100" t="s">
        <v>17730</v>
      </c>
      <c r="AS1100" t="s">
        <v>74</v>
      </c>
      <c r="AT1100" t="s">
        <v>74</v>
      </c>
      <c r="AU1100">
        <v>2023</v>
      </c>
      <c r="AV1100" t="s">
        <v>74</v>
      </c>
      <c r="AW1100" t="s">
        <v>74</v>
      </c>
      <c r="AX1100" t="s">
        <v>74</v>
      </c>
      <c r="AY1100" t="s">
        <v>74</v>
      </c>
      <c r="AZ1100" t="s">
        <v>74</v>
      </c>
      <c r="BA1100" t="s">
        <v>74</v>
      </c>
      <c r="BB1100" t="s">
        <v>74</v>
      </c>
      <c r="BC1100" t="s">
        <v>74</v>
      </c>
      <c r="BD1100" t="s">
        <v>74</v>
      </c>
      <c r="BE1100" t="s">
        <v>20441</v>
      </c>
      <c r="BF1100" t="str">
        <f>HYPERLINK("http://dx.doi.org/10.1109/HPEC58863.2023.10363448","http://dx.doi.org/10.1109/HPEC58863.2023.10363448")</f>
        <v>http://dx.doi.org/10.1109/HPEC58863.2023.10363448</v>
      </c>
      <c r="BG1100" t="s">
        <v>74</v>
      </c>
      <c r="BH1100" t="s">
        <v>74</v>
      </c>
      <c r="BI1100">
        <v>9</v>
      </c>
      <c r="BJ1100" t="s">
        <v>17732</v>
      </c>
      <c r="BK1100" t="s">
        <v>98</v>
      </c>
      <c r="BL1100" t="s">
        <v>906</v>
      </c>
      <c r="BM1100" t="s">
        <v>17733</v>
      </c>
      <c r="BN1100" t="s">
        <v>74</v>
      </c>
      <c r="BO1100" t="s">
        <v>74</v>
      </c>
      <c r="BP1100" t="s">
        <v>74</v>
      </c>
      <c r="BQ1100" t="s">
        <v>74</v>
      </c>
      <c r="BR1100" t="s">
        <v>101</v>
      </c>
      <c r="BS1100" t="s">
        <v>20442</v>
      </c>
      <c r="BT1100" t="str">
        <f>HYPERLINK("https%3A%2F%2Fwww.webofscience.com%2Fwos%2Fwoscc%2Ffull-record%2FWOS:001156959800004","View Full Record in Web of Science")</f>
        <v>View Full Record in Web of Science</v>
      </c>
    </row>
    <row r="1101" spans="1:72" x14ac:dyDescent="0.2">
      <c r="A1101" t="s">
        <v>103</v>
      </c>
      <c r="B1101" t="s">
        <v>20443</v>
      </c>
      <c r="C1101" t="s">
        <v>74</v>
      </c>
      <c r="D1101" t="s">
        <v>74</v>
      </c>
      <c r="E1101" t="s">
        <v>74</v>
      </c>
      <c r="F1101" t="s">
        <v>20444</v>
      </c>
      <c r="G1101" t="s">
        <v>74</v>
      </c>
      <c r="H1101" t="s">
        <v>74</v>
      </c>
      <c r="I1101" t="s">
        <v>20445</v>
      </c>
      <c r="J1101" t="s">
        <v>9756</v>
      </c>
      <c r="K1101" t="s">
        <v>74</v>
      </c>
      <c r="L1101" t="s">
        <v>74</v>
      </c>
      <c r="M1101" t="s">
        <v>79</v>
      </c>
      <c r="N1101" t="s">
        <v>108</v>
      </c>
      <c r="O1101" t="s">
        <v>74</v>
      </c>
      <c r="P1101" t="s">
        <v>74</v>
      </c>
      <c r="Q1101" t="s">
        <v>74</v>
      </c>
      <c r="R1101" t="s">
        <v>74</v>
      </c>
      <c r="S1101" t="s">
        <v>74</v>
      </c>
      <c r="T1101" t="s">
        <v>20446</v>
      </c>
      <c r="U1101" t="s">
        <v>20447</v>
      </c>
      <c r="V1101" t="s">
        <v>20448</v>
      </c>
      <c r="W1101" t="s">
        <v>20449</v>
      </c>
      <c r="X1101" t="s">
        <v>20450</v>
      </c>
      <c r="Y1101" t="s">
        <v>20451</v>
      </c>
      <c r="Z1101" t="s">
        <v>20452</v>
      </c>
      <c r="AA1101" t="s">
        <v>20453</v>
      </c>
      <c r="AB1101" t="s">
        <v>20454</v>
      </c>
      <c r="AC1101" t="s">
        <v>20455</v>
      </c>
      <c r="AD1101" t="s">
        <v>20456</v>
      </c>
      <c r="AE1101" t="s">
        <v>20457</v>
      </c>
      <c r="AF1101" t="s">
        <v>74</v>
      </c>
      <c r="AG1101">
        <v>28</v>
      </c>
      <c r="AH1101">
        <v>2</v>
      </c>
      <c r="AI1101">
        <v>2</v>
      </c>
      <c r="AJ1101">
        <v>12</v>
      </c>
      <c r="AK1101">
        <v>22</v>
      </c>
      <c r="AL1101" t="s">
        <v>148</v>
      </c>
      <c r="AM1101" t="s">
        <v>149</v>
      </c>
      <c r="AN1101" t="s">
        <v>150</v>
      </c>
      <c r="AO1101" t="s">
        <v>9765</v>
      </c>
      <c r="AP1101" t="s">
        <v>74</v>
      </c>
      <c r="AQ1101" t="s">
        <v>74</v>
      </c>
      <c r="AR1101" t="s">
        <v>9766</v>
      </c>
      <c r="AS1101" t="s">
        <v>9767</v>
      </c>
      <c r="AT1101" t="s">
        <v>74</v>
      </c>
      <c r="AU1101">
        <v>2023</v>
      </c>
      <c r="AV1101">
        <v>9</v>
      </c>
      <c r="AW1101" t="s">
        <v>74</v>
      </c>
      <c r="AX1101" t="s">
        <v>74</v>
      </c>
      <c r="AY1101" t="s">
        <v>74</v>
      </c>
      <c r="AZ1101" t="s">
        <v>74</v>
      </c>
      <c r="BA1101" t="s">
        <v>74</v>
      </c>
      <c r="BB1101" t="s">
        <v>74</v>
      </c>
      <c r="BC1101" t="s">
        <v>74</v>
      </c>
      <c r="BD1101">
        <v>2.05520762311705E+16</v>
      </c>
      <c r="BE1101" t="s">
        <v>20458</v>
      </c>
      <c r="BF1101" t="str">
        <f>HYPERLINK("http://dx.doi.org/10.1177/20552076231170499","http://dx.doi.org/10.1177/20552076231170499")</f>
        <v>http://dx.doi.org/10.1177/20552076231170499</v>
      </c>
      <c r="BG1101" t="s">
        <v>74</v>
      </c>
      <c r="BH1101" t="s">
        <v>74</v>
      </c>
      <c r="BI1101">
        <v>7</v>
      </c>
      <c r="BJ1101" t="s">
        <v>9769</v>
      </c>
      <c r="BK1101" t="s">
        <v>947</v>
      </c>
      <c r="BL1101" t="s">
        <v>9770</v>
      </c>
      <c r="BM1101" t="s">
        <v>20459</v>
      </c>
      <c r="BN1101">
        <v>37101589</v>
      </c>
      <c r="BO1101" t="s">
        <v>4185</v>
      </c>
      <c r="BP1101" t="s">
        <v>74</v>
      </c>
      <c r="BQ1101" t="s">
        <v>74</v>
      </c>
      <c r="BR1101" t="s">
        <v>101</v>
      </c>
      <c r="BS1101" t="s">
        <v>20460</v>
      </c>
      <c r="BT1101" t="str">
        <f>HYPERLINK("https%3A%2F%2Fwww.webofscience.com%2Fwos%2Fwoscc%2Ffull-record%2FWOS:000971561200001","View Full Record in Web of Science")</f>
        <v>View Full Record in Web of Science</v>
      </c>
    </row>
    <row r="1102" spans="1:72" x14ac:dyDescent="0.2">
      <c r="A1102" t="s">
        <v>103</v>
      </c>
      <c r="B1102" t="s">
        <v>20461</v>
      </c>
      <c r="C1102" t="s">
        <v>74</v>
      </c>
      <c r="D1102" t="s">
        <v>74</v>
      </c>
      <c r="E1102" t="s">
        <v>74</v>
      </c>
      <c r="F1102" t="s">
        <v>20462</v>
      </c>
      <c r="G1102" t="s">
        <v>74</v>
      </c>
      <c r="H1102" t="s">
        <v>74</v>
      </c>
      <c r="I1102" t="s">
        <v>20463</v>
      </c>
      <c r="J1102" t="s">
        <v>20464</v>
      </c>
      <c r="K1102" t="s">
        <v>74</v>
      </c>
      <c r="L1102" t="s">
        <v>74</v>
      </c>
      <c r="M1102" t="s">
        <v>79</v>
      </c>
      <c r="N1102" t="s">
        <v>108</v>
      </c>
      <c r="O1102" t="s">
        <v>74</v>
      </c>
      <c r="P1102" t="s">
        <v>74</v>
      </c>
      <c r="Q1102" t="s">
        <v>74</v>
      </c>
      <c r="R1102" t="s">
        <v>74</v>
      </c>
      <c r="S1102" t="s">
        <v>74</v>
      </c>
      <c r="T1102" t="s">
        <v>20465</v>
      </c>
      <c r="U1102" t="s">
        <v>20466</v>
      </c>
      <c r="V1102" t="s">
        <v>20467</v>
      </c>
      <c r="W1102" t="s">
        <v>20468</v>
      </c>
      <c r="X1102" t="s">
        <v>20469</v>
      </c>
      <c r="Y1102" t="s">
        <v>20470</v>
      </c>
      <c r="Z1102" t="s">
        <v>20471</v>
      </c>
      <c r="AA1102" t="s">
        <v>74</v>
      </c>
      <c r="AB1102" t="s">
        <v>74</v>
      </c>
      <c r="AC1102" t="s">
        <v>20472</v>
      </c>
      <c r="AD1102" t="s">
        <v>20473</v>
      </c>
      <c r="AE1102" t="s">
        <v>20474</v>
      </c>
      <c r="AF1102" t="s">
        <v>74</v>
      </c>
      <c r="AG1102">
        <v>54</v>
      </c>
      <c r="AH1102">
        <v>0</v>
      </c>
      <c r="AI1102">
        <v>0</v>
      </c>
      <c r="AJ1102">
        <v>104</v>
      </c>
      <c r="AK1102">
        <v>104</v>
      </c>
      <c r="AL1102" t="s">
        <v>2492</v>
      </c>
      <c r="AM1102" t="s">
        <v>461</v>
      </c>
      <c r="AN1102" t="s">
        <v>2493</v>
      </c>
      <c r="AO1102" t="s">
        <v>20475</v>
      </c>
      <c r="AP1102" t="s">
        <v>74</v>
      </c>
      <c r="AQ1102" t="s">
        <v>74</v>
      </c>
      <c r="AR1102" t="s">
        <v>20476</v>
      </c>
      <c r="AS1102" t="s">
        <v>20477</v>
      </c>
      <c r="AT1102" t="s">
        <v>11219</v>
      </c>
      <c r="AU1102">
        <v>2023</v>
      </c>
      <c r="AV1102">
        <v>14</v>
      </c>
      <c r="AW1102" t="s">
        <v>74</v>
      </c>
      <c r="AX1102" t="s">
        <v>74</v>
      </c>
      <c r="AY1102" t="s">
        <v>74</v>
      </c>
      <c r="AZ1102" t="s">
        <v>74</v>
      </c>
      <c r="BA1102" t="s">
        <v>74</v>
      </c>
      <c r="BB1102" t="s">
        <v>74</v>
      </c>
      <c r="BC1102" t="s">
        <v>74</v>
      </c>
      <c r="BD1102">
        <v>1277829</v>
      </c>
      <c r="BE1102" t="s">
        <v>20478</v>
      </c>
      <c r="BF1102" t="str">
        <f>HYPERLINK("http://dx.doi.org/10.3389/fpsyg.2023.1277829","http://dx.doi.org/10.3389/fpsyg.2023.1277829")</f>
        <v>http://dx.doi.org/10.3389/fpsyg.2023.1277829</v>
      </c>
      <c r="BG1102" t="s">
        <v>74</v>
      </c>
      <c r="BH1102" t="s">
        <v>74</v>
      </c>
      <c r="BI1102">
        <v>13</v>
      </c>
      <c r="BJ1102" t="s">
        <v>1161</v>
      </c>
      <c r="BK1102" t="s">
        <v>159</v>
      </c>
      <c r="BL1102" t="s">
        <v>1162</v>
      </c>
      <c r="BM1102" t="s">
        <v>20479</v>
      </c>
      <c r="BN1102">
        <v>38187414</v>
      </c>
      <c r="BO1102" t="s">
        <v>1728</v>
      </c>
      <c r="BP1102" t="s">
        <v>74</v>
      </c>
      <c r="BQ1102" t="s">
        <v>74</v>
      </c>
      <c r="BR1102" t="s">
        <v>101</v>
      </c>
      <c r="BS1102" t="s">
        <v>20480</v>
      </c>
      <c r="BT1102" t="str">
        <f>HYPERLINK("https%3A%2F%2Fwww.webofscience.com%2Fwos%2Fwoscc%2Ffull-record%2FWOS:001136339200001","View Full Record in Web of Science")</f>
        <v>View Full Record in Web of Science</v>
      </c>
    </row>
    <row r="1103" spans="1:72" x14ac:dyDescent="0.2">
      <c r="A1103" t="s">
        <v>103</v>
      </c>
      <c r="B1103" t="s">
        <v>20481</v>
      </c>
      <c r="C1103" t="s">
        <v>74</v>
      </c>
      <c r="D1103" t="s">
        <v>74</v>
      </c>
      <c r="E1103" t="s">
        <v>74</v>
      </c>
      <c r="F1103" t="s">
        <v>20482</v>
      </c>
      <c r="G1103" t="s">
        <v>74</v>
      </c>
      <c r="H1103" t="s">
        <v>74</v>
      </c>
      <c r="I1103" t="s">
        <v>20483</v>
      </c>
      <c r="J1103" t="s">
        <v>137</v>
      </c>
      <c r="K1103" t="s">
        <v>74</v>
      </c>
      <c r="L1103" t="s">
        <v>74</v>
      </c>
      <c r="M1103" t="s">
        <v>79</v>
      </c>
      <c r="N1103" t="s">
        <v>108</v>
      </c>
      <c r="O1103" t="s">
        <v>74</v>
      </c>
      <c r="P1103" t="s">
        <v>74</v>
      </c>
      <c r="Q1103" t="s">
        <v>74</v>
      </c>
      <c r="R1103" t="s">
        <v>74</v>
      </c>
      <c r="S1103" t="s">
        <v>74</v>
      </c>
      <c r="T1103" t="s">
        <v>20484</v>
      </c>
      <c r="U1103" t="s">
        <v>20485</v>
      </c>
      <c r="V1103" t="s">
        <v>20486</v>
      </c>
      <c r="W1103" t="s">
        <v>20487</v>
      </c>
      <c r="X1103" t="s">
        <v>20488</v>
      </c>
      <c r="Y1103" t="s">
        <v>20489</v>
      </c>
      <c r="Z1103" t="s">
        <v>20490</v>
      </c>
      <c r="AA1103" t="s">
        <v>74</v>
      </c>
      <c r="AB1103" t="s">
        <v>74</v>
      </c>
      <c r="AC1103" t="s">
        <v>74</v>
      </c>
      <c r="AD1103" t="s">
        <v>74</v>
      </c>
      <c r="AE1103" t="s">
        <v>74</v>
      </c>
      <c r="AF1103" t="s">
        <v>74</v>
      </c>
      <c r="AG1103">
        <v>57</v>
      </c>
      <c r="AH1103">
        <v>0</v>
      </c>
      <c r="AI1103">
        <v>0</v>
      </c>
      <c r="AJ1103">
        <v>2</v>
      </c>
      <c r="AK1103">
        <v>7</v>
      </c>
      <c r="AL1103" t="s">
        <v>148</v>
      </c>
      <c r="AM1103" t="s">
        <v>149</v>
      </c>
      <c r="AN1103" t="s">
        <v>150</v>
      </c>
      <c r="AO1103" t="s">
        <v>151</v>
      </c>
      <c r="AP1103" t="s">
        <v>152</v>
      </c>
      <c r="AQ1103" t="s">
        <v>74</v>
      </c>
      <c r="AR1103" t="s">
        <v>153</v>
      </c>
      <c r="AS1103" t="s">
        <v>154</v>
      </c>
      <c r="AT1103" t="s">
        <v>445</v>
      </c>
      <c r="AU1103">
        <v>2023</v>
      </c>
      <c r="AV1103">
        <v>25</v>
      </c>
      <c r="AW1103">
        <v>4</v>
      </c>
      <c r="AX1103" t="s">
        <v>74</v>
      </c>
      <c r="AY1103" t="s">
        <v>74</v>
      </c>
      <c r="AZ1103" t="s">
        <v>253</v>
      </c>
      <c r="BA1103" t="s">
        <v>74</v>
      </c>
      <c r="BB1103">
        <v>833</v>
      </c>
      <c r="BC1103">
        <v>848</v>
      </c>
      <c r="BD1103" t="s">
        <v>74</v>
      </c>
      <c r="BE1103" t="s">
        <v>20491</v>
      </c>
      <c r="BF1103" t="str">
        <f>HYPERLINK("http://dx.doi.org/10.1177/14614448231158642","http://dx.doi.org/10.1177/14614448231158642")</f>
        <v>http://dx.doi.org/10.1177/14614448231158642</v>
      </c>
      <c r="BG1103" t="s">
        <v>74</v>
      </c>
      <c r="BH1103" t="s">
        <v>793</v>
      </c>
      <c r="BI1103">
        <v>16</v>
      </c>
      <c r="BJ1103" t="s">
        <v>158</v>
      </c>
      <c r="BK1103" t="s">
        <v>159</v>
      </c>
      <c r="BL1103" t="s">
        <v>158</v>
      </c>
      <c r="BM1103" t="s">
        <v>20492</v>
      </c>
      <c r="BN1103" t="s">
        <v>74</v>
      </c>
      <c r="BO1103" t="s">
        <v>74</v>
      </c>
      <c r="BP1103" t="s">
        <v>74</v>
      </c>
      <c r="BQ1103" t="s">
        <v>74</v>
      </c>
      <c r="BR1103" t="s">
        <v>101</v>
      </c>
      <c r="BS1103" t="s">
        <v>20493</v>
      </c>
      <c r="BT1103" t="str">
        <f>HYPERLINK("https%3A%2F%2Fwww.webofscience.com%2Fwos%2Fwoscc%2Ffull-record%2FWOS:000973458000001","View Full Record in Web of Science")</f>
        <v>View Full Record in Web of Science</v>
      </c>
    </row>
    <row r="1104" spans="1:72" x14ac:dyDescent="0.2">
      <c r="A1104" t="s">
        <v>103</v>
      </c>
      <c r="B1104" t="s">
        <v>20494</v>
      </c>
      <c r="C1104" t="s">
        <v>74</v>
      </c>
      <c r="D1104" t="s">
        <v>74</v>
      </c>
      <c r="E1104" t="s">
        <v>74</v>
      </c>
      <c r="F1104" t="s">
        <v>20495</v>
      </c>
      <c r="G1104" t="s">
        <v>74</v>
      </c>
      <c r="H1104" t="s">
        <v>74</v>
      </c>
      <c r="I1104" t="s">
        <v>20496</v>
      </c>
      <c r="J1104" t="s">
        <v>20497</v>
      </c>
      <c r="K1104" t="s">
        <v>74</v>
      </c>
      <c r="L1104" t="s">
        <v>74</v>
      </c>
      <c r="M1104" t="s">
        <v>79</v>
      </c>
      <c r="N1104" t="s">
        <v>108</v>
      </c>
      <c r="O1104" t="s">
        <v>74</v>
      </c>
      <c r="P1104" t="s">
        <v>74</v>
      </c>
      <c r="Q1104" t="s">
        <v>74</v>
      </c>
      <c r="R1104" t="s">
        <v>74</v>
      </c>
      <c r="S1104" t="s">
        <v>74</v>
      </c>
      <c r="T1104" t="s">
        <v>20498</v>
      </c>
      <c r="U1104" t="s">
        <v>20499</v>
      </c>
      <c r="V1104" t="s">
        <v>20500</v>
      </c>
      <c r="W1104" t="s">
        <v>20501</v>
      </c>
      <c r="X1104" t="s">
        <v>20502</v>
      </c>
      <c r="Y1104" t="s">
        <v>20503</v>
      </c>
      <c r="Z1104" t="s">
        <v>20504</v>
      </c>
      <c r="AA1104" t="s">
        <v>20505</v>
      </c>
      <c r="AB1104" t="s">
        <v>20506</v>
      </c>
      <c r="AC1104" t="s">
        <v>20507</v>
      </c>
      <c r="AD1104" t="s">
        <v>20508</v>
      </c>
      <c r="AE1104" t="s">
        <v>20509</v>
      </c>
      <c r="AF1104" t="s">
        <v>74</v>
      </c>
      <c r="AG1104">
        <v>39</v>
      </c>
      <c r="AH1104">
        <v>0</v>
      </c>
      <c r="AI1104">
        <v>0</v>
      </c>
      <c r="AJ1104">
        <v>2</v>
      </c>
      <c r="AK1104">
        <v>4</v>
      </c>
      <c r="AL1104" t="s">
        <v>20510</v>
      </c>
      <c r="AM1104" t="s">
        <v>12201</v>
      </c>
      <c r="AN1104" t="s">
        <v>20511</v>
      </c>
      <c r="AO1104" t="s">
        <v>20512</v>
      </c>
      <c r="AP1104" t="s">
        <v>20513</v>
      </c>
      <c r="AQ1104" t="s">
        <v>74</v>
      </c>
      <c r="AR1104" t="s">
        <v>20514</v>
      </c>
      <c r="AS1104" t="s">
        <v>20515</v>
      </c>
      <c r="AT1104" t="s">
        <v>2582</v>
      </c>
      <c r="AU1104">
        <v>2023</v>
      </c>
      <c r="AV1104">
        <v>38</v>
      </c>
      <c r="AW1104">
        <v>6</v>
      </c>
      <c r="AX1104" t="s">
        <v>74</v>
      </c>
      <c r="AY1104" t="s">
        <v>74</v>
      </c>
      <c r="AZ1104" t="s">
        <v>74</v>
      </c>
      <c r="BA1104" t="s">
        <v>74</v>
      </c>
      <c r="BB1104">
        <v>985</v>
      </c>
      <c r="BC1104">
        <v>998</v>
      </c>
      <c r="BD1104" t="s">
        <v>74</v>
      </c>
      <c r="BE1104" t="s">
        <v>20516</v>
      </c>
      <c r="BF1104" t="str">
        <f>HYPERLINK("http://dx.doi.org/10.1175/WAF-D-22-0111.1","http://dx.doi.org/10.1175/WAF-D-22-0111.1")</f>
        <v>http://dx.doi.org/10.1175/WAF-D-22-0111.1</v>
      </c>
      <c r="BG1104" t="s">
        <v>74</v>
      </c>
      <c r="BH1104" t="s">
        <v>74</v>
      </c>
      <c r="BI1104">
        <v>14</v>
      </c>
      <c r="BJ1104" t="s">
        <v>17768</v>
      </c>
      <c r="BK1104" t="s">
        <v>130</v>
      </c>
      <c r="BL1104" t="s">
        <v>17768</v>
      </c>
      <c r="BM1104" t="s">
        <v>20517</v>
      </c>
      <c r="BN1104" t="s">
        <v>74</v>
      </c>
      <c r="BO1104" t="s">
        <v>646</v>
      </c>
      <c r="BP1104" t="s">
        <v>74</v>
      </c>
      <c r="BQ1104" t="s">
        <v>74</v>
      </c>
      <c r="BR1104" t="s">
        <v>101</v>
      </c>
      <c r="BS1104" t="s">
        <v>20518</v>
      </c>
      <c r="BT1104" t="str">
        <f>HYPERLINK("https%3A%2F%2Fwww.webofscience.com%2Fwos%2Fwoscc%2Ffull-record%2FWOS:001022743800002","View Full Record in Web of Science")</f>
        <v>View Full Record in Web of Science</v>
      </c>
    </row>
    <row r="1105" spans="1:72" x14ac:dyDescent="0.2">
      <c r="A1105" t="s">
        <v>103</v>
      </c>
      <c r="B1105" t="s">
        <v>20519</v>
      </c>
      <c r="C1105" t="s">
        <v>74</v>
      </c>
      <c r="D1105" t="s">
        <v>74</v>
      </c>
      <c r="E1105" t="s">
        <v>74</v>
      </c>
      <c r="F1105" t="s">
        <v>20520</v>
      </c>
      <c r="G1105" t="s">
        <v>74</v>
      </c>
      <c r="H1105" t="s">
        <v>74</v>
      </c>
      <c r="I1105" t="s">
        <v>20521</v>
      </c>
      <c r="J1105" t="s">
        <v>20522</v>
      </c>
      <c r="K1105" t="s">
        <v>74</v>
      </c>
      <c r="L1105" t="s">
        <v>74</v>
      </c>
      <c r="M1105" t="s">
        <v>79</v>
      </c>
      <c r="N1105" t="s">
        <v>108</v>
      </c>
      <c r="O1105" t="s">
        <v>74</v>
      </c>
      <c r="P1105" t="s">
        <v>74</v>
      </c>
      <c r="Q1105" t="s">
        <v>74</v>
      </c>
      <c r="R1105" t="s">
        <v>74</v>
      </c>
      <c r="S1105" t="s">
        <v>74</v>
      </c>
      <c r="T1105" t="s">
        <v>20523</v>
      </c>
      <c r="U1105" t="s">
        <v>1976</v>
      </c>
      <c r="V1105" t="s">
        <v>20524</v>
      </c>
      <c r="W1105" t="s">
        <v>20525</v>
      </c>
      <c r="X1105" t="s">
        <v>20526</v>
      </c>
      <c r="Y1105" t="s">
        <v>20527</v>
      </c>
      <c r="Z1105" t="s">
        <v>20528</v>
      </c>
      <c r="AA1105" t="s">
        <v>74</v>
      </c>
      <c r="AB1105" t="s">
        <v>74</v>
      </c>
      <c r="AC1105" t="s">
        <v>74</v>
      </c>
      <c r="AD1105" t="s">
        <v>74</v>
      </c>
      <c r="AE1105" t="s">
        <v>74</v>
      </c>
      <c r="AF1105" t="s">
        <v>74</v>
      </c>
      <c r="AG1105">
        <v>38</v>
      </c>
      <c r="AH1105">
        <v>0</v>
      </c>
      <c r="AI1105">
        <v>0</v>
      </c>
      <c r="AJ1105">
        <v>6</v>
      </c>
      <c r="AK1105">
        <v>7</v>
      </c>
      <c r="AL1105" t="s">
        <v>4378</v>
      </c>
      <c r="AM1105" t="s">
        <v>4379</v>
      </c>
      <c r="AN1105" t="s">
        <v>4380</v>
      </c>
      <c r="AO1105" t="s">
        <v>20529</v>
      </c>
      <c r="AP1105" t="s">
        <v>20530</v>
      </c>
      <c r="AQ1105" t="s">
        <v>74</v>
      </c>
      <c r="AR1105" t="s">
        <v>20531</v>
      </c>
      <c r="AS1105" t="s">
        <v>20532</v>
      </c>
      <c r="AT1105" t="s">
        <v>4461</v>
      </c>
      <c r="AU1105">
        <v>2023</v>
      </c>
      <c r="AV1105">
        <v>70</v>
      </c>
      <c r="AW1105">
        <v>5</v>
      </c>
      <c r="AX1105" t="s">
        <v>74</v>
      </c>
      <c r="AY1105" t="s">
        <v>74</v>
      </c>
      <c r="AZ1105" t="s">
        <v>74</v>
      </c>
      <c r="BA1105" t="s">
        <v>74</v>
      </c>
      <c r="BB1105">
        <v>1258</v>
      </c>
      <c r="BC1105">
        <v>1267</v>
      </c>
      <c r="BD1105" t="s">
        <v>74</v>
      </c>
      <c r="BE1105" t="s">
        <v>20533</v>
      </c>
      <c r="BF1105" t="str">
        <f>HYPERLINK("http://dx.doi.org/10.1002/jccs.202350068","http://dx.doi.org/10.1002/jccs.202350068")</f>
        <v>http://dx.doi.org/10.1002/jccs.202350068</v>
      </c>
      <c r="BG1105" t="s">
        <v>74</v>
      </c>
      <c r="BH1105" t="s">
        <v>2889</v>
      </c>
      <c r="BI1105">
        <v>10</v>
      </c>
      <c r="BJ1105" t="s">
        <v>11005</v>
      </c>
      <c r="BK1105" t="s">
        <v>130</v>
      </c>
      <c r="BL1105" t="s">
        <v>11006</v>
      </c>
      <c r="BM1105" t="s">
        <v>20534</v>
      </c>
      <c r="BN1105" t="s">
        <v>74</v>
      </c>
      <c r="BO1105" t="s">
        <v>74</v>
      </c>
      <c r="BP1105" t="s">
        <v>74</v>
      </c>
      <c r="BQ1105" t="s">
        <v>74</v>
      </c>
      <c r="BR1105" t="s">
        <v>101</v>
      </c>
      <c r="BS1105" t="s">
        <v>20535</v>
      </c>
      <c r="BT1105" t="str">
        <f>HYPERLINK("https%3A%2F%2Fwww.webofscience.com%2Fwos%2Fwoscc%2Ffull-record%2FWOS:000982436500001","View Full Record in Web of Science")</f>
        <v>View Full Record in Web of Science</v>
      </c>
    </row>
    <row r="1106" spans="1:72" x14ac:dyDescent="0.2">
      <c r="A1106" t="s">
        <v>103</v>
      </c>
      <c r="B1106" t="s">
        <v>20536</v>
      </c>
      <c r="C1106" t="s">
        <v>74</v>
      </c>
      <c r="D1106" t="s">
        <v>74</v>
      </c>
      <c r="E1106" t="s">
        <v>74</v>
      </c>
      <c r="F1106" t="s">
        <v>20537</v>
      </c>
      <c r="G1106" t="s">
        <v>74</v>
      </c>
      <c r="H1106" t="s">
        <v>74</v>
      </c>
      <c r="I1106" t="s">
        <v>20538</v>
      </c>
      <c r="J1106" t="s">
        <v>20539</v>
      </c>
      <c r="K1106" t="s">
        <v>74</v>
      </c>
      <c r="L1106" t="s">
        <v>74</v>
      </c>
      <c r="M1106" t="s">
        <v>79</v>
      </c>
      <c r="N1106" t="s">
        <v>108</v>
      </c>
      <c r="O1106" t="s">
        <v>74</v>
      </c>
      <c r="P1106" t="s">
        <v>74</v>
      </c>
      <c r="Q1106" t="s">
        <v>74</v>
      </c>
      <c r="R1106" t="s">
        <v>74</v>
      </c>
      <c r="S1106" t="s">
        <v>74</v>
      </c>
      <c r="T1106" t="s">
        <v>20540</v>
      </c>
      <c r="U1106" t="s">
        <v>74</v>
      </c>
      <c r="V1106" t="s">
        <v>20541</v>
      </c>
      <c r="W1106" t="s">
        <v>20542</v>
      </c>
      <c r="X1106" t="s">
        <v>20543</v>
      </c>
      <c r="Y1106" t="s">
        <v>20544</v>
      </c>
      <c r="Z1106" t="s">
        <v>20545</v>
      </c>
      <c r="AA1106" t="s">
        <v>74</v>
      </c>
      <c r="AB1106" t="s">
        <v>20546</v>
      </c>
      <c r="AC1106" t="s">
        <v>20547</v>
      </c>
      <c r="AD1106" t="s">
        <v>20547</v>
      </c>
      <c r="AE1106" t="s">
        <v>20547</v>
      </c>
      <c r="AF1106" t="s">
        <v>74</v>
      </c>
      <c r="AG1106">
        <v>67</v>
      </c>
      <c r="AH1106">
        <v>1</v>
      </c>
      <c r="AI1106">
        <v>1</v>
      </c>
      <c r="AJ1106">
        <v>56</v>
      </c>
      <c r="AK1106">
        <v>58</v>
      </c>
      <c r="AL1106" t="s">
        <v>939</v>
      </c>
      <c r="AM1106" t="s">
        <v>940</v>
      </c>
      <c r="AN1106" t="s">
        <v>941</v>
      </c>
      <c r="AO1106" t="s">
        <v>74</v>
      </c>
      <c r="AP1106" t="s">
        <v>20548</v>
      </c>
      <c r="AQ1106" t="s">
        <v>74</v>
      </c>
      <c r="AR1106" t="s">
        <v>20549</v>
      </c>
      <c r="AS1106" t="s">
        <v>20550</v>
      </c>
      <c r="AT1106" t="s">
        <v>791</v>
      </c>
      <c r="AU1106">
        <v>2023</v>
      </c>
      <c r="AV1106">
        <v>7</v>
      </c>
      <c r="AW1106">
        <v>8</v>
      </c>
      <c r="AX1106" t="s">
        <v>74</v>
      </c>
      <c r="AY1106" t="s">
        <v>74</v>
      </c>
      <c r="AZ1106" t="s">
        <v>74</v>
      </c>
      <c r="BA1106" t="s">
        <v>74</v>
      </c>
      <c r="BB1106" t="s">
        <v>74</v>
      </c>
      <c r="BC1106" t="s">
        <v>74</v>
      </c>
      <c r="BD1106">
        <v>81</v>
      </c>
      <c r="BE1106" t="s">
        <v>20551</v>
      </c>
      <c r="BF1106" t="str">
        <f>HYPERLINK("http://dx.doi.org/10.3390/mti7080081","http://dx.doi.org/10.3390/mti7080081")</f>
        <v>http://dx.doi.org/10.3390/mti7080081</v>
      </c>
      <c r="BG1106" t="s">
        <v>74</v>
      </c>
      <c r="BH1106" t="s">
        <v>74</v>
      </c>
      <c r="BI1106">
        <v>22</v>
      </c>
      <c r="BJ1106" t="s">
        <v>20552</v>
      </c>
      <c r="BK1106" t="s">
        <v>352</v>
      </c>
      <c r="BL1106" t="s">
        <v>99</v>
      </c>
      <c r="BM1106" t="s">
        <v>20553</v>
      </c>
      <c r="BN1106" t="s">
        <v>74</v>
      </c>
      <c r="BO1106" t="s">
        <v>819</v>
      </c>
      <c r="BP1106" t="s">
        <v>74</v>
      </c>
      <c r="BQ1106" t="s">
        <v>74</v>
      </c>
      <c r="BR1106" t="s">
        <v>101</v>
      </c>
      <c r="BS1106" t="s">
        <v>20554</v>
      </c>
      <c r="BT1106" t="str">
        <f>HYPERLINK("https%3A%2F%2Fwww.webofscience.com%2Fwos%2Fwoscc%2Ffull-record%2FWOS:001056644500001","View Full Record in Web of Science")</f>
        <v>View Full Record in Web of Science</v>
      </c>
    </row>
    <row r="1107" spans="1:72" x14ac:dyDescent="0.2">
      <c r="A1107" t="s">
        <v>103</v>
      </c>
      <c r="B1107" t="s">
        <v>20555</v>
      </c>
      <c r="C1107" t="s">
        <v>74</v>
      </c>
      <c r="D1107" t="s">
        <v>74</v>
      </c>
      <c r="E1107" t="s">
        <v>74</v>
      </c>
      <c r="F1107" t="s">
        <v>20556</v>
      </c>
      <c r="G1107" t="s">
        <v>74</v>
      </c>
      <c r="H1107" t="s">
        <v>74</v>
      </c>
      <c r="I1107" t="s">
        <v>20557</v>
      </c>
      <c r="J1107" t="s">
        <v>14494</v>
      </c>
      <c r="K1107" t="s">
        <v>74</v>
      </c>
      <c r="L1107" t="s">
        <v>74</v>
      </c>
      <c r="M1107" t="s">
        <v>79</v>
      </c>
      <c r="N1107" t="s">
        <v>108</v>
      </c>
      <c r="O1107" t="s">
        <v>74</v>
      </c>
      <c r="P1107" t="s">
        <v>74</v>
      </c>
      <c r="Q1107" t="s">
        <v>74</v>
      </c>
      <c r="R1107" t="s">
        <v>74</v>
      </c>
      <c r="S1107" t="s">
        <v>74</v>
      </c>
      <c r="T1107" t="s">
        <v>20558</v>
      </c>
      <c r="U1107" t="s">
        <v>74</v>
      </c>
      <c r="V1107" t="s">
        <v>20559</v>
      </c>
      <c r="W1107" t="s">
        <v>20560</v>
      </c>
      <c r="X1107" t="s">
        <v>20561</v>
      </c>
      <c r="Y1107" t="s">
        <v>20562</v>
      </c>
      <c r="Z1107" t="s">
        <v>20563</v>
      </c>
      <c r="AA1107" t="s">
        <v>74</v>
      </c>
      <c r="AB1107" t="s">
        <v>74</v>
      </c>
      <c r="AC1107" t="s">
        <v>20564</v>
      </c>
      <c r="AD1107" t="s">
        <v>20565</v>
      </c>
      <c r="AE1107" t="s">
        <v>20566</v>
      </c>
      <c r="AF1107" t="s">
        <v>74</v>
      </c>
      <c r="AG1107">
        <v>31</v>
      </c>
      <c r="AH1107">
        <v>0</v>
      </c>
      <c r="AI1107">
        <v>0</v>
      </c>
      <c r="AJ1107">
        <v>0</v>
      </c>
      <c r="AK1107">
        <v>0</v>
      </c>
      <c r="AL1107" t="s">
        <v>10360</v>
      </c>
      <c r="AM1107" t="s">
        <v>10361</v>
      </c>
      <c r="AN1107" t="s">
        <v>10362</v>
      </c>
      <c r="AO1107" t="s">
        <v>14507</v>
      </c>
      <c r="AP1107" t="s">
        <v>14508</v>
      </c>
      <c r="AQ1107" t="s">
        <v>74</v>
      </c>
      <c r="AR1107" t="s">
        <v>14509</v>
      </c>
      <c r="AS1107" t="s">
        <v>14510</v>
      </c>
      <c r="AT1107" t="s">
        <v>74</v>
      </c>
      <c r="AU1107">
        <v>2023</v>
      </c>
      <c r="AV1107">
        <v>77</v>
      </c>
      <c r="AW1107">
        <v>1</v>
      </c>
      <c r="AX1107" t="s">
        <v>74</v>
      </c>
      <c r="AY1107" t="s">
        <v>74</v>
      </c>
      <c r="AZ1107" t="s">
        <v>74</v>
      </c>
      <c r="BA1107" t="s">
        <v>74</v>
      </c>
      <c r="BB1107">
        <v>1123</v>
      </c>
      <c r="BC1107">
        <v>1142</v>
      </c>
      <c r="BD1107" t="s">
        <v>74</v>
      </c>
      <c r="BE1107" t="s">
        <v>20567</v>
      </c>
      <c r="BF1107" t="str">
        <f>HYPERLINK("http://dx.doi.org/10.32604/cmc.2023.038556","http://dx.doi.org/10.32604/cmc.2023.038556")</f>
        <v>http://dx.doi.org/10.32604/cmc.2023.038556</v>
      </c>
      <c r="BG1107" t="s">
        <v>74</v>
      </c>
      <c r="BH1107" t="s">
        <v>74</v>
      </c>
      <c r="BI1107">
        <v>20</v>
      </c>
      <c r="BJ1107" t="s">
        <v>14512</v>
      </c>
      <c r="BK1107" t="s">
        <v>130</v>
      </c>
      <c r="BL1107" t="s">
        <v>14513</v>
      </c>
      <c r="BM1107" t="s">
        <v>20568</v>
      </c>
      <c r="BN1107" t="s">
        <v>74</v>
      </c>
      <c r="BO1107" t="s">
        <v>425</v>
      </c>
      <c r="BP1107" t="s">
        <v>74</v>
      </c>
      <c r="BQ1107" t="s">
        <v>74</v>
      </c>
      <c r="BR1107" t="s">
        <v>101</v>
      </c>
      <c r="BS1107" t="s">
        <v>20569</v>
      </c>
      <c r="BT1107" t="str">
        <f>HYPERLINK("https%3A%2F%2Fwww.webofscience.com%2Fwos%2Fwoscc%2Ffull-record%2FWOS:001105875700005","View Full Record in Web of Science")</f>
        <v>View Full Record in Web of Science</v>
      </c>
    </row>
    <row r="1108" spans="1:72" x14ac:dyDescent="0.2">
      <c r="A1108" t="s">
        <v>103</v>
      </c>
      <c r="B1108" t="s">
        <v>20570</v>
      </c>
      <c r="C1108" t="s">
        <v>74</v>
      </c>
      <c r="D1108" t="s">
        <v>74</v>
      </c>
      <c r="E1108" t="s">
        <v>74</v>
      </c>
      <c r="F1108" t="s">
        <v>20571</v>
      </c>
      <c r="G1108" t="s">
        <v>74</v>
      </c>
      <c r="H1108" t="s">
        <v>74</v>
      </c>
      <c r="I1108" t="s">
        <v>20572</v>
      </c>
      <c r="J1108" t="s">
        <v>20573</v>
      </c>
      <c r="K1108" t="s">
        <v>74</v>
      </c>
      <c r="L1108" t="s">
        <v>74</v>
      </c>
      <c r="M1108" t="s">
        <v>79</v>
      </c>
      <c r="N1108" t="s">
        <v>108</v>
      </c>
      <c r="O1108" t="s">
        <v>74</v>
      </c>
      <c r="P1108" t="s">
        <v>74</v>
      </c>
      <c r="Q1108" t="s">
        <v>74</v>
      </c>
      <c r="R1108" t="s">
        <v>74</v>
      </c>
      <c r="S1108" t="s">
        <v>74</v>
      </c>
      <c r="T1108" t="s">
        <v>20574</v>
      </c>
      <c r="U1108" t="s">
        <v>74</v>
      </c>
      <c r="V1108" t="s">
        <v>20575</v>
      </c>
      <c r="W1108" t="s">
        <v>20576</v>
      </c>
      <c r="X1108" t="s">
        <v>74</v>
      </c>
      <c r="Y1108" t="s">
        <v>20577</v>
      </c>
      <c r="Z1108" t="s">
        <v>20578</v>
      </c>
      <c r="AA1108" t="s">
        <v>74</v>
      </c>
      <c r="AB1108" t="s">
        <v>20579</v>
      </c>
      <c r="AC1108" t="s">
        <v>74</v>
      </c>
      <c r="AD1108" t="s">
        <v>74</v>
      </c>
      <c r="AE1108" t="s">
        <v>74</v>
      </c>
      <c r="AF1108" t="s">
        <v>74</v>
      </c>
      <c r="AG1108">
        <v>18</v>
      </c>
      <c r="AH1108">
        <v>3</v>
      </c>
      <c r="AI1108">
        <v>3</v>
      </c>
      <c r="AJ1108">
        <v>12</v>
      </c>
      <c r="AK1108">
        <v>12</v>
      </c>
      <c r="AL1108" t="s">
        <v>18736</v>
      </c>
      <c r="AM1108" t="s">
        <v>149</v>
      </c>
      <c r="AN1108" t="s">
        <v>18737</v>
      </c>
      <c r="AO1108" t="s">
        <v>20580</v>
      </c>
      <c r="AP1108" t="s">
        <v>20581</v>
      </c>
      <c r="AQ1108" t="s">
        <v>74</v>
      </c>
      <c r="AR1108" t="s">
        <v>20582</v>
      </c>
      <c r="AS1108" t="s">
        <v>20583</v>
      </c>
      <c r="AT1108" t="s">
        <v>251</v>
      </c>
      <c r="AU1108">
        <v>2024</v>
      </c>
      <c r="AV1108">
        <v>50</v>
      </c>
      <c r="AW1108">
        <v>2</v>
      </c>
      <c r="AX1108" t="s">
        <v>74</v>
      </c>
      <c r="AY1108" t="s">
        <v>74</v>
      </c>
      <c r="AZ1108" t="s">
        <v>74</v>
      </c>
      <c r="BA1108" t="s">
        <v>74</v>
      </c>
      <c r="BB1108">
        <v>97</v>
      </c>
      <c r="BC1108">
        <v>101</v>
      </c>
      <c r="BD1108" t="s">
        <v>74</v>
      </c>
      <c r="BE1108" t="s">
        <v>20584</v>
      </c>
      <c r="BF1108" t="str">
        <f>HYPERLINK("http://dx.doi.org/10.1136/jme-2023-109366","http://dx.doi.org/10.1136/jme-2023-109366")</f>
        <v>http://dx.doi.org/10.1136/jme-2023-109366</v>
      </c>
      <c r="BG1108" t="s">
        <v>74</v>
      </c>
      <c r="BH1108" t="s">
        <v>157</v>
      </c>
      <c r="BI1108">
        <v>5</v>
      </c>
      <c r="BJ1108" t="s">
        <v>20313</v>
      </c>
      <c r="BK1108" t="s">
        <v>947</v>
      </c>
      <c r="BL1108" t="s">
        <v>20314</v>
      </c>
      <c r="BM1108" t="s">
        <v>20585</v>
      </c>
      <c r="BN1108">
        <v>37973369</v>
      </c>
      <c r="BO1108" t="s">
        <v>74</v>
      </c>
      <c r="BP1108" t="s">
        <v>74</v>
      </c>
      <c r="BQ1108" t="s">
        <v>74</v>
      </c>
      <c r="BR1108" t="s">
        <v>101</v>
      </c>
      <c r="BS1108" t="s">
        <v>20586</v>
      </c>
      <c r="BT1108" t="str">
        <f>HYPERLINK("https%3A%2F%2Fwww.webofscience.com%2Fwos%2Fwoscc%2Ffull-record%2FWOS:001104658200001","View Full Record in Web of Science")</f>
        <v>View Full Record in Web of Science</v>
      </c>
    </row>
    <row r="1109" spans="1:72" x14ac:dyDescent="0.2">
      <c r="A1109" t="s">
        <v>72</v>
      </c>
      <c r="B1109" t="s">
        <v>20587</v>
      </c>
      <c r="C1109" t="s">
        <v>74</v>
      </c>
      <c r="D1109" t="s">
        <v>74</v>
      </c>
      <c r="E1109" t="s">
        <v>284</v>
      </c>
      <c r="F1109" t="s">
        <v>20588</v>
      </c>
      <c r="G1109" t="s">
        <v>74</v>
      </c>
      <c r="H1109" t="s">
        <v>74</v>
      </c>
      <c r="I1109" t="s">
        <v>20589</v>
      </c>
      <c r="J1109" t="s">
        <v>10572</v>
      </c>
      <c r="K1109" t="s">
        <v>10573</v>
      </c>
      <c r="L1109" t="s">
        <v>74</v>
      </c>
      <c r="M1109" t="s">
        <v>79</v>
      </c>
      <c r="N1109" t="s">
        <v>80</v>
      </c>
      <c r="O1109" t="s">
        <v>10574</v>
      </c>
      <c r="P1109" t="s">
        <v>10575</v>
      </c>
      <c r="Q1109" t="s">
        <v>10576</v>
      </c>
      <c r="R1109" t="s">
        <v>284</v>
      </c>
      <c r="S1109" t="s">
        <v>74</v>
      </c>
      <c r="T1109" t="s">
        <v>20590</v>
      </c>
      <c r="U1109" t="s">
        <v>74</v>
      </c>
      <c r="V1109" t="s">
        <v>20591</v>
      </c>
      <c r="W1109" t="s">
        <v>20592</v>
      </c>
      <c r="X1109" t="s">
        <v>20593</v>
      </c>
      <c r="Y1109" t="s">
        <v>20594</v>
      </c>
      <c r="Z1109" t="s">
        <v>20595</v>
      </c>
      <c r="AA1109" t="s">
        <v>20596</v>
      </c>
      <c r="AB1109" t="s">
        <v>20597</v>
      </c>
      <c r="AC1109" t="s">
        <v>20598</v>
      </c>
      <c r="AD1109" t="s">
        <v>20599</v>
      </c>
      <c r="AE1109" t="s">
        <v>20600</v>
      </c>
      <c r="AF1109" t="s">
        <v>74</v>
      </c>
      <c r="AG1109">
        <v>15</v>
      </c>
      <c r="AH1109">
        <v>0</v>
      </c>
      <c r="AI1109">
        <v>0</v>
      </c>
      <c r="AJ1109">
        <v>1</v>
      </c>
      <c r="AK1109">
        <v>1</v>
      </c>
      <c r="AL1109" t="s">
        <v>284</v>
      </c>
      <c r="AM1109" t="s">
        <v>93</v>
      </c>
      <c r="AN1109" t="s">
        <v>299</v>
      </c>
      <c r="AO1109" t="s">
        <v>10586</v>
      </c>
      <c r="AP1109" t="s">
        <v>74</v>
      </c>
      <c r="AQ1109" t="s">
        <v>10587</v>
      </c>
      <c r="AR1109" t="s">
        <v>10588</v>
      </c>
      <c r="AS1109" t="s">
        <v>74</v>
      </c>
      <c r="AT1109" t="s">
        <v>74</v>
      </c>
      <c r="AU1109">
        <v>2023</v>
      </c>
      <c r="AV1109" t="s">
        <v>74</v>
      </c>
      <c r="AW1109" t="s">
        <v>74</v>
      </c>
      <c r="AX1109" t="s">
        <v>74</v>
      </c>
      <c r="AY1109" t="s">
        <v>74</v>
      </c>
      <c r="AZ1109" t="s">
        <v>74</v>
      </c>
      <c r="BA1109" t="s">
        <v>74</v>
      </c>
      <c r="BB1109" t="s">
        <v>74</v>
      </c>
      <c r="BC1109" t="s">
        <v>74</v>
      </c>
      <c r="BD1109" t="s">
        <v>74</v>
      </c>
      <c r="BE1109" t="s">
        <v>20601</v>
      </c>
      <c r="BF1109" t="str">
        <f>HYPERLINK("http://dx.doi.org/10.1109/SECON58729.2023.10287438","http://dx.doi.org/10.1109/SECON58729.2023.10287438")</f>
        <v>http://dx.doi.org/10.1109/SECON58729.2023.10287438</v>
      </c>
      <c r="BG1109" t="s">
        <v>74</v>
      </c>
      <c r="BH1109" t="s">
        <v>74</v>
      </c>
      <c r="BI1109">
        <v>6</v>
      </c>
      <c r="BJ1109" t="s">
        <v>10590</v>
      </c>
      <c r="BK1109" t="s">
        <v>98</v>
      </c>
      <c r="BL1109" t="s">
        <v>10591</v>
      </c>
      <c r="BM1109" t="s">
        <v>10592</v>
      </c>
      <c r="BN1109" t="s">
        <v>74</v>
      </c>
      <c r="BO1109" t="s">
        <v>646</v>
      </c>
      <c r="BP1109" t="s">
        <v>74</v>
      </c>
      <c r="BQ1109" t="s">
        <v>74</v>
      </c>
      <c r="BR1109" t="s">
        <v>101</v>
      </c>
      <c r="BS1109" t="s">
        <v>20602</v>
      </c>
      <c r="BT1109" t="str">
        <f>HYPERLINK("https%3A%2F%2Fwww.webofscience.com%2Fwos%2Fwoscc%2Ffull-record%2FWOS:001094863700016","View Full Record in Web of Science")</f>
        <v>View Full Record in Web of Science</v>
      </c>
    </row>
    <row r="1110" spans="1:72" x14ac:dyDescent="0.2">
      <c r="A1110" t="s">
        <v>103</v>
      </c>
      <c r="B1110" t="s">
        <v>20603</v>
      </c>
      <c r="C1110" t="s">
        <v>74</v>
      </c>
      <c r="D1110" t="s">
        <v>74</v>
      </c>
      <c r="E1110" t="s">
        <v>74</v>
      </c>
      <c r="F1110" t="s">
        <v>20604</v>
      </c>
      <c r="G1110" t="s">
        <v>74</v>
      </c>
      <c r="H1110" t="s">
        <v>74</v>
      </c>
      <c r="I1110" t="s">
        <v>20605</v>
      </c>
      <c r="J1110" t="s">
        <v>4108</v>
      </c>
      <c r="K1110" t="s">
        <v>74</v>
      </c>
      <c r="L1110" t="s">
        <v>74</v>
      </c>
      <c r="M1110" t="s">
        <v>79</v>
      </c>
      <c r="N1110" t="s">
        <v>138</v>
      </c>
      <c r="O1110" t="s">
        <v>74</v>
      </c>
      <c r="P1110" t="s">
        <v>74</v>
      </c>
      <c r="Q1110" t="s">
        <v>74</v>
      </c>
      <c r="R1110" t="s">
        <v>74</v>
      </c>
      <c r="S1110" t="s">
        <v>74</v>
      </c>
      <c r="T1110" t="s">
        <v>20606</v>
      </c>
      <c r="U1110" t="s">
        <v>74</v>
      </c>
      <c r="V1110" t="s">
        <v>20607</v>
      </c>
      <c r="W1110" t="s">
        <v>20608</v>
      </c>
      <c r="X1110" t="s">
        <v>20609</v>
      </c>
      <c r="Y1110" t="s">
        <v>20610</v>
      </c>
      <c r="Z1110" t="s">
        <v>20611</v>
      </c>
      <c r="AA1110" t="s">
        <v>20612</v>
      </c>
      <c r="AB1110" t="s">
        <v>74</v>
      </c>
      <c r="AC1110" t="s">
        <v>20613</v>
      </c>
      <c r="AD1110" t="s">
        <v>20614</v>
      </c>
      <c r="AE1110" t="s">
        <v>20615</v>
      </c>
      <c r="AF1110" t="s">
        <v>74</v>
      </c>
      <c r="AG1110">
        <v>50</v>
      </c>
      <c r="AH1110">
        <v>0</v>
      </c>
      <c r="AI1110">
        <v>0</v>
      </c>
      <c r="AJ1110">
        <v>23</v>
      </c>
      <c r="AK1110">
        <v>23</v>
      </c>
      <c r="AL1110" t="s">
        <v>343</v>
      </c>
      <c r="AM1110" t="s">
        <v>521</v>
      </c>
      <c r="AN1110" t="s">
        <v>522</v>
      </c>
      <c r="AO1110" t="s">
        <v>4115</v>
      </c>
      <c r="AP1110" t="s">
        <v>4116</v>
      </c>
      <c r="AQ1110" t="s">
        <v>74</v>
      </c>
      <c r="AR1110" t="s">
        <v>4117</v>
      </c>
      <c r="AS1110" t="s">
        <v>4118</v>
      </c>
      <c r="AT1110" t="s">
        <v>20616</v>
      </c>
      <c r="AU1110">
        <v>2023</v>
      </c>
      <c r="AV1110" t="s">
        <v>74</v>
      </c>
      <c r="AW1110" t="s">
        <v>74</v>
      </c>
      <c r="AX1110" t="s">
        <v>74</v>
      </c>
      <c r="AY1110" t="s">
        <v>74</v>
      </c>
      <c r="AZ1110" t="s">
        <v>74</v>
      </c>
      <c r="BA1110" t="s">
        <v>74</v>
      </c>
      <c r="BB1110" t="s">
        <v>74</v>
      </c>
      <c r="BC1110" t="s">
        <v>74</v>
      </c>
      <c r="BD1110" t="s">
        <v>74</v>
      </c>
      <c r="BE1110" t="s">
        <v>20617</v>
      </c>
      <c r="BF1110" t="str">
        <f>HYPERLINK("http://dx.doi.org/10.1007/s11042-023-16780-1","http://dx.doi.org/10.1007/s11042-023-16780-1")</f>
        <v>http://dx.doi.org/10.1007/s11042-023-16780-1</v>
      </c>
      <c r="BG1110" t="s">
        <v>74</v>
      </c>
      <c r="BH1110" t="s">
        <v>278</v>
      </c>
      <c r="BI1110">
        <v>21</v>
      </c>
      <c r="BJ1110" t="s">
        <v>4120</v>
      </c>
      <c r="BK1110" t="s">
        <v>130</v>
      </c>
      <c r="BL1110" t="s">
        <v>906</v>
      </c>
      <c r="BM1110" t="s">
        <v>20618</v>
      </c>
      <c r="BN1110" t="s">
        <v>74</v>
      </c>
      <c r="BO1110" t="s">
        <v>74</v>
      </c>
      <c r="BP1110" t="s">
        <v>74</v>
      </c>
      <c r="BQ1110" t="s">
        <v>74</v>
      </c>
      <c r="BR1110" t="s">
        <v>101</v>
      </c>
      <c r="BS1110" t="s">
        <v>20619</v>
      </c>
      <c r="BT1110" t="str">
        <f>HYPERLINK("https%3A%2F%2Fwww.webofscience.com%2Fwos%2Fwoscc%2Ffull-record%2FWOS:001078145100008","View Full Record in Web of Science")</f>
        <v>View Full Record in Web of Science</v>
      </c>
    </row>
    <row r="1111" spans="1:72" x14ac:dyDescent="0.2">
      <c r="A1111" t="s">
        <v>103</v>
      </c>
      <c r="B1111" t="s">
        <v>20620</v>
      </c>
      <c r="C1111" t="s">
        <v>74</v>
      </c>
      <c r="D1111" t="s">
        <v>74</v>
      </c>
      <c r="E1111" t="s">
        <v>74</v>
      </c>
      <c r="F1111" t="s">
        <v>20621</v>
      </c>
      <c r="G1111" t="s">
        <v>74</v>
      </c>
      <c r="H1111" t="s">
        <v>74</v>
      </c>
      <c r="I1111" t="s">
        <v>20622</v>
      </c>
      <c r="J1111" t="s">
        <v>4686</v>
      </c>
      <c r="K1111" t="s">
        <v>74</v>
      </c>
      <c r="L1111" t="s">
        <v>74</v>
      </c>
      <c r="M1111" t="s">
        <v>79</v>
      </c>
      <c r="N1111" t="s">
        <v>108</v>
      </c>
      <c r="O1111" t="s">
        <v>74</v>
      </c>
      <c r="P1111" t="s">
        <v>74</v>
      </c>
      <c r="Q1111" t="s">
        <v>74</v>
      </c>
      <c r="R1111" t="s">
        <v>74</v>
      </c>
      <c r="S1111" t="s">
        <v>74</v>
      </c>
      <c r="T1111" t="s">
        <v>20623</v>
      </c>
      <c r="U1111" t="s">
        <v>74</v>
      </c>
      <c r="V1111" t="s">
        <v>20624</v>
      </c>
      <c r="W1111" t="s">
        <v>20625</v>
      </c>
      <c r="X1111" t="s">
        <v>20626</v>
      </c>
      <c r="Y1111" t="s">
        <v>20627</v>
      </c>
      <c r="Z1111" t="s">
        <v>20628</v>
      </c>
      <c r="AA1111" t="s">
        <v>20629</v>
      </c>
      <c r="AB1111" t="s">
        <v>20630</v>
      </c>
      <c r="AC1111" t="s">
        <v>74</v>
      </c>
      <c r="AD1111" t="s">
        <v>74</v>
      </c>
      <c r="AE1111" t="s">
        <v>74</v>
      </c>
      <c r="AF1111" t="s">
        <v>74</v>
      </c>
      <c r="AG1111">
        <v>21</v>
      </c>
      <c r="AH1111">
        <v>1</v>
      </c>
      <c r="AI1111">
        <v>1</v>
      </c>
      <c r="AJ1111">
        <v>7</v>
      </c>
      <c r="AK1111">
        <v>7</v>
      </c>
      <c r="AL1111" t="s">
        <v>2032</v>
      </c>
      <c r="AM1111" t="s">
        <v>149</v>
      </c>
      <c r="AN1111" t="s">
        <v>2033</v>
      </c>
      <c r="AO1111" t="s">
        <v>74</v>
      </c>
      <c r="AP1111" t="s">
        <v>4694</v>
      </c>
      <c r="AQ1111" t="s">
        <v>74</v>
      </c>
      <c r="AR1111" t="s">
        <v>4695</v>
      </c>
      <c r="AS1111" t="s">
        <v>4696</v>
      </c>
      <c r="AT1111" t="s">
        <v>20631</v>
      </c>
      <c r="AU1111">
        <v>2023</v>
      </c>
      <c r="AV1111">
        <v>15</v>
      </c>
      <c r="AW1111">
        <v>9</v>
      </c>
      <c r="AX1111" t="s">
        <v>74</v>
      </c>
      <c r="AY1111" t="s">
        <v>74</v>
      </c>
      <c r="AZ1111" t="s">
        <v>74</v>
      </c>
      <c r="BA1111" t="s">
        <v>74</v>
      </c>
      <c r="BB1111" t="s">
        <v>74</v>
      </c>
      <c r="BC1111" t="s">
        <v>74</v>
      </c>
      <c r="BD1111" t="s">
        <v>20632</v>
      </c>
      <c r="BE1111" t="s">
        <v>20633</v>
      </c>
      <c r="BF1111" t="str">
        <f>HYPERLINK("http://dx.doi.org/10.7759/cureus.46222","http://dx.doi.org/10.7759/cureus.46222")</f>
        <v>http://dx.doi.org/10.7759/cureus.46222</v>
      </c>
      <c r="BG1111" t="s">
        <v>74</v>
      </c>
      <c r="BH1111" t="s">
        <v>74</v>
      </c>
      <c r="BI1111">
        <v>18</v>
      </c>
      <c r="BJ1111" t="s">
        <v>3440</v>
      </c>
      <c r="BK1111" t="s">
        <v>352</v>
      </c>
      <c r="BL1111" t="s">
        <v>3441</v>
      </c>
      <c r="BM1111" t="s">
        <v>20634</v>
      </c>
      <c r="BN1111">
        <v>37908959</v>
      </c>
      <c r="BO1111" t="s">
        <v>4185</v>
      </c>
      <c r="BP1111" t="s">
        <v>74</v>
      </c>
      <c r="BQ1111" t="s">
        <v>74</v>
      </c>
      <c r="BR1111" t="s">
        <v>101</v>
      </c>
      <c r="BS1111" t="s">
        <v>20635</v>
      </c>
      <c r="BT1111" t="str">
        <f>HYPERLINK("https%3A%2F%2Fwww.webofscience.com%2Fwos%2Fwoscc%2Ffull-record%2FWOS:001090333700001","View Full Record in Web of Science")</f>
        <v>View Full Record in Web of Science</v>
      </c>
    </row>
    <row r="1112" spans="1:72" x14ac:dyDescent="0.2">
      <c r="A1112" t="s">
        <v>72</v>
      </c>
      <c r="B1112" t="s">
        <v>20636</v>
      </c>
      <c r="C1112" t="s">
        <v>74</v>
      </c>
      <c r="D1112" t="s">
        <v>74</v>
      </c>
      <c r="E1112" t="s">
        <v>75</v>
      </c>
      <c r="F1112" t="s">
        <v>20637</v>
      </c>
      <c r="G1112" t="s">
        <v>74</v>
      </c>
      <c r="H1112" t="s">
        <v>74</v>
      </c>
      <c r="I1112" t="s">
        <v>20638</v>
      </c>
      <c r="J1112" t="s">
        <v>20639</v>
      </c>
      <c r="K1112" t="s">
        <v>74</v>
      </c>
      <c r="L1112" t="s">
        <v>74</v>
      </c>
      <c r="M1112" t="s">
        <v>79</v>
      </c>
      <c r="N1112" t="s">
        <v>80</v>
      </c>
      <c r="O1112" t="s">
        <v>20640</v>
      </c>
      <c r="P1112" t="s">
        <v>20641</v>
      </c>
      <c r="Q1112" t="s">
        <v>20642</v>
      </c>
      <c r="R1112" t="s">
        <v>20643</v>
      </c>
      <c r="S1112" t="s">
        <v>20644</v>
      </c>
      <c r="T1112" t="s">
        <v>20645</v>
      </c>
      <c r="U1112" t="s">
        <v>74</v>
      </c>
      <c r="V1112" t="s">
        <v>20646</v>
      </c>
      <c r="W1112" t="s">
        <v>20647</v>
      </c>
      <c r="X1112" t="s">
        <v>20648</v>
      </c>
      <c r="Y1112" t="s">
        <v>20649</v>
      </c>
      <c r="Z1112" t="s">
        <v>20650</v>
      </c>
      <c r="AA1112" t="s">
        <v>74</v>
      </c>
      <c r="AB1112" t="s">
        <v>74</v>
      </c>
      <c r="AC1112" t="s">
        <v>74</v>
      </c>
      <c r="AD1112" t="s">
        <v>74</v>
      </c>
      <c r="AE1112" t="s">
        <v>74</v>
      </c>
      <c r="AF1112" t="s">
        <v>74</v>
      </c>
      <c r="AG1112">
        <v>32</v>
      </c>
      <c r="AH1112">
        <v>1</v>
      </c>
      <c r="AI1112">
        <v>1</v>
      </c>
      <c r="AJ1112">
        <v>31</v>
      </c>
      <c r="AK1112">
        <v>31</v>
      </c>
      <c r="AL1112" t="s">
        <v>92</v>
      </c>
      <c r="AM1112" t="s">
        <v>93</v>
      </c>
      <c r="AN1112" t="s">
        <v>94</v>
      </c>
      <c r="AO1112" t="s">
        <v>74</v>
      </c>
      <c r="AP1112" t="s">
        <v>74</v>
      </c>
      <c r="AQ1112" t="s">
        <v>20651</v>
      </c>
      <c r="AR1112" t="s">
        <v>74</v>
      </c>
      <c r="AS1112" t="s">
        <v>74</v>
      </c>
      <c r="AT1112" t="s">
        <v>74</v>
      </c>
      <c r="AU1112">
        <v>2023</v>
      </c>
      <c r="AV1112" t="s">
        <v>74</v>
      </c>
      <c r="AW1112" t="s">
        <v>74</v>
      </c>
      <c r="AX1112" t="s">
        <v>74</v>
      </c>
      <c r="AY1112" t="s">
        <v>74</v>
      </c>
      <c r="AZ1112" t="s">
        <v>74</v>
      </c>
      <c r="BA1112" t="s">
        <v>74</v>
      </c>
      <c r="BB1112" t="s">
        <v>74</v>
      </c>
      <c r="BC1112" t="s">
        <v>74</v>
      </c>
      <c r="BD1112">
        <v>9</v>
      </c>
      <c r="BE1112" t="s">
        <v>20652</v>
      </c>
      <c r="BF1112" t="str">
        <f>HYPERLINK("http://dx.doi.org/10.1145/3593342.3593360","http://dx.doi.org/10.1145/3593342.3593360")</f>
        <v>http://dx.doi.org/10.1145/3593342.3593360</v>
      </c>
      <c r="BG1112" t="s">
        <v>74</v>
      </c>
      <c r="BH1112" t="s">
        <v>74</v>
      </c>
      <c r="BI1112">
        <v>6</v>
      </c>
      <c r="BJ1112" t="s">
        <v>3132</v>
      </c>
      <c r="BK1112" t="s">
        <v>98</v>
      </c>
      <c r="BL1112" t="s">
        <v>1187</v>
      </c>
      <c r="BM1112" t="s">
        <v>20653</v>
      </c>
      <c r="BN1112" t="s">
        <v>74</v>
      </c>
      <c r="BO1112" t="s">
        <v>74</v>
      </c>
      <c r="BP1112" t="s">
        <v>74</v>
      </c>
      <c r="BQ1112" t="s">
        <v>74</v>
      </c>
      <c r="BR1112" t="s">
        <v>101</v>
      </c>
      <c r="BS1112" t="s">
        <v>20654</v>
      </c>
      <c r="BT1112" t="str">
        <f>HYPERLINK("https%3A%2F%2Fwww.webofscience.com%2Fwos%2Fwoscc%2Ffull-record%2FWOS:001122680800009","View Full Record in Web of Science")</f>
        <v>View Full Record in Web of Science</v>
      </c>
    </row>
    <row r="1113" spans="1:72" x14ac:dyDescent="0.2">
      <c r="A1113" t="s">
        <v>103</v>
      </c>
      <c r="B1113" t="s">
        <v>20655</v>
      </c>
      <c r="C1113" t="s">
        <v>74</v>
      </c>
      <c r="D1113" t="s">
        <v>74</v>
      </c>
      <c r="E1113" t="s">
        <v>74</v>
      </c>
      <c r="F1113" t="s">
        <v>20656</v>
      </c>
      <c r="G1113" t="s">
        <v>74</v>
      </c>
      <c r="H1113" t="s">
        <v>74</v>
      </c>
      <c r="I1113" t="s">
        <v>20657</v>
      </c>
      <c r="J1113" t="s">
        <v>20658</v>
      </c>
      <c r="K1113" t="s">
        <v>74</v>
      </c>
      <c r="L1113" t="s">
        <v>74</v>
      </c>
      <c r="M1113" t="s">
        <v>79</v>
      </c>
      <c r="N1113" t="s">
        <v>138</v>
      </c>
      <c r="O1113" t="s">
        <v>74</v>
      </c>
      <c r="P1113" t="s">
        <v>74</v>
      </c>
      <c r="Q1113" t="s">
        <v>74</v>
      </c>
      <c r="R1113" t="s">
        <v>74</v>
      </c>
      <c r="S1113" t="s">
        <v>74</v>
      </c>
      <c r="T1113" t="s">
        <v>20659</v>
      </c>
      <c r="U1113" t="s">
        <v>74</v>
      </c>
      <c r="V1113" t="s">
        <v>20660</v>
      </c>
      <c r="W1113" t="s">
        <v>20661</v>
      </c>
      <c r="X1113" t="s">
        <v>20662</v>
      </c>
      <c r="Y1113" t="s">
        <v>20663</v>
      </c>
      <c r="Z1113" t="s">
        <v>20664</v>
      </c>
      <c r="AA1113" t="s">
        <v>20665</v>
      </c>
      <c r="AB1113" t="s">
        <v>20666</v>
      </c>
      <c r="AC1113" t="s">
        <v>20667</v>
      </c>
      <c r="AD1113" t="s">
        <v>20667</v>
      </c>
      <c r="AE1113" t="s">
        <v>20668</v>
      </c>
      <c r="AF1113" t="s">
        <v>74</v>
      </c>
      <c r="AG1113">
        <v>14</v>
      </c>
      <c r="AH1113">
        <v>1</v>
      </c>
      <c r="AI1113">
        <v>1</v>
      </c>
      <c r="AJ1113">
        <v>33</v>
      </c>
      <c r="AK1113">
        <v>33</v>
      </c>
      <c r="AL1113" t="s">
        <v>343</v>
      </c>
      <c r="AM1113" t="s">
        <v>93</v>
      </c>
      <c r="AN1113" t="s">
        <v>344</v>
      </c>
      <c r="AO1113" t="s">
        <v>20669</v>
      </c>
      <c r="AP1113" t="s">
        <v>20670</v>
      </c>
      <c r="AQ1113" t="s">
        <v>74</v>
      </c>
      <c r="AR1113" t="s">
        <v>20671</v>
      </c>
      <c r="AS1113" t="s">
        <v>20672</v>
      </c>
      <c r="AT1113" t="s">
        <v>20673</v>
      </c>
      <c r="AU1113">
        <v>2023</v>
      </c>
      <c r="AV1113" t="s">
        <v>74</v>
      </c>
      <c r="AW1113" t="s">
        <v>74</v>
      </c>
      <c r="AX1113" t="s">
        <v>74</v>
      </c>
      <c r="AY1113" t="s">
        <v>74</v>
      </c>
      <c r="AZ1113" t="s">
        <v>74</v>
      </c>
      <c r="BA1113" t="s">
        <v>74</v>
      </c>
      <c r="BB1113" t="s">
        <v>74</v>
      </c>
      <c r="BC1113" t="s">
        <v>74</v>
      </c>
      <c r="BD1113" t="s">
        <v>74</v>
      </c>
      <c r="BE1113" t="s">
        <v>20674</v>
      </c>
      <c r="BF1113" t="str">
        <f>HYPERLINK("http://dx.doi.org/10.1007/s00405-023-08270-9","http://dx.doi.org/10.1007/s00405-023-08270-9")</f>
        <v>http://dx.doi.org/10.1007/s00405-023-08270-9</v>
      </c>
      <c r="BG1113" t="s">
        <v>74</v>
      </c>
      <c r="BH1113" t="s">
        <v>157</v>
      </c>
      <c r="BI1113">
        <v>7</v>
      </c>
      <c r="BJ1113" t="s">
        <v>20122</v>
      </c>
      <c r="BK1113" t="s">
        <v>130</v>
      </c>
      <c r="BL1113" t="s">
        <v>20122</v>
      </c>
      <c r="BM1113" t="s">
        <v>20675</v>
      </c>
      <c r="BN1113">
        <v>37980605</v>
      </c>
      <c r="BO1113" t="s">
        <v>74</v>
      </c>
      <c r="BP1113" t="s">
        <v>74</v>
      </c>
      <c r="BQ1113" t="s">
        <v>74</v>
      </c>
      <c r="BR1113" t="s">
        <v>101</v>
      </c>
      <c r="BS1113" t="s">
        <v>20676</v>
      </c>
      <c r="BT1113" t="str">
        <f>HYPERLINK("https%3A%2F%2Fwww.webofscience.com%2Fwos%2Fwoscc%2Ffull-record%2FWOS:001103635400001","View Full Record in Web of Science")</f>
        <v>View Full Record in Web of Science</v>
      </c>
    </row>
    <row r="1114" spans="1:72" x14ac:dyDescent="0.2">
      <c r="A1114" t="s">
        <v>103</v>
      </c>
      <c r="B1114" t="s">
        <v>20677</v>
      </c>
      <c r="C1114" t="s">
        <v>74</v>
      </c>
      <c r="D1114" t="s">
        <v>74</v>
      </c>
      <c r="E1114" t="s">
        <v>74</v>
      </c>
      <c r="F1114" t="s">
        <v>20678</v>
      </c>
      <c r="G1114" t="s">
        <v>74</v>
      </c>
      <c r="H1114" t="s">
        <v>74</v>
      </c>
      <c r="I1114" t="s">
        <v>20679</v>
      </c>
      <c r="J1114" t="s">
        <v>20680</v>
      </c>
      <c r="K1114" t="s">
        <v>74</v>
      </c>
      <c r="L1114" t="s">
        <v>74</v>
      </c>
      <c r="M1114" t="s">
        <v>79</v>
      </c>
      <c r="N1114" t="s">
        <v>108</v>
      </c>
      <c r="O1114" t="s">
        <v>74</v>
      </c>
      <c r="P1114" t="s">
        <v>74</v>
      </c>
      <c r="Q1114" t="s">
        <v>74</v>
      </c>
      <c r="R1114" t="s">
        <v>74</v>
      </c>
      <c r="S1114" t="s">
        <v>74</v>
      </c>
      <c r="T1114" t="s">
        <v>20681</v>
      </c>
      <c r="U1114" t="s">
        <v>20682</v>
      </c>
      <c r="V1114" t="s">
        <v>20683</v>
      </c>
      <c r="W1114" t="s">
        <v>20684</v>
      </c>
      <c r="X1114" t="s">
        <v>20685</v>
      </c>
      <c r="Y1114" t="s">
        <v>20686</v>
      </c>
      <c r="Z1114" t="s">
        <v>20687</v>
      </c>
      <c r="AA1114" t="s">
        <v>74</v>
      </c>
      <c r="AB1114" t="s">
        <v>20688</v>
      </c>
      <c r="AC1114" t="s">
        <v>20689</v>
      </c>
      <c r="AD1114" t="s">
        <v>20690</v>
      </c>
      <c r="AE1114" t="s">
        <v>20691</v>
      </c>
      <c r="AF1114" t="s">
        <v>74</v>
      </c>
      <c r="AG1114">
        <v>68</v>
      </c>
      <c r="AH1114">
        <v>0</v>
      </c>
      <c r="AI1114">
        <v>0</v>
      </c>
      <c r="AJ1114">
        <v>42</v>
      </c>
      <c r="AK1114">
        <v>42</v>
      </c>
      <c r="AL1114" t="s">
        <v>764</v>
      </c>
      <c r="AM1114" t="s">
        <v>765</v>
      </c>
      <c r="AN1114" t="s">
        <v>766</v>
      </c>
      <c r="AO1114" t="s">
        <v>20692</v>
      </c>
      <c r="AP1114" t="s">
        <v>20693</v>
      </c>
      <c r="AQ1114" t="s">
        <v>74</v>
      </c>
      <c r="AR1114" t="s">
        <v>20680</v>
      </c>
      <c r="AS1114" t="s">
        <v>20694</v>
      </c>
      <c r="AT1114" t="s">
        <v>2016</v>
      </c>
      <c r="AU1114">
        <v>2024</v>
      </c>
      <c r="AV1114">
        <v>81</v>
      </c>
      <c r="AW1114" t="s">
        <v>74</v>
      </c>
      <c r="AX1114" t="s">
        <v>74</v>
      </c>
      <c r="AY1114" t="s">
        <v>74</v>
      </c>
      <c r="AZ1114" t="s">
        <v>74</v>
      </c>
      <c r="BA1114" t="s">
        <v>74</v>
      </c>
      <c r="BB1114" t="s">
        <v>74</v>
      </c>
      <c r="BC1114" t="s">
        <v>74</v>
      </c>
      <c r="BD1114">
        <v>102623</v>
      </c>
      <c r="BE1114" t="s">
        <v>20695</v>
      </c>
      <c r="BF1114" t="str">
        <f>HYPERLINK("http://dx.doi.org/10.1016/j.displa.2023.102623","http://dx.doi.org/10.1016/j.displa.2023.102623")</f>
        <v>http://dx.doi.org/10.1016/j.displa.2023.102623</v>
      </c>
      <c r="BG1114" t="s">
        <v>74</v>
      </c>
      <c r="BH1114" t="s">
        <v>128</v>
      </c>
      <c r="BI1114">
        <v>19</v>
      </c>
      <c r="BJ1114" t="s">
        <v>20696</v>
      </c>
      <c r="BK1114" t="s">
        <v>130</v>
      </c>
      <c r="BL1114" t="s">
        <v>20697</v>
      </c>
      <c r="BM1114" t="s">
        <v>20698</v>
      </c>
      <c r="BN1114" t="s">
        <v>74</v>
      </c>
      <c r="BO1114" t="s">
        <v>74</v>
      </c>
      <c r="BP1114" t="s">
        <v>74</v>
      </c>
      <c r="BQ1114" t="s">
        <v>74</v>
      </c>
      <c r="BR1114" t="s">
        <v>101</v>
      </c>
      <c r="BS1114" t="s">
        <v>20699</v>
      </c>
      <c r="BT1114" t="str">
        <f>HYPERLINK("https%3A%2F%2Fwww.webofscience.com%2Fwos%2Fwoscc%2Ffull-record%2FWOS:001165753800001","View Full Record in Web of Science")</f>
        <v>View Full Record in Web of Science</v>
      </c>
    </row>
    <row r="1115" spans="1:72" x14ac:dyDescent="0.2">
      <c r="A1115" t="s">
        <v>103</v>
      </c>
      <c r="B1115" t="s">
        <v>20700</v>
      </c>
      <c r="C1115" t="s">
        <v>74</v>
      </c>
      <c r="D1115" t="s">
        <v>74</v>
      </c>
      <c r="E1115" t="s">
        <v>74</v>
      </c>
      <c r="F1115" t="s">
        <v>20701</v>
      </c>
      <c r="G1115" t="s">
        <v>74</v>
      </c>
      <c r="H1115" t="s">
        <v>74</v>
      </c>
      <c r="I1115" t="s">
        <v>20702</v>
      </c>
      <c r="J1115" t="s">
        <v>12154</v>
      </c>
      <c r="K1115" t="s">
        <v>74</v>
      </c>
      <c r="L1115" t="s">
        <v>74</v>
      </c>
      <c r="M1115" t="s">
        <v>79</v>
      </c>
      <c r="N1115" t="s">
        <v>108</v>
      </c>
      <c r="O1115" t="s">
        <v>74</v>
      </c>
      <c r="P1115" t="s">
        <v>74</v>
      </c>
      <c r="Q1115" t="s">
        <v>74</v>
      </c>
      <c r="R1115" t="s">
        <v>74</v>
      </c>
      <c r="S1115" t="s">
        <v>74</v>
      </c>
      <c r="T1115" t="s">
        <v>20703</v>
      </c>
      <c r="U1115" t="s">
        <v>74</v>
      </c>
      <c r="V1115" t="s">
        <v>20704</v>
      </c>
      <c r="W1115" t="s">
        <v>20705</v>
      </c>
      <c r="X1115" t="s">
        <v>20706</v>
      </c>
      <c r="Y1115" t="s">
        <v>20707</v>
      </c>
      <c r="Z1115" t="s">
        <v>20708</v>
      </c>
      <c r="AA1115" t="s">
        <v>74</v>
      </c>
      <c r="AB1115" t="s">
        <v>74</v>
      </c>
      <c r="AC1115" t="s">
        <v>74</v>
      </c>
      <c r="AD1115" t="s">
        <v>74</v>
      </c>
      <c r="AE1115" t="s">
        <v>74</v>
      </c>
      <c r="AF1115" t="s">
        <v>74</v>
      </c>
      <c r="AG1115">
        <v>13</v>
      </c>
      <c r="AH1115">
        <v>0</v>
      </c>
      <c r="AI1115">
        <v>0</v>
      </c>
      <c r="AJ1115">
        <v>7</v>
      </c>
      <c r="AK1115">
        <v>7</v>
      </c>
      <c r="AL1115" t="s">
        <v>4176</v>
      </c>
      <c r="AM1115" t="s">
        <v>4177</v>
      </c>
      <c r="AN1115" t="s">
        <v>4178</v>
      </c>
      <c r="AO1115" t="s">
        <v>74</v>
      </c>
      <c r="AP1115" t="s">
        <v>12165</v>
      </c>
      <c r="AQ1115" t="s">
        <v>74</v>
      </c>
      <c r="AR1115" t="s">
        <v>12166</v>
      </c>
      <c r="AS1115" t="s">
        <v>12167</v>
      </c>
      <c r="AT1115" t="s">
        <v>74</v>
      </c>
      <c r="AU1115">
        <v>2023</v>
      </c>
      <c r="AV1115">
        <v>11</v>
      </c>
      <c r="AW1115" t="s">
        <v>74</v>
      </c>
      <c r="AX1115" t="s">
        <v>74</v>
      </c>
      <c r="AY1115" t="s">
        <v>74</v>
      </c>
      <c r="AZ1115" t="s">
        <v>74</v>
      </c>
      <c r="BA1115" t="s">
        <v>74</v>
      </c>
      <c r="BB1115" t="s">
        <v>74</v>
      </c>
      <c r="BC1115" t="s">
        <v>74</v>
      </c>
      <c r="BD1115" t="s">
        <v>20709</v>
      </c>
      <c r="BE1115" t="s">
        <v>20710</v>
      </c>
      <c r="BF1115" t="str">
        <f>HYPERLINK("http://dx.doi.org/10.2196/49886","http://dx.doi.org/10.2196/49886")</f>
        <v>http://dx.doi.org/10.2196/49886</v>
      </c>
      <c r="BG1115" t="s">
        <v>74</v>
      </c>
      <c r="BH1115" t="s">
        <v>74</v>
      </c>
      <c r="BI1115">
        <v>6</v>
      </c>
      <c r="BJ1115" t="s">
        <v>12170</v>
      </c>
      <c r="BK1115" t="s">
        <v>130</v>
      </c>
      <c r="BL1115" t="s">
        <v>12170</v>
      </c>
      <c r="BM1115" t="s">
        <v>20711</v>
      </c>
      <c r="BN1115">
        <v>38010803</v>
      </c>
      <c r="BO1115" t="s">
        <v>1728</v>
      </c>
      <c r="BP1115" t="s">
        <v>74</v>
      </c>
      <c r="BQ1115" t="s">
        <v>74</v>
      </c>
      <c r="BR1115" t="s">
        <v>101</v>
      </c>
      <c r="BS1115" t="s">
        <v>20712</v>
      </c>
      <c r="BT1115" t="str">
        <f>HYPERLINK("https%3A%2F%2Fwww.webofscience.com%2Fwos%2Fwoscc%2Ffull-record%2FWOS:001114748300001","View Full Record in Web of Science")</f>
        <v>View Full Record in Web of Science</v>
      </c>
    </row>
    <row r="1116" spans="1:72" x14ac:dyDescent="0.2">
      <c r="A1116" t="s">
        <v>103</v>
      </c>
      <c r="B1116" t="s">
        <v>20713</v>
      </c>
      <c r="C1116" t="s">
        <v>74</v>
      </c>
      <c r="D1116" t="s">
        <v>74</v>
      </c>
      <c r="E1116" t="s">
        <v>74</v>
      </c>
      <c r="F1116" t="s">
        <v>20714</v>
      </c>
      <c r="G1116" t="s">
        <v>74</v>
      </c>
      <c r="H1116" t="s">
        <v>74</v>
      </c>
      <c r="I1116" t="s">
        <v>20715</v>
      </c>
      <c r="J1116" t="s">
        <v>20716</v>
      </c>
      <c r="K1116" t="s">
        <v>74</v>
      </c>
      <c r="L1116" t="s">
        <v>74</v>
      </c>
      <c r="M1116" t="s">
        <v>79</v>
      </c>
      <c r="N1116" t="s">
        <v>108</v>
      </c>
      <c r="O1116" t="s">
        <v>74</v>
      </c>
      <c r="P1116" t="s">
        <v>74</v>
      </c>
      <c r="Q1116" t="s">
        <v>74</v>
      </c>
      <c r="R1116" t="s">
        <v>74</v>
      </c>
      <c r="S1116" t="s">
        <v>74</v>
      </c>
      <c r="T1116" t="s">
        <v>20717</v>
      </c>
      <c r="U1116" t="s">
        <v>20718</v>
      </c>
      <c r="V1116" t="s">
        <v>20719</v>
      </c>
      <c r="W1116" t="s">
        <v>20720</v>
      </c>
      <c r="X1116" t="s">
        <v>20721</v>
      </c>
      <c r="Y1116" t="s">
        <v>20722</v>
      </c>
      <c r="Z1116" t="s">
        <v>20723</v>
      </c>
      <c r="AA1116" t="s">
        <v>74</v>
      </c>
      <c r="AB1116" t="s">
        <v>20724</v>
      </c>
      <c r="AC1116" t="s">
        <v>20725</v>
      </c>
      <c r="AD1116" t="s">
        <v>20726</v>
      </c>
      <c r="AE1116" t="s">
        <v>20727</v>
      </c>
      <c r="AF1116" t="s">
        <v>74</v>
      </c>
      <c r="AG1116">
        <v>40</v>
      </c>
      <c r="AH1116">
        <v>0</v>
      </c>
      <c r="AI1116">
        <v>0</v>
      </c>
      <c r="AJ1116">
        <v>22</v>
      </c>
      <c r="AK1116">
        <v>22</v>
      </c>
      <c r="AL1116" t="s">
        <v>2492</v>
      </c>
      <c r="AM1116" t="s">
        <v>461</v>
      </c>
      <c r="AN1116" t="s">
        <v>2493</v>
      </c>
      <c r="AO1116" t="s">
        <v>74</v>
      </c>
      <c r="AP1116" t="s">
        <v>20728</v>
      </c>
      <c r="AQ1116" t="s">
        <v>74</v>
      </c>
      <c r="AR1116" t="s">
        <v>20729</v>
      </c>
      <c r="AS1116" t="s">
        <v>20730</v>
      </c>
      <c r="AT1116" t="s">
        <v>20731</v>
      </c>
      <c r="AU1116">
        <v>2023</v>
      </c>
      <c r="AV1116">
        <v>11</v>
      </c>
      <c r="AW1116" t="s">
        <v>74</v>
      </c>
      <c r="AX1116" t="s">
        <v>74</v>
      </c>
      <c r="AY1116" t="s">
        <v>74</v>
      </c>
      <c r="AZ1116" t="s">
        <v>74</v>
      </c>
      <c r="BA1116" t="s">
        <v>74</v>
      </c>
      <c r="BB1116" t="s">
        <v>74</v>
      </c>
      <c r="BC1116" t="s">
        <v>74</v>
      </c>
      <c r="BD1116">
        <v>1287858</v>
      </c>
      <c r="BE1116" t="s">
        <v>20732</v>
      </c>
      <c r="BF1116" t="str">
        <f>HYPERLINK("http://dx.doi.org/10.3389/fenvs.2023.1287858","http://dx.doi.org/10.3389/fenvs.2023.1287858")</f>
        <v>http://dx.doi.org/10.3389/fenvs.2023.1287858</v>
      </c>
      <c r="BG1116" t="s">
        <v>74</v>
      </c>
      <c r="BH1116" t="s">
        <v>74</v>
      </c>
      <c r="BI1116">
        <v>13</v>
      </c>
      <c r="BJ1116" t="s">
        <v>7211</v>
      </c>
      <c r="BK1116" t="s">
        <v>130</v>
      </c>
      <c r="BL1116" t="s">
        <v>7212</v>
      </c>
      <c r="BM1116" t="s">
        <v>20733</v>
      </c>
      <c r="BN1116" t="s">
        <v>74</v>
      </c>
      <c r="BO1116" t="s">
        <v>425</v>
      </c>
      <c r="BP1116" t="s">
        <v>74</v>
      </c>
      <c r="BQ1116" t="s">
        <v>74</v>
      </c>
      <c r="BR1116" t="s">
        <v>101</v>
      </c>
      <c r="BS1116" t="s">
        <v>20734</v>
      </c>
      <c r="BT1116" t="str">
        <f>HYPERLINK("https%3A%2F%2Fwww.webofscience.com%2Fwos%2Fwoscc%2Ffull-record%2FWOS:001129244900001","View Full Record in Web of Science")</f>
        <v>View Full Record in Web of Science</v>
      </c>
    </row>
    <row r="1117" spans="1:72" x14ac:dyDescent="0.2">
      <c r="A1117" t="s">
        <v>103</v>
      </c>
      <c r="B1117" t="s">
        <v>20735</v>
      </c>
      <c r="C1117" t="s">
        <v>74</v>
      </c>
      <c r="D1117" t="s">
        <v>74</v>
      </c>
      <c r="E1117" t="s">
        <v>74</v>
      </c>
      <c r="F1117" t="s">
        <v>20736</v>
      </c>
      <c r="G1117" t="s">
        <v>74</v>
      </c>
      <c r="H1117" t="s">
        <v>74</v>
      </c>
      <c r="I1117" t="s">
        <v>20737</v>
      </c>
      <c r="J1117" t="s">
        <v>20738</v>
      </c>
      <c r="K1117" t="s">
        <v>74</v>
      </c>
      <c r="L1117" t="s">
        <v>74</v>
      </c>
      <c r="M1117" t="s">
        <v>79</v>
      </c>
      <c r="N1117" t="s">
        <v>138</v>
      </c>
      <c r="O1117" t="s">
        <v>74</v>
      </c>
      <c r="P1117" t="s">
        <v>74</v>
      </c>
      <c r="Q1117" t="s">
        <v>74</v>
      </c>
      <c r="R1117" t="s">
        <v>74</v>
      </c>
      <c r="S1117" t="s">
        <v>74</v>
      </c>
      <c r="T1117" t="s">
        <v>20739</v>
      </c>
      <c r="U1117" t="s">
        <v>74</v>
      </c>
      <c r="V1117" t="s">
        <v>20740</v>
      </c>
      <c r="W1117" t="s">
        <v>20741</v>
      </c>
      <c r="X1117" t="s">
        <v>20742</v>
      </c>
      <c r="Y1117" t="s">
        <v>20743</v>
      </c>
      <c r="Z1117" t="s">
        <v>20744</v>
      </c>
      <c r="AA1117" t="s">
        <v>74</v>
      </c>
      <c r="AB1117" t="s">
        <v>20745</v>
      </c>
      <c r="AC1117" t="s">
        <v>74</v>
      </c>
      <c r="AD1117" t="s">
        <v>74</v>
      </c>
      <c r="AE1117" t="s">
        <v>74</v>
      </c>
      <c r="AF1117" t="s">
        <v>74</v>
      </c>
      <c r="AG1117">
        <v>33</v>
      </c>
      <c r="AH1117">
        <v>0</v>
      </c>
      <c r="AI1117">
        <v>0</v>
      </c>
      <c r="AJ1117">
        <v>8</v>
      </c>
      <c r="AK1117">
        <v>8</v>
      </c>
      <c r="AL1117" t="s">
        <v>438</v>
      </c>
      <c r="AM1117" t="s">
        <v>439</v>
      </c>
      <c r="AN1117" t="s">
        <v>440</v>
      </c>
      <c r="AO1117" t="s">
        <v>20746</v>
      </c>
      <c r="AP1117" t="s">
        <v>20747</v>
      </c>
      <c r="AQ1117" t="s">
        <v>74</v>
      </c>
      <c r="AR1117" t="s">
        <v>20748</v>
      </c>
      <c r="AS1117" t="s">
        <v>20749</v>
      </c>
      <c r="AT1117" t="s">
        <v>2265</v>
      </c>
      <c r="AU1117">
        <v>2023</v>
      </c>
      <c r="AV1117" t="s">
        <v>74</v>
      </c>
      <c r="AW1117" t="s">
        <v>74</v>
      </c>
      <c r="AX1117" t="s">
        <v>74</v>
      </c>
      <c r="AY1117" t="s">
        <v>74</v>
      </c>
      <c r="AZ1117" t="s">
        <v>74</v>
      </c>
      <c r="BA1117" t="s">
        <v>74</v>
      </c>
      <c r="BB1117" t="s">
        <v>74</v>
      </c>
      <c r="BC1117" t="s">
        <v>74</v>
      </c>
      <c r="BD1117" t="s">
        <v>74</v>
      </c>
      <c r="BE1117" t="s">
        <v>20750</v>
      </c>
      <c r="BF1117" t="str">
        <f>HYPERLINK("http://dx.doi.org/10.1177/08944393231220483","http://dx.doi.org/10.1177/08944393231220483")</f>
        <v>http://dx.doi.org/10.1177/08944393231220483</v>
      </c>
      <c r="BG1117" t="s">
        <v>74</v>
      </c>
      <c r="BH1117" t="s">
        <v>128</v>
      </c>
      <c r="BI1117">
        <v>23</v>
      </c>
      <c r="BJ1117" t="s">
        <v>20751</v>
      </c>
      <c r="BK1117" t="s">
        <v>947</v>
      </c>
      <c r="BL1117" t="s">
        <v>20752</v>
      </c>
      <c r="BM1117" t="s">
        <v>20753</v>
      </c>
      <c r="BN1117" t="s">
        <v>74</v>
      </c>
      <c r="BO1117" t="s">
        <v>161</v>
      </c>
      <c r="BP1117" t="s">
        <v>74</v>
      </c>
      <c r="BQ1117" t="s">
        <v>74</v>
      </c>
      <c r="BR1117" t="s">
        <v>101</v>
      </c>
      <c r="BS1117" t="s">
        <v>20754</v>
      </c>
      <c r="BT1117" t="str">
        <f>HYPERLINK("https%3A%2F%2Fwww.webofscience.com%2Fwos%2Fwoscc%2Ffull-record%2FWOS:001116391300001","View Full Record in Web of Science")</f>
        <v>View Full Record in Web of Science</v>
      </c>
    </row>
    <row r="1118" spans="1:72" x14ac:dyDescent="0.2">
      <c r="A1118" t="s">
        <v>103</v>
      </c>
      <c r="B1118" t="s">
        <v>20755</v>
      </c>
      <c r="C1118" t="s">
        <v>74</v>
      </c>
      <c r="D1118" t="s">
        <v>74</v>
      </c>
      <c r="E1118" t="s">
        <v>74</v>
      </c>
      <c r="F1118" t="s">
        <v>20756</v>
      </c>
      <c r="G1118" t="s">
        <v>74</v>
      </c>
      <c r="H1118" t="s">
        <v>74</v>
      </c>
      <c r="I1118" t="s">
        <v>20757</v>
      </c>
      <c r="J1118" t="s">
        <v>5191</v>
      </c>
      <c r="K1118" t="s">
        <v>74</v>
      </c>
      <c r="L1118" t="s">
        <v>74</v>
      </c>
      <c r="M1118" t="s">
        <v>79</v>
      </c>
      <c r="N1118" t="s">
        <v>108</v>
      </c>
      <c r="O1118" t="s">
        <v>74</v>
      </c>
      <c r="P1118" t="s">
        <v>74</v>
      </c>
      <c r="Q1118" t="s">
        <v>74</v>
      </c>
      <c r="R1118" t="s">
        <v>74</v>
      </c>
      <c r="S1118" t="s">
        <v>74</v>
      </c>
      <c r="T1118" t="s">
        <v>20758</v>
      </c>
      <c r="U1118" t="s">
        <v>74</v>
      </c>
      <c r="V1118" t="s">
        <v>20759</v>
      </c>
      <c r="W1118" t="s">
        <v>20760</v>
      </c>
      <c r="X1118" t="s">
        <v>20761</v>
      </c>
      <c r="Y1118" t="s">
        <v>20762</v>
      </c>
      <c r="Z1118" t="s">
        <v>20763</v>
      </c>
      <c r="AA1118" t="s">
        <v>74</v>
      </c>
      <c r="AB1118" t="s">
        <v>20764</v>
      </c>
      <c r="AC1118" t="s">
        <v>74</v>
      </c>
      <c r="AD1118" t="s">
        <v>74</v>
      </c>
      <c r="AE1118" t="s">
        <v>74</v>
      </c>
      <c r="AF1118" t="s">
        <v>74</v>
      </c>
      <c r="AG1118">
        <v>23</v>
      </c>
      <c r="AH1118">
        <v>0</v>
      </c>
      <c r="AI1118">
        <v>0</v>
      </c>
      <c r="AJ1118">
        <v>6</v>
      </c>
      <c r="AK1118">
        <v>6</v>
      </c>
      <c r="AL1118" t="s">
        <v>5198</v>
      </c>
      <c r="AM1118" t="s">
        <v>5199</v>
      </c>
      <c r="AN1118" t="s">
        <v>5200</v>
      </c>
      <c r="AO1118" t="s">
        <v>5201</v>
      </c>
      <c r="AP1118" t="s">
        <v>74</v>
      </c>
      <c r="AQ1118" t="s">
        <v>74</v>
      </c>
      <c r="AR1118" t="s">
        <v>5202</v>
      </c>
      <c r="AS1118" t="s">
        <v>5203</v>
      </c>
      <c r="AT1118" t="s">
        <v>527</v>
      </c>
      <c r="AU1118">
        <v>2023</v>
      </c>
      <c r="AV1118">
        <v>109</v>
      </c>
      <c r="AW1118">
        <v>8</v>
      </c>
      <c r="AX1118" t="s">
        <v>74</v>
      </c>
      <c r="AY1118" t="s">
        <v>74</v>
      </c>
      <c r="AZ1118" t="s">
        <v>74</v>
      </c>
      <c r="BA1118" t="s">
        <v>74</v>
      </c>
      <c r="BB1118" t="s">
        <v>74</v>
      </c>
      <c r="BC1118" t="s">
        <v>74</v>
      </c>
      <c r="BD1118">
        <v>103720</v>
      </c>
      <c r="BE1118" t="s">
        <v>20765</v>
      </c>
      <c r="BF1118" t="str">
        <f>HYPERLINK("http://dx.doi.org/10.1016/j.otsr.2023.103720","http://dx.doi.org/10.1016/j.otsr.2023.103720")</f>
        <v>http://dx.doi.org/10.1016/j.otsr.2023.103720</v>
      </c>
      <c r="BG1118" t="s">
        <v>74</v>
      </c>
      <c r="BH1118" t="s">
        <v>157</v>
      </c>
      <c r="BI1118">
        <v>6</v>
      </c>
      <c r="BJ1118" t="s">
        <v>5057</v>
      </c>
      <c r="BK1118" t="s">
        <v>130</v>
      </c>
      <c r="BL1118" t="s">
        <v>5057</v>
      </c>
      <c r="BM1118" t="s">
        <v>20766</v>
      </c>
      <c r="BN1118">
        <v>37866509</v>
      </c>
      <c r="BO1118" t="s">
        <v>74</v>
      </c>
      <c r="BP1118" t="s">
        <v>74</v>
      </c>
      <c r="BQ1118" t="s">
        <v>74</v>
      </c>
      <c r="BR1118" t="s">
        <v>101</v>
      </c>
      <c r="BS1118" t="s">
        <v>20767</v>
      </c>
      <c r="BT1118" t="str">
        <f>HYPERLINK("https%3A%2F%2Fwww.webofscience.com%2Fwos%2Fwoscc%2Ffull-record%2FWOS:001127982300001","View Full Record in Web of Science")</f>
        <v>View Full Record in Web of Science</v>
      </c>
    </row>
    <row r="1119" spans="1:72" x14ac:dyDescent="0.2">
      <c r="A1119" t="s">
        <v>72</v>
      </c>
      <c r="B1119" t="s">
        <v>20768</v>
      </c>
      <c r="C1119" t="s">
        <v>74</v>
      </c>
      <c r="D1119" t="s">
        <v>74</v>
      </c>
      <c r="E1119" t="s">
        <v>284</v>
      </c>
      <c r="F1119" t="s">
        <v>20769</v>
      </c>
      <c r="G1119" t="s">
        <v>74</v>
      </c>
      <c r="H1119" t="s">
        <v>74</v>
      </c>
      <c r="I1119" t="s">
        <v>20770</v>
      </c>
      <c r="J1119" t="s">
        <v>20771</v>
      </c>
      <c r="K1119" t="s">
        <v>20772</v>
      </c>
      <c r="L1119" t="s">
        <v>74</v>
      </c>
      <c r="M1119" t="s">
        <v>79</v>
      </c>
      <c r="N1119" t="s">
        <v>80</v>
      </c>
      <c r="O1119" t="s">
        <v>20773</v>
      </c>
      <c r="P1119" t="s">
        <v>20774</v>
      </c>
      <c r="Q1119" t="s">
        <v>2831</v>
      </c>
      <c r="R1119" t="s">
        <v>20775</v>
      </c>
      <c r="S1119" t="s">
        <v>74</v>
      </c>
      <c r="T1119" t="s">
        <v>20776</v>
      </c>
      <c r="U1119" t="s">
        <v>74</v>
      </c>
      <c r="V1119" t="s">
        <v>20777</v>
      </c>
      <c r="W1119" t="s">
        <v>20778</v>
      </c>
      <c r="X1119" t="s">
        <v>20779</v>
      </c>
      <c r="Y1119" t="s">
        <v>20780</v>
      </c>
      <c r="Z1119" t="s">
        <v>20781</v>
      </c>
      <c r="AA1119" t="s">
        <v>74</v>
      </c>
      <c r="AB1119" t="s">
        <v>74</v>
      </c>
      <c r="AC1119" t="s">
        <v>20782</v>
      </c>
      <c r="AD1119" t="s">
        <v>20782</v>
      </c>
      <c r="AE1119" t="s">
        <v>20783</v>
      </c>
      <c r="AF1119" t="s">
        <v>74</v>
      </c>
      <c r="AG1119">
        <v>18</v>
      </c>
      <c r="AH1119">
        <v>0</v>
      </c>
      <c r="AI1119">
        <v>0</v>
      </c>
      <c r="AJ1119">
        <v>0</v>
      </c>
      <c r="AK1119">
        <v>0</v>
      </c>
      <c r="AL1119" t="s">
        <v>284</v>
      </c>
      <c r="AM1119" t="s">
        <v>93</v>
      </c>
      <c r="AN1119" t="s">
        <v>299</v>
      </c>
      <c r="AO1119" t="s">
        <v>20784</v>
      </c>
      <c r="AP1119" t="s">
        <v>74</v>
      </c>
      <c r="AQ1119" t="s">
        <v>20785</v>
      </c>
      <c r="AR1119" t="s">
        <v>20786</v>
      </c>
      <c r="AS1119" t="s">
        <v>74</v>
      </c>
      <c r="AT1119" t="s">
        <v>74</v>
      </c>
      <c r="AU1119">
        <v>2023</v>
      </c>
      <c r="AV1119" t="s">
        <v>74</v>
      </c>
      <c r="AW1119" t="s">
        <v>74</v>
      </c>
      <c r="AX1119" t="s">
        <v>74</v>
      </c>
      <c r="AY1119" t="s">
        <v>74</v>
      </c>
      <c r="AZ1119" t="s">
        <v>74</v>
      </c>
      <c r="BA1119" t="s">
        <v>74</v>
      </c>
      <c r="BB1119" t="s">
        <v>74</v>
      </c>
      <c r="BC1119" t="s">
        <v>74</v>
      </c>
      <c r="BD1119" t="s">
        <v>74</v>
      </c>
      <c r="BE1119" t="s">
        <v>20787</v>
      </c>
      <c r="BF1119" t="str">
        <f>HYPERLINK("http://dx.doi.org/10.1109/BHI58575.2023.10313377","http://dx.doi.org/10.1109/BHI58575.2023.10313377")</f>
        <v>http://dx.doi.org/10.1109/BHI58575.2023.10313377</v>
      </c>
      <c r="BG1119" t="s">
        <v>74</v>
      </c>
      <c r="BH1119" t="s">
        <v>74</v>
      </c>
      <c r="BI1119">
        <v>4</v>
      </c>
      <c r="BJ1119" t="s">
        <v>20788</v>
      </c>
      <c r="BK1119" t="s">
        <v>98</v>
      </c>
      <c r="BL1119" t="s">
        <v>6455</v>
      </c>
      <c r="BM1119" t="s">
        <v>20789</v>
      </c>
      <c r="BN1119" t="s">
        <v>74</v>
      </c>
      <c r="BO1119" t="s">
        <v>74</v>
      </c>
      <c r="BP1119" t="s">
        <v>74</v>
      </c>
      <c r="BQ1119" t="s">
        <v>74</v>
      </c>
      <c r="BR1119" t="s">
        <v>101</v>
      </c>
      <c r="BS1119" t="s">
        <v>20790</v>
      </c>
      <c r="BT1119" t="str">
        <f>HYPERLINK("https%3A%2F%2Fwww.webofscience.com%2Fwos%2Fwoscc%2Ffull-record%2FWOS:001107519300011","View Full Record in Web of Science")</f>
        <v>View Full Record in Web of Science</v>
      </c>
    </row>
    <row r="1120" spans="1:72" x14ac:dyDescent="0.2">
      <c r="A1120" t="s">
        <v>103</v>
      </c>
      <c r="B1120" t="s">
        <v>20791</v>
      </c>
      <c r="C1120" t="s">
        <v>74</v>
      </c>
      <c r="D1120" t="s">
        <v>74</v>
      </c>
      <c r="E1120" t="s">
        <v>74</v>
      </c>
      <c r="F1120" t="s">
        <v>20792</v>
      </c>
      <c r="G1120" t="s">
        <v>74</v>
      </c>
      <c r="H1120" t="s">
        <v>74</v>
      </c>
      <c r="I1120" t="s">
        <v>20793</v>
      </c>
      <c r="J1120" t="s">
        <v>20794</v>
      </c>
      <c r="K1120" t="s">
        <v>74</v>
      </c>
      <c r="L1120" t="s">
        <v>74</v>
      </c>
      <c r="M1120" t="s">
        <v>79</v>
      </c>
      <c r="N1120" t="s">
        <v>108</v>
      </c>
      <c r="O1120" t="s">
        <v>74</v>
      </c>
      <c r="P1120" t="s">
        <v>74</v>
      </c>
      <c r="Q1120" t="s">
        <v>74</v>
      </c>
      <c r="R1120" t="s">
        <v>74</v>
      </c>
      <c r="S1120" t="s">
        <v>74</v>
      </c>
      <c r="T1120" t="s">
        <v>74</v>
      </c>
      <c r="U1120" t="s">
        <v>74</v>
      </c>
      <c r="V1120" t="s">
        <v>20795</v>
      </c>
      <c r="W1120" t="s">
        <v>20796</v>
      </c>
      <c r="X1120" t="s">
        <v>20797</v>
      </c>
      <c r="Y1120" t="s">
        <v>20798</v>
      </c>
      <c r="Z1120" t="s">
        <v>20799</v>
      </c>
      <c r="AA1120" t="s">
        <v>74</v>
      </c>
      <c r="AB1120" t="s">
        <v>20800</v>
      </c>
      <c r="AC1120" t="s">
        <v>74</v>
      </c>
      <c r="AD1120" t="s">
        <v>74</v>
      </c>
      <c r="AE1120" t="s">
        <v>74</v>
      </c>
      <c r="AF1120" t="s">
        <v>74</v>
      </c>
      <c r="AG1120">
        <v>5</v>
      </c>
      <c r="AH1120">
        <v>0</v>
      </c>
      <c r="AI1120">
        <v>0</v>
      </c>
      <c r="AJ1120">
        <v>32</v>
      </c>
      <c r="AK1120">
        <v>41</v>
      </c>
      <c r="AL1120" t="s">
        <v>3980</v>
      </c>
      <c r="AM1120" t="s">
        <v>1153</v>
      </c>
      <c r="AN1120" t="s">
        <v>3981</v>
      </c>
      <c r="AO1120" t="s">
        <v>20801</v>
      </c>
      <c r="AP1120" t="s">
        <v>20802</v>
      </c>
      <c r="AQ1120" t="s">
        <v>74</v>
      </c>
      <c r="AR1120" t="s">
        <v>20803</v>
      </c>
      <c r="AS1120" t="s">
        <v>20804</v>
      </c>
      <c r="AT1120" t="s">
        <v>20805</v>
      </c>
      <c r="AU1120">
        <v>2023</v>
      </c>
      <c r="AV1120">
        <v>23</v>
      </c>
      <c r="AW1120">
        <v>17</v>
      </c>
      <c r="AX1120" t="s">
        <v>74</v>
      </c>
      <c r="AY1120" t="s">
        <v>74</v>
      </c>
      <c r="AZ1120" t="s">
        <v>74</v>
      </c>
      <c r="BA1120" t="s">
        <v>74</v>
      </c>
      <c r="BB1120">
        <v>3778</v>
      </c>
      <c r="BC1120">
        <v>3784</v>
      </c>
      <c r="BD1120" t="s">
        <v>74</v>
      </c>
      <c r="BE1120" t="s">
        <v>20806</v>
      </c>
      <c r="BF1120" t="str">
        <f>HYPERLINK("http://dx.doi.org/10.1039/d3lc00518f","http://dx.doi.org/10.1039/d3lc00518f")</f>
        <v>http://dx.doi.org/10.1039/d3lc00518f</v>
      </c>
      <c r="BG1120" t="s">
        <v>74</v>
      </c>
      <c r="BH1120" t="s">
        <v>255</v>
      </c>
      <c r="BI1120">
        <v>7</v>
      </c>
      <c r="BJ1120" t="s">
        <v>20807</v>
      </c>
      <c r="BK1120" t="s">
        <v>130</v>
      </c>
      <c r="BL1120" t="s">
        <v>20808</v>
      </c>
      <c r="BM1120" t="s">
        <v>20809</v>
      </c>
      <c r="BN1120">
        <v>37577834</v>
      </c>
      <c r="BO1120" t="s">
        <v>74</v>
      </c>
      <c r="BP1120" t="s">
        <v>74</v>
      </c>
      <c r="BQ1120" t="s">
        <v>74</v>
      </c>
      <c r="BR1120" t="s">
        <v>101</v>
      </c>
      <c r="BS1120" t="s">
        <v>20810</v>
      </c>
      <c r="BT1120" t="str">
        <f>HYPERLINK("https%3A%2F%2Fwww.webofscience.com%2Fwos%2Fwoscc%2Ffull-record%2FWOS:001047739400001","View Full Record in Web of Science")</f>
        <v>View Full Record in Web of Science</v>
      </c>
    </row>
    <row r="1121" spans="1:72" x14ac:dyDescent="0.2">
      <c r="A1121" t="s">
        <v>72</v>
      </c>
      <c r="B1121" t="s">
        <v>20811</v>
      </c>
      <c r="C1121" t="s">
        <v>74</v>
      </c>
      <c r="D1121" t="s">
        <v>9734</v>
      </c>
      <c r="E1121" t="s">
        <v>74</v>
      </c>
      <c r="F1121" t="s">
        <v>20812</v>
      </c>
      <c r="G1121" t="s">
        <v>74</v>
      </c>
      <c r="H1121" t="s">
        <v>74</v>
      </c>
      <c r="I1121" t="s">
        <v>20813</v>
      </c>
      <c r="J1121" t="s">
        <v>9737</v>
      </c>
      <c r="K1121" t="s">
        <v>9738</v>
      </c>
      <c r="L1121" t="s">
        <v>74</v>
      </c>
      <c r="M1121" t="s">
        <v>79</v>
      </c>
      <c r="N1121" t="s">
        <v>80</v>
      </c>
      <c r="O1121" t="s">
        <v>9739</v>
      </c>
      <c r="P1121" t="s">
        <v>9740</v>
      </c>
      <c r="Q1121" t="s">
        <v>8568</v>
      </c>
      <c r="R1121" t="s">
        <v>74</v>
      </c>
      <c r="S1121" t="s">
        <v>74</v>
      </c>
      <c r="T1121" t="s">
        <v>20814</v>
      </c>
      <c r="U1121" t="s">
        <v>20815</v>
      </c>
      <c r="V1121" t="s">
        <v>20816</v>
      </c>
      <c r="W1121" t="s">
        <v>20817</v>
      </c>
      <c r="X1121" t="s">
        <v>20818</v>
      </c>
      <c r="Y1121" t="s">
        <v>20819</v>
      </c>
      <c r="Z1121" t="s">
        <v>20820</v>
      </c>
      <c r="AA1121" t="s">
        <v>74</v>
      </c>
      <c r="AB1121" t="s">
        <v>74</v>
      </c>
      <c r="AC1121" t="s">
        <v>20821</v>
      </c>
      <c r="AD1121" t="s">
        <v>20821</v>
      </c>
      <c r="AE1121" t="s">
        <v>20822</v>
      </c>
      <c r="AF1121" t="s">
        <v>74</v>
      </c>
      <c r="AG1121">
        <v>16</v>
      </c>
      <c r="AH1121">
        <v>1</v>
      </c>
      <c r="AI1121">
        <v>1</v>
      </c>
      <c r="AJ1121">
        <v>1</v>
      </c>
      <c r="AK1121">
        <v>2</v>
      </c>
      <c r="AL1121" t="s">
        <v>325</v>
      </c>
      <c r="AM1121" t="s">
        <v>245</v>
      </c>
      <c r="AN1121" t="s">
        <v>246</v>
      </c>
      <c r="AO1121" t="s">
        <v>9746</v>
      </c>
      <c r="AP1121" t="s">
        <v>9747</v>
      </c>
      <c r="AQ1121" t="s">
        <v>9748</v>
      </c>
      <c r="AR1121" t="s">
        <v>9749</v>
      </c>
      <c r="AS1121" t="s">
        <v>74</v>
      </c>
      <c r="AT1121" t="s">
        <v>74</v>
      </c>
      <c r="AU1121">
        <v>2023</v>
      </c>
      <c r="AV1121">
        <v>1721</v>
      </c>
      <c r="AW1121" t="s">
        <v>74</v>
      </c>
      <c r="AX1121" t="s">
        <v>74</v>
      </c>
      <c r="AY1121" t="s">
        <v>74</v>
      </c>
      <c r="AZ1121" t="s">
        <v>74</v>
      </c>
      <c r="BA1121" t="s">
        <v>74</v>
      </c>
      <c r="BB1121">
        <v>210</v>
      </c>
      <c r="BC1121">
        <v>221</v>
      </c>
      <c r="BD1121" t="s">
        <v>74</v>
      </c>
      <c r="BE1121" t="s">
        <v>20823</v>
      </c>
      <c r="BF1121" t="str">
        <f>HYPERLINK("http://dx.doi.org/10.1007/978-3-031-28719-0_15","http://dx.doi.org/10.1007/978-3-031-28719-0_15")</f>
        <v>http://dx.doi.org/10.1007/978-3-031-28719-0_15</v>
      </c>
      <c r="BG1121" t="s">
        <v>74</v>
      </c>
      <c r="BH1121" t="s">
        <v>74</v>
      </c>
      <c r="BI1121">
        <v>12</v>
      </c>
      <c r="BJ1121" t="s">
        <v>3012</v>
      </c>
      <c r="BK1121" t="s">
        <v>98</v>
      </c>
      <c r="BL1121" t="s">
        <v>99</v>
      </c>
      <c r="BM1121" t="s">
        <v>9751</v>
      </c>
      <c r="BN1121" t="s">
        <v>74</v>
      </c>
      <c r="BO1121" t="s">
        <v>16507</v>
      </c>
      <c r="BP1121" t="s">
        <v>74</v>
      </c>
      <c r="BQ1121" t="s">
        <v>74</v>
      </c>
      <c r="BR1121" t="s">
        <v>101</v>
      </c>
      <c r="BS1121" t="s">
        <v>20824</v>
      </c>
      <c r="BT1121" t="str">
        <f>HYPERLINK("https%3A%2F%2Fwww.webofscience.com%2Fwos%2Fwoscc%2Ffull-record%2FWOS:001000556300015","View Full Record in Web of Science")</f>
        <v>View Full Record in Web of Science</v>
      </c>
    </row>
    <row r="1122" spans="1:72" x14ac:dyDescent="0.2">
      <c r="A1122" t="s">
        <v>103</v>
      </c>
      <c r="B1122" t="s">
        <v>20825</v>
      </c>
      <c r="C1122" t="s">
        <v>74</v>
      </c>
      <c r="D1122" t="s">
        <v>74</v>
      </c>
      <c r="E1122" t="s">
        <v>74</v>
      </c>
      <c r="F1122" t="s">
        <v>20826</v>
      </c>
      <c r="G1122" t="s">
        <v>74</v>
      </c>
      <c r="H1122" t="s">
        <v>74</v>
      </c>
      <c r="I1122" t="s">
        <v>20827</v>
      </c>
      <c r="J1122" t="s">
        <v>9367</v>
      </c>
      <c r="K1122" t="s">
        <v>74</v>
      </c>
      <c r="L1122" t="s">
        <v>74</v>
      </c>
      <c r="M1122" t="s">
        <v>79</v>
      </c>
      <c r="N1122" t="s">
        <v>108</v>
      </c>
      <c r="O1122" t="s">
        <v>74</v>
      </c>
      <c r="P1122" t="s">
        <v>74</v>
      </c>
      <c r="Q1122" t="s">
        <v>74</v>
      </c>
      <c r="R1122" t="s">
        <v>74</v>
      </c>
      <c r="S1122" t="s">
        <v>74</v>
      </c>
      <c r="T1122" t="s">
        <v>20828</v>
      </c>
      <c r="U1122" t="s">
        <v>20829</v>
      </c>
      <c r="V1122" t="s">
        <v>20830</v>
      </c>
      <c r="W1122" t="s">
        <v>20831</v>
      </c>
      <c r="X1122" t="s">
        <v>20832</v>
      </c>
      <c r="Y1122" t="s">
        <v>20833</v>
      </c>
      <c r="Z1122" t="s">
        <v>20834</v>
      </c>
      <c r="AA1122" t="s">
        <v>74</v>
      </c>
      <c r="AB1122" t="s">
        <v>74</v>
      </c>
      <c r="AC1122" t="s">
        <v>20835</v>
      </c>
      <c r="AD1122" t="s">
        <v>20835</v>
      </c>
      <c r="AE1122" t="s">
        <v>20835</v>
      </c>
      <c r="AF1122" t="s">
        <v>74</v>
      </c>
      <c r="AG1122">
        <v>90</v>
      </c>
      <c r="AH1122">
        <v>2</v>
      </c>
      <c r="AI1122">
        <v>2</v>
      </c>
      <c r="AJ1122">
        <v>8</v>
      </c>
      <c r="AK1122">
        <v>8</v>
      </c>
      <c r="AL1122" t="s">
        <v>6274</v>
      </c>
      <c r="AM1122" t="s">
        <v>93</v>
      </c>
      <c r="AN1122" t="s">
        <v>6275</v>
      </c>
      <c r="AO1122" t="s">
        <v>9374</v>
      </c>
      <c r="AP1122" t="s">
        <v>9375</v>
      </c>
      <c r="AQ1122" t="s">
        <v>74</v>
      </c>
      <c r="AR1122" t="s">
        <v>9376</v>
      </c>
      <c r="AS1122" t="s">
        <v>9377</v>
      </c>
      <c r="AT1122" t="s">
        <v>2497</v>
      </c>
      <c r="AU1122">
        <v>2023</v>
      </c>
      <c r="AV1122">
        <v>23</v>
      </c>
      <c r="AW1122">
        <v>6</v>
      </c>
      <c r="AX1122" t="s">
        <v>74</v>
      </c>
      <c r="AY1122" t="s">
        <v>74</v>
      </c>
      <c r="AZ1122" t="s">
        <v>74</v>
      </c>
      <c r="BA1122" t="s">
        <v>74</v>
      </c>
      <c r="BB1122" t="s">
        <v>74</v>
      </c>
      <c r="BC1122" t="s">
        <v>74</v>
      </c>
      <c r="BD1122">
        <v>60812</v>
      </c>
      <c r="BE1122" t="s">
        <v>20836</v>
      </c>
      <c r="BF1122" t="str">
        <f>HYPERLINK("http://dx.doi.org/10.1115/1.4062597","http://dx.doi.org/10.1115/1.4062597")</f>
        <v>http://dx.doi.org/10.1115/1.4062597</v>
      </c>
      <c r="BG1122" t="s">
        <v>74</v>
      </c>
      <c r="BH1122" t="s">
        <v>74</v>
      </c>
      <c r="BI1122">
        <v>7</v>
      </c>
      <c r="BJ1122" t="s">
        <v>9379</v>
      </c>
      <c r="BK1122" t="s">
        <v>130</v>
      </c>
      <c r="BL1122" t="s">
        <v>906</v>
      </c>
      <c r="BM1122" t="s">
        <v>20837</v>
      </c>
      <c r="BN1122" t="s">
        <v>74</v>
      </c>
      <c r="BO1122" t="s">
        <v>74</v>
      </c>
      <c r="BP1122" t="s">
        <v>74</v>
      </c>
      <c r="BQ1122" t="s">
        <v>74</v>
      </c>
      <c r="BR1122" t="s">
        <v>101</v>
      </c>
      <c r="BS1122" t="s">
        <v>20838</v>
      </c>
      <c r="BT1122" t="str">
        <f>HYPERLINK("https%3A%2F%2Fwww.webofscience.com%2Fwos%2Fwoscc%2Ffull-record%2FWOS:001096327200017","View Full Record in Web of Science")</f>
        <v>View Full Record in Web of Science</v>
      </c>
    </row>
    <row r="1123" spans="1:72" x14ac:dyDescent="0.2">
      <c r="A1123" t="s">
        <v>103</v>
      </c>
      <c r="B1123" t="s">
        <v>20839</v>
      </c>
      <c r="C1123" t="s">
        <v>74</v>
      </c>
      <c r="D1123" t="s">
        <v>74</v>
      </c>
      <c r="E1123" t="s">
        <v>74</v>
      </c>
      <c r="F1123" t="s">
        <v>20840</v>
      </c>
      <c r="G1123" t="s">
        <v>74</v>
      </c>
      <c r="H1123" t="s">
        <v>74</v>
      </c>
      <c r="I1123" t="s">
        <v>20841</v>
      </c>
      <c r="J1123" t="s">
        <v>4686</v>
      </c>
      <c r="K1123" t="s">
        <v>74</v>
      </c>
      <c r="L1123" t="s">
        <v>74</v>
      </c>
      <c r="M1123" t="s">
        <v>79</v>
      </c>
      <c r="N1123" t="s">
        <v>108</v>
      </c>
      <c r="O1123" t="s">
        <v>74</v>
      </c>
      <c r="P1123" t="s">
        <v>74</v>
      </c>
      <c r="Q1123" t="s">
        <v>74</v>
      </c>
      <c r="R1123" t="s">
        <v>74</v>
      </c>
      <c r="S1123" t="s">
        <v>74</v>
      </c>
      <c r="T1123" t="s">
        <v>20842</v>
      </c>
      <c r="U1123" t="s">
        <v>20843</v>
      </c>
      <c r="V1123" t="s">
        <v>20844</v>
      </c>
      <c r="W1123" t="s">
        <v>20845</v>
      </c>
      <c r="X1123" t="s">
        <v>20846</v>
      </c>
      <c r="Y1123" t="s">
        <v>20847</v>
      </c>
      <c r="Z1123" t="s">
        <v>20848</v>
      </c>
      <c r="AA1123" t="s">
        <v>20849</v>
      </c>
      <c r="AB1123" t="s">
        <v>20850</v>
      </c>
      <c r="AC1123" t="s">
        <v>74</v>
      </c>
      <c r="AD1123" t="s">
        <v>74</v>
      </c>
      <c r="AE1123" t="s">
        <v>74</v>
      </c>
      <c r="AF1123" t="s">
        <v>74</v>
      </c>
      <c r="AG1123">
        <v>21</v>
      </c>
      <c r="AH1123">
        <v>1</v>
      </c>
      <c r="AI1123">
        <v>1</v>
      </c>
      <c r="AJ1123">
        <v>2</v>
      </c>
      <c r="AK1123">
        <v>2</v>
      </c>
      <c r="AL1123" t="s">
        <v>2032</v>
      </c>
      <c r="AM1123" t="s">
        <v>149</v>
      </c>
      <c r="AN1123" t="s">
        <v>2033</v>
      </c>
      <c r="AO1123" t="s">
        <v>74</v>
      </c>
      <c r="AP1123" t="s">
        <v>4694</v>
      </c>
      <c r="AQ1123" t="s">
        <v>74</v>
      </c>
      <c r="AR1123" t="s">
        <v>4695</v>
      </c>
      <c r="AS1123" t="s">
        <v>4696</v>
      </c>
      <c r="AT1123" t="s">
        <v>20851</v>
      </c>
      <c r="AU1123">
        <v>2023</v>
      </c>
      <c r="AV1123">
        <v>15</v>
      </c>
      <c r="AW1123">
        <v>10</v>
      </c>
      <c r="AX1123" t="s">
        <v>74</v>
      </c>
      <c r="AY1123" t="s">
        <v>74</v>
      </c>
      <c r="AZ1123" t="s">
        <v>74</v>
      </c>
      <c r="BA1123" t="s">
        <v>74</v>
      </c>
      <c r="BB1123" t="s">
        <v>74</v>
      </c>
      <c r="BC1123" t="s">
        <v>74</v>
      </c>
      <c r="BD1123" t="s">
        <v>20852</v>
      </c>
      <c r="BE1123" t="s">
        <v>20853</v>
      </c>
      <c r="BF1123" t="str">
        <f>HYPERLINK("http://dx.doi.org/10.7759/cureus.46662","http://dx.doi.org/10.7759/cureus.46662")</f>
        <v>http://dx.doi.org/10.7759/cureus.46662</v>
      </c>
      <c r="BG1123" t="s">
        <v>74</v>
      </c>
      <c r="BH1123" t="s">
        <v>74</v>
      </c>
      <c r="BI1123">
        <v>6</v>
      </c>
      <c r="BJ1123" t="s">
        <v>3440</v>
      </c>
      <c r="BK1123" t="s">
        <v>352</v>
      </c>
      <c r="BL1123" t="s">
        <v>3441</v>
      </c>
      <c r="BM1123" t="s">
        <v>20854</v>
      </c>
      <c r="BN1123">
        <v>37942394</v>
      </c>
      <c r="BO1123" t="s">
        <v>1728</v>
      </c>
      <c r="BP1123" t="s">
        <v>74</v>
      </c>
      <c r="BQ1123" t="s">
        <v>74</v>
      </c>
      <c r="BR1123" t="s">
        <v>101</v>
      </c>
      <c r="BS1123" t="s">
        <v>20855</v>
      </c>
      <c r="BT1123" t="str">
        <f>HYPERLINK("https%3A%2F%2Fwww.webofscience.com%2Fwos%2Fwoscc%2Ffull-record%2FWOS:001109712500014","View Full Record in Web of Science")</f>
        <v>View Full Record in Web of Science</v>
      </c>
    </row>
    <row r="1124" spans="1:72" x14ac:dyDescent="0.2">
      <c r="A1124" t="s">
        <v>103</v>
      </c>
      <c r="B1124" t="s">
        <v>20856</v>
      </c>
      <c r="C1124" t="s">
        <v>74</v>
      </c>
      <c r="D1124" t="s">
        <v>74</v>
      </c>
      <c r="E1124" t="s">
        <v>74</v>
      </c>
      <c r="F1124" t="s">
        <v>20857</v>
      </c>
      <c r="G1124" t="s">
        <v>74</v>
      </c>
      <c r="H1124" t="s">
        <v>74</v>
      </c>
      <c r="I1124" t="s">
        <v>20858</v>
      </c>
      <c r="J1124" t="s">
        <v>1370</v>
      </c>
      <c r="K1124" t="s">
        <v>74</v>
      </c>
      <c r="L1124" t="s">
        <v>74</v>
      </c>
      <c r="M1124" t="s">
        <v>79</v>
      </c>
      <c r="N1124" t="s">
        <v>108</v>
      </c>
      <c r="O1124" t="s">
        <v>74</v>
      </c>
      <c r="P1124" t="s">
        <v>74</v>
      </c>
      <c r="Q1124" t="s">
        <v>74</v>
      </c>
      <c r="R1124" t="s">
        <v>74</v>
      </c>
      <c r="S1124" t="s">
        <v>74</v>
      </c>
      <c r="T1124" t="s">
        <v>20859</v>
      </c>
      <c r="U1124" t="s">
        <v>74</v>
      </c>
      <c r="V1124" t="s">
        <v>20860</v>
      </c>
      <c r="W1124" t="s">
        <v>20861</v>
      </c>
      <c r="X1124" t="s">
        <v>20862</v>
      </c>
      <c r="Y1124" t="s">
        <v>20863</v>
      </c>
      <c r="Z1124" t="s">
        <v>20864</v>
      </c>
      <c r="AA1124" t="s">
        <v>20865</v>
      </c>
      <c r="AB1124" t="s">
        <v>20866</v>
      </c>
      <c r="AC1124" t="s">
        <v>20867</v>
      </c>
      <c r="AD1124" t="s">
        <v>20867</v>
      </c>
      <c r="AE1124" t="s">
        <v>20868</v>
      </c>
      <c r="AF1124" t="s">
        <v>74</v>
      </c>
      <c r="AG1124">
        <v>40</v>
      </c>
      <c r="AH1124">
        <v>2</v>
      </c>
      <c r="AI1124">
        <v>2</v>
      </c>
      <c r="AJ1124">
        <v>2</v>
      </c>
      <c r="AK1124">
        <v>13</v>
      </c>
      <c r="AL1124" t="s">
        <v>1379</v>
      </c>
      <c r="AM1124" t="s">
        <v>1380</v>
      </c>
      <c r="AN1124" t="s">
        <v>1381</v>
      </c>
      <c r="AO1124" t="s">
        <v>1382</v>
      </c>
      <c r="AP1124" t="s">
        <v>74</v>
      </c>
      <c r="AQ1124" t="s">
        <v>74</v>
      </c>
      <c r="AR1124" t="s">
        <v>1370</v>
      </c>
      <c r="AS1124" t="s">
        <v>1383</v>
      </c>
      <c r="AT1124" t="s">
        <v>74</v>
      </c>
      <c r="AU1124">
        <v>2023</v>
      </c>
      <c r="AV1124">
        <v>11</v>
      </c>
      <c r="AW1124" t="s">
        <v>74</v>
      </c>
      <c r="AX1124" t="s">
        <v>74</v>
      </c>
      <c r="AY1124" t="s">
        <v>74</v>
      </c>
      <c r="AZ1124" t="s">
        <v>74</v>
      </c>
      <c r="BA1124" t="s">
        <v>74</v>
      </c>
      <c r="BB1124">
        <v>16549</v>
      </c>
      <c r="BC1124">
        <v>16556</v>
      </c>
      <c r="BD1124" t="s">
        <v>74</v>
      </c>
      <c r="BE1124" t="s">
        <v>20869</v>
      </c>
      <c r="BF1124" t="str">
        <f>HYPERLINK("http://dx.doi.org/10.1109/ACCESS.2023.3246126","http://dx.doi.org/10.1109/ACCESS.2023.3246126")</f>
        <v>http://dx.doi.org/10.1109/ACCESS.2023.3246126</v>
      </c>
      <c r="BG1124" t="s">
        <v>74</v>
      </c>
      <c r="BH1124" t="s">
        <v>74</v>
      </c>
      <c r="BI1124">
        <v>8</v>
      </c>
      <c r="BJ1124" t="s">
        <v>1385</v>
      </c>
      <c r="BK1124" t="s">
        <v>130</v>
      </c>
      <c r="BL1124" t="s">
        <v>1386</v>
      </c>
      <c r="BM1124" t="s">
        <v>20870</v>
      </c>
      <c r="BN1124" t="s">
        <v>74</v>
      </c>
      <c r="BO1124" t="s">
        <v>425</v>
      </c>
      <c r="BP1124" t="s">
        <v>74</v>
      </c>
      <c r="BQ1124" t="s">
        <v>74</v>
      </c>
      <c r="BR1124" t="s">
        <v>101</v>
      </c>
      <c r="BS1124" t="s">
        <v>20871</v>
      </c>
      <c r="BT1124" t="str">
        <f>HYPERLINK("https%3A%2F%2Fwww.webofscience.com%2Fwos%2Fwoscc%2Ffull-record%2FWOS:000945271400001","View Full Record in Web of Science")</f>
        <v>View Full Record in Web of Science</v>
      </c>
    </row>
    <row r="1125" spans="1:72" x14ac:dyDescent="0.2">
      <c r="A1125" t="s">
        <v>103</v>
      </c>
      <c r="B1125" t="s">
        <v>20872</v>
      </c>
      <c r="C1125" t="s">
        <v>74</v>
      </c>
      <c r="D1125" t="s">
        <v>74</v>
      </c>
      <c r="E1125" t="s">
        <v>74</v>
      </c>
      <c r="F1125" t="s">
        <v>20873</v>
      </c>
      <c r="G1125" t="s">
        <v>74</v>
      </c>
      <c r="H1125" t="s">
        <v>74</v>
      </c>
      <c r="I1125" t="s">
        <v>20874</v>
      </c>
      <c r="J1125" t="s">
        <v>20875</v>
      </c>
      <c r="K1125" t="s">
        <v>74</v>
      </c>
      <c r="L1125" t="s">
        <v>74</v>
      </c>
      <c r="M1125" t="s">
        <v>79</v>
      </c>
      <c r="N1125" t="s">
        <v>108</v>
      </c>
      <c r="O1125" t="s">
        <v>74</v>
      </c>
      <c r="P1125" t="s">
        <v>74</v>
      </c>
      <c r="Q1125" t="s">
        <v>74</v>
      </c>
      <c r="R1125" t="s">
        <v>74</v>
      </c>
      <c r="S1125" t="s">
        <v>74</v>
      </c>
      <c r="T1125" t="s">
        <v>20876</v>
      </c>
      <c r="U1125" t="s">
        <v>20877</v>
      </c>
      <c r="V1125" t="s">
        <v>20878</v>
      </c>
      <c r="W1125" t="s">
        <v>20879</v>
      </c>
      <c r="X1125" t="s">
        <v>20880</v>
      </c>
      <c r="Y1125" t="s">
        <v>20881</v>
      </c>
      <c r="Z1125" t="s">
        <v>20882</v>
      </c>
      <c r="AA1125" t="s">
        <v>74</v>
      </c>
      <c r="AB1125" t="s">
        <v>20883</v>
      </c>
      <c r="AC1125" t="s">
        <v>20884</v>
      </c>
      <c r="AD1125" t="s">
        <v>20884</v>
      </c>
      <c r="AE1125" t="s">
        <v>20885</v>
      </c>
      <c r="AF1125" t="s">
        <v>74</v>
      </c>
      <c r="AG1125">
        <v>34</v>
      </c>
      <c r="AH1125">
        <v>2</v>
      </c>
      <c r="AI1125">
        <v>2</v>
      </c>
      <c r="AJ1125">
        <v>3</v>
      </c>
      <c r="AK1125">
        <v>9</v>
      </c>
      <c r="AL1125" t="s">
        <v>939</v>
      </c>
      <c r="AM1125" t="s">
        <v>940</v>
      </c>
      <c r="AN1125" t="s">
        <v>941</v>
      </c>
      <c r="AO1125" t="s">
        <v>74</v>
      </c>
      <c r="AP1125" t="s">
        <v>20886</v>
      </c>
      <c r="AQ1125" t="s">
        <v>74</v>
      </c>
      <c r="AR1125" t="s">
        <v>20887</v>
      </c>
      <c r="AS1125" t="s">
        <v>20888</v>
      </c>
      <c r="AT1125" t="s">
        <v>2016</v>
      </c>
      <c r="AU1125">
        <v>2023</v>
      </c>
      <c r="AV1125">
        <v>10</v>
      </c>
      <c r="AW1125">
        <v>1</v>
      </c>
      <c r="AX1125" t="s">
        <v>74</v>
      </c>
      <c r="AY1125" t="s">
        <v>74</v>
      </c>
      <c r="AZ1125" t="s">
        <v>74</v>
      </c>
      <c r="BA1125" t="s">
        <v>74</v>
      </c>
      <c r="BB1125" t="s">
        <v>74</v>
      </c>
      <c r="BC1125" t="s">
        <v>74</v>
      </c>
      <c r="BD1125">
        <v>2</v>
      </c>
      <c r="BE1125" t="s">
        <v>20889</v>
      </c>
      <c r="BF1125" t="str">
        <f>HYPERLINK("http://dx.doi.org/10.3390/hydrology10010002","http://dx.doi.org/10.3390/hydrology10010002")</f>
        <v>http://dx.doi.org/10.3390/hydrology10010002</v>
      </c>
      <c r="BG1125" t="s">
        <v>74</v>
      </c>
      <c r="BH1125" t="s">
        <v>74</v>
      </c>
      <c r="BI1125">
        <v>14</v>
      </c>
      <c r="BJ1125" t="s">
        <v>20890</v>
      </c>
      <c r="BK1125" t="s">
        <v>352</v>
      </c>
      <c r="BL1125" t="s">
        <v>20890</v>
      </c>
      <c r="BM1125" t="s">
        <v>20891</v>
      </c>
      <c r="BN1125" t="s">
        <v>74</v>
      </c>
      <c r="BO1125" t="s">
        <v>425</v>
      </c>
      <c r="BP1125" t="s">
        <v>74</v>
      </c>
      <c r="BQ1125" t="s">
        <v>74</v>
      </c>
      <c r="BR1125" t="s">
        <v>101</v>
      </c>
      <c r="BS1125" t="s">
        <v>20892</v>
      </c>
      <c r="BT1125" t="str">
        <f>HYPERLINK("https%3A%2F%2Fwww.webofscience.com%2Fwos%2Fwoscc%2Ffull-record%2FWOS:000918116800001","View Full Record in Web of Science")</f>
        <v>View Full Record in Web of Science</v>
      </c>
    </row>
    <row r="1126" spans="1:72" x14ac:dyDescent="0.2">
      <c r="A1126" t="s">
        <v>72</v>
      </c>
      <c r="B1126" t="s">
        <v>20893</v>
      </c>
      <c r="C1126" t="s">
        <v>74</v>
      </c>
      <c r="D1126" t="s">
        <v>74</v>
      </c>
      <c r="E1126" t="s">
        <v>284</v>
      </c>
      <c r="F1126" t="s">
        <v>20894</v>
      </c>
      <c r="G1126" t="s">
        <v>74</v>
      </c>
      <c r="H1126" t="s">
        <v>74</v>
      </c>
      <c r="I1126" t="s">
        <v>20895</v>
      </c>
      <c r="J1126" t="s">
        <v>20896</v>
      </c>
      <c r="K1126" t="s">
        <v>20897</v>
      </c>
      <c r="L1126" t="s">
        <v>74</v>
      </c>
      <c r="M1126" t="s">
        <v>79</v>
      </c>
      <c r="N1126" t="s">
        <v>80</v>
      </c>
      <c r="O1126" t="s">
        <v>20898</v>
      </c>
      <c r="P1126" t="s">
        <v>1101</v>
      </c>
      <c r="Q1126" t="s">
        <v>20899</v>
      </c>
      <c r="R1126" t="s">
        <v>20900</v>
      </c>
      <c r="S1126" t="s">
        <v>20901</v>
      </c>
      <c r="T1126" t="s">
        <v>20902</v>
      </c>
      <c r="U1126" t="s">
        <v>74</v>
      </c>
      <c r="V1126" t="s">
        <v>20903</v>
      </c>
      <c r="W1126" t="s">
        <v>20904</v>
      </c>
      <c r="X1126" t="s">
        <v>74</v>
      </c>
      <c r="Y1126" t="s">
        <v>20905</v>
      </c>
      <c r="Z1126" t="s">
        <v>20906</v>
      </c>
      <c r="AA1126" t="s">
        <v>74</v>
      </c>
      <c r="AB1126" t="s">
        <v>74</v>
      </c>
      <c r="AC1126" t="s">
        <v>74</v>
      </c>
      <c r="AD1126" t="s">
        <v>74</v>
      </c>
      <c r="AE1126" t="s">
        <v>74</v>
      </c>
      <c r="AF1126" t="s">
        <v>74</v>
      </c>
      <c r="AG1126">
        <v>20</v>
      </c>
      <c r="AH1126">
        <v>0</v>
      </c>
      <c r="AI1126">
        <v>0</v>
      </c>
      <c r="AJ1126">
        <v>1</v>
      </c>
      <c r="AK1126">
        <v>1</v>
      </c>
      <c r="AL1126" t="s">
        <v>638</v>
      </c>
      <c r="AM1126" t="s">
        <v>639</v>
      </c>
      <c r="AN1126" t="s">
        <v>640</v>
      </c>
      <c r="AO1126" t="s">
        <v>20907</v>
      </c>
      <c r="AP1126" t="s">
        <v>74</v>
      </c>
      <c r="AQ1126" t="s">
        <v>20908</v>
      </c>
      <c r="AR1126" t="s">
        <v>20909</v>
      </c>
      <c r="AS1126" t="s">
        <v>74</v>
      </c>
      <c r="AT1126" t="s">
        <v>74</v>
      </c>
      <c r="AU1126">
        <v>2023</v>
      </c>
      <c r="AV1126" t="s">
        <v>74</v>
      </c>
      <c r="AW1126" t="s">
        <v>74</v>
      </c>
      <c r="AX1126" t="s">
        <v>74</v>
      </c>
      <c r="AY1126" t="s">
        <v>74</v>
      </c>
      <c r="AZ1126" t="s">
        <v>74</v>
      </c>
      <c r="BA1126" t="s">
        <v>74</v>
      </c>
      <c r="BB1126">
        <v>541</v>
      </c>
      <c r="BC1126">
        <v>546</v>
      </c>
      <c r="BD1126" t="s">
        <v>74</v>
      </c>
      <c r="BE1126" t="s">
        <v>20910</v>
      </c>
      <c r="BF1126" t="str">
        <f>HYPERLINK("http://dx.doi.org/10.1109/ICSME58846.2023.00069","http://dx.doi.org/10.1109/ICSME58846.2023.00069")</f>
        <v>http://dx.doi.org/10.1109/ICSME58846.2023.00069</v>
      </c>
      <c r="BG1126" t="s">
        <v>74</v>
      </c>
      <c r="BH1126" t="s">
        <v>74</v>
      </c>
      <c r="BI1126">
        <v>6</v>
      </c>
      <c r="BJ1126" t="s">
        <v>1093</v>
      </c>
      <c r="BK1126" t="s">
        <v>98</v>
      </c>
      <c r="BL1126" t="s">
        <v>99</v>
      </c>
      <c r="BM1126" t="s">
        <v>20911</v>
      </c>
      <c r="BN1126" t="s">
        <v>74</v>
      </c>
      <c r="BO1126" t="s">
        <v>74</v>
      </c>
      <c r="BP1126" t="s">
        <v>74</v>
      </c>
      <c r="BQ1126" t="s">
        <v>74</v>
      </c>
      <c r="BR1126" t="s">
        <v>101</v>
      </c>
      <c r="BS1126" t="s">
        <v>20912</v>
      </c>
      <c r="BT1126" t="str">
        <f>HYPERLINK("https%3A%2F%2Fwww.webofscience.com%2Fwos%2Fwoscc%2Ffull-record%2FWOS:001125977500057","View Full Record in Web of Science")</f>
        <v>View Full Record in Web of Science</v>
      </c>
    </row>
    <row r="1127" spans="1:72" x14ac:dyDescent="0.2">
      <c r="A1127" t="s">
        <v>72</v>
      </c>
      <c r="B1127" t="s">
        <v>20913</v>
      </c>
      <c r="C1127" t="s">
        <v>74</v>
      </c>
      <c r="D1127" t="s">
        <v>20914</v>
      </c>
      <c r="E1127" t="s">
        <v>74</v>
      </c>
      <c r="F1127" t="s">
        <v>20915</v>
      </c>
      <c r="G1127" t="s">
        <v>74</v>
      </c>
      <c r="H1127" t="s">
        <v>74</v>
      </c>
      <c r="I1127" t="s">
        <v>20916</v>
      </c>
      <c r="J1127" t="s">
        <v>20917</v>
      </c>
      <c r="K1127" t="s">
        <v>312</v>
      </c>
      <c r="L1127" t="s">
        <v>74</v>
      </c>
      <c r="M1127" t="s">
        <v>79</v>
      </c>
      <c r="N1127" t="s">
        <v>80</v>
      </c>
      <c r="O1127" t="s">
        <v>20918</v>
      </c>
      <c r="P1127" t="s">
        <v>1245</v>
      </c>
      <c r="Q1127" t="s">
        <v>20919</v>
      </c>
      <c r="R1127" t="s">
        <v>20920</v>
      </c>
      <c r="S1127" t="s">
        <v>74</v>
      </c>
      <c r="T1127" t="s">
        <v>20921</v>
      </c>
      <c r="U1127" t="s">
        <v>74</v>
      </c>
      <c r="V1127" t="s">
        <v>20922</v>
      </c>
      <c r="W1127" t="s">
        <v>20923</v>
      </c>
      <c r="X1127" t="s">
        <v>74</v>
      </c>
      <c r="Y1127" t="s">
        <v>20924</v>
      </c>
      <c r="Z1127" t="s">
        <v>20925</v>
      </c>
      <c r="AA1127" t="s">
        <v>74</v>
      </c>
      <c r="AB1127" t="s">
        <v>74</v>
      </c>
      <c r="AC1127" t="s">
        <v>74</v>
      </c>
      <c r="AD1127" t="s">
        <v>74</v>
      </c>
      <c r="AE1127" t="s">
        <v>74</v>
      </c>
      <c r="AF1127" t="s">
        <v>74</v>
      </c>
      <c r="AG1127">
        <v>31</v>
      </c>
      <c r="AH1127">
        <v>0</v>
      </c>
      <c r="AI1127">
        <v>0</v>
      </c>
      <c r="AJ1127">
        <v>2</v>
      </c>
      <c r="AK1127">
        <v>2</v>
      </c>
      <c r="AL1127" t="s">
        <v>325</v>
      </c>
      <c r="AM1127" t="s">
        <v>245</v>
      </c>
      <c r="AN1127" t="s">
        <v>246</v>
      </c>
      <c r="AO1127" t="s">
        <v>326</v>
      </c>
      <c r="AP1127" t="s">
        <v>327</v>
      </c>
      <c r="AQ1127" t="s">
        <v>20926</v>
      </c>
      <c r="AR1127" t="s">
        <v>329</v>
      </c>
      <c r="AS1127" t="s">
        <v>74</v>
      </c>
      <c r="AT1127" t="s">
        <v>74</v>
      </c>
      <c r="AU1127">
        <v>2023</v>
      </c>
      <c r="AV1127">
        <v>14233</v>
      </c>
      <c r="AW1127" t="s">
        <v>74</v>
      </c>
      <c r="AX1127" t="s">
        <v>74</v>
      </c>
      <c r="AY1127" t="s">
        <v>74</v>
      </c>
      <c r="AZ1127" t="s">
        <v>74</v>
      </c>
      <c r="BA1127" t="s">
        <v>74</v>
      </c>
      <c r="BB1127">
        <v>487</v>
      </c>
      <c r="BC1127">
        <v>499</v>
      </c>
      <c r="BD1127" t="s">
        <v>74</v>
      </c>
      <c r="BE1127" t="s">
        <v>20927</v>
      </c>
      <c r="BF1127" t="str">
        <f>HYPERLINK("http://dx.doi.org/10.1007/978-3-031-43148-7_41","http://dx.doi.org/10.1007/978-3-031-43148-7_41")</f>
        <v>http://dx.doi.org/10.1007/978-3-031-43148-7_41</v>
      </c>
      <c r="BG1127" t="s">
        <v>74</v>
      </c>
      <c r="BH1127" t="s">
        <v>74</v>
      </c>
      <c r="BI1127">
        <v>13</v>
      </c>
      <c r="BJ1127" t="s">
        <v>331</v>
      </c>
      <c r="BK1127" t="s">
        <v>98</v>
      </c>
      <c r="BL1127" t="s">
        <v>99</v>
      </c>
      <c r="BM1127" t="s">
        <v>20928</v>
      </c>
      <c r="BN1127" t="s">
        <v>74</v>
      </c>
      <c r="BO1127" t="s">
        <v>74</v>
      </c>
      <c r="BP1127" t="s">
        <v>74</v>
      </c>
      <c r="BQ1127" t="s">
        <v>74</v>
      </c>
      <c r="BR1127" t="s">
        <v>101</v>
      </c>
      <c r="BS1127" t="s">
        <v>20929</v>
      </c>
      <c r="BT1127" t="str">
        <f>HYPERLINK("https%3A%2F%2Fwww.webofscience.com%2Fwos%2Fwoscc%2Ffull-record%2FWOS:001156196000041","View Full Record in Web of Science")</f>
        <v>View Full Record in Web of Science</v>
      </c>
    </row>
    <row r="1128" spans="1:72" x14ac:dyDescent="0.2">
      <c r="A1128" t="s">
        <v>72</v>
      </c>
      <c r="B1128" t="s">
        <v>20930</v>
      </c>
      <c r="C1128" t="s">
        <v>74</v>
      </c>
      <c r="D1128" t="s">
        <v>6011</v>
      </c>
      <c r="E1128" t="s">
        <v>74</v>
      </c>
      <c r="F1128" t="s">
        <v>20931</v>
      </c>
      <c r="G1128" t="s">
        <v>74</v>
      </c>
      <c r="H1128" t="s">
        <v>74</v>
      </c>
      <c r="I1128" t="s">
        <v>20932</v>
      </c>
      <c r="J1128" t="s">
        <v>20933</v>
      </c>
      <c r="K1128" t="s">
        <v>312</v>
      </c>
      <c r="L1128" t="s">
        <v>74</v>
      </c>
      <c r="M1128" t="s">
        <v>79</v>
      </c>
      <c r="N1128" t="s">
        <v>80</v>
      </c>
      <c r="O1128" t="s">
        <v>6015</v>
      </c>
      <c r="P1128" t="s">
        <v>6016</v>
      </c>
      <c r="Q1128" t="s">
        <v>6017</v>
      </c>
      <c r="R1128" t="s">
        <v>74</v>
      </c>
      <c r="S1128" t="s">
        <v>74</v>
      </c>
      <c r="T1128" t="s">
        <v>20934</v>
      </c>
      <c r="U1128" t="s">
        <v>74</v>
      </c>
      <c r="V1128" t="s">
        <v>20935</v>
      </c>
      <c r="W1128" t="s">
        <v>20936</v>
      </c>
      <c r="X1128" t="s">
        <v>20937</v>
      </c>
      <c r="Y1128" t="s">
        <v>20938</v>
      </c>
      <c r="Z1128" t="s">
        <v>74</v>
      </c>
      <c r="AA1128" t="s">
        <v>74</v>
      </c>
      <c r="AB1128" t="s">
        <v>74</v>
      </c>
      <c r="AC1128" t="s">
        <v>20939</v>
      </c>
      <c r="AD1128" t="s">
        <v>20940</v>
      </c>
      <c r="AE1128" t="s">
        <v>20941</v>
      </c>
      <c r="AF1128" t="s">
        <v>74</v>
      </c>
      <c r="AG1128">
        <v>31</v>
      </c>
      <c r="AH1128">
        <v>1</v>
      </c>
      <c r="AI1128">
        <v>1</v>
      </c>
      <c r="AJ1128">
        <v>7</v>
      </c>
      <c r="AK1128">
        <v>7</v>
      </c>
      <c r="AL1128" t="s">
        <v>325</v>
      </c>
      <c r="AM1128" t="s">
        <v>245</v>
      </c>
      <c r="AN1128" t="s">
        <v>246</v>
      </c>
      <c r="AO1128" t="s">
        <v>326</v>
      </c>
      <c r="AP1128" t="s">
        <v>327</v>
      </c>
      <c r="AQ1128" t="s">
        <v>20942</v>
      </c>
      <c r="AR1128" t="s">
        <v>329</v>
      </c>
      <c r="AS1128" t="s">
        <v>74</v>
      </c>
      <c r="AT1128" t="s">
        <v>74</v>
      </c>
      <c r="AU1128">
        <v>2023</v>
      </c>
      <c r="AV1128">
        <v>14225</v>
      </c>
      <c r="AW1128" t="s">
        <v>74</v>
      </c>
      <c r="AX1128" t="s">
        <v>74</v>
      </c>
      <c r="AY1128" t="s">
        <v>74</v>
      </c>
      <c r="AZ1128" t="s">
        <v>74</v>
      </c>
      <c r="BA1128" t="s">
        <v>74</v>
      </c>
      <c r="BB1128">
        <v>95</v>
      </c>
      <c r="BC1128">
        <v>105</v>
      </c>
      <c r="BD1128" t="s">
        <v>74</v>
      </c>
      <c r="BE1128" t="s">
        <v>20943</v>
      </c>
      <c r="BF1128" t="str">
        <f>HYPERLINK("http://dx.doi.org/10.1007/978-3-031-43987-2_10","http://dx.doi.org/10.1007/978-3-031-43987-2_10")</f>
        <v>http://dx.doi.org/10.1007/978-3-031-43987-2_10</v>
      </c>
      <c r="BG1128" t="s">
        <v>74</v>
      </c>
      <c r="BH1128" t="s">
        <v>74</v>
      </c>
      <c r="BI1128">
        <v>11</v>
      </c>
      <c r="BJ1128" t="s">
        <v>6029</v>
      </c>
      <c r="BK1128" t="s">
        <v>98</v>
      </c>
      <c r="BL1128" t="s">
        <v>6030</v>
      </c>
      <c r="BM1128" t="s">
        <v>20944</v>
      </c>
      <c r="BN1128" t="s">
        <v>74</v>
      </c>
      <c r="BO1128" t="s">
        <v>646</v>
      </c>
      <c r="BP1128" t="s">
        <v>74</v>
      </c>
      <c r="BQ1128" t="s">
        <v>74</v>
      </c>
      <c r="BR1128" t="s">
        <v>101</v>
      </c>
      <c r="BS1128" t="s">
        <v>20945</v>
      </c>
      <c r="BT1128" t="str">
        <f>HYPERLINK("https%3A%2F%2Fwww.webofscience.com%2Fwos%2Fwoscc%2Ffull-record%2FWOS:001109635100010","View Full Record in Web of Science")</f>
        <v>View Full Record in Web of Science</v>
      </c>
    </row>
    <row r="1129" spans="1:72" x14ac:dyDescent="0.2">
      <c r="A1129" t="s">
        <v>103</v>
      </c>
      <c r="B1129" t="s">
        <v>20946</v>
      </c>
      <c r="C1129" t="s">
        <v>74</v>
      </c>
      <c r="D1129" t="s">
        <v>74</v>
      </c>
      <c r="E1129" t="s">
        <v>74</v>
      </c>
      <c r="F1129" t="s">
        <v>20947</v>
      </c>
      <c r="G1129" t="s">
        <v>74</v>
      </c>
      <c r="H1129" t="s">
        <v>74</v>
      </c>
      <c r="I1129" t="s">
        <v>20948</v>
      </c>
      <c r="J1129" t="s">
        <v>705</v>
      </c>
      <c r="K1129" t="s">
        <v>74</v>
      </c>
      <c r="L1129" t="s">
        <v>74</v>
      </c>
      <c r="M1129" t="s">
        <v>79</v>
      </c>
      <c r="N1129" t="s">
        <v>138</v>
      </c>
      <c r="O1129" t="s">
        <v>74</v>
      </c>
      <c r="P1129" t="s">
        <v>74</v>
      </c>
      <c r="Q1129" t="s">
        <v>74</v>
      </c>
      <c r="R1129" t="s">
        <v>74</v>
      </c>
      <c r="S1129" t="s">
        <v>74</v>
      </c>
      <c r="T1129" t="s">
        <v>20949</v>
      </c>
      <c r="U1129" t="s">
        <v>20950</v>
      </c>
      <c r="V1129" t="s">
        <v>20951</v>
      </c>
      <c r="W1129" t="s">
        <v>20952</v>
      </c>
      <c r="X1129" t="s">
        <v>20953</v>
      </c>
      <c r="Y1129" t="s">
        <v>20954</v>
      </c>
      <c r="Z1129" t="s">
        <v>20955</v>
      </c>
      <c r="AA1129" t="s">
        <v>20956</v>
      </c>
      <c r="AB1129" t="s">
        <v>20957</v>
      </c>
      <c r="AC1129" t="s">
        <v>20958</v>
      </c>
      <c r="AD1129" t="s">
        <v>20959</v>
      </c>
      <c r="AE1129" t="s">
        <v>20960</v>
      </c>
      <c r="AF1129" t="s">
        <v>74</v>
      </c>
      <c r="AG1129">
        <v>80</v>
      </c>
      <c r="AH1129">
        <v>0</v>
      </c>
      <c r="AI1129">
        <v>0</v>
      </c>
      <c r="AJ1129">
        <v>17</v>
      </c>
      <c r="AK1129">
        <v>17</v>
      </c>
      <c r="AL1129" t="s">
        <v>343</v>
      </c>
      <c r="AM1129" t="s">
        <v>93</v>
      </c>
      <c r="AN1129" t="s">
        <v>344</v>
      </c>
      <c r="AO1129" t="s">
        <v>714</v>
      </c>
      <c r="AP1129" t="s">
        <v>715</v>
      </c>
      <c r="AQ1129" t="s">
        <v>74</v>
      </c>
      <c r="AR1129" t="s">
        <v>716</v>
      </c>
      <c r="AS1129" t="s">
        <v>717</v>
      </c>
      <c r="AT1129" t="s">
        <v>2265</v>
      </c>
      <c r="AU1129">
        <v>2023</v>
      </c>
      <c r="AV1129" t="s">
        <v>74</v>
      </c>
      <c r="AW1129" t="s">
        <v>74</v>
      </c>
      <c r="AX1129" t="s">
        <v>74</v>
      </c>
      <c r="AY1129" t="s">
        <v>74</v>
      </c>
      <c r="AZ1129" t="s">
        <v>74</v>
      </c>
      <c r="BA1129" t="s">
        <v>74</v>
      </c>
      <c r="BB1129" t="s">
        <v>74</v>
      </c>
      <c r="BC1129" t="s">
        <v>74</v>
      </c>
      <c r="BD1129" t="s">
        <v>74</v>
      </c>
      <c r="BE1129" t="s">
        <v>20961</v>
      </c>
      <c r="BF1129" t="str">
        <f>HYPERLINK("http://dx.doi.org/10.1007/s10639-023-12362-8","http://dx.doi.org/10.1007/s10639-023-12362-8")</f>
        <v>http://dx.doi.org/10.1007/s10639-023-12362-8</v>
      </c>
      <c r="BG1129" t="s">
        <v>74</v>
      </c>
      <c r="BH1129" t="s">
        <v>128</v>
      </c>
      <c r="BI1129">
        <v>28</v>
      </c>
      <c r="BJ1129" t="s">
        <v>423</v>
      </c>
      <c r="BK1129" t="s">
        <v>159</v>
      </c>
      <c r="BL1129" t="s">
        <v>423</v>
      </c>
      <c r="BM1129" t="s">
        <v>20962</v>
      </c>
      <c r="BN1129" t="s">
        <v>74</v>
      </c>
      <c r="BO1129" t="s">
        <v>74</v>
      </c>
      <c r="BP1129" t="s">
        <v>74</v>
      </c>
      <c r="BQ1129" t="s">
        <v>74</v>
      </c>
      <c r="BR1129" t="s">
        <v>101</v>
      </c>
      <c r="BS1129" t="s">
        <v>20963</v>
      </c>
      <c r="BT1129" t="str">
        <f>HYPERLINK("https%3A%2F%2Fwww.webofscience.com%2Fwos%2Fwoscc%2Ffull-record%2FWOS:001115580400002","View Full Record in Web of Science")</f>
        <v>View Full Record in Web of Science</v>
      </c>
    </row>
    <row r="1130" spans="1:72" x14ac:dyDescent="0.2">
      <c r="A1130" t="s">
        <v>103</v>
      </c>
      <c r="B1130" t="s">
        <v>20964</v>
      </c>
      <c r="C1130" t="s">
        <v>74</v>
      </c>
      <c r="D1130" t="s">
        <v>74</v>
      </c>
      <c r="E1130" t="s">
        <v>74</v>
      </c>
      <c r="F1130" t="s">
        <v>20965</v>
      </c>
      <c r="G1130" t="s">
        <v>74</v>
      </c>
      <c r="H1130" t="s">
        <v>74</v>
      </c>
      <c r="I1130" t="s">
        <v>20966</v>
      </c>
      <c r="J1130" t="s">
        <v>6573</v>
      </c>
      <c r="K1130" t="s">
        <v>74</v>
      </c>
      <c r="L1130" t="s">
        <v>74</v>
      </c>
      <c r="M1130" t="s">
        <v>79</v>
      </c>
      <c r="N1130" t="s">
        <v>108</v>
      </c>
      <c r="O1130" t="s">
        <v>74</v>
      </c>
      <c r="P1130" t="s">
        <v>74</v>
      </c>
      <c r="Q1130" t="s">
        <v>74</v>
      </c>
      <c r="R1130" t="s">
        <v>74</v>
      </c>
      <c r="S1130" t="s">
        <v>74</v>
      </c>
      <c r="T1130" t="s">
        <v>20967</v>
      </c>
      <c r="U1130" t="s">
        <v>74</v>
      </c>
      <c r="V1130" t="s">
        <v>20968</v>
      </c>
      <c r="W1130" t="s">
        <v>20969</v>
      </c>
      <c r="X1130" t="s">
        <v>20970</v>
      </c>
      <c r="Y1130" t="s">
        <v>20971</v>
      </c>
      <c r="Z1130" t="s">
        <v>20972</v>
      </c>
      <c r="AA1130" t="s">
        <v>74</v>
      </c>
      <c r="AB1130" t="s">
        <v>74</v>
      </c>
      <c r="AC1130" t="s">
        <v>74</v>
      </c>
      <c r="AD1130" t="s">
        <v>74</v>
      </c>
      <c r="AE1130" t="s">
        <v>74</v>
      </c>
      <c r="AF1130" t="s">
        <v>74</v>
      </c>
      <c r="AG1130">
        <v>30</v>
      </c>
      <c r="AH1130">
        <v>0</v>
      </c>
      <c r="AI1130">
        <v>0</v>
      </c>
      <c r="AJ1130">
        <v>7</v>
      </c>
      <c r="AK1130">
        <v>9</v>
      </c>
      <c r="AL1130" t="s">
        <v>6584</v>
      </c>
      <c r="AM1130" t="s">
        <v>149</v>
      </c>
      <c r="AN1130" t="s">
        <v>6585</v>
      </c>
      <c r="AO1130" t="s">
        <v>6586</v>
      </c>
      <c r="AP1130" t="s">
        <v>6587</v>
      </c>
      <c r="AQ1130" t="s">
        <v>74</v>
      </c>
      <c r="AR1130" t="s">
        <v>6588</v>
      </c>
      <c r="AS1130" t="s">
        <v>6589</v>
      </c>
      <c r="AT1130" t="s">
        <v>771</v>
      </c>
      <c r="AU1130">
        <v>2023</v>
      </c>
      <c r="AV1130">
        <v>35</v>
      </c>
      <c r="AW1130">
        <v>27</v>
      </c>
      <c r="AX1130" t="s">
        <v>74</v>
      </c>
      <c r="AY1130" t="s">
        <v>74</v>
      </c>
      <c r="AZ1130" t="s">
        <v>74</v>
      </c>
      <c r="BA1130" t="s">
        <v>74</v>
      </c>
      <c r="BB1130">
        <v>19805</v>
      </c>
      <c r="BC1130">
        <v>19819</v>
      </c>
      <c r="BD1130" t="s">
        <v>74</v>
      </c>
      <c r="BE1130" t="s">
        <v>20973</v>
      </c>
      <c r="BF1130" t="str">
        <f>HYPERLINK("http://dx.doi.org/10.1007/s00521-023-08728-1","http://dx.doi.org/10.1007/s00521-023-08728-1")</f>
        <v>http://dx.doi.org/10.1007/s00521-023-08728-1</v>
      </c>
      <c r="BG1130" t="s">
        <v>74</v>
      </c>
      <c r="BH1130" t="s">
        <v>229</v>
      </c>
      <c r="BI1130">
        <v>15</v>
      </c>
      <c r="BJ1130" t="s">
        <v>304</v>
      </c>
      <c r="BK1130" t="s">
        <v>130</v>
      </c>
      <c r="BL1130" t="s">
        <v>99</v>
      </c>
      <c r="BM1130" t="s">
        <v>20974</v>
      </c>
      <c r="BN1130" t="s">
        <v>74</v>
      </c>
      <c r="BO1130" t="s">
        <v>646</v>
      </c>
      <c r="BP1130" t="s">
        <v>74</v>
      </c>
      <c r="BQ1130" t="s">
        <v>74</v>
      </c>
      <c r="BR1130" t="s">
        <v>101</v>
      </c>
      <c r="BS1130" t="s">
        <v>20975</v>
      </c>
      <c r="BT1130" t="str">
        <f>HYPERLINK("https%3A%2F%2Fwww.webofscience.com%2Fwos%2Fwoscc%2Ffull-record%2FWOS:001024246100001","View Full Record in Web of Science")</f>
        <v>View Full Record in Web of Science</v>
      </c>
    </row>
    <row r="1131" spans="1:72" x14ac:dyDescent="0.2">
      <c r="A1131" t="s">
        <v>103</v>
      </c>
      <c r="B1131" t="s">
        <v>20976</v>
      </c>
      <c r="C1131" t="s">
        <v>74</v>
      </c>
      <c r="D1131" t="s">
        <v>74</v>
      </c>
      <c r="E1131" t="s">
        <v>74</v>
      </c>
      <c r="F1131" t="s">
        <v>20977</v>
      </c>
      <c r="G1131" t="s">
        <v>74</v>
      </c>
      <c r="H1131" t="s">
        <v>74</v>
      </c>
      <c r="I1131" t="s">
        <v>20978</v>
      </c>
      <c r="J1131" t="s">
        <v>20979</v>
      </c>
      <c r="K1131" t="s">
        <v>74</v>
      </c>
      <c r="L1131" t="s">
        <v>74</v>
      </c>
      <c r="M1131" t="s">
        <v>79</v>
      </c>
      <c r="N1131" t="s">
        <v>138</v>
      </c>
      <c r="O1131" t="s">
        <v>74</v>
      </c>
      <c r="P1131" t="s">
        <v>74</v>
      </c>
      <c r="Q1131" t="s">
        <v>74</v>
      </c>
      <c r="R1131" t="s">
        <v>74</v>
      </c>
      <c r="S1131" t="s">
        <v>74</v>
      </c>
      <c r="T1131" t="s">
        <v>20980</v>
      </c>
      <c r="U1131" t="s">
        <v>20981</v>
      </c>
      <c r="V1131" t="s">
        <v>20982</v>
      </c>
      <c r="W1131" t="s">
        <v>20983</v>
      </c>
      <c r="X1131" t="s">
        <v>20984</v>
      </c>
      <c r="Y1131" t="s">
        <v>20985</v>
      </c>
      <c r="Z1131" t="s">
        <v>20986</v>
      </c>
      <c r="AA1131" t="s">
        <v>74</v>
      </c>
      <c r="AB1131" t="s">
        <v>74</v>
      </c>
      <c r="AC1131" t="s">
        <v>20987</v>
      </c>
      <c r="AD1131" t="s">
        <v>5504</v>
      </c>
      <c r="AE1131" t="s">
        <v>20988</v>
      </c>
      <c r="AF1131" t="s">
        <v>74</v>
      </c>
      <c r="AG1131">
        <v>78</v>
      </c>
      <c r="AH1131">
        <v>0</v>
      </c>
      <c r="AI1131">
        <v>0</v>
      </c>
      <c r="AJ1131">
        <v>25</v>
      </c>
      <c r="AK1131">
        <v>43</v>
      </c>
      <c r="AL1131" t="s">
        <v>20989</v>
      </c>
      <c r="AM1131" t="s">
        <v>548</v>
      </c>
      <c r="AN1131" t="s">
        <v>20990</v>
      </c>
      <c r="AO1131" t="s">
        <v>20991</v>
      </c>
      <c r="AP1131" t="s">
        <v>20992</v>
      </c>
      <c r="AQ1131" t="s">
        <v>74</v>
      </c>
      <c r="AR1131" t="s">
        <v>20993</v>
      </c>
      <c r="AS1131" t="s">
        <v>20994</v>
      </c>
      <c r="AT1131" t="s">
        <v>20995</v>
      </c>
      <c r="AU1131">
        <v>2023</v>
      </c>
      <c r="AV1131" t="s">
        <v>74</v>
      </c>
      <c r="AW1131" t="s">
        <v>74</v>
      </c>
      <c r="AX1131" t="s">
        <v>74</v>
      </c>
      <c r="AY1131" t="s">
        <v>74</v>
      </c>
      <c r="AZ1131" t="s">
        <v>74</v>
      </c>
      <c r="BA1131" t="s">
        <v>74</v>
      </c>
      <c r="BB1131" t="s">
        <v>74</v>
      </c>
      <c r="BC1131" t="s">
        <v>74</v>
      </c>
      <c r="BD1131" t="s">
        <v>74</v>
      </c>
      <c r="BE1131" t="s">
        <v>20996</v>
      </c>
      <c r="BF1131" t="str">
        <f>HYPERLINK("http://dx.doi.org/10.1037/aca0000603","http://dx.doi.org/10.1037/aca0000603")</f>
        <v>http://dx.doi.org/10.1037/aca0000603</v>
      </c>
      <c r="BG1131" t="s">
        <v>74</v>
      </c>
      <c r="BH1131" t="s">
        <v>229</v>
      </c>
      <c r="BI1131">
        <v>12</v>
      </c>
      <c r="BJ1131" t="s">
        <v>20997</v>
      </c>
      <c r="BK1131" t="s">
        <v>530</v>
      </c>
      <c r="BL1131" t="s">
        <v>20998</v>
      </c>
      <c r="BM1131" t="s">
        <v>20999</v>
      </c>
      <c r="BN1131" t="s">
        <v>74</v>
      </c>
      <c r="BO1131" t="s">
        <v>74</v>
      </c>
      <c r="BP1131" t="s">
        <v>74</v>
      </c>
      <c r="BQ1131" t="s">
        <v>74</v>
      </c>
      <c r="BR1131" t="s">
        <v>101</v>
      </c>
      <c r="BS1131" t="s">
        <v>21000</v>
      </c>
      <c r="BT1131" t="str">
        <f>HYPERLINK("https%3A%2F%2Fwww.webofscience.com%2Fwos%2Fwoscc%2Ffull-record%2FWOS:001032711600001","View Full Record in Web of Science")</f>
        <v>View Full Record in Web of Science</v>
      </c>
    </row>
    <row r="1132" spans="1:72" x14ac:dyDescent="0.2">
      <c r="A1132" t="s">
        <v>103</v>
      </c>
      <c r="B1132" t="s">
        <v>21001</v>
      </c>
      <c r="C1132" t="s">
        <v>74</v>
      </c>
      <c r="D1132" t="s">
        <v>74</v>
      </c>
      <c r="E1132" t="s">
        <v>74</v>
      </c>
      <c r="F1132" t="s">
        <v>21002</v>
      </c>
      <c r="G1132" t="s">
        <v>74</v>
      </c>
      <c r="H1132" t="s">
        <v>74</v>
      </c>
      <c r="I1132" t="s">
        <v>21003</v>
      </c>
      <c r="J1132" t="s">
        <v>21004</v>
      </c>
      <c r="K1132" t="s">
        <v>74</v>
      </c>
      <c r="L1132" t="s">
        <v>74</v>
      </c>
      <c r="M1132" t="s">
        <v>79</v>
      </c>
      <c r="N1132" t="s">
        <v>138</v>
      </c>
      <c r="O1132" t="s">
        <v>74</v>
      </c>
      <c r="P1132" t="s">
        <v>74</v>
      </c>
      <c r="Q1132" t="s">
        <v>74</v>
      </c>
      <c r="R1132" t="s">
        <v>74</v>
      </c>
      <c r="S1132" t="s">
        <v>74</v>
      </c>
      <c r="T1132" t="s">
        <v>21005</v>
      </c>
      <c r="U1132" t="s">
        <v>74</v>
      </c>
      <c r="V1132" t="s">
        <v>21006</v>
      </c>
      <c r="W1132" t="s">
        <v>21007</v>
      </c>
      <c r="X1132" t="s">
        <v>21008</v>
      </c>
      <c r="Y1132" t="s">
        <v>21009</v>
      </c>
      <c r="Z1132" t="s">
        <v>21010</v>
      </c>
      <c r="AA1132" t="s">
        <v>74</v>
      </c>
      <c r="AB1132" t="s">
        <v>21011</v>
      </c>
      <c r="AC1132" t="s">
        <v>74</v>
      </c>
      <c r="AD1132" t="s">
        <v>74</v>
      </c>
      <c r="AE1132" t="s">
        <v>74</v>
      </c>
      <c r="AF1132" t="s">
        <v>74</v>
      </c>
      <c r="AG1132">
        <v>21</v>
      </c>
      <c r="AH1132">
        <v>1</v>
      </c>
      <c r="AI1132">
        <v>1</v>
      </c>
      <c r="AJ1132">
        <v>3</v>
      </c>
      <c r="AK1132">
        <v>3</v>
      </c>
      <c r="AL1132" t="s">
        <v>3165</v>
      </c>
      <c r="AM1132" t="s">
        <v>3166</v>
      </c>
      <c r="AN1132" t="s">
        <v>3167</v>
      </c>
      <c r="AO1132" t="s">
        <v>21012</v>
      </c>
      <c r="AP1132" t="s">
        <v>21013</v>
      </c>
      <c r="AQ1132" t="s">
        <v>74</v>
      </c>
      <c r="AR1132" t="s">
        <v>21014</v>
      </c>
      <c r="AS1132" t="s">
        <v>21015</v>
      </c>
      <c r="AT1132" t="s">
        <v>7169</v>
      </c>
      <c r="AU1132">
        <v>2023</v>
      </c>
      <c r="AV1132" t="s">
        <v>74</v>
      </c>
      <c r="AW1132" t="s">
        <v>74</v>
      </c>
      <c r="AX1132" t="s">
        <v>74</v>
      </c>
      <c r="AY1132" t="s">
        <v>74</v>
      </c>
      <c r="AZ1132" t="s">
        <v>74</v>
      </c>
      <c r="BA1132" t="s">
        <v>74</v>
      </c>
      <c r="BB1132" t="s">
        <v>74</v>
      </c>
      <c r="BC1132" t="s">
        <v>74</v>
      </c>
      <c r="BD1132" t="s">
        <v>74</v>
      </c>
      <c r="BE1132" t="s">
        <v>21016</v>
      </c>
      <c r="BF1132" t="str">
        <f>HYPERLINK("http://dx.doi.org/10.1002/ajmg.a.63493","http://dx.doi.org/10.1002/ajmg.a.63493")</f>
        <v>http://dx.doi.org/10.1002/ajmg.a.63493</v>
      </c>
      <c r="BG1132" t="s">
        <v>74</v>
      </c>
      <c r="BH1132" t="s">
        <v>128</v>
      </c>
      <c r="BI1132">
        <v>5</v>
      </c>
      <c r="BJ1132" t="s">
        <v>21017</v>
      </c>
      <c r="BK1132" t="s">
        <v>130</v>
      </c>
      <c r="BL1132" t="s">
        <v>21017</v>
      </c>
      <c r="BM1132" t="s">
        <v>21018</v>
      </c>
      <c r="BN1132">
        <v>38066714</v>
      </c>
      <c r="BO1132" t="s">
        <v>74</v>
      </c>
      <c r="BP1132" t="s">
        <v>74</v>
      </c>
      <c r="BQ1132" t="s">
        <v>74</v>
      </c>
      <c r="BR1132" t="s">
        <v>101</v>
      </c>
      <c r="BS1132" t="s">
        <v>21019</v>
      </c>
      <c r="BT1132" t="str">
        <f>HYPERLINK("https%3A%2F%2Fwww.webofscience.com%2Fwos%2Fwoscc%2Ffull-record%2FWOS:001117778400001","View Full Record in Web of Science")</f>
        <v>View Full Record in Web of Science</v>
      </c>
    </row>
    <row r="1133" spans="1:72" x14ac:dyDescent="0.2">
      <c r="A1133" t="s">
        <v>103</v>
      </c>
      <c r="B1133" t="s">
        <v>21020</v>
      </c>
      <c r="C1133" t="s">
        <v>74</v>
      </c>
      <c r="D1133" t="s">
        <v>74</v>
      </c>
      <c r="E1133" t="s">
        <v>74</v>
      </c>
      <c r="F1133" t="s">
        <v>21021</v>
      </c>
      <c r="G1133" t="s">
        <v>74</v>
      </c>
      <c r="H1133" t="s">
        <v>74</v>
      </c>
      <c r="I1133" t="s">
        <v>21022</v>
      </c>
      <c r="J1133" t="s">
        <v>1370</v>
      </c>
      <c r="K1133" t="s">
        <v>74</v>
      </c>
      <c r="L1133" t="s">
        <v>74</v>
      </c>
      <c r="M1133" t="s">
        <v>79</v>
      </c>
      <c r="N1133" t="s">
        <v>108</v>
      </c>
      <c r="O1133" t="s">
        <v>74</v>
      </c>
      <c r="P1133" t="s">
        <v>74</v>
      </c>
      <c r="Q1133" t="s">
        <v>74</v>
      </c>
      <c r="R1133" t="s">
        <v>74</v>
      </c>
      <c r="S1133" t="s">
        <v>74</v>
      </c>
      <c r="T1133" t="s">
        <v>21023</v>
      </c>
      <c r="U1133" t="s">
        <v>21024</v>
      </c>
      <c r="V1133" t="s">
        <v>21025</v>
      </c>
      <c r="W1133" t="s">
        <v>21026</v>
      </c>
      <c r="X1133" t="s">
        <v>21027</v>
      </c>
      <c r="Y1133" t="s">
        <v>21028</v>
      </c>
      <c r="Z1133" t="s">
        <v>21029</v>
      </c>
      <c r="AA1133" t="s">
        <v>21030</v>
      </c>
      <c r="AB1133" t="s">
        <v>21031</v>
      </c>
      <c r="AC1133" t="s">
        <v>21032</v>
      </c>
      <c r="AD1133" t="s">
        <v>21033</v>
      </c>
      <c r="AE1133" t="s">
        <v>21034</v>
      </c>
      <c r="AF1133" t="s">
        <v>74</v>
      </c>
      <c r="AG1133">
        <v>60</v>
      </c>
      <c r="AH1133">
        <v>2</v>
      </c>
      <c r="AI1133">
        <v>2</v>
      </c>
      <c r="AJ1133">
        <v>3</v>
      </c>
      <c r="AK1133">
        <v>12</v>
      </c>
      <c r="AL1133" t="s">
        <v>1379</v>
      </c>
      <c r="AM1133" t="s">
        <v>1380</v>
      </c>
      <c r="AN1133" t="s">
        <v>1381</v>
      </c>
      <c r="AO1133" t="s">
        <v>1382</v>
      </c>
      <c r="AP1133" t="s">
        <v>74</v>
      </c>
      <c r="AQ1133" t="s">
        <v>74</v>
      </c>
      <c r="AR1133" t="s">
        <v>1370</v>
      </c>
      <c r="AS1133" t="s">
        <v>1383</v>
      </c>
      <c r="AT1133" t="s">
        <v>74</v>
      </c>
      <c r="AU1133">
        <v>2023</v>
      </c>
      <c r="AV1133">
        <v>11</v>
      </c>
      <c r="AW1133" t="s">
        <v>74</v>
      </c>
      <c r="AX1133" t="s">
        <v>74</v>
      </c>
      <c r="AY1133" t="s">
        <v>74</v>
      </c>
      <c r="AZ1133" t="s">
        <v>74</v>
      </c>
      <c r="BA1133" t="s">
        <v>74</v>
      </c>
      <c r="BB1133">
        <v>28236</v>
      </c>
      <c r="BC1133">
        <v>28251</v>
      </c>
      <c r="BD1133" t="s">
        <v>74</v>
      </c>
      <c r="BE1133" t="s">
        <v>21035</v>
      </c>
      <c r="BF1133" t="str">
        <f>HYPERLINK("http://dx.doi.org/10.1109/ACCESS.2023.3259325","http://dx.doi.org/10.1109/ACCESS.2023.3259325")</f>
        <v>http://dx.doi.org/10.1109/ACCESS.2023.3259325</v>
      </c>
      <c r="BG1133" t="s">
        <v>74</v>
      </c>
      <c r="BH1133" t="s">
        <v>74</v>
      </c>
      <c r="BI1133">
        <v>16</v>
      </c>
      <c r="BJ1133" t="s">
        <v>1385</v>
      </c>
      <c r="BK1133" t="s">
        <v>130</v>
      </c>
      <c r="BL1133" t="s">
        <v>1386</v>
      </c>
      <c r="BM1133" t="s">
        <v>21036</v>
      </c>
      <c r="BN1133" t="s">
        <v>74</v>
      </c>
      <c r="BO1133" t="s">
        <v>1071</v>
      </c>
      <c r="BP1133" t="s">
        <v>74</v>
      </c>
      <c r="BQ1133" t="s">
        <v>74</v>
      </c>
      <c r="BR1133" t="s">
        <v>101</v>
      </c>
      <c r="BS1133" t="s">
        <v>21037</v>
      </c>
      <c r="BT1133" t="str">
        <f>HYPERLINK("https%3A%2F%2Fwww.webofscience.com%2Fwos%2Fwoscc%2Ffull-record%2FWOS:000967271800001","View Full Record in Web of Science")</f>
        <v>View Full Record in Web of Science</v>
      </c>
    </row>
    <row r="1134" spans="1:72" x14ac:dyDescent="0.2">
      <c r="A1134" t="s">
        <v>103</v>
      </c>
      <c r="B1134" t="s">
        <v>21038</v>
      </c>
      <c r="C1134" t="s">
        <v>74</v>
      </c>
      <c r="D1134" t="s">
        <v>74</v>
      </c>
      <c r="E1134" t="s">
        <v>74</v>
      </c>
      <c r="F1134" t="s">
        <v>21039</v>
      </c>
      <c r="G1134" t="s">
        <v>74</v>
      </c>
      <c r="H1134" t="s">
        <v>74</v>
      </c>
      <c r="I1134" t="s">
        <v>21040</v>
      </c>
      <c r="J1134" t="s">
        <v>21041</v>
      </c>
      <c r="K1134" t="s">
        <v>74</v>
      </c>
      <c r="L1134" t="s">
        <v>74</v>
      </c>
      <c r="M1134" t="s">
        <v>79</v>
      </c>
      <c r="N1134" t="s">
        <v>108</v>
      </c>
      <c r="O1134" t="s">
        <v>74</v>
      </c>
      <c r="P1134" t="s">
        <v>74</v>
      </c>
      <c r="Q1134" t="s">
        <v>74</v>
      </c>
      <c r="R1134" t="s">
        <v>74</v>
      </c>
      <c r="S1134" t="s">
        <v>74</v>
      </c>
      <c r="T1134" t="s">
        <v>21042</v>
      </c>
      <c r="U1134" t="s">
        <v>21043</v>
      </c>
      <c r="V1134" t="s">
        <v>21044</v>
      </c>
      <c r="W1134" t="s">
        <v>21045</v>
      </c>
      <c r="X1134" t="s">
        <v>21046</v>
      </c>
      <c r="Y1134" t="s">
        <v>21047</v>
      </c>
      <c r="Z1134" t="s">
        <v>21048</v>
      </c>
      <c r="AA1134" t="s">
        <v>74</v>
      </c>
      <c r="AB1134" t="s">
        <v>74</v>
      </c>
      <c r="AC1134" t="s">
        <v>74</v>
      </c>
      <c r="AD1134" t="s">
        <v>74</v>
      </c>
      <c r="AE1134" t="s">
        <v>74</v>
      </c>
      <c r="AF1134" t="s">
        <v>74</v>
      </c>
      <c r="AG1134">
        <v>87</v>
      </c>
      <c r="AH1134">
        <v>1</v>
      </c>
      <c r="AI1134">
        <v>1</v>
      </c>
      <c r="AJ1134">
        <v>12</v>
      </c>
      <c r="AK1134">
        <v>12</v>
      </c>
      <c r="AL1134" t="s">
        <v>119</v>
      </c>
      <c r="AM1134" t="s">
        <v>120</v>
      </c>
      <c r="AN1134" t="s">
        <v>121</v>
      </c>
      <c r="AO1134" t="s">
        <v>21049</v>
      </c>
      <c r="AP1134" t="s">
        <v>21050</v>
      </c>
      <c r="AQ1134" t="s">
        <v>74</v>
      </c>
      <c r="AR1134" t="s">
        <v>21051</v>
      </c>
      <c r="AS1134" t="s">
        <v>21052</v>
      </c>
      <c r="AT1134" t="s">
        <v>2497</v>
      </c>
      <c r="AU1134">
        <v>2023</v>
      </c>
      <c r="AV1134">
        <v>246</v>
      </c>
      <c r="AW1134" t="s">
        <v>74</v>
      </c>
      <c r="AX1134" t="s">
        <v>74</v>
      </c>
      <c r="AY1134" t="s">
        <v>74</v>
      </c>
      <c r="AZ1134" t="s">
        <v>74</v>
      </c>
      <c r="BA1134" t="s">
        <v>74</v>
      </c>
      <c r="BB1134" t="s">
        <v>74</v>
      </c>
      <c r="BC1134" t="s">
        <v>74</v>
      </c>
      <c r="BD1134">
        <v>110948</v>
      </c>
      <c r="BE1134" t="s">
        <v>21053</v>
      </c>
      <c r="BF1134" t="str">
        <f>HYPERLINK("http://dx.doi.org/10.1016/j.buildenv.2023.110948","http://dx.doi.org/10.1016/j.buildenv.2023.110948")</f>
        <v>http://dx.doi.org/10.1016/j.buildenv.2023.110948</v>
      </c>
      <c r="BG1134" t="s">
        <v>74</v>
      </c>
      <c r="BH1134" t="s">
        <v>1886</v>
      </c>
      <c r="BI1134">
        <v>21</v>
      </c>
      <c r="BJ1134" t="s">
        <v>21054</v>
      </c>
      <c r="BK1134" t="s">
        <v>130</v>
      </c>
      <c r="BL1134" t="s">
        <v>13052</v>
      </c>
      <c r="BM1134" t="s">
        <v>21055</v>
      </c>
      <c r="BN1134" t="s">
        <v>74</v>
      </c>
      <c r="BO1134" t="s">
        <v>74</v>
      </c>
      <c r="BP1134" t="s">
        <v>74</v>
      </c>
      <c r="BQ1134" t="s">
        <v>74</v>
      </c>
      <c r="BR1134" t="s">
        <v>101</v>
      </c>
      <c r="BS1134" t="s">
        <v>21056</v>
      </c>
      <c r="BT1134" t="str">
        <f>HYPERLINK("https%3A%2F%2Fwww.webofscience.com%2Fwos%2Fwoscc%2Ffull-record%2FWOS:001092931700001","View Full Record in Web of Science")</f>
        <v>View Full Record in Web of Science</v>
      </c>
    </row>
    <row r="1135" spans="1:72" x14ac:dyDescent="0.2">
      <c r="A1135" t="s">
        <v>72</v>
      </c>
      <c r="B1135" t="s">
        <v>21057</v>
      </c>
      <c r="C1135" t="s">
        <v>74</v>
      </c>
      <c r="D1135" t="s">
        <v>74</v>
      </c>
      <c r="E1135" t="s">
        <v>75</v>
      </c>
      <c r="F1135" t="s">
        <v>21058</v>
      </c>
      <c r="G1135" t="s">
        <v>74</v>
      </c>
      <c r="H1135" t="s">
        <v>74</v>
      </c>
      <c r="I1135" t="s">
        <v>21059</v>
      </c>
      <c r="J1135" t="s">
        <v>1264</v>
      </c>
      <c r="K1135" t="s">
        <v>74</v>
      </c>
      <c r="L1135" t="s">
        <v>74</v>
      </c>
      <c r="M1135" t="s">
        <v>79</v>
      </c>
      <c r="N1135" t="s">
        <v>80</v>
      </c>
      <c r="O1135" t="s">
        <v>1265</v>
      </c>
      <c r="P1135" t="s">
        <v>290</v>
      </c>
      <c r="Q1135" t="s">
        <v>1266</v>
      </c>
      <c r="R1135" t="s">
        <v>1267</v>
      </c>
      <c r="S1135" t="s">
        <v>74</v>
      </c>
      <c r="T1135" t="s">
        <v>21060</v>
      </c>
      <c r="U1135" t="s">
        <v>21061</v>
      </c>
      <c r="V1135" t="s">
        <v>21062</v>
      </c>
      <c r="W1135" t="s">
        <v>21063</v>
      </c>
      <c r="X1135" t="s">
        <v>74</v>
      </c>
      <c r="Y1135" t="s">
        <v>21064</v>
      </c>
      <c r="Z1135" t="s">
        <v>21065</v>
      </c>
      <c r="AA1135" t="s">
        <v>74</v>
      </c>
      <c r="AB1135" t="s">
        <v>21066</v>
      </c>
      <c r="AC1135" t="s">
        <v>74</v>
      </c>
      <c r="AD1135" t="s">
        <v>74</v>
      </c>
      <c r="AE1135" t="s">
        <v>74</v>
      </c>
      <c r="AF1135" t="s">
        <v>74</v>
      </c>
      <c r="AG1135">
        <v>26</v>
      </c>
      <c r="AH1135">
        <v>0</v>
      </c>
      <c r="AI1135">
        <v>0</v>
      </c>
      <c r="AJ1135">
        <v>0</v>
      </c>
      <c r="AK1135">
        <v>0</v>
      </c>
      <c r="AL1135" t="s">
        <v>92</v>
      </c>
      <c r="AM1135" t="s">
        <v>93</v>
      </c>
      <c r="AN1135" t="s">
        <v>94</v>
      </c>
      <c r="AO1135" t="s">
        <v>74</v>
      </c>
      <c r="AP1135" t="s">
        <v>74</v>
      </c>
      <c r="AQ1135" t="s">
        <v>1278</v>
      </c>
      <c r="AR1135" t="s">
        <v>74</v>
      </c>
      <c r="AS1135" t="s">
        <v>74</v>
      </c>
      <c r="AT1135" t="s">
        <v>74</v>
      </c>
      <c r="AU1135">
        <v>2023</v>
      </c>
      <c r="AV1135" t="s">
        <v>74</v>
      </c>
      <c r="AW1135" t="s">
        <v>74</v>
      </c>
      <c r="AX1135" t="s">
        <v>74</v>
      </c>
      <c r="AY1135" t="s">
        <v>74</v>
      </c>
      <c r="AZ1135" t="s">
        <v>74</v>
      </c>
      <c r="BA1135" t="s">
        <v>74</v>
      </c>
      <c r="BB1135">
        <v>549</v>
      </c>
      <c r="BC1135">
        <v>556</v>
      </c>
      <c r="BD1135" t="s">
        <v>74</v>
      </c>
      <c r="BE1135" t="s">
        <v>21067</v>
      </c>
      <c r="BF1135" t="str">
        <f>HYPERLINK("http://dx.doi.org/10.1145/3604237.3626865","http://dx.doi.org/10.1145/3604237.3626865")</f>
        <v>http://dx.doi.org/10.1145/3604237.3626865</v>
      </c>
      <c r="BG1135" t="s">
        <v>74</v>
      </c>
      <c r="BH1135" t="s">
        <v>74</v>
      </c>
      <c r="BI1135">
        <v>8</v>
      </c>
      <c r="BJ1135" t="s">
        <v>1280</v>
      </c>
      <c r="BK1135" t="s">
        <v>180</v>
      </c>
      <c r="BL1135" t="s">
        <v>1281</v>
      </c>
      <c r="BM1135" t="s">
        <v>1282</v>
      </c>
      <c r="BN1135" t="s">
        <v>74</v>
      </c>
      <c r="BO1135" t="s">
        <v>74</v>
      </c>
      <c r="BP1135" t="s">
        <v>74</v>
      </c>
      <c r="BQ1135" t="s">
        <v>74</v>
      </c>
      <c r="BR1135" t="s">
        <v>101</v>
      </c>
      <c r="BS1135" t="s">
        <v>21068</v>
      </c>
      <c r="BT1135" t="str">
        <f>HYPERLINK("https%3A%2F%2Fwww.webofscience.com%2Fwos%2Fwoscc%2Ffull-record%2FWOS:001124982700064","View Full Record in Web of Science")</f>
        <v>View Full Record in Web of Science</v>
      </c>
    </row>
    <row r="1136" spans="1:72" x14ac:dyDescent="0.2">
      <c r="A1136" t="s">
        <v>103</v>
      </c>
      <c r="B1136" t="s">
        <v>21069</v>
      </c>
      <c r="C1136" t="s">
        <v>74</v>
      </c>
      <c r="D1136" t="s">
        <v>74</v>
      </c>
      <c r="E1136" t="s">
        <v>74</v>
      </c>
      <c r="F1136" t="s">
        <v>21070</v>
      </c>
      <c r="G1136" t="s">
        <v>74</v>
      </c>
      <c r="H1136" t="s">
        <v>74</v>
      </c>
      <c r="I1136" t="s">
        <v>21071</v>
      </c>
      <c r="J1136" t="s">
        <v>21072</v>
      </c>
      <c r="K1136" t="s">
        <v>74</v>
      </c>
      <c r="L1136" t="s">
        <v>74</v>
      </c>
      <c r="M1136" t="s">
        <v>79</v>
      </c>
      <c r="N1136" t="s">
        <v>108</v>
      </c>
      <c r="O1136" t="s">
        <v>74</v>
      </c>
      <c r="P1136" t="s">
        <v>74</v>
      </c>
      <c r="Q1136" t="s">
        <v>74</v>
      </c>
      <c r="R1136" t="s">
        <v>74</v>
      </c>
      <c r="S1136" t="s">
        <v>74</v>
      </c>
      <c r="T1136" t="s">
        <v>21073</v>
      </c>
      <c r="U1136" t="s">
        <v>74</v>
      </c>
      <c r="V1136" t="s">
        <v>21074</v>
      </c>
      <c r="W1136" t="s">
        <v>21075</v>
      </c>
      <c r="X1136" t="s">
        <v>21076</v>
      </c>
      <c r="Y1136" t="s">
        <v>21077</v>
      </c>
      <c r="Z1136" t="s">
        <v>74</v>
      </c>
      <c r="AA1136" t="s">
        <v>74</v>
      </c>
      <c r="AB1136" t="s">
        <v>74</v>
      </c>
      <c r="AC1136" t="s">
        <v>21078</v>
      </c>
      <c r="AD1136" t="s">
        <v>21079</v>
      </c>
      <c r="AE1136" t="s">
        <v>21080</v>
      </c>
      <c r="AF1136" t="s">
        <v>74</v>
      </c>
      <c r="AG1136">
        <v>19</v>
      </c>
      <c r="AH1136">
        <v>0</v>
      </c>
      <c r="AI1136">
        <v>0</v>
      </c>
      <c r="AJ1136">
        <v>2</v>
      </c>
      <c r="AK1136">
        <v>2</v>
      </c>
      <c r="AL1136" t="s">
        <v>21081</v>
      </c>
      <c r="AM1136" t="s">
        <v>9215</v>
      </c>
      <c r="AN1136" t="s">
        <v>21082</v>
      </c>
      <c r="AO1136" t="s">
        <v>21083</v>
      </c>
      <c r="AP1136" t="s">
        <v>74</v>
      </c>
      <c r="AQ1136" t="s">
        <v>74</v>
      </c>
      <c r="AR1136" t="s">
        <v>21084</v>
      </c>
      <c r="AS1136" t="s">
        <v>21085</v>
      </c>
      <c r="AT1136" t="s">
        <v>21086</v>
      </c>
      <c r="AU1136">
        <v>2023</v>
      </c>
      <c r="AV1136">
        <v>22</v>
      </c>
      <c r="AW1136">
        <v>1</v>
      </c>
      <c r="AX1136" t="s">
        <v>74</v>
      </c>
      <c r="AY1136" t="s">
        <v>74</v>
      </c>
      <c r="AZ1136" t="s">
        <v>74</v>
      </c>
      <c r="BA1136" t="s">
        <v>74</v>
      </c>
      <c r="BB1136">
        <v>164</v>
      </c>
      <c r="BC1136">
        <v>180</v>
      </c>
      <c r="BD1136" t="s">
        <v>74</v>
      </c>
      <c r="BE1136" t="s">
        <v>21087</v>
      </c>
      <c r="BF1136" t="str">
        <f>HYPERLINK("http://dx.doi.org/10.58859/rael.v23i1.590","http://dx.doi.org/10.58859/rael.v23i1.590")</f>
        <v>http://dx.doi.org/10.58859/rael.v23i1.590</v>
      </c>
      <c r="BG1136" t="s">
        <v>74</v>
      </c>
      <c r="BH1136" t="s">
        <v>74</v>
      </c>
      <c r="BI1136">
        <v>17</v>
      </c>
      <c r="BJ1136" t="s">
        <v>377</v>
      </c>
      <c r="BK1136" t="s">
        <v>352</v>
      </c>
      <c r="BL1136" t="s">
        <v>377</v>
      </c>
      <c r="BM1136" t="s">
        <v>21088</v>
      </c>
      <c r="BN1136" t="s">
        <v>74</v>
      </c>
      <c r="BO1136" t="s">
        <v>74</v>
      </c>
      <c r="BP1136" t="s">
        <v>74</v>
      </c>
      <c r="BQ1136" t="s">
        <v>74</v>
      </c>
      <c r="BR1136" t="s">
        <v>101</v>
      </c>
      <c r="BS1136" t="s">
        <v>21089</v>
      </c>
      <c r="BT1136" t="str">
        <f>HYPERLINK("https%3A%2F%2Fwww.webofscience.com%2Fwos%2Fwoscc%2Ffull-record%2FWOS:001157087100013","View Full Record in Web of Science")</f>
        <v>View Full Record in Web of Science</v>
      </c>
    </row>
    <row r="1137" spans="1:72" x14ac:dyDescent="0.2">
      <c r="A1137" t="s">
        <v>103</v>
      </c>
      <c r="B1137" t="s">
        <v>21090</v>
      </c>
      <c r="C1137" t="s">
        <v>74</v>
      </c>
      <c r="D1137" t="s">
        <v>74</v>
      </c>
      <c r="E1137" t="s">
        <v>74</v>
      </c>
      <c r="F1137" t="s">
        <v>21091</v>
      </c>
      <c r="G1137" t="s">
        <v>74</v>
      </c>
      <c r="H1137" t="s">
        <v>74</v>
      </c>
      <c r="I1137" t="s">
        <v>21092</v>
      </c>
      <c r="J1137" t="s">
        <v>2433</v>
      </c>
      <c r="K1137" t="s">
        <v>74</v>
      </c>
      <c r="L1137" t="s">
        <v>74</v>
      </c>
      <c r="M1137" t="s">
        <v>79</v>
      </c>
      <c r="N1137" t="s">
        <v>108</v>
      </c>
      <c r="O1137" t="s">
        <v>74</v>
      </c>
      <c r="P1137" t="s">
        <v>74</v>
      </c>
      <c r="Q1137" t="s">
        <v>74</v>
      </c>
      <c r="R1137" t="s">
        <v>74</v>
      </c>
      <c r="S1137" t="s">
        <v>74</v>
      </c>
      <c r="T1137" t="s">
        <v>21093</v>
      </c>
      <c r="U1137" t="s">
        <v>74</v>
      </c>
      <c r="V1137" t="s">
        <v>21094</v>
      </c>
      <c r="W1137" t="s">
        <v>21095</v>
      </c>
      <c r="X1137" t="s">
        <v>21096</v>
      </c>
      <c r="Y1137" t="s">
        <v>21097</v>
      </c>
      <c r="Z1137" t="s">
        <v>21098</v>
      </c>
      <c r="AA1137" t="s">
        <v>21099</v>
      </c>
      <c r="AB1137" t="s">
        <v>21100</v>
      </c>
      <c r="AC1137" t="s">
        <v>21101</v>
      </c>
      <c r="AD1137" t="s">
        <v>21102</v>
      </c>
      <c r="AE1137" t="s">
        <v>21103</v>
      </c>
      <c r="AF1137" t="s">
        <v>74</v>
      </c>
      <c r="AG1137">
        <v>31</v>
      </c>
      <c r="AH1137">
        <v>2</v>
      </c>
      <c r="AI1137">
        <v>2</v>
      </c>
      <c r="AJ1137">
        <v>12</v>
      </c>
      <c r="AK1137">
        <v>15</v>
      </c>
      <c r="AL1137" t="s">
        <v>939</v>
      </c>
      <c r="AM1137" t="s">
        <v>940</v>
      </c>
      <c r="AN1137" t="s">
        <v>941</v>
      </c>
      <c r="AO1137" t="s">
        <v>74</v>
      </c>
      <c r="AP1137" t="s">
        <v>2444</v>
      </c>
      <c r="AQ1137" t="s">
        <v>74</v>
      </c>
      <c r="AR1137" t="s">
        <v>2445</v>
      </c>
      <c r="AS1137" t="s">
        <v>2446</v>
      </c>
      <c r="AT1137" t="s">
        <v>445</v>
      </c>
      <c r="AU1137">
        <v>2023</v>
      </c>
      <c r="AV1137">
        <v>13</v>
      </c>
      <c r="AW1137">
        <v>8</v>
      </c>
      <c r="AX1137" t="s">
        <v>74</v>
      </c>
      <c r="AY1137" t="s">
        <v>74</v>
      </c>
      <c r="AZ1137" t="s">
        <v>74</v>
      </c>
      <c r="BA1137" t="s">
        <v>74</v>
      </c>
      <c r="BB1137" t="s">
        <v>74</v>
      </c>
      <c r="BC1137" t="s">
        <v>74</v>
      </c>
      <c r="BD1137">
        <v>4686</v>
      </c>
      <c r="BE1137" t="s">
        <v>21104</v>
      </c>
      <c r="BF1137" t="str">
        <f>HYPERLINK("http://dx.doi.org/10.3390/app13084686","http://dx.doi.org/10.3390/app13084686")</f>
        <v>http://dx.doi.org/10.3390/app13084686</v>
      </c>
      <c r="BG1137" t="s">
        <v>74</v>
      </c>
      <c r="BH1137" t="s">
        <v>74</v>
      </c>
      <c r="BI1137">
        <v>17</v>
      </c>
      <c r="BJ1137" t="s">
        <v>2448</v>
      </c>
      <c r="BK1137" t="s">
        <v>130</v>
      </c>
      <c r="BL1137" t="s">
        <v>2449</v>
      </c>
      <c r="BM1137" t="s">
        <v>21105</v>
      </c>
      <c r="BN1137" t="s">
        <v>74</v>
      </c>
      <c r="BO1137" t="s">
        <v>425</v>
      </c>
      <c r="BP1137" t="s">
        <v>74</v>
      </c>
      <c r="BQ1137" t="s">
        <v>74</v>
      </c>
      <c r="BR1137" t="s">
        <v>101</v>
      </c>
      <c r="BS1137" t="s">
        <v>21106</v>
      </c>
      <c r="BT1137" t="str">
        <f>HYPERLINK("https%3A%2F%2Fwww.webofscience.com%2Fwos%2Fwoscc%2Ffull-record%2FWOS:000977484100001","View Full Record in Web of Science")</f>
        <v>View Full Record in Web of Science</v>
      </c>
    </row>
    <row r="1138" spans="1:72" x14ac:dyDescent="0.2">
      <c r="A1138" t="s">
        <v>103</v>
      </c>
      <c r="B1138" t="s">
        <v>21107</v>
      </c>
      <c r="C1138" t="s">
        <v>74</v>
      </c>
      <c r="D1138" t="s">
        <v>74</v>
      </c>
      <c r="E1138" t="s">
        <v>74</v>
      </c>
      <c r="F1138" t="s">
        <v>21108</v>
      </c>
      <c r="G1138" t="s">
        <v>74</v>
      </c>
      <c r="H1138" t="s">
        <v>74</v>
      </c>
      <c r="I1138" t="s">
        <v>21109</v>
      </c>
      <c r="J1138" t="s">
        <v>21110</v>
      </c>
      <c r="K1138" t="s">
        <v>74</v>
      </c>
      <c r="L1138" t="s">
        <v>74</v>
      </c>
      <c r="M1138" t="s">
        <v>79</v>
      </c>
      <c r="N1138" t="s">
        <v>108</v>
      </c>
      <c r="O1138" t="s">
        <v>74</v>
      </c>
      <c r="P1138" t="s">
        <v>74</v>
      </c>
      <c r="Q1138" t="s">
        <v>74</v>
      </c>
      <c r="R1138" t="s">
        <v>74</v>
      </c>
      <c r="S1138" t="s">
        <v>74</v>
      </c>
      <c r="T1138" t="s">
        <v>21111</v>
      </c>
      <c r="U1138" t="s">
        <v>21112</v>
      </c>
      <c r="V1138" t="s">
        <v>21113</v>
      </c>
      <c r="W1138" t="s">
        <v>21114</v>
      </c>
      <c r="X1138" t="s">
        <v>21115</v>
      </c>
      <c r="Y1138" t="s">
        <v>21116</v>
      </c>
      <c r="Z1138" t="s">
        <v>21117</v>
      </c>
      <c r="AA1138" t="s">
        <v>21118</v>
      </c>
      <c r="AB1138" t="s">
        <v>74</v>
      </c>
      <c r="AC1138" t="s">
        <v>74</v>
      </c>
      <c r="AD1138" t="s">
        <v>74</v>
      </c>
      <c r="AE1138" t="s">
        <v>74</v>
      </c>
      <c r="AF1138" t="s">
        <v>74</v>
      </c>
      <c r="AG1138">
        <v>82</v>
      </c>
      <c r="AH1138">
        <v>0</v>
      </c>
      <c r="AI1138">
        <v>0</v>
      </c>
      <c r="AJ1138">
        <v>36</v>
      </c>
      <c r="AK1138">
        <v>36</v>
      </c>
      <c r="AL1138" t="s">
        <v>764</v>
      </c>
      <c r="AM1138" t="s">
        <v>765</v>
      </c>
      <c r="AN1138" t="s">
        <v>766</v>
      </c>
      <c r="AO1138" t="s">
        <v>21119</v>
      </c>
      <c r="AP1138" t="s">
        <v>21120</v>
      </c>
      <c r="AQ1138" t="s">
        <v>74</v>
      </c>
      <c r="AR1138" t="s">
        <v>21121</v>
      </c>
      <c r="AS1138" t="s">
        <v>21122</v>
      </c>
      <c r="AT1138" t="s">
        <v>126</v>
      </c>
      <c r="AU1138">
        <v>2024</v>
      </c>
      <c r="AV1138">
        <v>178</v>
      </c>
      <c r="AW1138" t="s">
        <v>74</v>
      </c>
      <c r="AX1138" t="s">
        <v>74</v>
      </c>
      <c r="AY1138" t="s">
        <v>74</v>
      </c>
      <c r="AZ1138" t="s">
        <v>74</v>
      </c>
      <c r="BA1138" t="s">
        <v>74</v>
      </c>
      <c r="BB1138" t="s">
        <v>74</v>
      </c>
      <c r="BC1138" t="s">
        <v>74</v>
      </c>
      <c r="BD1138">
        <v>114132</v>
      </c>
      <c r="BE1138" t="s">
        <v>21123</v>
      </c>
      <c r="BF1138" t="str">
        <f>HYPERLINK("http://dx.doi.org/10.1016/j.dss.2023.114132","http://dx.doi.org/10.1016/j.dss.2023.114132")</f>
        <v>http://dx.doi.org/10.1016/j.dss.2023.114132</v>
      </c>
      <c r="BG1138" t="s">
        <v>74</v>
      </c>
      <c r="BH1138" t="s">
        <v>128</v>
      </c>
      <c r="BI1138">
        <v>14</v>
      </c>
      <c r="BJ1138" t="s">
        <v>21124</v>
      </c>
      <c r="BK1138" t="s">
        <v>130</v>
      </c>
      <c r="BL1138" t="s">
        <v>21125</v>
      </c>
      <c r="BM1138" t="s">
        <v>21126</v>
      </c>
      <c r="BN1138" t="s">
        <v>74</v>
      </c>
      <c r="BO1138" t="s">
        <v>161</v>
      </c>
      <c r="BP1138" t="s">
        <v>74</v>
      </c>
      <c r="BQ1138" t="s">
        <v>74</v>
      </c>
      <c r="BR1138" t="s">
        <v>101</v>
      </c>
      <c r="BS1138" t="s">
        <v>21127</v>
      </c>
      <c r="BT1138" t="str">
        <f>HYPERLINK("https%3A%2F%2Fwww.webofscience.com%2Fwos%2Fwoscc%2Ffull-record%2FWOS:001141791100001","View Full Record in Web of Science")</f>
        <v>View Full Record in Web of Science</v>
      </c>
    </row>
    <row r="1139" spans="1:72" x14ac:dyDescent="0.2">
      <c r="A1139" t="s">
        <v>103</v>
      </c>
      <c r="B1139" t="s">
        <v>21128</v>
      </c>
      <c r="C1139" t="s">
        <v>74</v>
      </c>
      <c r="D1139" t="s">
        <v>74</v>
      </c>
      <c r="E1139" t="s">
        <v>74</v>
      </c>
      <c r="F1139" t="s">
        <v>21129</v>
      </c>
      <c r="G1139" t="s">
        <v>74</v>
      </c>
      <c r="H1139" t="s">
        <v>74</v>
      </c>
      <c r="I1139" t="s">
        <v>21130</v>
      </c>
      <c r="J1139" t="s">
        <v>21131</v>
      </c>
      <c r="K1139" t="s">
        <v>74</v>
      </c>
      <c r="L1139" t="s">
        <v>74</v>
      </c>
      <c r="M1139" t="s">
        <v>79</v>
      </c>
      <c r="N1139" t="s">
        <v>108</v>
      </c>
      <c r="O1139" t="s">
        <v>74</v>
      </c>
      <c r="P1139" t="s">
        <v>74</v>
      </c>
      <c r="Q1139" t="s">
        <v>74</v>
      </c>
      <c r="R1139" t="s">
        <v>74</v>
      </c>
      <c r="S1139" t="s">
        <v>74</v>
      </c>
      <c r="T1139" t="s">
        <v>74</v>
      </c>
      <c r="U1139" t="s">
        <v>21132</v>
      </c>
      <c r="V1139" t="s">
        <v>21133</v>
      </c>
      <c r="W1139" t="s">
        <v>21134</v>
      </c>
      <c r="X1139" t="s">
        <v>21135</v>
      </c>
      <c r="Y1139" t="s">
        <v>21136</v>
      </c>
      <c r="Z1139" t="s">
        <v>74</v>
      </c>
      <c r="AA1139" t="s">
        <v>21137</v>
      </c>
      <c r="AB1139" t="s">
        <v>21138</v>
      </c>
      <c r="AC1139" t="s">
        <v>21139</v>
      </c>
      <c r="AD1139" t="s">
        <v>21139</v>
      </c>
      <c r="AE1139" t="s">
        <v>21140</v>
      </c>
      <c r="AF1139" t="s">
        <v>74</v>
      </c>
      <c r="AG1139">
        <v>63</v>
      </c>
      <c r="AH1139">
        <v>46</v>
      </c>
      <c r="AI1139">
        <v>50</v>
      </c>
      <c r="AJ1139">
        <v>39</v>
      </c>
      <c r="AK1139">
        <v>71</v>
      </c>
      <c r="AL1139" t="s">
        <v>3980</v>
      </c>
      <c r="AM1139" t="s">
        <v>1153</v>
      </c>
      <c r="AN1139" t="s">
        <v>3981</v>
      </c>
      <c r="AO1139" t="s">
        <v>21141</v>
      </c>
      <c r="AP1139" t="s">
        <v>21142</v>
      </c>
      <c r="AQ1139" t="s">
        <v>74</v>
      </c>
      <c r="AR1139" t="s">
        <v>21143</v>
      </c>
      <c r="AS1139" t="s">
        <v>21144</v>
      </c>
      <c r="AT1139" t="s">
        <v>21145</v>
      </c>
      <c r="AU1139">
        <v>2023</v>
      </c>
      <c r="AV1139">
        <v>14</v>
      </c>
      <c r="AW1139">
        <v>6</v>
      </c>
      <c r="AX1139" t="s">
        <v>74</v>
      </c>
      <c r="AY1139" t="s">
        <v>74</v>
      </c>
      <c r="AZ1139" t="s">
        <v>74</v>
      </c>
      <c r="BA1139" t="s">
        <v>74</v>
      </c>
      <c r="BB1139">
        <v>1443</v>
      </c>
      <c r="BC1139">
        <v>1452</v>
      </c>
      <c r="BD1139" t="s">
        <v>74</v>
      </c>
      <c r="BE1139" t="s">
        <v>21146</v>
      </c>
      <c r="BF1139" t="str">
        <f>HYPERLINK("http://dx.doi.org/10.1039/d2sc05709c","http://dx.doi.org/10.1039/d2sc05709c")</f>
        <v>http://dx.doi.org/10.1039/d2sc05709c</v>
      </c>
      <c r="BG1139" t="s">
        <v>74</v>
      </c>
      <c r="BH1139" t="s">
        <v>7345</v>
      </c>
      <c r="BI1139">
        <v>10</v>
      </c>
      <c r="BJ1139" t="s">
        <v>11005</v>
      </c>
      <c r="BK1139" t="s">
        <v>130</v>
      </c>
      <c r="BL1139" t="s">
        <v>11006</v>
      </c>
      <c r="BM1139" t="s">
        <v>21147</v>
      </c>
      <c r="BN1139">
        <v>36794205</v>
      </c>
      <c r="BO1139" t="s">
        <v>1728</v>
      </c>
      <c r="BP1139" t="s">
        <v>1434</v>
      </c>
      <c r="BQ1139" t="s">
        <v>1912</v>
      </c>
      <c r="BR1139" t="s">
        <v>101</v>
      </c>
      <c r="BS1139" t="s">
        <v>21148</v>
      </c>
      <c r="BT1139" t="str">
        <f>HYPERLINK("https%3A%2F%2Fwww.webofscience.com%2Fwos%2Fwoscc%2Ffull-record%2FWOS:000915554000001","View Full Record in Web of Science")</f>
        <v>View Full Record in Web of Science</v>
      </c>
    </row>
    <row r="1140" spans="1:72" x14ac:dyDescent="0.2">
      <c r="A1140" t="s">
        <v>103</v>
      </c>
      <c r="B1140" t="s">
        <v>21149</v>
      </c>
      <c r="C1140" t="s">
        <v>74</v>
      </c>
      <c r="D1140" t="s">
        <v>74</v>
      </c>
      <c r="E1140" t="s">
        <v>74</v>
      </c>
      <c r="F1140" t="s">
        <v>21150</v>
      </c>
      <c r="G1140" t="s">
        <v>74</v>
      </c>
      <c r="H1140" t="s">
        <v>74</v>
      </c>
      <c r="I1140" t="s">
        <v>21151</v>
      </c>
      <c r="J1140" t="s">
        <v>2940</v>
      </c>
      <c r="K1140" t="s">
        <v>74</v>
      </c>
      <c r="L1140" t="s">
        <v>74</v>
      </c>
      <c r="M1140" t="s">
        <v>79</v>
      </c>
      <c r="N1140" t="s">
        <v>108</v>
      </c>
      <c r="O1140" t="s">
        <v>74</v>
      </c>
      <c r="P1140" t="s">
        <v>74</v>
      </c>
      <c r="Q1140" t="s">
        <v>74</v>
      </c>
      <c r="R1140" t="s">
        <v>74</v>
      </c>
      <c r="S1140" t="s">
        <v>74</v>
      </c>
      <c r="T1140" t="s">
        <v>21152</v>
      </c>
      <c r="U1140" t="s">
        <v>74</v>
      </c>
      <c r="V1140" t="s">
        <v>21153</v>
      </c>
      <c r="W1140" t="s">
        <v>21154</v>
      </c>
      <c r="X1140" t="s">
        <v>21155</v>
      </c>
      <c r="Y1140" t="s">
        <v>21156</v>
      </c>
      <c r="Z1140" t="s">
        <v>21157</v>
      </c>
      <c r="AA1140" t="s">
        <v>21158</v>
      </c>
      <c r="AB1140" t="s">
        <v>21159</v>
      </c>
      <c r="AC1140" t="s">
        <v>21160</v>
      </c>
      <c r="AD1140" t="s">
        <v>21160</v>
      </c>
      <c r="AE1140" t="s">
        <v>21161</v>
      </c>
      <c r="AF1140" t="s">
        <v>74</v>
      </c>
      <c r="AG1140">
        <v>40</v>
      </c>
      <c r="AH1140">
        <v>3</v>
      </c>
      <c r="AI1140">
        <v>3</v>
      </c>
      <c r="AJ1140">
        <v>103</v>
      </c>
      <c r="AK1140">
        <v>128</v>
      </c>
      <c r="AL1140" t="s">
        <v>939</v>
      </c>
      <c r="AM1140" t="s">
        <v>940</v>
      </c>
      <c r="AN1140" t="s">
        <v>941</v>
      </c>
      <c r="AO1140" t="s">
        <v>74</v>
      </c>
      <c r="AP1140" t="s">
        <v>2951</v>
      </c>
      <c r="AQ1140" t="s">
        <v>74</v>
      </c>
      <c r="AR1140" t="s">
        <v>2952</v>
      </c>
      <c r="AS1140" t="s">
        <v>2953</v>
      </c>
      <c r="AT1140" t="s">
        <v>615</v>
      </c>
      <c r="AU1140">
        <v>2023</v>
      </c>
      <c r="AV1140">
        <v>13</v>
      </c>
      <c r="AW1140">
        <v>7</v>
      </c>
      <c r="AX1140" t="s">
        <v>74</v>
      </c>
      <c r="AY1140" t="s">
        <v>74</v>
      </c>
      <c r="AZ1140" t="s">
        <v>74</v>
      </c>
      <c r="BA1140" t="s">
        <v>74</v>
      </c>
      <c r="BB1140" t="s">
        <v>74</v>
      </c>
      <c r="BC1140" t="s">
        <v>74</v>
      </c>
      <c r="BD1140">
        <v>733</v>
      </c>
      <c r="BE1140" t="s">
        <v>21162</v>
      </c>
      <c r="BF1140" t="str">
        <f>HYPERLINK("http://dx.doi.org/10.3390/educsci13070733","http://dx.doi.org/10.3390/educsci13070733")</f>
        <v>http://dx.doi.org/10.3390/educsci13070733</v>
      </c>
      <c r="BG1140" t="s">
        <v>74</v>
      </c>
      <c r="BH1140" t="s">
        <v>74</v>
      </c>
      <c r="BI1140">
        <v>12</v>
      </c>
      <c r="BJ1140" t="s">
        <v>423</v>
      </c>
      <c r="BK1140" t="s">
        <v>352</v>
      </c>
      <c r="BL1140" t="s">
        <v>423</v>
      </c>
      <c r="BM1140" t="s">
        <v>21163</v>
      </c>
      <c r="BN1140" t="s">
        <v>74</v>
      </c>
      <c r="BO1140" t="s">
        <v>425</v>
      </c>
      <c r="BP1140" t="s">
        <v>74</v>
      </c>
      <c r="BQ1140" t="s">
        <v>74</v>
      </c>
      <c r="BR1140" t="s">
        <v>101</v>
      </c>
      <c r="BS1140" t="s">
        <v>21164</v>
      </c>
      <c r="BT1140" t="str">
        <f>HYPERLINK("https%3A%2F%2Fwww.webofscience.com%2Fwos%2Fwoscc%2Ffull-record%2FWOS:001038042000001","View Full Record in Web of Science")</f>
        <v>View Full Record in Web of Science</v>
      </c>
    </row>
    <row r="1141" spans="1:72" x14ac:dyDescent="0.2">
      <c r="A1141" t="s">
        <v>72</v>
      </c>
      <c r="B1141" t="s">
        <v>21165</v>
      </c>
      <c r="C1141" t="s">
        <v>74</v>
      </c>
      <c r="D1141" t="s">
        <v>74</v>
      </c>
      <c r="E1141" t="s">
        <v>75</v>
      </c>
      <c r="F1141" t="s">
        <v>21166</v>
      </c>
      <c r="G1141" t="s">
        <v>74</v>
      </c>
      <c r="H1141" t="s">
        <v>74</v>
      </c>
      <c r="I1141" t="s">
        <v>21167</v>
      </c>
      <c r="J1141" t="s">
        <v>1838</v>
      </c>
      <c r="K1141" t="s">
        <v>74</v>
      </c>
      <c r="L1141" t="s">
        <v>74</v>
      </c>
      <c r="M1141" t="s">
        <v>79</v>
      </c>
      <c r="N1141" t="s">
        <v>80</v>
      </c>
      <c r="O1141" t="s">
        <v>1839</v>
      </c>
      <c r="P1141" t="s">
        <v>1840</v>
      </c>
      <c r="Q1141" t="s">
        <v>1841</v>
      </c>
      <c r="R1141" t="s">
        <v>1842</v>
      </c>
      <c r="S1141" t="s">
        <v>74</v>
      </c>
      <c r="T1141" t="s">
        <v>21168</v>
      </c>
      <c r="U1141" t="s">
        <v>74</v>
      </c>
      <c r="V1141" t="s">
        <v>21169</v>
      </c>
      <c r="W1141" t="s">
        <v>21170</v>
      </c>
      <c r="X1141" t="s">
        <v>21171</v>
      </c>
      <c r="Y1141" t="s">
        <v>21172</v>
      </c>
      <c r="Z1141" t="s">
        <v>21173</v>
      </c>
      <c r="AA1141" t="s">
        <v>74</v>
      </c>
      <c r="AB1141" t="s">
        <v>21174</v>
      </c>
      <c r="AC1141" t="s">
        <v>74</v>
      </c>
      <c r="AD1141" t="s">
        <v>74</v>
      </c>
      <c r="AE1141" t="s">
        <v>74</v>
      </c>
      <c r="AF1141" t="s">
        <v>74</v>
      </c>
      <c r="AG1141">
        <v>47</v>
      </c>
      <c r="AH1141">
        <v>0</v>
      </c>
      <c r="AI1141">
        <v>0</v>
      </c>
      <c r="AJ1141">
        <v>4</v>
      </c>
      <c r="AK1141">
        <v>4</v>
      </c>
      <c r="AL1141" t="s">
        <v>92</v>
      </c>
      <c r="AM1141" t="s">
        <v>93</v>
      </c>
      <c r="AN1141" t="s">
        <v>94</v>
      </c>
      <c r="AO1141" t="s">
        <v>74</v>
      </c>
      <c r="AP1141" t="s">
        <v>74</v>
      </c>
      <c r="AQ1141" t="s">
        <v>1849</v>
      </c>
      <c r="AR1141" t="s">
        <v>74</v>
      </c>
      <c r="AS1141" t="s">
        <v>74</v>
      </c>
      <c r="AT1141" t="s">
        <v>74</v>
      </c>
      <c r="AU1141">
        <v>2023</v>
      </c>
      <c r="AV1141" t="s">
        <v>74</v>
      </c>
      <c r="AW1141" t="s">
        <v>74</v>
      </c>
      <c r="AX1141" t="s">
        <v>74</v>
      </c>
      <c r="AY1141" t="s">
        <v>74</v>
      </c>
      <c r="AZ1141" t="s">
        <v>74</v>
      </c>
      <c r="BA1141" t="s">
        <v>74</v>
      </c>
      <c r="BB1141">
        <v>69</v>
      </c>
      <c r="BC1141">
        <v>78</v>
      </c>
      <c r="BD1141" t="s">
        <v>74</v>
      </c>
      <c r="BE1141" t="s">
        <v>21175</v>
      </c>
      <c r="BF1141" t="str">
        <f>HYPERLINK("http://dx.doi.org/10.1145/3607827.3616844","http://dx.doi.org/10.1145/3607827.3616844")</f>
        <v>http://dx.doi.org/10.1145/3607827.3616844</v>
      </c>
      <c r="BG1141" t="s">
        <v>74</v>
      </c>
      <c r="BH1141" t="s">
        <v>74</v>
      </c>
      <c r="BI1141">
        <v>10</v>
      </c>
      <c r="BJ1141" t="s">
        <v>1851</v>
      </c>
      <c r="BK1141" t="s">
        <v>98</v>
      </c>
      <c r="BL1141" t="s">
        <v>99</v>
      </c>
      <c r="BM1141" t="s">
        <v>1852</v>
      </c>
      <c r="BN1141" t="s">
        <v>74</v>
      </c>
      <c r="BO1141" t="s">
        <v>74</v>
      </c>
      <c r="BP1141" t="s">
        <v>74</v>
      </c>
      <c r="BQ1141" t="s">
        <v>74</v>
      </c>
      <c r="BR1141" t="s">
        <v>101</v>
      </c>
      <c r="BS1141" t="s">
        <v>21176</v>
      </c>
      <c r="BT1141" t="str">
        <f>HYPERLINK("https%3A%2F%2Fwww.webofscience.com%2Fwos%2Fwoscc%2Ffull-record%2FWOS:001150367900011","View Full Record in Web of Science")</f>
        <v>View Full Record in Web of Science</v>
      </c>
    </row>
    <row r="1142" spans="1:72" x14ac:dyDescent="0.2">
      <c r="A1142" t="s">
        <v>103</v>
      </c>
      <c r="B1142" t="s">
        <v>21177</v>
      </c>
      <c r="C1142" t="s">
        <v>74</v>
      </c>
      <c r="D1142" t="s">
        <v>74</v>
      </c>
      <c r="E1142" t="s">
        <v>74</v>
      </c>
      <c r="F1142" t="s">
        <v>21178</v>
      </c>
      <c r="G1142" t="s">
        <v>74</v>
      </c>
      <c r="H1142" t="s">
        <v>74</v>
      </c>
      <c r="I1142" t="s">
        <v>21179</v>
      </c>
      <c r="J1142" t="s">
        <v>21180</v>
      </c>
      <c r="K1142" t="s">
        <v>74</v>
      </c>
      <c r="L1142" t="s">
        <v>74</v>
      </c>
      <c r="M1142" t="s">
        <v>79</v>
      </c>
      <c r="N1142" t="s">
        <v>108</v>
      </c>
      <c r="O1142" t="s">
        <v>74</v>
      </c>
      <c r="P1142" t="s">
        <v>74</v>
      </c>
      <c r="Q1142" t="s">
        <v>74</v>
      </c>
      <c r="R1142" t="s">
        <v>74</v>
      </c>
      <c r="S1142" t="s">
        <v>74</v>
      </c>
      <c r="T1142" t="s">
        <v>21181</v>
      </c>
      <c r="U1142" t="s">
        <v>21182</v>
      </c>
      <c r="V1142" t="s">
        <v>21183</v>
      </c>
      <c r="W1142" t="s">
        <v>21184</v>
      </c>
      <c r="X1142" t="s">
        <v>21185</v>
      </c>
      <c r="Y1142" t="s">
        <v>21186</v>
      </c>
      <c r="Z1142" t="s">
        <v>21187</v>
      </c>
      <c r="AA1142" t="s">
        <v>21188</v>
      </c>
      <c r="AB1142" t="s">
        <v>21189</v>
      </c>
      <c r="AC1142" t="s">
        <v>74</v>
      </c>
      <c r="AD1142" t="s">
        <v>74</v>
      </c>
      <c r="AE1142" t="s">
        <v>74</v>
      </c>
      <c r="AF1142" t="s">
        <v>74</v>
      </c>
      <c r="AG1142">
        <v>44</v>
      </c>
      <c r="AH1142">
        <v>22</v>
      </c>
      <c r="AI1142">
        <v>22</v>
      </c>
      <c r="AJ1142">
        <v>54</v>
      </c>
      <c r="AK1142">
        <v>86</v>
      </c>
      <c r="AL1142" t="s">
        <v>4176</v>
      </c>
      <c r="AM1142" t="s">
        <v>4177</v>
      </c>
      <c r="AN1142" t="s">
        <v>4178</v>
      </c>
      <c r="AO1142" t="s">
        <v>21190</v>
      </c>
      <c r="AP1142" t="s">
        <v>74</v>
      </c>
      <c r="AQ1142" t="s">
        <v>74</v>
      </c>
      <c r="AR1142" t="s">
        <v>21191</v>
      </c>
      <c r="AS1142" t="s">
        <v>21192</v>
      </c>
      <c r="AT1142" t="s">
        <v>74</v>
      </c>
      <c r="AU1142">
        <v>2023</v>
      </c>
      <c r="AV1142">
        <v>10</v>
      </c>
      <c r="AW1142" t="s">
        <v>74</v>
      </c>
      <c r="AX1142" t="s">
        <v>74</v>
      </c>
      <c r="AY1142" t="s">
        <v>74</v>
      </c>
      <c r="AZ1142" t="s">
        <v>74</v>
      </c>
      <c r="BA1142" t="s">
        <v>74</v>
      </c>
      <c r="BB1142" t="s">
        <v>74</v>
      </c>
      <c r="BC1142" t="s">
        <v>74</v>
      </c>
      <c r="BD1142" t="s">
        <v>21193</v>
      </c>
      <c r="BE1142" t="s">
        <v>21194</v>
      </c>
      <c r="BF1142" t="str">
        <f>HYPERLINK("http://dx.doi.org/10.2196/47564","http://dx.doi.org/10.2196/47564")</f>
        <v>http://dx.doi.org/10.2196/47564</v>
      </c>
      <c r="BG1142" t="s">
        <v>74</v>
      </c>
      <c r="BH1142" t="s">
        <v>74</v>
      </c>
      <c r="BI1142">
        <v>12</v>
      </c>
      <c r="BJ1142" t="s">
        <v>4947</v>
      </c>
      <c r="BK1142" t="s">
        <v>352</v>
      </c>
      <c r="BL1142" t="s">
        <v>4947</v>
      </c>
      <c r="BM1142" t="s">
        <v>21195</v>
      </c>
      <c r="BN1142">
        <v>37195756</v>
      </c>
      <c r="BO1142" t="s">
        <v>1728</v>
      </c>
      <c r="BP1142" t="s">
        <v>74</v>
      </c>
      <c r="BQ1142" t="s">
        <v>74</v>
      </c>
      <c r="BR1142" t="s">
        <v>101</v>
      </c>
      <c r="BS1142" t="s">
        <v>21196</v>
      </c>
      <c r="BT1142" t="str">
        <f>HYPERLINK("https%3A%2F%2Fwww.webofscience.com%2Fwos%2Fwoscc%2Ffull-record%2FWOS:001017203700007","View Full Record in Web of Science")</f>
        <v>View Full Record in Web of Science</v>
      </c>
    </row>
    <row r="1143" spans="1:72" x14ac:dyDescent="0.2">
      <c r="A1143" t="s">
        <v>103</v>
      </c>
      <c r="B1143" t="s">
        <v>21197</v>
      </c>
      <c r="C1143" t="s">
        <v>74</v>
      </c>
      <c r="D1143" t="s">
        <v>74</v>
      </c>
      <c r="E1143" t="s">
        <v>74</v>
      </c>
      <c r="F1143" t="s">
        <v>21198</v>
      </c>
      <c r="G1143" t="s">
        <v>74</v>
      </c>
      <c r="H1143" t="s">
        <v>74</v>
      </c>
      <c r="I1143" t="s">
        <v>21199</v>
      </c>
      <c r="J1143" t="s">
        <v>17276</v>
      </c>
      <c r="K1143" t="s">
        <v>74</v>
      </c>
      <c r="L1143" t="s">
        <v>74</v>
      </c>
      <c r="M1143" t="s">
        <v>79</v>
      </c>
      <c r="N1143" t="s">
        <v>108</v>
      </c>
      <c r="O1143" t="s">
        <v>74</v>
      </c>
      <c r="P1143" t="s">
        <v>74</v>
      </c>
      <c r="Q1143" t="s">
        <v>74</v>
      </c>
      <c r="R1143" t="s">
        <v>74</v>
      </c>
      <c r="S1143" t="s">
        <v>74</v>
      </c>
      <c r="T1143" t="s">
        <v>21200</v>
      </c>
      <c r="U1143" t="s">
        <v>21201</v>
      </c>
      <c r="V1143" t="s">
        <v>21202</v>
      </c>
      <c r="W1143" t="s">
        <v>21203</v>
      </c>
      <c r="X1143" t="s">
        <v>21204</v>
      </c>
      <c r="Y1143" t="s">
        <v>21205</v>
      </c>
      <c r="Z1143" t="s">
        <v>21206</v>
      </c>
      <c r="AA1143" t="s">
        <v>21207</v>
      </c>
      <c r="AB1143" t="s">
        <v>21208</v>
      </c>
      <c r="AC1143" t="s">
        <v>21209</v>
      </c>
      <c r="AD1143" t="s">
        <v>21210</v>
      </c>
      <c r="AE1143" t="s">
        <v>21211</v>
      </c>
      <c r="AF1143" t="s">
        <v>74</v>
      </c>
      <c r="AG1143">
        <v>218</v>
      </c>
      <c r="AH1143">
        <v>8</v>
      </c>
      <c r="AI1143">
        <v>8</v>
      </c>
      <c r="AJ1143">
        <v>11</v>
      </c>
      <c r="AK1143">
        <v>15</v>
      </c>
      <c r="AL1143" t="s">
        <v>1379</v>
      </c>
      <c r="AM1143" t="s">
        <v>1380</v>
      </c>
      <c r="AN1143" t="s">
        <v>1381</v>
      </c>
      <c r="AO1143" t="s">
        <v>17286</v>
      </c>
      <c r="AP1143" t="s">
        <v>17287</v>
      </c>
      <c r="AQ1143" t="s">
        <v>74</v>
      </c>
      <c r="AR1143" t="s">
        <v>17288</v>
      </c>
      <c r="AS1143" t="s">
        <v>17289</v>
      </c>
      <c r="AT1143" t="s">
        <v>615</v>
      </c>
      <c r="AU1143">
        <v>2023</v>
      </c>
      <c r="AV1143">
        <v>7</v>
      </c>
      <c r="AW1143">
        <v>6</v>
      </c>
      <c r="AX1143" t="s">
        <v>74</v>
      </c>
      <c r="AY1143" t="s">
        <v>74</v>
      </c>
      <c r="AZ1143" t="s">
        <v>74</v>
      </c>
      <c r="BA1143" t="s">
        <v>74</v>
      </c>
      <c r="BB1143">
        <v>545</v>
      </c>
      <c r="BC1143">
        <v>569</v>
      </c>
      <c r="BD1143" t="s">
        <v>74</v>
      </c>
      <c r="BE1143" t="s">
        <v>21212</v>
      </c>
      <c r="BF1143" t="str">
        <f>HYPERLINK("http://dx.doi.org/10.1109/TRPMS.2023.3265863","http://dx.doi.org/10.1109/TRPMS.2023.3265863")</f>
        <v>http://dx.doi.org/10.1109/TRPMS.2023.3265863</v>
      </c>
      <c r="BG1143" t="s">
        <v>74</v>
      </c>
      <c r="BH1143" t="s">
        <v>74</v>
      </c>
      <c r="BI1143">
        <v>25</v>
      </c>
      <c r="BJ1143" t="s">
        <v>5360</v>
      </c>
      <c r="BK1143" t="s">
        <v>352</v>
      </c>
      <c r="BL1143" t="s">
        <v>5360</v>
      </c>
      <c r="BM1143" t="s">
        <v>21213</v>
      </c>
      <c r="BN1143" t="s">
        <v>74</v>
      </c>
      <c r="BO1143" t="s">
        <v>4199</v>
      </c>
      <c r="BP1143" t="s">
        <v>74</v>
      </c>
      <c r="BQ1143" t="s">
        <v>74</v>
      </c>
      <c r="BR1143" t="s">
        <v>101</v>
      </c>
      <c r="BS1143" t="s">
        <v>21214</v>
      </c>
      <c r="BT1143" t="str">
        <f>HYPERLINK("https%3A%2F%2Fwww.webofscience.com%2Fwos%2Fwoscc%2Ffull-record%2FWOS:001022092700001","View Full Record in Web of Science")</f>
        <v>View Full Record in Web of Science</v>
      </c>
    </row>
    <row r="1144" spans="1:72" x14ac:dyDescent="0.2">
      <c r="A1144" t="s">
        <v>103</v>
      </c>
      <c r="B1144" t="s">
        <v>21215</v>
      </c>
      <c r="C1144" t="s">
        <v>74</v>
      </c>
      <c r="D1144" t="s">
        <v>74</v>
      </c>
      <c r="E1144" t="s">
        <v>74</v>
      </c>
      <c r="F1144" t="s">
        <v>21216</v>
      </c>
      <c r="G1144" t="s">
        <v>74</v>
      </c>
      <c r="H1144" t="s">
        <v>74</v>
      </c>
      <c r="I1144" t="s">
        <v>21217</v>
      </c>
      <c r="J1144" t="s">
        <v>21218</v>
      </c>
      <c r="K1144" t="s">
        <v>74</v>
      </c>
      <c r="L1144" t="s">
        <v>74</v>
      </c>
      <c r="M1144" t="s">
        <v>79</v>
      </c>
      <c r="N1144" t="s">
        <v>108</v>
      </c>
      <c r="O1144" t="s">
        <v>74</v>
      </c>
      <c r="P1144" t="s">
        <v>74</v>
      </c>
      <c r="Q1144" t="s">
        <v>74</v>
      </c>
      <c r="R1144" t="s">
        <v>74</v>
      </c>
      <c r="S1144" t="s">
        <v>74</v>
      </c>
      <c r="T1144" t="s">
        <v>21219</v>
      </c>
      <c r="U1144" t="s">
        <v>74</v>
      </c>
      <c r="V1144" t="s">
        <v>21220</v>
      </c>
      <c r="W1144" t="s">
        <v>21221</v>
      </c>
      <c r="X1144" t="s">
        <v>9316</v>
      </c>
      <c r="Y1144" t="s">
        <v>21222</v>
      </c>
      <c r="Z1144" t="s">
        <v>21223</v>
      </c>
      <c r="AA1144" t="s">
        <v>74</v>
      </c>
      <c r="AB1144" t="s">
        <v>74</v>
      </c>
      <c r="AC1144" t="s">
        <v>74</v>
      </c>
      <c r="AD1144" t="s">
        <v>74</v>
      </c>
      <c r="AE1144" t="s">
        <v>74</v>
      </c>
      <c r="AF1144" t="s">
        <v>74</v>
      </c>
      <c r="AG1144">
        <v>14</v>
      </c>
      <c r="AH1144">
        <v>3</v>
      </c>
      <c r="AI1144">
        <v>3</v>
      </c>
      <c r="AJ1144">
        <v>4</v>
      </c>
      <c r="AK1144">
        <v>14</v>
      </c>
      <c r="AL1144" t="s">
        <v>638</v>
      </c>
      <c r="AM1144" t="s">
        <v>639</v>
      </c>
      <c r="AN1144" t="s">
        <v>1557</v>
      </c>
      <c r="AO1144" t="s">
        <v>21224</v>
      </c>
      <c r="AP1144" t="s">
        <v>21225</v>
      </c>
      <c r="AQ1144" t="s">
        <v>74</v>
      </c>
      <c r="AR1144" t="s">
        <v>21226</v>
      </c>
      <c r="AS1144" t="s">
        <v>21227</v>
      </c>
      <c r="AT1144" t="s">
        <v>21228</v>
      </c>
      <c r="AU1144">
        <v>2023</v>
      </c>
      <c r="AV1144">
        <v>38</v>
      </c>
      <c r="AW1144">
        <v>3</v>
      </c>
      <c r="AX1144" t="s">
        <v>74</v>
      </c>
      <c r="AY1144" t="s">
        <v>74</v>
      </c>
      <c r="AZ1144" t="s">
        <v>74</v>
      </c>
      <c r="BA1144" t="s">
        <v>74</v>
      </c>
      <c r="BB1144">
        <v>63</v>
      </c>
      <c r="BC1144">
        <v>67</v>
      </c>
      <c r="BD1144" t="s">
        <v>74</v>
      </c>
      <c r="BE1144" t="s">
        <v>21229</v>
      </c>
      <c r="BF1144" t="str">
        <f>HYPERLINK("http://dx.doi.org/10.1109/MIS.2023.3268723","http://dx.doi.org/10.1109/MIS.2023.3268723")</f>
        <v>http://dx.doi.org/10.1109/MIS.2023.3268723</v>
      </c>
      <c r="BG1144" t="s">
        <v>74</v>
      </c>
      <c r="BH1144" t="s">
        <v>74</v>
      </c>
      <c r="BI1144">
        <v>5</v>
      </c>
      <c r="BJ1144" t="s">
        <v>6627</v>
      </c>
      <c r="BK1144" t="s">
        <v>130</v>
      </c>
      <c r="BL1144" t="s">
        <v>906</v>
      </c>
      <c r="BM1144" t="s">
        <v>21230</v>
      </c>
      <c r="BN1144" t="s">
        <v>74</v>
      </c>
      <c r="BO1144" t="s">
        <v>74</v>
      </c>
      <c r="BP1144" t="s">
        <v>74</v>
      </c>
      <c r="BQ1144" t="s">
        <v>74</v>
      </c>
      <c r="BR1144" t="s">
        <v>101</v>
      </c>
      <c r="BS1144" t="s">
        <v>21231</v>
      </c>
      <c r="BT1144" t="str">
        <f>HYPERLINK("https%3A%2F%2Fwww.webofscience.com%2Fwos%2Fwoscc%2Ffull-record%2FWOS:001012670600008","View Full Record in Web of Science")</f>
        <v>View Full Record in Web of Science</v>
      </c>
    </row>
    <row r="1145" spans="1:72" x14ac:dyDescent="0.2">
      <c r="A1145" t="s">
        <v>103</v>
      </c>
      <c r="B1145" t="s">
        <v>21232</v>
      </c>
      <c r="C1145" t="s">
        <v>74</v>
      </c>
      <c r="D1145" t="s">
        <v>74</v>
      </c>
      <c r="E1145" t="s">
        <v>74</v>
      </c>
      <c r="F1145" t="s">
        <v>21233</v>
      </c>
      <c r="G1145" t="s">
        <v>74</v>
      </c>
      <c r="H1145" t="s">
        <v>74</v>
      </c>
      <c r="I1145" t="s">
        <v>21234</v>
      </c>
      <c r="J1145" t="s">
        <v>21235</v>
      </c>
      <c r="K1145" t="s">
        <v>74</v>
      </c>
      <c r="L1145" t="s">
        <v>74</v>
      </c>
      <c r="M1145" t="s">
        <v>79</v>
      </c>
      <c r="N1145" t="s">
        <v>108</v>
      </c>
      <c r="O1145" t="s">
        <v>74</v>
      </c>
      <c r="P1145" t="s">
        <v>74</v>
      </c>
      <c r="Q1145" t="s">
        <v>74</v>
      </c>
      <c r="R1145" t="s">
        <v>74</v>
      </c>
      <c r="S1145" t="s">
        <v>74</v>
      </c>
      <c r="T1145" t="s">
        <v>21236</v>
      </c>
      <c r="U1145" t="s">
        <v>74</v>
      </c>
      <c r="V1145" t="s">
        <v>21237</v>
      </c>
      <c r="W1145" t="s">
        <v>21238</v>
      </c>
      <c r="X1145" t="s">
        <v>74</v>
      </c>
      <c r="Y1145" t="s">
        <v>21239</v>
      </c>
      <c r="Z1145" t="s">
        <v>21240</v>
      </c>
      <c r="AA1145" t="s">
        <v>74</v>
      </c>
      <c r="AB1145" t="s">
        <v>74</v>
      </c>
      <c r="AC1145" t="s">
        <v>74</v>
      </c>
      <c r="AD1145" t="s">
        <v>74</v>
      </c>
      <c r="AE1145" t="s">
        <v>74</v>
      </c>
      <c r="AF1145" t="s">
        <v>74</v>
      </c>
      <c r="AG1145">
        <v>20</v>
      </c>
      <c r="AH1145">
        <v>0</v>
      </c>
      <c r="AI1145">
        <v>0</v>
      </c>
      <c r="AJ1145">
        <v>1</v>
      </c>
      <c r="AK1145">
        <v>1</v>
      </c>
      <c r="AL1145" t="s">
        <v>21241</v>
      </c>
      <c r="AM1145" t="s">
        <v>21242</v>
      </c>
      <c r="AN1145" t="s">
        <v>21243</v>
      </c>
      <c r="AO1145" t="s">
        <v>21244</v>
      </c>
      <c r="AP1145" t="s">
        <v>21245</v>
      </c>
      <c r="AQ1145" t="s">
        <v>74</v>
      </c>
      <c r="AR1145" t="s">
        <v>21246</v>
      </c>
      <c r="AS1145" t="s">
        <v>21247</v>
      </c>
      <c r="AT1145" t="s">
        <v>527</v>
      </c>
      <c r="AU1145">
        <v>2023</v>
      </c>
      <c r="AV1145">
        <v>28</v>
      </c>
      <c r="AW1145">
        <v>12</v>
      </c>
      <c r="AX1145" t="s">
        <v>74</v>
      </c>
      <c r="AY1145" t="s">
        <v>74</v>
      </c>
      <c r="AZ1145" t="s">
        <v>74</v>
      </c>
      <c r="BA1145" t="s">
        <v>74</v>
      </c>
      <c r="BB1145" t="s">
        <v>74</v>
      </c>
      <c r="BC1145" t="s">
        <v>74</v>
      </c>
      <c r="BD1145" t="s">
        <v>74</v>
      </c>
      <c r="BE1145" t="s">
        <v>21248</v>
      </c>
      <c r="BF1145" t="str">
        <f>HYPERLINK("http://dx.doi.org/10.46743/2160-3715/2023.6801","http://dx.doi.org/10.46743/2160-3715/2023.6801")</f>
        <v>http://dx.doi.org/10.46743/2160-3715/2023.6801</v>
      </c>
      <c r="BG1145" t="s">
        <v>74</v>
      </c>
      <c r="BH1145" t="s">
        <v>74</v>
      </c>
      <c r="BI1145">
        <v>17</v>
      </c>
      <c r="BJ1145" t="s">
        <v>617</v>
      </c>
      <c r="BK1145" t="s">
        <v>352</v>
      </c>
      <c r="BL1145" t="s">
        <v>618</v>
      </c>
      <c r="BM1145" t="s">
        <v>21249</v>
      </c>
      <c r="BN1145" t="s">
        <v>74</v>
      </c>
      <c r="BO1145" t="s">
        <v>425</v>
      </c>
      <c r="BP1145" t="s">
        <v>74</v>
      </c>
      <c r="BQ1145" t="s">
        <v>74</v>
      </c>
      <c r="BR1145" t="s">
        <v>101</v>
      </c>
      <c r="BS1145" t="s">
        <v>21250</v>
      </c>
      <c r="BT1145" t="str">
        <f>HYPERLINK("https%3A%2F%2Fwww.webofscience.com%2Fwos%2Fwoscc%2Ffull-record%2FWOS:001147261500006","View Full Record in Web of Science")</f>
        <v>View Full Record in Web of Science</v>
      </c>
    </row>
    <row r="1146" spans="1:72" x14ac:dyDescent="0.2">
      <c r="A1146" t="s">
        <v>103</v>
      </c>
      <c r="B1146" t="s">
        <v>21251</v>
      </c>
      <c r="C1146" t="s">
        <v>74</v>
      </c>
      <c r="D1146" t="s">
        <v>74</v>
      </c>
      <c r="E1146" t="s">
        <v>74</v>
      </c>
      <c r="F1146" t="s">
        <v>21252</v>
      </c>
      <c r="G1146" t="s">
        <v>74</v>
      </c>
      <c r="H1146" t="s">
        <v>74</v>
      </c>
      <c r="I1146" t="s">
        <v>21253</v>
      </c>
      <c r="J1146" t="s">
        <v>21254</v>
      </c>
      <c r="K1146" t="s">
        <v>74</v>
      </c>
      <c r="L1146" t="s">
        <v>74</v>
      </c>
      <c r="M1146" t="s">
        <v>79</v>
      </c>
      <c r="N1146" t="s">
        <v>108</v>
      </c>
      <c r="O1146" t="s">
        <v>74</v>
      </c>
      <c r="P1146" t="s">
        <v>74</v>
      </c>
      <c r="Q1146" t="s">
        <v>74</v>
      </c>
      <c r="R1146" t="s">
        <v>74</v>
      </c>
      <c r="S1146" t="s">
        <v>74</v>
      </c>
      <c r="T1146" t="s">
        <v>21255</v>
      </c>
      <c r="U1146" t="s">
        <v>5866</v>
      </c>
      <c r="V1146" t="s">
        <v>21256</v>
      </c>
      <c r="W1146" t="s">
        <v>21257</v>
      </c>
      <c r="X1146" t="s">
        <v>8965</v>
      </c>
      <c r="Y1146" t="s">
        <v>21258</v>
      </c>
      <c r="Z1146" t="s">
        <v>21259</v>
      </c>
      <c r="AA1146" t="s">
        <v>21260</v>
      </c>
      <c r="AB1146" t="s">
        <v>21261</v>
      </c>
      <c r="AC1146" t="s">
        <v>21262</v>
      </c>
      <c r="AD1146" t="s">
        <v>21263</v>
      </c>
      <c r="AE1146" t="s">
        <v>21264</v>
      </c>
      <c r="AF1146" t="s">
        <v>74</v>
      </c>
      <c r="AG1146">
        <v>56</v>
      </c>
      <c r="AH1146">
        <v>1</v>
      </c>
      <c r="AI1146">
        <v>1</v>
      </c>
      <c r="AJ1146">
        <v>16</v>
      </c>
      <c r="AK1146">
        <v>16</v>
      </c>
      <c r="AL1146" t="s">
        <v>119</v>
      </c>
      <c r="AM1146" t="s">
        <v>120</v>
      </c>
      <c r="AN1146" t="s">
        <v>121</v>
      </c>
      <c r="AO1146" t="s">
        <v>21265</v>
      </c>
      <c r="AP1146" t="s">
        <v>21266</v>
      </c>
      <c r="AQ1146" t="s">
        <v>74</v>
      </c>
      <c r="AR1146" t="s">
        <v>21267</v>
      </c>
      <c r="AS1146" t="s">
        <v>21268</v>
      </c>
      <c r="AT1146" t="s">
        <v>2497</v>
      </c>
      <c r="AU1146">
        <v>2023</v>
      </c>
      <c r="AV1146">
        <v>261</v>
      </c>
      <c r="AW1146" t="s">
        <v>74</v>
      </c>
      <c r="AX1146" t="s">
        <v>74</v>
      </c>
      <c r="AY1146" t="s">
        <v>74</v>
      </c>
      <c r="AZ1146" t="s">
        <v>74</v>
      </c>
      <c r="BA1146" t="s">
        <v>74</v>
      </c>
      <c r="BB1146" t="s">
        <v>74</v>
      </c>
      <c r="BC1146" t="s">
        <v>74</v>
      </c>
      <c r="BD1146">
        <v>119406</v>
      </c>
      <c r="BE1146" t="s">
        <v>21269</v>
      </c>
      <c r="BF1146" t="str">
        <f>HYPERLINK("http://dx.doi.org/10.1016/j.actamat.2023.119406","http://dx.doi.org/10.1016/j.actamat.2023.119406")</f>
        <v>http://dx.doi.org/10.1016/j.actamat.2023.119406</v>
      </c>
      <c r="BG1146" t="s">
        <v>74</v>
      </c>
      <c r="BH1146" t="s">
        <v>1886</v>
      </c>
      <c r="BI1146">
        <v>11</v>
      </c>
      <c r="BJ1146" t="s">
        <v>21270</v>
      </c>
      <c r="BK1146" t="s">
        <v>130</v>
      </c>
      <c r="BL1146" t="s">
        <v>21271</v>
      </c>
      <c r="BM1146" t="s">
        <v>21272</v>
      </c>
      <c r="BN1146" t="s">
        <v>74</v>
      </c>
      <c r="BO1146" t="s">
        <v>161</v>
      </c>
      <c r="BP1146" t="s">
        <v>74</v>
      </c>
      <c r="BQ1146" t="s">
        <v>74</v>
      </c>
      <c r="BR1146" t="s">
        <v>101</v>
      </c>
      <c r="BS1146" t="s">
        <v>21273</v>
      </c>
      <c r="BT1146" t="str">
        <f>HYPERLINK("https%3A%2F%2Fwww.webofscience.com%2Fwos%2Fwoscc%2Ffull-record%2FWOS:001091397200001","View Full Record in Web of Science")</f>
        <v>View Full Record in Web of Science</v>
      </c>
    </row>
    <row r="1147" spans="1:72" x14ac:dyDescent="0.2">
      <c r="A1147" t="s">
        <v>103</v>
      </c>
      <c r="B1147" t="s">
        <v>21274</v>
      </c>
      <c r="C1147" t="s">
        <v>74</v>
      </c>
      <c r="D1147" t="s">
        <v>74</v>
      </c>
      <c r="E1147" t="s">
        <v>74</v>
      </c>
      <c r="F1147" t="s">
        <v>21275</v>
      </c>
      <c r="G1147" t="s">
        <v>74</v>
      </c>
      <c r="H1147" t="s">
        <v>74</v>
      </c>
      <c r="I1147" t="s">
        <v>21276</v>
      </c>
      <c r="J1147" t="s">
        <v>21277</v>
      </c>
      <c r="K1147" t="s">
        <v>74</v>
      </c>
      <c r="L1147" t="s">
        <v>74</v>
      </c>
      <c r="M1147" t="s">
        <v>79</v>
      </c>
      <c r="N1147" t="s">
        <v>108</v>
      </c>
      <c r="O1147" t="s">
        <v>74</v>
      </c>
      <c r="P1147" t="s">
        <v>74</v>
      </c>
      <c r="Q1147" t="s">
        <v>74</v>
      </c>
      <c r="R1147" t="s">
        <v>74</v>
      </c>
      <c r="S1147" t="s">
        <v>74</v>
      </c>
      <c r="T1147" t="s">
        <v>74</v>
      </c>
      <c r="U1147" t="s">
        <v>21278</v>
      </c>
      <c r="V1147" t="s">
        <v>21279</v>
      </c>
      <c r="W1147" t="s">
        <v>21280</v>
      </c>
      <c r="X1147" t="s">
        <v>21281</v>
      </c>
      <c r="Y1147" t="s">
        <v>21282</v>
      </c>
      <c r="Z1147" t="s">
        <v>21283</v>
      </c>
      <c r="AA1147" t="s">
        <v>21284</v>
      </c>
      <c r="AB1147" t="s">
        <v>21285</v>
      </c>
      <c r="AC1147" t="s">
        <v>21286</v>
      </c>
      <c r="AD1147" t="s">
        <v>21287</v>
      </c>
      <c r="AE1147" t="s">
        <v>21288</v>
      </c>
      <c r="AF1147" t="s">
        <v>74</v>
      </c>
      <c r="AG1147">
        <v>77</v>
      </c>
      <c r="AH1147">
        <v>0</v>
      </c>
      <c r="AI1147">
        <v>0</v>
      </c>
      <c r="AJ1147">
        <v>39</v>
      </c>
      <c r="AK1147">
        <v>39</v>
      </c>
      <c r="AL1147" t="s">
        <v>3980</v>
      </c>
      <c r="AM1147" t="s">
        <v>1153</v>
      </c>
      <c r="AN1147" t="s">
        <v>3981</v>
      </c>
      <c r="AO1147" t="s">
        <v>21289</v>
      </c>
      <c r="AP1147" t="s">
        <v>21290</v>
      </c>
      <c r="AQ1147" t="s">
        <v>74</v>
      </c>
      <c r="AR1147" t="s">
        <v>21291</v>
      </c>
      <c r="AS1147" t="s">
        <v>21292</v>
      </c>
      <c r="AT1147" t="s">
        <v>8605</v>
      </c>
      <c r="AU1147">
        <v>2023</v>
      </c>
      <c r="AV1147">
        <v>11</v>
      </c>
      <c r="AW1147">
        <v>45</v>
      </c>
      <c r="AX1147" t="s">
        <v>74</v>
      </c>
      <c r="AY1147" t="s">
        <v>74</v>
      </c>
      <c r="AZ1147" t="s">
        <v>74</v>
      </c>
      <c r="BA1147" t="s">
        <v>74</v>
      </c>
      <c r="BB1147">
        <v>25031</v>
      </c>
      <c r="BC1147">
        <v>25044</v>
      </c>
      <c r="BD1147" t="s">
        <v>74</v>
      </c>
      <c r="BE1147" t="s">
        <v>21293</v>
      </c>
      <c r="BF1147" t="str">
        <f>HYPERLINK("http://dx.doi.org/10.1039/d3ta05002e","http://dx.doi.org/10.1039/d3ta05002e")</f>
        <v>http://dx.doi.org/10.1039/d3ta05002e</v>
      </c>
      <c r="BG1147" t="s">
        <v>74</v>
      </c>
      <c r="BH1147" t="s">
        <v>157</v>
      </c>
      <c r="BI1147">
        <v>14</v>
      </c>
      <c r="BJ1147" t="s">
        <v>9534</v>
      </c>
      <c r="BK1147" t="s">
        <v>130</v>
      </c>
      <c r="BL1147" t="s">
        <v>9535</v>
      </c>
      <c r="BM1147" t="s">
        <v>21294</v>
      </c>
      <c r="BN1147" t="s">
        <v>74</v>
      </c>
      <c r="BO1147" t="s">
        <v>74</v>
      </c>
      <c r="BP1147" t="s">
        <v>74</v>
      </c>
      <c r="BQ1147" t="s">
        <v>74</v>
      </c>
      <c r="BR1147" t="s">
        <v>101</v>
      </c>
      <c r="BS1147" t="s">
        <v>21295</v>
      </c>
      <c r="BT1147" t="str">
        <f>HYPERLINK("https%3A%2F%2Fwww.webofscience.com%2Fwos%2Fwoscc%2Ffull-record%2FWOS:001099270500001","View Full Record in Web of Science")</f>
        <v>View Full Record in Web of Science</v>
      </c>
    </row>
    <row r="1148" spans="1:72" x14ac:dyDescent="0.2">
      <c r="A1148" t="s">
        <v>103</v>
      </c>
      <c r="B1148" t="s">
        <v>21296</v>
      </c>
      <c r="C1148" t="s">
        <v>74</v>
      </c>
      <c r="D1148" t="s">
        <v>74</v>
      </c>
      <c r="E1148" t="s">
        <v>74</v>
      </c>
      <c r="F1148" t="s">
        <v>21297</v>
      </c>
      <c r="G1148" t="s">
        <v>74</v>
      </c>
      <c r="H1148" t="s">
        <v>74</v>
      </c>
      <c r="I1148" t="s">
        <v>21298</v>
      </c>
      <c r="J1148" t="s">
        <v>5342</v>
      </c>
      <c r="K1148" t="s">
        <v>74</v>
      </c>
      <c r="L1148" t="s">
        <v>74</v>
      </c>
      <c r="M1148" t="s">
        <v>79</v>
      </c>
      <c r="N1148" t="s">
        <v>108</v>
      </c>
      <c r="O1148" t="s">
        <v>74</v>
      </c>
      <c r="P1148" t="s">
        <v>74</v>
      </c>
      <c r="Q1148" t="s">
        <v>74</v>
      </c>
      <c r="R1148" t="s">
        <v>74</v>
      </c>
      <c r="S1148" t="s">
        <v>74</v>
      </c>
      <c r="T1148" t="s">
        <v>21299</v>
      </c>
      <c r="U1148" t="s">
        <v>21300</v>
      </c>
      <c r="V1148" t="s">
        <v>21301</v>
      </c>
      <c r="W1148" t="s">
        <v>21302</v>
      </c>
      <c r="X1148" t="s">
        <v>21303</v>
      </c>
      <c r="Y1148" t="s">
        <v>21304</v>
      </c>
      <c r="Z1148" t="s">
        <v>21305</v>
      </c>
      <c r="AA1148" t="s">
        <v>74</v>
      </c>
      <c r="AB1148" t="s">
        <v>21306</v>
      </c>
      <c r="AC1148" t="s">
        <v>21307</v>
      </c>
      <c r="AD1148" t="s">
        <v>21308</v>
      </c>
      <c r="AE1148" t="s">
        <v>21309</v>
      </c>
      <c r="AF1148" t="s">
        <v>74</v>
      </c>
      <c r="AG1148">
        <v>34</v>
      </c>
      <c r="AH1148">
        <v>15</v>
      </c>
      <c r="AI1148">
        <v>15</v>
      </c>
      <c r="AJ1148">
        <v>13</v>
      </c>
      <c r="AK1148">
        <v>20</v>
      </c>
      <c r="AL1148" t="s">
        <v>2010</v>
      </c>
      <c r="AM1148" t="s">
        <v>93</v>
      </c>
      <c r="AN1148" t="s">
        <v>2011</v>
      </c>
      <c r="AO1148" t="s">
        <v>5355</v>
      </c>
      <c r="AP1148" t="s">
        <v>5356</v>
      </c>
      <c r="AQ1148" t="s">
        <v>74</v>
      </c>
      <c r="AR1148" t="s">
        <v>5357</v>
      </c>
      <c r="AS1148" t="s">
        <v>5358</v>
      </c>
      <c r="AT1148" t="s">
        <v>467</v>
      </c>
      <c r="AU1148">
        <v>2023</v>
      </c>
      <c r="AV1148">
        <v>20</v>
      </c>
      <c r="AW1148">
        <v>10</v>
      </c>
      <c r="AX1148" t="s">
        <v>74</v>
      </c>
      <c r="AY1148" t="s">
        <v>74</v>
      </c>
      <c r="AZ1148" t="s">
        <v>74</v>
      </c>
      <c r="BA1148" t="s">
        <v>74</v>
      </c>
      <c r="BB1148">
        <v>990</v>
      </c>
      <c r="BC1148">
        <v>997</v>
      </c>
      <c r="BD1148" t="s">
        <v>74</v>
      </c>
      <c r="BE1148" t="s">
        <v>21310</v>
      </c>
      <c r="BF1148" t="str">
        <f>HYPERLINK("http://dx.doi.org/10.1016/j.jacr.2023.05.003","http://dx.doi.org/10.1016/j.jacr.2023.05.003")</f>
        <v>http://dx.doi.org/10.1016/j.jacr.2023.05.003</v>
      </c>
      <c r="BG1148" t="s">
        <v>74</v>
      </c>
      <c r="BH1148" t="s">
        <v>1886</v>
      </c>
      <c r="BI1148">
        <v>8</v>
      </c>
      <c r="BJ1148" t="s">
        <v>5360</v>
      </c>
      <c r="BK1148" t="s">
        <v>130</v>
      </c>
      <c r="BL1148" t="s">
        <v>5360</v>
      </c>
      <c r="BM1148" t="s">
        <v>21311</v>
      </c>
      <c r="BN1148">
        <v>37356806</v>
      </c>
      <c r="BO1148" t="s">
        <v>208</v>
      </c>
      <c r="BP1148" t="s">
        <v>74</v>
      </c>
      <c r="BQ1148" t="s">
        <v>74</v>
      </c>
      <c r="BR1148" t="s">
        <v>101</v>
      </c>
      <c r="BS1148" t="s">
        <v>21312</v>
      </c>
      <c r="BT1148" t="str">
        <f>HYPERLINK("https%3A%2F%2Fwww.webofscience.com%2Fwos%2Fwoscc%2Ffull-record%2FWOS:001101364500001","View Full Record in Web of Science")</f>
        <v>View Full Record in Web of Science</v>
      </c>
    </row>
    <row r="1149" spans="1:72" x14ac:dyDescent="0.2">
      <c r="A1149" t="s">
        <v>103</v>
      </c>
      <c r="B1149" t="s">
        <v>21313</v>
      </c>
      <c r="C1149" t="s">
        <v>74</v>
      </c>
      <c r="D1149" t="s">
        <v>74</v>
      </c>
      <c r="E1149" t="s">
        <v>74</v>
      </c>
      <c r="F1149" t="s">
        <v>21314</v>
      </c>
      <c r="G1149" t="s">
        <v>74</v>
      </c>
      <c r="H1149" t="s">
        <v>74</v>
      </c>
      <c r="I1149" t="s">
        <v>21315</v>
      </c>
      <c r="J1149" t="s">
        <v>21316</v>
      </c>
      <c r="K1149" t="s">
        <v>74</v>
      </c>
      <c r="L1149" t="s">
        <v>74</v>
      </c>
      <c r="M1149" t="s">
        <v>79</v>
      </c>
      <c r="N1149" t="s">
        <v>108</v>
      </c>
      <c r="O1149" t="s">
        <v>74</v>
      </c>
      <c r="P1149" t="s">
        <v>74</v>
      </c>
      <c r="Q1149" t="s">
        <v>74</v>
      </c>
      <c r="R1149" t="s">
        <v>74</v>
      </c>
      <c r="S1149" t="s">
        <v>74</v>
      </c>
      <c r="T1149" t="s">
        <v>21317</v>
      </c>
      <c r="U1149" t="s">
        <v>391</v>
      </c>
      <c r="V1149" t="s">
        <v>21318</v>
      </c>
      <c r="W1149" t="s">
        <v>21319</v>
      </c>
      <c r="X1149" t="s">
        <v>21320</v>
      </c>
      <c r="Y1149" t="s">
        <v>21321</v>
      </c>
      <c r="Z1149" t="s">
        <v>74</v>
      </c>
      <c r="AA1149" t="s">
        <v>21322</v>
      </c>
      <c r="AB1149" t="s">
        <v>21323</v>
      </c>
      <c r="AC1149" t="s">
        <v>74</v>
      </c>
      <c r="AD1149" t="s">
        <v>74</v>
      </c>
      <c r="AE1149" t="s">
        <v>74</v>
      </c>
      <c r="AF1149" t="s">
        <v>74</v>
      </c>
      <c r="AG1149">
        <v>30</v>
      </c>
      <c r="AH1149">
        <v>7</v>
      </c>
      <c r="AI1149">
        <v>7</v>
      </c>
      <c r="AJ1149">
        <v>67</v>
      </c>
      <c r="AK1149">
        <v>67</v>
      </c>
      <c r="AL1149" t="s">
        <v>3165</v>
      </c>
      <c r="AM1149" t="s">
        <v>3166</v>
      </c>
      <c r="AN1149" t="s">
        <v>3167</v>
      </c>
      <c r="AO1149" t="s">
        <v>21324</v>
      </c>
      <c r="AP1149" t="s">
        <v>21325</v>
      </c>
      <c r="AQ1149" t="s">
        <v>74</v>
      </c>
      <c r="AR1149" t="s">
        <v>21326</v>
      </c>
      <c r="AS1149" t="s">
        <v>21327</v>
      </c>
      <c r="AT1149" t="s">
        <v>2016</v>
      </c>
      <c r="AU1149">
        <v>2024</v>
      </c>
      <c r="AV1149">
        <v>57</v>
      </c>
      <c r="AW1149">
        <v>1</v>
      </c>
      <c r="AX1149" t="s">
        <v>74</v>
      </c>
      <c r="AY1149" t="s">
        <v>74</v>
      </c>
      <c r="AZ1149" t="s">
        <v>74</v>
      </c>
      <c r="BA1149" t="s">
        <v>74</v>
      </c>
      <c r="BB1149">
        <v>108</v>
      </c>
      <c r="BC1149">
        <v>113</v>
      </c>
      <c r="BD1149" t="s">
        <v>74</v>
      </c>
      <c r="BE1149" t="s">
        <v>21328</v>
      </c>
      <c r="BF1149" t="str">
        <f>HYPERLINK("http://dx.doi.org/10.1111/iej.13985","http://dx.doi.org/10.1111/iej.13985")</f>
        <v>http://dx.doi.org/10.1111/iej.13985</v>
      </c>
      <c r="BG1149" t="s">
        <v>74</v>
      </c>
      <c r="BH1149" t="s">
        <v>1886</v>
      </c>
      <c r="BI1149">
        <v>6</v>
      </c>
      <c r="BJ1149" t="s">
        <v>12097</v>
      </c>
      <c r="BK1149" t="s">
        <v>130</v>
      </c>
      <c r="BL1149" t="s">
        <v>12097</v>
      </c>
      <c r="BM1149" t="s">
        <v>21329</v>
      </c>
      <c r="BN1149">
        <v>37814369</v>
      </c>
      <c r="BO1149" t="s">
        <v>161</v>
      </c>
      <c r="BP1149" t="s">
        <v>1912</v>
      </c>
      <c r="BQ1149" t="s">
        <v>1434</v>
      </c>
      <c r="BR1149" t="s">
        <v>101</v>
      </c>
      <c r="BS1149" t="s">
        <v>21330</v>
      </c>
      <c r="BT1149" t="str">
        <f>HYPERLINK("https%3A%2F%2Fwww.webofscience.com%2Fwos%2Fwoscc%2Ffull-record%2FWOS:001080658500001","View Full Record in Web of Science")</f>
        <v>View Full Record in Web of Science</v>
      </c>
    </row>
    <row r="1150" spans="1:72" x14ac:dyDescent="0.2">
      <c r="A1150" t="s">
        <v>103</v>
      </c>
      <c r="B1150" t="s">
        <v>21331</v>
      </c>
      <c r="C1150" t="s">
        <v>74</v>
      </c>
      <c r="D1150" t="s">
        <v>74</v>
      </c>
      <c r="E1150" t="s">
        <v>74</v>
      </c>
      <c r="F1150" t="s">
        <v>21332</v>
      </c>
      <c r="G1150" t="s">
        <v>74</v>
      </c>
      <c r="H1150" t="s">
        <v>74</v>
      </c>
      <c r="I1150" t="s">
        <v>21333</v>
      </c>
      <c r="J1150" t="s">
        <v>21334</v>
      </c>
      <c r="K1150" t="s">
        <v>74</v>
      </c>
      <c r="L1150" t="s">
        <v>74</v>
      </c>
      <c r="M1150" t="s">
        <v>79</v>
      </c>
      <c r="N1150" t="s">
        <v>138</v>
      </c>
      <c r="O1150" t="s">
        <v>74</v>
      </c>
      <c r="P1150" t="s">
        <v>74</v>
      </c>
      <c r="Q1150" t="s">
        <v>74</v>
      </c>
      <c r="R1150" t="s">
        <v>74</v>
      </c>
      <c r="S1150" t="s">
        <v>74</v>
      </c>
      <c r="T1150" t="s">
        <v>21335</v>
      </c>
      <c r="U1150" t="s">
        <v>74</v>
      </c>
      <c r="V1150" t="s">
        <v>21336</v>
      </c>
      <c r="W1150" t="s">
        <v>21337</v>
      </c>
      <c r="X1150" t="s">
        <v>21338</v>
      </c>
      <c r="Y1150" t="s">
        <v>21339</v>
      </c>
      <c r="Z1150" t="s">
        <v>21340</v>
      </c>
      <c r="AA1150" t="s">
        <v>74</v>
      </c>
      <c r="AB1150" t="s">
        <v>21341</v>
      </c>
      <c r="AC1150" t="s">
        <v>21342</v>
      </c>
      <c r="AD1150" t="s">
        <v>21342</v>
      </c>
      <c r="AE1150" t="s">
        <v>21342</v>
      </c>
      <c r="AF1150" t="s">
        <v>74</v>
      </c>
      <c r="AG1150">
        <v>31</v>
      </c>
      <c r="AH1150">
        <v>3</v>
      </c>
      <c r="AI1150">
        <v>3</v>
      </c>
      <c r="AJ1150">
        <v>31</v>
      </c>
      <c r="AK1150">
        <v>31</v>
      </c>
      <c r="AL1150" t="s">
        <v>3165</v>
      </c>
      <c r="AM1150" t="s">
        <v>3166</v>
      </c>
      <c r="AN1150" t="s">
        <v>3167</v>
      </c>
      <c r="AO1150" t="s">
        <v>21343</v>
      </c>
      <c r="AP1150" t="s">
        <v>21344</v>
      </c>
      <c r="AQ1150" t="s">
        <v>74</v>
      </c>
      <c r="AR1150" t="s">
        <v>21345</v>
      </c>
      <c r="AS1150" t="s">
        <v>21346</v>
      </c>
      <c r="AT1150" t="s">
        <v>13066</v>
      </c>
      <c r="AU1150">
        <v>2023</v>
      </c>
      <c r="AV1150" t="s">
        <v>74</v>
      </c>
      <c r="AW1150" t="s">
        <v>74</v>
      </c>
      <c r="AX1150" t="s">
        <v>74</v>
      </c>
      <c r="AY1150" t="s">
        <v>74</v>
      </c>
      <c r="AZ1150" t="s">
        <v>74</v>
      </c>
      <c r="BA1150" t="s">
        <v>74</v>
      </c>
      <c r="BB1150" t="s">
        <v>74</v>
      </c>
      <c r="BC1150" t="s">
        <v>74</v>
      </c>
      <c r="BD1150" t="s">
        <v>74</v>
      </c>
      <c r="BE1150" t="s">
        <v>21347</v>
      </c>
      <c r="BF1150" t="str">
        <f>HYPERLINK("http://dx.doi.org/10.1002/capr.12699","http://dx.doi.org/10.1002/capr.12699")</f>
        <v>http://dx.doi.org/10.1002/capr.12699</v>
      </c>
      <c r="BG1150" t="s">
        <v>74</v>
      </c>
      <c r="BH1150" t="s">
        <v>278</v>
      </c>
      <c r="BI1150">
        <v>17</v>
      </c>
      <c r="BJ1150" t="s">
        <v>21348</v>
      </c>
      <c r="BK1150" t="s">
        <v>352</v>
      </c>
      <c r="BL1150" t="s">
        <v>1162</v>
      </c>
      <c r="BM1150" t="s">
        <v>21349</v>
      </c>
      <c r="BN1150" t="s">
        <v>74</v>
      </c>
      <c r="BO1150" t="s">
        <v>74</v>
      </c>
      <c r="BP1150" t="s">
        <v>74</v>
      </c>
      <c r="BQ1150" t="s">
        <v>74</v>
      </c>
      <c r="BR1150" t="s">
        <v>101</v>
      </c>
      <c r="BS1150" t="s">
        <v>21350</v>
      </c>
      <c r="BT1150" t="str">
        <f>HYPERLINK("https%3A%2F%2Fwww.webofscience.com%2Fwos%2Fwoscc%2Ffull-record%2FWOS:001072576800001","View Full Record in Web of Science")</f>
        <v>View Full Record in Web of Science</v>
      </c>
    </row>
    <row r="1151" spans="1:72" x14ac:dyDescent="0.2">
      <c r="A1151" t="s">
        <v>103</v>
      </c>
      <c r="B1151" t="s">
        <v>21351</v>
      </c>
      <c r="C1151" t="s">
        <v>74</v>
      </c>
      <c r="D1151" t="s">
        <v>74</v>
      </c>
      <c r="E1151" t="s">
        <v>74</v>
      </c>
      <c r="F1151" t="s">
        <v>21352</v>
      </c>
      <c r="G1151" t="s">
        <v>74</v>
      </c>
      <c r="H1151" t="s">
        <v>74</v>
      </c>
      <c r="I1151" t="s">
        <v>21353</v>
      </c>
      <c r="J1151" t="s">
        <v>21354</v>
      </c>
      <c r="K1151" t="s">
        <v>74</v>
      </c>
      <c r="L1151" t="s">
        <v>74</v>
      </c>
      <c r="M1151" t="s">
        <v>79</v>
      </c>
      <c r="N1151" t="s">
        <v>108</v>
      </c>
      <c r="O1151" t="s">
        <v>74</v>
      </c>
      <c r="P1151" t="s">
        <v>74</v>
      </c>
      <c r="Q1151" t="s">
        <v>74</v>
      </c>
      <c r="R1151" t="s">
        <v>74</v>
      </c>
      <c r="S1151" t="s">
        <v>74</v>
      </c>
      <c r="T1151" t="s">
        <v>21355</v>
      </c>
      <c r="U1151" t="s">
        <v>74</v>
      </c>
      <c r="V1151" t="s">
        <v>21356</v>
      </c>
      <c r="W1151" t="s">
        <v>21357</v>
      </c>
      <c r="X1151" t="s">
        <v>21358</v>
      </c>
      <c r="Y1151" t="s">
        <v>21359</v>
      </c>
      <c r="Z1151" t="s">
        <v>21360</v>
      </c>
      <c r="AA1151" t="s">
        <v>21361</v>
      </c>
      <c r="AB1151" t="s">
        <v>21362</v>
      </c>
      <c r="AC1151" t="s">
        <v>21363</v>
      </c>
      <c r="AD1151" t="s">
        <v>21364</v>
      </c>
      <c r="AE1151" t="s">
        <v>21365</v>
      </c>
      <c r="AF1151" t="s">
        <v>74</v>
      </c>
      <c r="AG1151">
        <v>69</v>
      </c>
      <c r="AH1151">
        <v>7</v>
      </c>
      <c r="AI1151">
        <v>7</v>
      </c>
      <c r="AJ1151">
        <v>7</v>
      </c>
      <c r="AK1151">
        <v>10</v>
      </c>
      <c r="AL1151" t="s">
        <v>1379</v>
      </c>
      <c r="AM1151" t="s">
        <v>1380</v>
      </c>
      <c r="AN1151" t="s">
        <v>1381</v>
      </c>
      <c r="AO1151" t="s">
        <v>21366</v>
      </c>
      <c r="AP1151" t="s">
        <v>21367</v>
      </c>
      <c r="AQ1151" t="s">
        <v>74</v>
      </c>
      <c r="AR1151" t="s">
        <v>21368</v>
      </c>
      <c r="AS1151" t="s">
        <v>21369</v>
      </c>
      <c r="AT1151" t="s">
        <v>74</v>
      </c>
      <c r="AU1151">
        <v>2023</v>
      </c>
      <c r="AV1151">
        <v>18</v>
      </c>
      <c r="AW1151" t="s">
        <v>74</v>
      </c>
      <c r="AX1151" t="s">
        <v>74</v>
      </c>
      <c r="AY1151" t="s">
        <v>74</v>
      </c>
      <c r="AZ1151" t="s">
        <v>74</v>
      </c>
      <c r="BA1151" t="s">
        <v>74</v>
      </c>
      <c r="BB1151">
        <v>2104</v>
      </c>
      <c r="BC1151">
        <v>2118</v>
      </c>
      <c r="BD1151" t="s">
        <v>74</v>
      </c>
      <c r="BE1151" t="s">
        <v>21370</v>
      </c>
      <c r="BF1151" t="str">
        <f>HYPERLINK("http://dx.doi.org/10.1109/TIFS.2023.3254449","http://dx.doi.org/10.1109/TIFS.2023.3254449")</f>
        <v>http://dx.doi.org/10.1109/TIFS.2023.3254449</v>
      </c>
      <c r="BG1151" t="s">
        <v>74</v>
      </c>
      <c r="BH1151" t="s">
        <v>74</v>
      </c>
      <c r="BI1151">
        <v>15</v>
      </c>
      <c r="BJ1151" t="s">
        <v>5096</v>
      </c>
      <c r="BK1151" t="s">
        <v>130</v>
      </c>
      <c r="BL1151" t="s">
        <v>906</v>
      </c>
      <c r="BM1151" t="s">
        <v>21371</v>
      </c>
      <c r="BN1151" t="s">
        <v>74</v>
      </c>
      <c r="BO1151" t="s">
        <v>74</v>
      </c>
      <c r="BP1151" t="s">
        <v>74</v>
      </c>
      <c r="BQ1151" t="s">
        <v>74</v>
      </c>
      <c r="BR1151" t="s">
        <v>101</v>
      </c>
      <c r="BS1151" t="s">
        <v>21372</v>
      </c>
      <c r="BT1151" t="str">
        <f>HYPERLINK("https%3A%2F%2Fwww.webofscience.com%2Fwos%2Fwoscc%2Ffull-record%2FWOS:000967552800004","View Full Record in Web of Science")</f>
        <v>View Full Record in Web of Science</v>
      </c>
    </row>
    <row r="1152" spans="1:72" x14ac:dyDescent="0.2">
      <c r="A1152" t="s">
        <v>72</v>
      </c>
      <c r="B1152" t="s">
        <v>21373</v>
      </c>
      <c r="C1152" t="s">
        <v>74</v>
      </c>
      <c r="D1152" t="s">
        <v>4124</v>
      </c>
      <c r="E1152" t="s">
        <v>74</v>
      </c>
      <c r="F1152" t="s">
        <v>21374</v>
      </c>
      <c r="G1152" t="s">
        <v>74</v>
      </c>
      <c r="H1152" t="s">
        <v>74</v>
      </c>
      <c r="I1152" t="s">
        <v>21375</v>
      </c>
      <c r="J1152" t="s">
        <v>4127</v>
      </c>
      <c r="K1152" t="s">
        <v>4128</v>
      </c>
      <c r="L1152" t="s">
        <v>74</v>
      </c>
      <c r="M1152" t="s">
        <v>79</v>
      </c>
      <c r="N1152" t="s">
        <v>80</v>
      </c>
      <c r="O1152" t="s">
        <v>4129</v>
      </c>
      <c r="P1152" t="s">
        <v>4130</v>
      </c>
      <c r="Q1152" t="s">
        <v>4131</v>
      </c>
      <c r="R1152" t="s">
        <v>4132</v>
      </c>
      <c r="S1152" t="s">
        <v>74</v>
      </c>
      <c r="T1152" t="s">
        <v>21376</v>
      </c>
      <c r="U1152" t="s">
        <v>74</v>
      </c>
      <c r="V1152" t="s">
        <v>21377</v>
      </c>
      <c r="W1152" t="s">
        <v>21378</v>
      </c>
      <c r="X1152" t="s">
        <v>21379</v>
      </c>
      <c r="Y1152" t="s">
        <v>21380</v>
      </c>
      <c r="Z1152" t="s">
        <v>21381</v>
      </c>
      <c r="AA1152" t="s">
        <v>74</v>
      </c>
      <c r="AB1152" t="s">
        <v>74</v>
      </c>
      <c r="AC1152" t="s">
        <v>21382</v>
      </c>
      <c r="AD1152" t="s">
        <v>21382</v>
      </c>
      <c r="AE1152" t="s">
        <v>21383</v>
      </c>
      <c r="AF1152" t="s">
        <v>74</v>
      </c>
      <c r="AG1152">
        <v>27</v>
      </c>
      <c r="AH1152">
        <v>0</v>
      </c>
      <c r="AI1152">
        <v>0</v>
      </c>
      <c r="AJ1152">
        <v>0</v>
      </c>
      <c r="AK1152">
        <v>0</v>
      </c>
      <c r="AL1152" t="s">
        <v>284</v>
      </c>
      <c r="AM1152" t="s">
        <v>93</v>
      </c>
      <c r="AN1152" t="s">
        <v>299</v>
      </c>
      <c r="AO1152" t="s">
        <v>4144</v>
      </c>
      <c r="AP1152" t="s">
        <v>74</v>
      </c>
      <c r="AQ1152" t="s">
        <v>4145</v>
      </c>
      <c r="AR1152" t="s">
        <v>4146</v>
      </c>
      <c r="AS1152" t="s">
        <v>74</v>
      </c>
      <c r="AT1152" t="s">
        <v>74</v>
      </c>
      <c r="AU1152">
        <v>2023</v>
      </c>
      <c r="AV1152" t="s">
        <v>74</v>
      </c>
      <c r="AW1152" t="s">
        <v>74</v>
      </c>
      <c r="AX1152" t="s">
        <v>74</v>
      </c>
      <c r="AY1152" t="s">
        <v>74</v>
      </c>
      <c r="AZ1152" t="s">
        <v>74</v>
      </c>
      <c r="BA1152" t="s">
        <v>74</v>
      </c>
      <c r="BB1152" t="s">
        <v>74</v>
      </c>
      <c r="BC1152" t="s">
        <v>74</v>
      </c>
      <c r="BD1152" t="s">
        <v>74</v>
      </c>
      <c r="BE1152" t="s">
        <v>74</v>
      </c>
      <c r="BF1152" t="s">
        <v>74</v>
      </c>
      <c r="BG1152" t="s">
        <v>74</v>
      </c>
      <c r="BH1152" t="s">
        <v>74</v>
      </c>
      <c r="BI1152">
        <v>9</v>
      </c>
      <c r="BJ1152" t="s">
        <v>1385</v>
      </c>
      <c r="BK1152" t="s">
        <v>98</v>
      </c>
      <c r="BL1152" t="s">
        <v>1386</v>
      </c>
      <c r="BM1152" t="s">
        <v>4147</v>
      </c>
      <c r="BN1152" t="s">
        <v>74</v>
      </c>
      <c r="BO1152" t="s">
        <v>74</v>
      </c>
      <c r="BP1152" t="s">
        <v>74</v>
      </c>
      <c r="BQ1152" t="s">
        <v>74</v>
      </c>
      <c r="BR1152" t="s">
        <v>101</v>
      </c>
      <c r="BS1152" t="s">
        <v>21384</v>
      </c>
      <c r="BT1152" t="str">
        <f>HYPERLINK("https%3A%2F%2Fwww.webofscience.com%2Fwos%2Fwoscc%2Ffull-record%2FWOS:001117985100017","View Full Record in Web of Science")</f>
        <v>View Full Record in Web of Science</v>
      </c>
    </row>
    <row r="1153" spans="1:72" x14ac:dyDescent="0.2">
      <c r="A1153" t="s">
        <v>103</v>
      </c>
      <c r="B1153" t="s">
        <v>21385</v>
      </c>
      <c r="C1153" t="s">
        <v>74</v>
      </c>
      <c r="D1153" t="s">
        <v>74</v>
      </c>
      <c r="E1153" t="s">
        <v>74</v>
      </c>
      <c r="F1153" t="s">
        <v>21386</v>
      </c>
      <c r="G1153" t="s">
        <v>74</v>
      </c>
      <c r="H1153" t="s">
        <v>74</v>
      </c>
      <c r="I1153" t="s">
        <v>21387</v>
      </c>
      <c r="J1153" t="s">
        <v>7461</v>
      </c>
      <c r="K1153" t="s">
        <v>74</v>
      </c>
      <c r="L1153" t="s">
        <v>74</v>
      </c>
      <c r="M1153" t="s">
        <v>79</v>
      </c>
      <c r="N1153" t="s">
        <v>108</v>
      </c>
      <c r="O1153" t="s">
        <v>74</v>
      </c>
      <c r="P1153" t="s">
        <v>74</v>
      </c>
      <c r="Q1153" t="s">
        <v>74</v>
      </c>
      <c r="R1153" t="s">
        <v>74</v>
      </c>
      <c r="S1153" t="s">
        <v>74</v>
      </c>
      <c r="T1153" t="s">
        <v>21388</v>
      </c>
      <c r="U1153" t="s">
        <v>74</v>
      </c>
      <c r="V1153" t="s">
        <v>21389</v>
      </c>
      <c r="W1153" t="s">
        <v>21390</v>
      </c>
      <c r="X1153" t="s">
        <v>4137</v>
      </c>
      <c r="Y1153" t="s">
        <v>21391</v>
      </c>
      <c r="Z1153" t="s">
        <v>21392</v>
      </c>
      <c r="AA1153" t="s">
        <v>21393</v>
      </c>
      <c r="AB1153" t="s">
        <v>21394</v>
      </c>
      <c r="AC1153" t="s">
        <v>74</v>
      </c>
      <c r="AD1153" t="s">
        <v>74</v>
      </c>
      <c r="AE1153" t="s">
        <v>74</v>
      </c>
      <c r="AF1153" t="s">
        <v>74</v>
      </c>
      <c r="AG1153">
        <v>39</v>
      </c>
      <c r="AH1153">
        <v>2</v>
      </c>
      <c r="AI1153">
        <v>2</v>
      </c>
      <c r="AJ1153">
        <v>23</v>
      </c>
      <c r="AK1153">
        <v>36</v>
      </c>
      <c r="AL1153" t="s">
        <v>939</v>
      </c>
      <c r="AM1153" t="s">
        <v>940</v>
      </c>
      <c r="AN1153" t="s">
        <v>941</v>
      </c>
      <c r="AO1153" t="s">
        <v>74</v>
      </c>
      <c r="AP1153" t="s">
        <v>7471</v>
      </c>
      <c r="AQ1153" t="s">
        <v>74</v>
      </c>
      <c r="AR1153" t="s">
        <v>7472</v>
      </c>
      <c r="AS1153" t="s">
        <v>7473</v>
      </c>
      <c r="AT1153" t="s">
        <v>21395</v>
      </c>
      <c r="AU1153">
        <v>2023</v>
      </c>
      <c r="AV1153">
        <v>23</v>
      </c>
      <c r="AW1153">
        <v>10</v>
      </c>
      <c r="AX1153" t="s">
        <v>74</v>
      </c>
      <c r="AY1153" t="s">
        <v>74</v>
      </c>
      <c r="AZ1153" t="s">
        <v>74</v>
      </c>
      <c r="BA1153" t="s">
        <v>74</v>
      </c>
      <c r="BB1153" t="s">
        <v>74</v>
      </c>
      <c r="BC1153" t="s">
        <v>74</v>
      </c>
      <c r="BD1153">
        <v>4879</v>
      </c>
      <c r="BE1153" t="s">
        <v>21396</v>
      </c>
      <c r="BF1153" t="str">
        <f>HYPERLINK("http://dx.doi.org/10.3390/s23104879","http://dx.doi.org/10.3390/s23104879")</f>
        <v>http://dx.doi.org/10.3390/s23104879</v>
      </c>
      <c r="BG1153" t="s">
        <v>74</v>
      </c>
      <c r="BH1153" t="s">
        <v>74</v>
      </c>
      <c r="BI1153">
        <v>14</v>
      </c>
      <c r="BJ1153" t="s">
        <v>7475</v>
      </c>
      <c r="BK1153" t="s">
        <v>130</v>
      </c>
      <c r="BL1153" t="s">
        <v>7476</v>
      </c>
      <c r="BM1153" t="s">
        <v>21397</v>
      </c>
      <c r="BN1153">
        <v>37430793</v>
      </c>
      <c r="BO1153" t="s">
        <v>4185</v>
      </c>
      <c r="BP1153" t="s">
        <v>74</v>
      </c>
      <c r="BQ1153" t="s">
        <v>74</v>
      </c>
      <c r="BR1153" t="s">
        <v>101</v>
      </c>
      <c r="BS1153" t="s">
        <v>21398</v>
      </c>
      <c r="BT1153" t="str">
        <f>HYPERLINK("https%3A%2F%2Fwww.webofscience.com%2Fwos%2Fwoscc%2Ffull-record%2FWOS:000997699800001","View Full Record in Web of Science")</f>
        <v>View Full Record in Web of Science</v>
      </c>
    </row>
    <row r="1154" spans="1:72" x14ac:dyDescent="0.2">
      <c r="A1154" t="s">
        <v>103</v>
      </c>
      <c r="B1154" t="s">
        <v>21399</v>
      </c>
      <c r="C1154" t="s">
        <v>74</v>
      </c>
      <c r="D1154" t="s">
        <v>74</v>
      </c>
      <c r="E1154" t="s">
        <v>74</v>
      </c>
      <c r="F1154" t="s">
        <v>21400</v>
      </c>
      <c r="G1154" t="s">
        <v>74</v>
      </c>
      <c r="H1154" t="s">
        <v>74</v>
      </c>
      <c r="I1154" t="s">
        <v>21401</v>
      </c>
      <c r="J1154" t="s">
        <v>7934</v>
      </c>
      <c r="K1154" t="s">
        <v>74</v>
      </c>
      <c r="L1154" t="s">
        <v>74</v>
      </c>
      <c r="M1154" t="s">
        <v>79</v>
      </c>
      <c r="N1154" t="s">
        <v>108</v>
      </c>
      <c r="O1154" t="s">
        <v>74</v>
      </c>
      <c r="P1154" t="s">
        <v>74</v>
      </c>
      <c r="Q1154" t="s">
        <v>74</v>
      </c>
      <c r="R1154" t="s">
        <v>74</v>
      </c>
      <c r="S1154" t="s">
        <v>74</v>
      </c>
      <c r="T1154" t="s">
        <v>21402</v>
      </c>
      <c r="U1154" t="s">
        <v>74</v>
      </c>
      <c r="V1154" t="s">
        <v>21403</v>
      </c>
      <c r="W1154" t="s">
        <v>21404</v>
      </c>
      <c r="X1154" t="s">
        <v>21405</v>
      </c>
      <c r="Y1154" t="s">
        <v>21406</v>
      </c>
      <c r="Z1154" t="s">
        <v>21407</v>
      </c>
      <c r="AA1154" t="s">
        <v>21408</v>
      </c>
      <c r="AB1154" t="s">
        <v>21409</v>
      </c>
      <c r="AC1154" t="s">
        <v>74</v>
      </c>
      <c r="AD1154" t="s">
        <v>74</v>
      </c>
      <c r="AE1154" t="s">
        <v>74</v>
      </c>
      <c r="AF1154" t="s">
        <v>74</v>
      </c>
      <c r="AG1154">
        <v>7</v>
      </c>
      <c r="AH1154">
        <v>15</v>
      </c>
      <c r="AI1154">
        <v>16</v>
      </c>
      <c r="AJ1154">
        <v>20</v>
      </c>
      <c r="AK1154">
        <v>92</v>
      </c>
      <c r="AL1154" t="s">
        <v>343</v>
      </c>
      <c r="AM1154" t="s">
        <v>93</v>
      </c>
      <c r="AN1154" t="s">
        <v>344</v>
      </c>
      <c r="AO1154" t="s">
        <v>7943</v>
      </c>
      <c r="AP1154" t="s">
        <v>7944</v>
      </c>
      <c r="AQ1154" t="s">
        <v>74</v>
      </c>
      <c r="AR1154" t="s">
        <v>7945</v>
      </c>
      <c r="AS1154" t="s">
        <v>7946</v>
      </c>
      <c r="AT1154" t="s">
        <v>2582</v>
      </c>
      <c r="AU1154">
        <v>2023</v>
      </c>
      <c r="AV1154">
        <v>51</v>
      </c>
      <c r="AW1154">
        <v>6</v>
      </c>
      <c r="AX1154" t="s">
        <v>74</v>
      </c>
      <c r="AY1154" t="s">
        <v>74</v>
      </c>
      <c r="AZ1154" t="s">
        <v>74</v>
      </c>
      <c r="BA1154" t="s">
        <v>74</v>
      </c>
      <c r="BB1154">
        <v>1130</v>
      </c>
      <c r="BC1154">
        <v>1135</v>
      </c>
      <c r="BD1154" t="s">
        <v>74</v>
      </c>
      <c r="BE1154" t="s">
        <v>21410</v>
      </c>
      <c r="BF1154" t="str">
        <f>HYPERLINK("http://dx.doi.org/10.1007/s10439-023-03203-3","http://dx.doi.org/10.1007/s10439-023-03203-3")</f>
        <v>http://dx.doi.org/10.1007/s10439-023-03203-3</v>
      </c>
      <c r="BG1154" t="s">
        <v>74</v>
      </c>
      <c r="BH1154" t="s">
        <v>793</v>
      </c>
      <c r="BI1154">
        <v>6</v>
      </c>
      <c r="BJ1154" t="s">
        <v>4718</v>
      </c>
      <c r="BK1154" t="s">
        <v>130</v>
      </c>
      <c r="BL1154" t="s">
        <v>2823</v>
      </c>
      <c r="BM1154" t="s">
        <v>21411</v>
      </c>
      <c r="BN1154">
        <v>37074486</v>
      </c>
      <c r="BO1154" t="s">
        <v>17828</v>
      </c>
      <c r="BP1154" t="s">
        <v>74</v>
      </c>
      <c r="BQ1154" t="s">
        <v>74</v>
      </c>
      <c r="BR1154" t="s">
        <v>101</v>
      </c>
      <c r="BS1154" t="s">
        <v>21412</v>
      </c>
      <c r="BT1154" t="str">
        <f>HYPERLINK("https%3A%2F%2Fwww.webofscience.com%2Fwos%2Fwoscc%2Ffull-record%2FWOS:000975478300001","View Full Record in Web of Science")</f>
        <v>View Full Record in Web of Science</v>
      </c>
    </row>
    <row r="1155" spans="1:72" x14ac:dyDescent="0.2">
      <c r="A1155" t="s">
        <v>72</v>
      </c>
      <c r="B1155" t="s">
        <v>21413</v>
      </c>
      <c r="C1155" t="s">
        <v>74</v>
      </c>
      <c r="D1155" t="s">
        <v>20914</v>
      </c>
      <c r="E1155" t="s">
        <v>74</v>
      </c>
      <c r="F1155" t="s">
        <v>21414</v>
      </c>
      <c r="G1155" t="s">
        <v>74</v>
      </c>
      <c r="H1155" t="s">
        <v>74</v>
      </c>
      <c r="I1155" t="s">
        <v>21415</v>
      </c>
      <c r="J1155" t="s">
        <v>21416</v>
      </c>
      <c r="K1155" t="s">
        <v>312</v>
      </c>
      <c r="L1155" t="s">
        <v>74</v>
      </c>
      <c r="M1155" t="s">
        <v>79</v>
      </c>
      <c r="N1155" t="s">
        <v>80</v>
      </c>
      <c r="O1155" t="s">
        <v>20918</v>
      </c>
      <c r="P1155" t="s">
        <v>1245</v>
      </c>
      <c r="Q1155" t="s">
        <v>20919</v>
      </c>
      <c r="R1155" t="s">
        <v>20920</v>
      </c>
      <c r="S1155" t="s">
        <v>74</v>
      </c>
      <c r="T1155" t="s">
        <v>21417</v>
      </c>
      <c r="U1155" t="s">
        <v>74</v>
      </c>
      <c r="V1155" t="s">
        <v>21418</v>
      </c>
      <c r="W1155" t="s">
        <v>21419</v>
      </c>
      <c r="X1155" t="s">
        <v>21420</v>
      </c>
      <c r="Y1155" t="s">
        <v>21421</v>
      </c>
      <c r="Z1155" t="s">
        <v>21422</v>
      </c>
      <c r="AA1155" t="s">
        <v>21423</v>
      </c>
      <c r="AB1155" t="s">
        <v>21424</v>
      </c>
      <c r="AC1155" t="s">
        <v>21425</v>
      </c>
      <c r="AD1155" t="s">
        <v>21426</v>
      </c>
      <c r="AE1155" t="s">
        <v>21427</v>
      </c>
      <c r="AF1155" t="s">
        <v>74</v>
      </c>
      <c r="AG1155">
        <v>42</v>
      </c>
      <c r="AH1155">
        <v>0</v>
      </c>
      <c r="AI1155">
        <v>0</v>
      </c>
      <c r="AJ1155">
        <v>2</v>
      </c>
      <c r="AK1155">
        <v>2</v>
      </c>
      <c r="AL1155" t="s">
        <v>325</v>
      </c>
      <c r="AM1155" t="s">
        <v>245</v>
      </c>
      <c r="AN1155" t="s">
        <v>246</v>
      </c>
      <c r="AO1155" t="s">
        <v>326</v>
      </c>
      <c r="AP1155" t="s">
        <v>327</v>
      </c>
      <c r="AQ1155" t="s">
        <v>21428</v>
      </c>
      <c r="AR1155" t="s">
        <v>329</v>
      </c>
      <c r="AS1155" t="s">
        <v>74</v>
      </c>
      <c r="AT1155" t="s">
        <v>74</v>
      </c>
      <c r="AU1155">
        <v>2023</v>
      </c>
      <c r="AV1155">
        <v>14234</v>
      </c>
      <c r="AW1155" t="s">
        <v>74</v>
      </c>
      <c r="AX1155" t="s">
        <v>74</v>
      </c>
      <c r="AY1155" t="s">
        <v>74</v>
      </c>
      <c r="AZ1155" t="s">
        <v>74</v>
      </c>
      <c r="BA1155" t="s">
        <v>74</v>
      </c>
      <c r="BB1155">
        <v>345</v>
      </c>
      <c r="BC1155">
        <v>356</v>
      </c>
      <c r="BD1155" t="s">
        <v>74</v>
      </c>
      <c r="BE1155" t="s">
        <v>21429</v>
      </c>
      <c r="BF1155" t="str">
        <f>HYPERLINK("http://dx.doi.org/10.1007/978-3-031-43153-1_29","http://dx.doi.org/10.1007/978-3-031-43153-1_29")</f>
        <v>http://dx.doi.org/10.1007/978-3-031-43153-1_29</v>
      </c>
      <c r="BG1155" t="s">
        <v>74</v>
      </c>
      <c r="BH1155" t="s">
        <v>74</v>
      </c>
      <c r="BI1155">
        <v>12</v>
      </c>
      <c r="BJ1155" t="s">
        <v>331</v>
      </c>
      <c r="BK1155" t="s">
        <v>98</v>
      </c>
      <c r="BL1155" t="s">
        <v>99</v>
      </c>
      <c r="BM1155" t="s">
        <v>21430</v>
      </c>
      <c r="BN1155" t="s">
        <v>74</v>
      </c>
      <c r="BO1155" t="s">
        <v>646</v>
      </c>
      <c r="BP1155" t="s">
        <v>74</v>
      </c>
      <c r="BQ1155" t="s">
        <v>74</v>
      </c>
      <c r="BR1155" t="s">
        <v>101</v>
      </c>
      <c r="BS1155" t="s">
        <v>21431</v>
      </c>
      <c r="BT1155" t="str">
        <f>HYPERLINK("https%3A%2F%2Fwww.webofscience.com%2Fwos%2Fwoscc%2Ffull-record%2FWOS:001156197500029","View Full Record in Web of Science")</f>
        <v>View Full Record in Web of Science</v>
      </c>
    </row>
    <row r="1156" spans="1:72" x14ac:dyDescent="0.2">
      <c r="A1156" t="s">
        <v>103</v>
      </c>
      <c r="B1156" t="s">
        <v>21432</v>
      </c>
      <c r="C1156" t="s">
        <v>74</v>
      </c>
      <c r="D1156" t="s">
        <v>74</v>
      </c>
      <c r="E1156" t="s">
        <v>74</v>
      </c>
      <c r="F1156" t="s">
        <v>21433</v>
      </c>
      <c r="G1156" t="s">
        <v>74</v>
      </c>
      <c r="H1156" t="s">
        <v>74</v>
      </c>
      <c r="I1156" t="s">
        <v>21434</v>
      </c>
      <c r="J1156" t="s">
        <v>4686</v>
      </c>
      <c r="K1156" t="s">
        <v>74</v>
      </c>
      <c r="L1156" t="s">
        <v>74</v>
      </c>
      <c r="M1156" t="s">
        <v>79</v>
      </c>
      <c r="N1156" t="s">
        <v>108</v>
      </c>
      <c r="O1156" t="s">
        <v>74</v>
      </c>
      <c r="P1156" t="s">
        <v>74</v>
      </c>
      <c r="Q1156" t="s">
        <v>74</v>
      </c>
      <c r="R1156" t="s">
        <v>74</v>
      </c>
      <c r="S1156" t="s">
        <v>74</v>
      </c>
      <c r="T1156" t="s">
        <v>21435</v>
      </c>
      <c r="U1156" t="s">
        <v>74</v>
      </c>
      <c r="V1156" t="s">
        <v>21436</v>
      </c>
      <c r="W1156" t="s">
        <v>21437</v>
      </c>
      <c r="X1156" t="s">
        <v>21438</v>
      </c>
      <c r="Y1156" t="s">
        <v>21439</v>
      </c>
      <c r="Z1156" t="s">
        <v>21440</v>
      </c>
      <c r="AA1156" t="s">
        <v>21441</v>
      </c>
      <c r="AB1156" t="s">
        <v>21442</v>
      </c>
      <c r="AC1156" t="s">
        <v>74</v>
      </c>
      <c r="AD1156" t="s">
        <v>74</v>
      </c>
      <c r="AE1156" t="s">
        <v>74</v>
      </c>
      <c r="AF1156" t="s">
        <v>74</v>
      </c>
      <c r="AG1156">
        <v>28</v>
      </c>
      <c r="AH1156">
        <v>0</v>
      </c>
      <c r="AI1156">
        <v>0</v>
      </c>
      <c r="AJ1156">
        <v>5</v>
      </c>
      <c r="AK1156">
        <v>5</v>
      </c>
      <c r="AL1156" t="s">
        <v>2032</v>
      </c>
      <c r="AM1156" t="s">
        <v>149</v>
      </c>
      <c r="AN1156" t="s">
        <v>2033</v>
      </c>
      <c r="AO1156" t="s">
        <v>74</v>
      </c>
      <c r="AP1156" t="s">
        <v>4694</v>
      </c>
      <c r="AQ1156" t="s">
        <v>74</v>
      </c>
      <c r="AR1156" t="s">
        <v>4695</v>
      </c>
      <c r="AS1156" t="s">
        <v>4696</v>
      </c>
      <c r="AT1156" t="s">
        <v>21443</v>
      </c>
      <c r="AU1156">
        <v>2023</v>
      </c>
      <c r="AV1156">
        <v>15</v>
      </c>
      <c r="AW1156">
        <v>12</v>
      </c>
      <c r="AX1156" t="s">
        <v>74</v>
      </c>
      <c r="AY1156" t="s">
        <v>74</v>
      </c>
      <c r="AZ1156" t="s">
        <v>74</v>
      </c>
      <c r="BA1156" t="s">
        <v>74</v>
      </c>
      <c r="BB1156" t="s">
        <v>74</v>
      </c>
      <c r="BC1156" t="s">
        <v>74</v>
      </c>
      <c r="BD1156" t="s">
        <v>21444</v>
      </c>
      <c r="BE1156" t="s">
        <v>21445</v>
      </c>
      <c r="BF1156" t="str">
        <f>HYPERLINK("http://dx.doi.org/10.7759/cureus.50729","http://dx.doi.org/10.7759/cureus.50729")</f>
        <v>http://dx.doi.org/10.7759/cureus.50729</v>
      </c>
      <c r="BG1156" t="s">
        <v>74</v>
      </c>
      <c r="BH1156" t="s">
        <v>74</v>
      </c>
      <c r="BI1156">
        <v>8</v>
      </c>
      <c r="BJ1156" t="s">
        <v>3440</v>
      </c>
      <c r="BK1156" t="s">
        <v>352</v>
      </c>
      <c r="BL1156" t="s">
        <v>3441</v>
      </c>
      <c r="BM1156" t="s">
        <v>21446</v>
      </c>
      <c r="BN1156">
        <v>38111813</v>
      </c>
      <c r="BO1156" t="s">
        <v>1728</v>
      </c>
      <c r="BP1156" t="s">
        <v>74</v>
      </c>
      <c r="BQ1156" t="s">
        <v>74</v>
      </c>
      <c r="BR1156" t="s">
        <v>101</v>
      </c>
      <c r="BS1156" t="s">
        <v>21447</v>
      </c>
      <c r="BT1156" t="str">
        <f>HYPERLINK("https%3A%2F%2Fwww.webofscience.com%2Fwos%2Fwoscc%2Ffull-record%2FWOS:001155723900024","View Full Record in Web of Science")</f>
        <v>View Full Record in Web of Science</v>
      </c>
    </row>
    <row r="1157" spans="1:72" x14ac:dyDescent="0.2">
      <c r="A1157" t="s">
        <v>72</v>
      </c>
      <c r="B1157" t="s">
        <v>21448</v>
      </c>
      <c r="C1157" t="s">
        <v>74</v>
      </c>
      <c r="D1157" t="s">
        <v>74</v>
      </c>
      <c r="E1157" t="s">
        <v>284</v>
      </c>
      <c r="F1157" t="s">
        <v>21449</v>
      </c>
      <c r="G1157" t="s">
        <v>74</v>
      </c>
      <c r="H1157" t="s">
        <v>74</v>
      </c>
      <c r="I1157" t="s">
        <v>21450</v>
      </c>
      <c r="J1157" t="s">
        <v>11058</v>
      </c>
      <c r="K1157" t="s">
        <v>11059</v>
      </c>
      <c r="L1157" t="s">
        <v>74</v>
      </c>
      <c r="M1157" t="s">
        <v>79</v>
      </c>
      <c r="N1157" t="s">
        <v>80</v>
      </c>
      <c r="O1157" t="s">
        <v>11060</v>
      </c>
      <c r="P1157" t="s">
        <v>11061</v>
      </c>
      <c r="Q1157" t="s">
        <v>11062</v>
      </c>
      <c r="R1157" t="s">
        <v>8249</v>
      </c>
      <c r="S1157" t="s">
        <v>74</v>
      </c>
      <c r="T1157" t="s">
        <v>74</v>
      </c>
      <c r="U1157" t="s">
        <v>74</v>
      </c>
      <c r="V1157" t="s">
        <v>21451</v>
      </c>
      <c r="W1157" t="s">
        <v>21452</v>
      </c>
      <c r="X1157" t="s">
        <v>21453</v>
      </c>
      <c r="Y1157" t="s">
        <v>21454</v>
      </c>
      <c r="Z1157" t="s">
        <v>21455</v>
      </c>
      <c r="AA1157" t="s">
        <v>74</v>
      </c>
      <c r="AB1157" t="s">
        <v>74</v>
      </c>
      <c r="AC1157" t="s">
        <v>21456</v>
      </c>
      <c r="AD1157" t="s">
        <v>21457</v>
      </c>
      <c r="AE1157" t="s">
        <v>21458</v>
      </c>
      <c r="AF1157" t="s">
        <v>74</v>
      </c>
      <c r="AG1157">
        <v>46</v>
      </c>
      <c r="AH1157">
        <v>2</v>
      </c>
      <c r="AI1157">
        <v>2</v>
      </c>
      <c r="AJ1157">
        <v>2</v>
      </c>
      <c r="AK1157">
        <v>2</v>
      </c>
      <c r="AL1157" t="s">
        <v>638</v>
      </c>
      <c r="AM1157" t="s">
        <v>639</v>
      </c>
      <c r="AN1157" t="s">
        <v>640</v>
      </c>
      <c r="AO1157" t="s">
        <v>11070</v>
      </c>
      <c r="AP1157" t="s">
        <v>74</v>
      </c>
      <c r="AQ1157" t="s">
        <v>11071</v>
      </c>
      <c r="AR1157" t="s">
        <v>11072</v>
      </c>
      <c r="AS1157" t="s">
        <v>74</v>
      </c>
      <c r="AT1157" t="s">
        <v>74</v>
      </c>
      <c r="AU1157">
        <v>2023</v>
      </c>
      <c r="AV1157" t="s">
        <v>74</v>
      </c>
      <c r="AW1157" t="s">
        <v>74</v>
      </c>
      <c r="AX1157" t="s">
        <v>74</v>
      </c>
      <c r="AY1157" t="s">
        <v>74</v>
      </c>
      <c r="AZ1157" t="s">
        <v>74</v>
      </c>
      <c r="BA1157" t="s">
        <v>74</v>
      </c>
      <c r="BB1157">
        <v>4730</v>
      </c>
      <c r="BC1157">
        <v>4739</v>
      </c>
      <c r="BD1157" t="s">
        <v>74</v>
      </c>
      <c r="BE1157" t="s">
        <v>21459</v>
      </c>
      <c r="BF1157" t="str">
        <f>HYPERLINK("http://dx.doi.org/10.1109/WACV56688.2023.00472","http://dx.doi.org/10.1109/WACV56688.2023.00472")</f>
        <v>http://dx.doi.org/10.1109/WACV56688.2023.00472</v>
      </c>
      <c r="BG1157" t="s">
        <v>74</v>
      </c>
      <c r="BH1157" t="s">
        <v>74</v>
      </c>
      <c r="BI1157">
        <v>10</v>
      </c>
      <c r="BJ1157" t="s">
        <v>11074</v>
      </c>
      <c r="BK1157" t="s">
        <v>98</v>
      </c>
      <c r="BL1157" t="s">
        <v>11075</v>
      </c>
      <c r="BM1157" t="s">
        <v>11076</v>
      </c>
      <c r="BN1157" t="s">
        <v>74</v>
      </c>
      <c r="BO1157" t="s">
        <v>646</v>
      </c>
      <c r="BP1157" t="s">
        <v>74</v>
      </c>
      <c r="BQ1157" t="s">
        <v>74</v>
      </c>
      <c r="BR1157" t="s">
        <v>101</v>
      </c>
      <c r="BS1157" t="s">
        <v>21460</v>
      </c>
      <c r="BT1157" t="str">
        <f>HYPERLINK("https%3A%2F%2Fwww.webofscience.com%2Fwos%2Fwoscc%2Ffull-record%2FWOS:000971500204083","View Full Record in Web of Science")</f>
        <v>View Full Record in Web of Science</v>
      </c>
    </row>
    <row r="1158" spans="1:72" x14ac:dyDescent="0.2">
      <c r="A1158" t="s">
        <v>103</v>
      </c>
      <c r="B1158" t="s">
        <v>21461</v>
      </c>
      <c r="C1158" t="s">
        <v>74</v>
      </c>
      <c r="D1158" t="s">
        <v>74</v>
      </c>
      <c r="E1158" t="s">
        <v>74</v>
      </c>
      <c r="F1158" t="s">
        <v>21462</v>
      </c>
      <c r="G1158" t="s">
        <v>74</v>
      </c>
      <c r="H1158" t="s">
        <v>74</v>
      </c>
      <c r="I1158" t="s">
        <v>21463</v>
      </c>
      <c r="J1158" t="s">
        <v>4778</v>
      </c>
      <c r="K1158" t="s">
        <v>74</v>
      </c>
      <c r="L1158" t="s">
        <v>74</v>
      </c>
      <c r="M1158" t="s">
        <v>79</v>
      </c>
      <c r="N1158" t="s">
        <v>108</v>
      </c>
      <c r="O1158" t="s">
        <v>74</v>
      </c>
      <c r="P1158" t="s">
        <v>74</v>
      </c>
      <c r="Q1158" t="s">
        <v>74</v>
      </c>
      <c r="R1158" t="s">
        <v>74</v>
      </c>
      <c r="S1158" t="s">
        <v>74</v>
      </c>
      <c r="T1158" t="s">
        <v>21464</v>
      </c>
      <c r="U1158" t="s">
        <v>21465</v>
      </c>
      <c r="V1158" t="s">
        <v>21466</v>
      </c>
      <c r="W1158" t="s">
        <v>21467</v>
      </c>
      <c r="X1158" t="s">
        <v>541</v>
      </c>
      <c r="Y1158" t="s">
        <v>21468</v>
      </c>
      <c r="Z1158" t="s">
        <v>74</v>
      </c>
      <c r="AA1158" t="s">
        <v>74</v>
      </c>
      <c r="AB1158" t="s">
        <v>21469</v>
      </c>
      <c r="AC1158" t="s">
        <v>21470</v>
      </c>
      <c r="AD1158" t="s">
        <v>6006</v>
      </c>
      <c r="AE1158" t="s">
        <v>21471</v>
      </c>
      <c r="AF1158" t="s">
        <v>74</v>
      </c>
      <c r="AG1158">
        <v>84</v>
      </c>
      <c r="AH1158">
        <v>0</v>
      </c>
      <c r="AI1158">
        <v>0</v>
      </c>
      <c r="AJ1158">
        <v>0</v>
      </c>
      <c r="AK1158">
        <v>0</v>
      </c>
      <c r="AL1158" t="s">
        <v>92</v>
      </c>
      <c r="AM1158" t="s">
        <v>93</v>
      </c>
      <c r="AN1158" t="s">
        <v>3186</v>
      </c>
      <c r="AO1158" t="s">
        <v>4794</v>
      </c>
      <c r="AP1158" t="s">
        <v>4795</v>
      </c>
      <c r="AQ1158" t="s">
        <v>74</v>
      </c>
      <c r="AR1158" t="s">
        <v>4796</v>
      </c>
      <c r="AS1158" t="s">
        <v>4797</v>
      </c>
      <c r="AT1158" t="s">
        <v>527</v>
      </c>
      <c r="AU1158">
        <v>2023</v>
      </c>
      <c r="AV1158">
        <v>42</v>
      </c>
      <c r="AW1158">
        <v>6</v>
      </c>
      <c r="AX1158" t="s">
        <v>74</v>
      </c>
      <c r="AY1158" t="s">
        <v>74</v>
      </c>
      <c r="AZ1158" t="s">
        <v>74</v>
      </c>
      <c r="BA1158" t="s">
        <v>74</v>
      </c>
      <c r="BB1158" t="s">
        <v>74</v>
      </c>
      <c r="BC1158" t="s">
        <v>74</v>
      </c>
      <c r="BD1158">
        <v>242</v>
      </c>
      <c r="BE1158" t="s">
        <v>21472</v>
      </c>
      <c r="BF1158" t="str">
        <f>HYPERLINK("http://dx.doi.org/10.1145/3618371","http://dx.doi.org/10.1145/3618371")</f>
        <v>http://dx.doi.org/10.1145/3618371</v>
      </c>
      <c r="BG1158" t="s">
        <v>74</v>
      </c>
      <c r="BH1158" t="s">
        <v>74</v>
      </c>
      <c r="BI1158">
        <v>20</v>
      </c>
      <c r="BJ1158" t="s">
        <v>1563</v>
      </c>
      <c r="BK1158" t="s">
        <v>130</v>
      </c>
      <c r="BL1158" t="s">
        <v>99</v>
      </c>
      <c r="BM1158" t="s">
        <v>21473</v>
      </c>
      <c r="BN1158" t="s">
        <v>74</v>
      </c>
      <c r="BO1158" t="s">
        <v>74</v>
      </c>
      <c r="BP1158" t="s">
        <v>74</v>
      </c>
      <c r="BQ1158" t="s">
        <v>74</v>
      </c>
      <c r="BR1158" t="s">
        <v>101</v>
      </c>
      <c r="BS1158" t="s">
        <v>21474</v>
      </c>
      <c r="BT1158" t="str">
        <f>HYPERLINK("https%3A%2F%2Fwww.webofscience.com%2Fwos%2Fwoscc%2Ffull-record%2FWOS:001139790400070","View Full Record in Web of Science")</f>
        <v>View Full Record in Web of Science</v>
      </c>
    </row>
    <row r="1159" spans="1:72" x14ac:dyDescent="0.2">
      <c r="A1159" t="s">
        <v>103</v>
      </c>
      <c r="B1159" t="s">
        <v>21475</v>
      </c>
      <c r="C1159" t="s">
        <v>74</v>
      </c>
      <c r="D1159" t="s">
        <v>74</v>
      </c>
      <c r="E1159" t="s">
        <v>74</v>
      </c>
      <c r="F1159" t="s">
        <v>21476</v>
      </c>
      <c r="G1159" t="s">
        <v>74</v>
      </c>
      <c r="H1159" t="s">
        <v>74</v>
      </c>
      <c r="I1159" t="s">
        <v>21477</v>
      </c>
      <c r="J1159" t="s">
        <v>11207</v>
      </c>
      <c r="K1159" t="s">
        <v>74</v>
      </c>
      <c r="L1159" t="s">
        <v>74</v>
      </c>
      <c r="M1159" t="s">
        <v>79</v>
      </c>
      <c r="N1159" t="s">
        <v>108</v>
      </c>
      <c r="O1159" t="s">
        <v>74</v>
      </c>
      <c r="P1159" t="s">
        <v>74</v>
      </c>
      <c r="Q1159" t="s">
        <v>74</v>
      </c>
      <c r="R1159" t="s">
        <v>74</v>
      </c>
      <c r="S1159" t="s">
        <v>74</v>
      </c>
      <c r="T1159" t="s">
        <v>74</v>
      </c>
      <c r="U1159" t="s">
        <v>21478</v>
      </c>
      <c r="V1159" t="s">
        <v>21479</v>
      </c>
      <c r="W1159" t="s">
        <v>21480</v>
      </c>
      <c r="X1159" t="s">
        <v>21481</v>
      </c>
      <c r="Y1159" t="s">
        <v>21482</v>
      </c>
      <c r="Z1159" t="s">
        <v>21483</v>
      </c>
      <c r="AA1159" t="s">
        <v>74</v>
      </c>
      <c r="AB1159" t="s">
        <v>21484</v>
      </c>
      <c r="AC1159" t="s">
        <v>21485</v>
      </c>
      <c r="AD1159" t="s">
        <v>7678</v>
      </c>
      <c r="AE1159" t="s">
        <v>21486</v>
      </c>
      <c r="AF1159" t="s">
        <v>74</v>
      </c>
      <c r="AG1159">
        <v>40</v>
      </c>
      <c r="AH1159">
        <v>1</v>
      </c>
      <c r="AI1159">
        <v>1</v>
      </c>
      <c r="AJ1159">
        <v>4</v>
      </c>
      <c r="AK1159">
        <v>7</v>
      </c>
      <c r="AL1159" t="s">
        <v>547</v>
      </c>
      <c r="AM1159" t="s">
        <v>548</v>
      </c>
      <c r="AN1159" t="s">
        <v>549</v>
      </c>
      <c r="AO1159" t="s">
        <v>11215</v>
      </c>
      <c r="AP1159" t="s">
        <v>11216</v>
      </c>
      <c r="AQ1159" t="s">
        <v>74</v>
      </c>
      <c r="AR1159" t="s">
        <v>11217</v>
      </c>
      <c r="AS1159" t="s">
        <v>11218</v>
      </c>
      <c r="AT1159" t="s">
        <v>21487</v>
      </c>
      <c r="AU1159">
        <v>2023</v>
      </c>
      <c r="AV1159">
        <v>63</v>
      </c>
      <c r="AW1159">
        <v>18</v>
      </c>
      <c r="AX1159" t="s">
        <v>74</v>
      </c>
      <c r="AY1159" t="s">
        <v>74</v>
      </c>
      <c r="AZ1159" t="s">
        <v>74</v>
      </c>
      <c r="BA1159" t="s">
        <v>74</v>
      </c>
      <c r="BB1159">
        <v>5755</v>
      </c>
      <c r="BC1159">
        <v>5763</v>
      </c>
      <c r="BD1159" t="s">
        <v>74</v>
      </c>
      <c r="BE1159" t="s">
        <v>21488</v>
      </c>
      <c r="BF1159" t="str">
        <f>HYPERLINK("http://dx.doi.org/10.1021/acs.jcim.3c00935","http://dx.doi.org/10.1021/acs.jcim.3c00935")</f>
        <v>http://dx.doi.org/10.1021/acs.jcim.3c00935</v>
      </c>
      <c r="BG1159" t="s">
        <v>74</v>
      </c>
      <c r="BH1159" t="s">
        <v>278</v>
      </c>
      <c r="BI1159">
        <v>9</v>
      </c>
      <c r="BJ1159" t="s">
        <v>11221</v>
      </c>
      <c r="BK1159" t="s">
        <v>130</v>
      </c>
      <c r="BL1159" t="s">
        <v>11222</v>
      </c>
      <c r="BM1159" t="s">
        <v>21489</v>
      </c>
      <c r="BN1159">
        <v>37683188</v>
      </c>
      <c r="BO1159" t="s">
        <v>74</v>
      </c>
      <c r="BP1159" t="s">
        <v>74</v>
      </c>
      <c r="BQ1159" t="s">
        <v>74</v>
      </c>
      <c r="BR1159" t="s">
        <v>101</v>
      </c>
      <c r="BS1159" t="s">
        <v>21490</v>
      </c>
      <c r="BT1159" t="str">
        <f>HYPERLINK("https%3A%2F%2Fwww.webofscience.com%2Fwos%2Fwoscc%2Ffull-record%2FWOS:001065435000001","View Full Record in Web of Science")</f>
        <v>View Full Record in Web of Science</v>
      </c>
    </row>
    <row r="1160" spans="1:72" x14ac:dyDescent="0.2">
      <c r="A1160" t="s">
        <v>103</v>
      </c>
      <c r="B1160" t="s">
        <v>21491</v>
      </c>
      <c r="C1160" t="s">
        <v>74</v>
      </c>
      <c r="D1160" t="s">
        <v>74</v>
      </c>
      <c r="E1160" t="s">
        <v>74</v>
      </c>
      <c r="F1160" t="s">
        <v>21492</v>
      </c>
      <c r="G1160" t="s">
        <v>74</v>
      </c>
      <c r="H1160" t="s">
        <v>74</v>
      </c>
      <c r="I1160" t="s">
        <v>21493</v>
      </c>
      <c r="J1160" t="s">
        <v>8586</v>
      </c>
      <c r="K1160" t="s">
        <v>74</v>
      </c>
      <c r="L1160" t="s">
        <v>74</v>
      </c>
      <c r="M1160" t="s">
        <v>79</v>
      </c>
      <c r="N1160" t="s">
        <v>108</v>
      </c>
      <c r="O1160" t="s">
        <v>74</v>
      </c>
      <c r="P1160" t="s">
        <v>74</v>
      </c>
      <c r="Q1160" t="s">
        <v>74</v>
      </c>
      <c r="R1160" t="s">
        <v>74</v>
      </c>
      <c r="S1160" t="s">
        <v>74</v>
      </c>
      <c r="T1160" t="s">
        <v>74</v>
      </c>
      <c r="U1160" t="s">
        <v>21494</v>
      </c>
      <c r="V1160" t="s">
        <v>21495</v>
      </c>
      <c r="W1160" t="s">
        <v>21496</v>
      </c>
      <c r="X1160" t="s">
        <v>21497</v>
      </c>
      <c r="Y1160" t="s">
        <v>21498</v>
      </c>
      <c r="Z1160" t="s">
        <v>21499</v>
      </c>
      <c r="AA1160" t="s">
        <v>21500</v>
      </c>
      <c r="AB1160" t="s">
        <v>21501</v>
      </c>
      <c r="AC1160" t="s">
        <v>21502</v>
      </c>
      <c r="AD1160" t="s">
        <v>21503</v>
      </c>
      <c r="AE1160" t="s">
        <v>21504</v>
      </c>
      <c r="AF1160" t="s">
        <v>74</v>
      </c>
      <c r="AG1160">
        <v>47</v>
      </c>
      <c r="AH1160">
        <v>4</v>
      </c>
      <c r="AI1160">
        <v>5</v>
      </c>
      <c r="AJ1160">
        <v>0</v>
      </c>
      <c r="AK1160">
        <v>1</v>
      </c>
      <c r="AL1160" t="s">
        <v>8598</v>
      </c>
      <c r="AM1160" t="s">
        <v>8599</v>
      </c>
      <c r="AN1160" t="s">
        <v>8600</v>
      </c>
      <c r="AO1160" t="s">
        <v>8601</v>
      </c>
      <c r="AP1160" t="s">
        <v>8602</v>
      </c>
      <c r="AQ1160" t="s">
        <v>74</v>
      </c>
      <c r="AR1160" t="s">
        <v>8603</v>
      </c>
      <c r="AS1160" t="s">
        <v>8604</v>
      </c>
      <c r="AT1160" t="s">
        <v>6625</v>
      </c>
      <c r="AU1160">
        <v>2023</v>
      </c>
      <c r="AV1160">
        <v>107</v>
      </c>
      <c r="AW1160">
        <v>5</v>
      </c>
      <c r="AX1160" t="s">
        <v>74</v>
      </c>
      <c r="AY1160" t="s">
        <v>74</v>
      </c>
      <c r="AZ1160" t="s">
        <v>74</v>
      </c>
      <c r="BA1160" t="s">
        <v>74</v>
      </c>
      <c r="BB1160" t="s">
        <v>74</v>
      </c>
      <c r="BC1160" t="s">
        <v>74</v>
      </c>
      <c r="BD1160">
        <v>56001</v>
      </c>
      <c r="BE1160" t="s">
        <v>21505</v>
      </c>
      <c r="BF1160" t="str">
        <f>HYPERLINK("http://dx.doi.org/10.1103/PhysRevD.107.056001","http://dx.doi.org/10.1103/PhysRevD.107.056001")</f>
        <v>http://dx.doi.org/10.1103/PhysRevD.107.056001</v>
      </c>
      <c r="BG1160" t="s">
        <v>74</v>
      </c>
      <c r="BH1160" t="s">
        <v>74</v>
      </c>
      <c r="BI1160">
        <v>8</v>
      </c>
      <c r="BJ1160" t="s">
        <v>8607</v>
      </c>
      <c r="BK1160" t="s">
        <v>130</v>
      </c>
      <c r="BL1160" t="s">
        <v>8608</v>
      </c>
      <c r="BM1160" t="s">
        <v>21506</v>
      </c>
      <c r="BN1160" t="s">
        <v>74</v>
      </c>
      <c r="BO1160" t="s">
        <v>2722</v>
      </c>
      <c r="BP1160" t="s">
        <v>74</v>
      </c>
      <c r="BQ1160" t="s">
        <v>74</v>
      </c>
      <c r="BR1160" t="s">
        <v>101</v>
      </c>
      <c r="BS1160" t="s">
        <v>21507</v>
      </c>
      <c r="BT1160" t="str">
        <f>HYPERLINK("https%3A%2F%2Fwww.webofscience.com%2Fwos%2Fwoscc%2Ffull-record%2FWOS:000943007500003","View Full Record in Web of Science")</f>
        <v>View Full Record in Web of Science</v>
      </c>
    </row>
    <row r="1161" spans="1:72" x14ac:dyDescent="0.2">
      <c r="A1161" t="s">
        <v>103</v>
      </c>
      <c r="B1161" t="s">
        <v>21508</v>
      </c>
      <c r="C1161" t="s">
        <v>74</v>
      </c>
      <c r="D1161" t="s">
        <v>74</v>
      </c>
      <c r="E1161" t="s">
        <v>74</v>
      </c>
      <c r="F1161" t="s">
        <v>21509</v>
      </c>
      <c r="G1161" t="s">
        <v>74</v>
      </c>
      <c r="H1161" t="s">
        <v>74</v>
      </c>
      <c r="I1161" t="s">
        <v>21510</v>
      </c>
      <c r="J1161" t="s">
        <v>107</v>
      </c>
      <c r="K1161" t="s">
        <v>74</v>
      </c>
      <c r="L1161" t="s">
        <v>74</v>
      </c>
      <c r="M1161" t="s">
        <v>79</v>
      </c>
      <c r="N1161" t="s">
        <v>108</v>
      </c>
      <c r="O1161" t="s">
        <v>74</v>
      </c>
      <c r="P1161" t="s">
        <v>74</v>
      </c>
      <c r="Q1161" t="s">
        <v>74</v>
      </c>
      <c r="R1161" t="s">
        <v>74</v>
      </c>
      <c r="S1161" t="s">
        <v>74</v>
      </c>
      <c r="T1161" t="s">
        <v>21511</v>
      </c>
      <c r="U1161" t="s">
        <v>21512</v>
      </c>
      <c r="V1161" t="s">
        <v>21513</v>
      </c>
      <c r="W1161" t="s">
        <v>21514</v>
      </c>
      <c r="X1161" t="s">
        <v>21515</v>
      </c>
      <c r="Y1161" t="s">
        <v>21516</v>
      </c>
      <c r="Z1161" t="s">
        <v>21517</v>
      </c>
      <c r="AA1161" t="s">
        <v>21518</v>
      </c>
      <c r="AB1161" t="s">
        <v>21519</v>
      </c>
      <c r="AC1161" t="s">
        <v>21520</v>
      </c>
      <c r="AD1161" t="s">
        <v>21521</v>
      </c>
      <c r="AE1161" t="s">
        <v>21522</v>
      </c>
      <c r="AF1161" t="s">
        <v>74</v>
      </c>
      <c r="AG1161">
        <v>135</v>
      </c>
      <c r="AH1161">
        <v>6</v>
      </c>
      <c r="AI1161">
        <v>7</v>
      </c>
      <c r="AJ1161">
        <v>20</v>
      </c>
      <c r="AK1161">
        <v>24</v>
      </c>
      <c r="AL1161" t="s">
        <v>119</v>
      </c>
      <c r="AM1161" t="s">
        <v>120</v>
      </c>
      <c r="AN1161" t="s">
        <v>121</v>
      </c>
      <c r="AO1161" t="s">
        <v>122</v>
      </c>
      <c r="AP1161" t="s">
        <v>123</v>
      </c>
      <c r="AQ1161" t="s">
        <v>74</v>
      </c>
      <c r="AR1161" t="s">
        <v>124</v>
      </c>
      <c r="AS1161" t="s">
        <v>125</v>
      </c>
      <c r="AT1161" t="s">
        <v>791</v>
      </c>
      <c r="AU1161">
        <v>2023</v>
      </c>
      <c r="AV1161">
        <v>123</v>
      </c>
      <c r="AW1161" t="s">
        <v>74</v>
      </c>
      <c r="AX1161" t="s">
        <v>9937</v>
      </c>
      <c r="AY1161" t="s">
        <v>74</v>
      </c>
      <c r="AZ1161" t="s">
        <v>74</v>
      </c>
      <c r="BA1161" t="s">
        <v>74</v>
      </c>
      <c r="BB1161" t="s">
        <v>74</v>
      </c>
      <c r="BC1161" t="s">
        <v>74</v>
      </c>
      <c r="BD1161">
        <v>106361</v>
      </c>
      <c r="BE1161" t="s">
        <v>21523</v>
      </c>
      <c r="BF1161" t="str">
        <f>HYPERLINK("http://dx.doi.org/10.1016/j.engappai.2023.106361","http://dx.doi.org/10.1016/j.engappai.2023.106361")</f>
        <v>http://dx.doi.org/10.1016/j.engappai.2023.106361</v>
      </c>
      <c r="BG1161" t="s">
        <v>74</v>
      </c>
      <c r="BH1161" t="s">
        <v>2889</v>
      </c>
      <c r="BI1161">
        <v>17</v>
      </c>
      <c r="BJ1161" t="s">
        <v>129</v>
      </c>
      <c r="BK1161" t="s">
        <v>130</v>
      </c>
      <c r="BL1161" t="s">
        <v>131</v>
      </c>
      <c r="BM1161" t="s">
        <v>21524</v>
      </c>
      <c r="BN1161" t="s">
        <v>74</v>
      </c>
      <c r="BO1161" t="s">
        <v>646</v>
      </c>
      <c r="BP1161" t="s">
        <v>74</v>
      </c>
      <c r="BQ1161" t="s">
        <v>74</v>
      </c>
      <c r="BR1161" t="s">
        <v>101</v>
      </c>
      <c r="BS1161" t="s">
        <v>21525</v>
      </c>
      <c r="BT1161" t="str">
        <f>HYPERLINK("https%3A%2F%2Fwww.webofscience.com%2Fwos%2Fwoscc%2Ffull-record%2FWOS:001005604800001","View Full Record in Web of Science")</f>
        <v>View Full Record in Web of Science</v>
      </c>
    </row>
    <row r="1162" spans="1:72" x14ac:dyDescent="0.2">
      <c r="A1162" t="s">
        <v>103</v>
      </c>
      <c r="B1162" t="s">
        <v>21526</v>
      </c>
      <c r="C1162" t="s">
        <v>74</v>
      </c>
      <c r="D1162" t="s">
        <v>74</v>
      </c>
      <c r="E1162" t="s">
        <v>74</v>
      </c>
      <c r="F1162" t="s">
        <v>21527</v>
      </c>
      <c r="G1162" t="s">
        <v>74</v>
      </c>
      <c r="H1162" t="s">
        <v>74</v>
      </c>
      <c r="I1162" t="s">
        <v>21528</v>
      </c>
      <c r="J1162" t="s">
        <v>13037</v>
      </c>
      <c r="K1162" t="s">
        <v>74</v>
      </c>
      <c r="L1162" t="s">
        <v>74</v>
      </c>
      <c r="M1162" t="s">
        <v>79</v>
      </c>
      <c r="N1162" t="s">
        <v>108</v>
      </c>
      <c r="O1162" t="s">
        <v>74</v>
      </c>
      <c r="P1162" t="s">
        <v>74</v>
      </c>
      <c r="Q1162" t="s">
        <v>74</v>
      </c>
      <c r="R1162" t="s">
        <v>74</v>
      </c>
      <c r="S1162" t="s">
        <v>74</v>
      </c>
      <c r="T1162" t="s">
        <v>21529</v>
      </c>
      <c r="U1162" t="s">
        <v>21024</v>
      </c>
      <c r="V1162" t="s">
        <v>21530</v>
      </c>
      <c r="W1162" t="s">
        <v>21531</v>
      </c>
      <c r="X1162" t="s">
        <v>21532</v>
      </c>
      <c r="Y1162" t="s">
        <v>21533</v>
      </c>
      <c r="Z1162" t="s">
        <v>21534</v>
      </c>
      <c r="AA1162" t="s">
        <v>21535</v>
      </c>
      <c r="AB1162" t="s">
        <v>21536</v>
      </c>
      <c r="AC1162" t="s">
        <v>21537</v>
      </c>
      <c r="AD1162" t="s">
        <v>21538</v>
      </c>
      <c r="AE1162" t="s">
        <v>21539</v>
      </c>
      <c r="AF1162" t="s">
        <v>74</v>
      </c>
      <c r="AG1162">
        <v>53</v>
      </c>
      <c r="AH1162">
        <v>1</v>
      </c>
      <c r="AI1162">
        <v>1</v>
      </c>
      <c r="AJ1162">
        <v>36</v>
      </c>
      <c r="AK1162">
        <v>36</v>
      </c>
      <c r="AL1162" t="s">
        <v>939</v>
      </c>
      <c r="AM1162" t="s">
        <v>940</v>
      </c>
      <c r="AN1162" t="s">
        <v>941</v>
      </c>
      <c r="AO1162" t="s">
        <v>74</v>
      </c>
      <c r="AP1162" t="s">
        <v>13048</v>
      </c>
      <c r="AQ1162" t="s">
        <v>74</v>
      </c>
      <c r="AR1162" t="s">
        <v>13049</v>
      </c>
      <c r="AS1162" t="s">
        <v>13049</v>
      </c>
      <c r="AT1162" t="s">
        <v>771</v>
      </c>
      <c r="AU1162">
        <v>2023</v>
      </c>
      <c r="AV1162">
        <v>13</v>
      </c>
      <c r="AW1162">
        <v>9</v>
      </c>
      <c r="AX1162" t="s">
        <v>74</v>
      </c>
      <c r="AY1162" t="s">
        <v>74</v>
      </c>
      <c r="AZ1162" t="s">
        <v>74</v>
      </c>
      <c r="BA1162" t="s">
        <v>74</v>
      </c>
      <c r="BB1162" t="s">
        <v>74</v>
      </c>
      <c r="BC1162" t="s">
        <v>74</v>
      </c>
      <c r="BD1162">
        <v>2285</v>
      </c>
      <c r="BE1162" t="s">
        <v>21540</v>
      </c>
      <c r="BF1162" t="str">
        <f>HYPERLINK("http://dx.doi.org/10.3390/buildings13092285","http://dx.doi.org/10.3390/buildings13092285")</f>
        <v>http://dx.doi.org/10.3390/buildings13092285</v>
      </c>
      <c r="BG1162" t="s">
        <v>74</v>
      </c>
      <c r="BH1162" t="s">
        <v>74</v>
      </c>
      <c r="BI1162">
        <v>16</v>
      </c>
      <c r="BJ1162" t="s">
        <v>13051</v>
      </c>
      <c r="BK1162" t="s">
        <v>130</v>
      </c>
      <c r="BL1162" t="s">
        <v>13052</v>
      </c>
      <c r="BM1162" t="s">
        <v>21541</v>
      </c>
      <c r="BN1162" t="s">
        <v>74</v>
      </c>
      <c r="BO1162" t="s">
        <v>425</v>
      </c>
      <c r="BP1162" t="s">
        <v>74</v>
      </c>
      <c r="BQ1162" t="s">
        <v>74</v>
      </c>
      <c r="BR1162" t="s">
        <v>101</v>
      </c>
      <c r="BS1162" t="s">
        <v>21542</v>
      </c>
      <c r="BT1162" t="str">
        <f>HYPERLINK("https%3A%2F%2Fwww.webofscience.com%2Fwos%2Fwoscc%2Ffull-record%2FWOS:001076999100001","View Full Record in Web of Science")</f>
        <v>View Full Record in Web of Science</v>
      </c>
    </row>
    <row r="1163" spans="1:72" x14ac:dyDescent="0.2">
      <c r="A1163" t="s">
        <v>103</v>
      </c>
      <c r="B1163" t="s">
        <v>21543</v>
      </c>
      <c r="C1163" t="s">
        <v>74</v>
      </c>
      <c r="D1163" t="s">
        <v>74</v>
      </c>
      <c r="E1163" t="s">
        <v>74</v>
      </c>
      <c r="F1163" t="s">
        <v>21544</v>
      </c>
      <c r="G1163" t="s">
        <v>74</v>
      </c>
      <c r="H1163" t="s">
        <v>74</v>
      </c>
      <c r="I1163" t="s">
        <v>21545</v>
      </c>
      <c r="J1163" t="s">
        <v>4686</v>
      </c>
      <c r="K1163" t="s">
        <v>74</v>
      </c>
      <c r="L1163" t="s">
        <v>74</v>
      </c>
      <c r="M1163" t="s">
        <v>79</v>
      </c>
      <c r="N1163" t="s">
        <v>108</v>
      </c>
      <c r="O1163" t="s">
        <v>74</v>
      </c>
      <c r="P1163" t="s">
        <v>74</v>
      </c>
      <c r="Q1163" t="s">
        <v>74</v>
      </c>
      <c r="R1163" t="s">
        <v>74</v>
      </c>
      <c r="S1163" t="s">
        <v>74</v>
      </c>
      <c r="T1163" t="s">
        <v>21546</v>
      </c>
      <c r="U1163" t="s">
        <v>74</v>
      </c>
      <c r="V1163" t="s">
        <v>21547</v>
      </c>
      <c r="W1163" t="s">
        <v>21548</v>
      </c>
      <c r="X1163" t="s">
        <v>21549</v>
      </c>
      <c r="Y1163" t="s">
        <v>21550</v>
      </c>
      <c r="Z1163" t="s">
        <v>21551</v>
      </c>
      <c r="AA1163" t="s">
        <v>74</v>
      </c>
      <c r="AB1163" t="s">
        <v>74</v>
      </c>
      <c r="AC1163" t="s">
        <v>74</v>
      </c>
      <c r="AD1163" t="s">
        <v>74</v>
      </c>
      <c r="AE1163" t="s">
        <v>74</v>
      </c>
      <c r="AF1163" t="s">
        <v>74</v>
      </c>
      <c r="AG1163">
        <v>17</v>
      </c>
      <c r="AH1163">
        <v>6</v>
      </c>
      <c r="AI1163">
        <v>6</v>
      </c>
      <c r="AJ1163">
        <v>13</v>
      </c>
      <c r="AK1163">
        <v>16</v>
      </c>
      <c r="AL1163" t="s">
        <v>2032</v>
      </c>
      <c r="AM1163" t="s">
        <v>149</v>
      </c>
      <c r="AN1163" t="s">
        <v>2033</v>
      </c>
      <c r="AO1163" t="s">
        <v>74</v>
      </c>
      <c r="AP1163" t="s">
        <v>4694</v>
      </c>
      <c r="AQ1163" t="s">
        <v>74</v>
      </c>
      <c r="AR1163" t="s">
        <v>4695</v>
      </c>
      <c r="AS1163" t="s">
        <v>4696</v>
      </c>
      <c r="AT1163" t="s">
        <v>21552</v>
      </c>
      <c r="AU1163">
        <v>2023</v>
      </c>
      <c r="AV1163">
        <v>15</v>
      </c>
      <c r="AW1163">
        <v>4</v>
      </c>
      <c r="AX1163" t="s">
        <v>74</v>
      </c>
      <c r="AY1163" t="s">
        <v>74</v>
      </c>
      <c r="AZ1163" t="s">
        <v>74</v>
      </c>
      <c r="BA1163" t="s">
        <v>74</v>
      </c>
      <c r="BB1163" t="s">
        <v>74</v>
      </c>
      <c r="BC1163" t="s">
        <v>74</v>
      </c>
      <c r="BD1163" t="s">
        <v>21553</v>
      </c>
      <c r="BE1163" t="s">
        <v>21554</v>
      </c>
      <c r="BF1163" t="str">
        <f>HYPERLINK("http://dx.doi.org/10.7759/cureus.38166","http://dx.doi.org/10.7759/cureus.38166")</f>
        <v>http://dx.doi.org/10.7759/cureus.38166</v>
      </c>
      <c r="BG1163" t="s">
        <v>74</v>
      </c>
      <c r="BH1163" t="s">
        <v>74</v>
      </c>
      <c r="BI1163">
        <v>16</v>
      </c>
      <c r="BJ1163" t="s">
        <v>3440</v>
      </c>
      <c r="BK1163" t="s">
        <v>352</v>
      </c>
      <c r="BL1163" t="s">
        <v>3441</v>
      </c>
      <c r="BM1163" t="s">
        <v>21555</v>
      </c>
      <c r="BN1163">
        <v>37252576</v>
      </c>
      <c r="BO1163" t="s">
        <v>4185</v>
      </c>
      <c r="BP1163" t="s">
        <v>74</v>
      </c>
      <c r="BQ1163" t="s">
        <v>74</v>
      </c>
      <c r="BR1163" t="s">
        <v>101</v>
      </c>
      <c r="BS1163" t="s">
        <v>21556</v>
      </c>
      <c r="BT1163" t="str">
        <f>HYPERLINK("https%3A%2F%2Fwww.webofscience.com%2Fwos%2Fwoscc%2Ffull-record%2FWOS:001046558300031","View Full Record in Web of Science")</f>
        <v>View Full Record in Web of Science</v>
      </c>
    </row>
    <row r="1164" spans="1:72" x14ac:dyDescent="0.2">
      <c r="A1164" t="s">
        <v>103</v>
      </c>
      <c r="B1164" t="s">
        <v>21557</v>
      </c>
      <c r="C1164" t="s">
        <v>74</v>
      </c>
      <c r="D1164" t="s">
        <v>74</v>
      </c>
      <c r="E1164" t="s">
        <v>74</v>
      </c>
      <c r="F1164" t="s">
        <v>21558</v>
      </c>
      <c r="G1164" t="s">
        <v>74</v>
      </c>
      <c r="H1164" t="s">
        <v>74</v>
      </c>
      <c r="I1164" t="s">
        <v>21559</v>
      </c>
      <c r="J1164" t="s">
        <v>21560</v>
      </c>
      <c r="K1164" t="s">
        <v>74</v>
      </c>
      <c r="L1164" t="s">
        <v>74</v>
      </c>
      <c r="M1164" t="s">
        <v>79</v>
      </c>
      <c r="N1164" t="s">
        <v>108</v>
      </c>
      <c r="O1164" t="s">
        <v>74</v>
      </c>
      <c r="P1164" t="s">
        <v>74</v>
      </c>
      <c r="Q1164" t="s">
        <v>74</v>
      </c>
      <c r="R1164" t="s">
        <v>74</v>
      </c>
      <c r="S1164" t="s">
        <v>74</v>
      </c>
      <c r="T1164" t="s">
        <v>21561</v>
      </c>
      <c r="U1164" t="s">
        <v>21562</v>
      </c>
      <c r="V1164" t="s">
        <v>21563</v>
      </c>
      <c r="W1164" t="s">
        <v>21564</v>
      </c>
      <c r="X1164" t="s">
        <v>21565</v>
      </c>
      <c r="Y1164" t="s">
        <v>21566</v>
      </c>
      <c r="Z1164" t="s">
        <v>21567</v>
      </c>
      <c r="AA1164" t="s">
        <v>21568</v>
      </c>
      <c r="AB1164" t="s">
        <v>21569</v>
      </c>
      <c r="AC1164" t="s">
        <v>21570</v>
      </c>
      <c r="AD1164" t="s">
        <v>21571</v>
      </c>
      <c r="AE1164" t="s">
        <v>21572</v>
      </c>
      <c r="AF1164" t="s">
        <v>74</v>
      </c>
      <c r="AG1164">
        <v>38</v>
      </c>
      <c r="AH1164">
        <v>7</v>
      </c>
      <c r="AI1164">
        <v>7</v>
      </c>
      <c r="AJ1164">
        <v>5</v>
      </c>
      <c r="AK1164">
        <v>7</v>
      </c>
      <c r="AL1164" t="s">
        <v>343</v>
      </c>
      <c r="AM1164" t="s">
        <v>93</v>
      </c>
      <c r="AN1164" t="s">
        <v>344</v>
      </c>
      <c r="AO1164" t="s">
        <v>21573</v>
      </c>
      <c r="AP1164" t="s">
        <v>21574</v>
      </c>
      <c r="AQ1164" t="s">
        <v>74</v>
      </c>
      <c r="AR1164" t="s">
        <v>21575</v>
      </c>
      <c r="AS1164" t="s">
        <v>21576</v>
      </c>
      <c r="AT1164" t="s">
        <v>21577</v>
      </c>
      <c r="AU1164">
        <v>2023</v>
      </c>
      <c r="AV1164">
        <v>22</v>
      </c>
      <c r="AW1164">
        <v>1</v>
      </c>
      <c r="AX1164" t="s">
        <v>74</v>
      </c>
      <c r="AY1164" t="s">
        <v>74</v>
      </c>
      <c r="AZ1164" t="s">
        <v>74</v>
      </c>
      <c r="BA1164" t="s">
        <v>74</v>
      </c>
      <c r="BB1164" t="s">
        <v>74</v>
      </c>
      <c r="BC1164" t="s">
        <v>74</v>
      </c>
      <c r="BD1164">
        <v>66</v>
      </c>
      <c r="BE1164" t="s">
        <v>21578</v>
      </c>
      <c r="BF1164" t="str">
        <f>HYPERLINK("http://dx.doi.org/10.1007/s11128-022-03806-0","http://dx.doi.org/10.1007/s11128-022-03806-0")</f>
        <v>http://dx.doi.org/10.1007/s11128-022-03806-0</v>
      </c>
      <c r="BG1164" t="s">
        <v>74</v>
      </c>
      <c r="BH1164" t="s">
        <v>74</v>
      </c>
      <c r="BI1164">
        <v>20</v>
      </c>
      <c r="BJ1164" t="s">
        <v>21579</v>
      </c>
      <c r="BK1164" t="s">
        <v>130</v>
      </c>
      <c r="BL1164" t="s">
        <v>6827</v>
      </c>
      <c r="BM1164" t="s">
        <v>21580</v>
      </c>
      <c r="BN1164" t="s">
        <v>74</v>
      </c>
      <c r="BO1164" t="s">
        <v>646</v>
      </c>
      <c r="BP1164" t="s">
        <v>74</v>
      </c>
      <c r="BQ1164" t="s">
        <v>74</v>
      </c>
      <c r="BR1164" t="s">
        <v>101</v>
      </c>
      <c r="BS1164" t="s">
        <v>21581</v>
      </c>
      <c r="BT1164" t="str">
        <f>HYPERLINK("https%3A%2F%2Fwww.webofscience.com%2Fwos%2Fwoscc%2Ffull-record%2FWOS:000935290100005","View Full Record in Web of Science")</f>
        <v>View Full Record in Web of Science</v>
      </c>
    </row>
    <row r="1165" spans="1:72" x14ac:dyDescent="0.2">
      <c r="A1165" t="s">
        <v>72</v>
      </c>
      <c r="B1165" t="s">
        <v>21582</v>
      </c>
      <c r="C1165" t="s">
        <v>74</v>
      </c>
      <c r="D1165" t="s">
        <v>74</v>
      </c>
      <c r="E1165" t="s">
        <v>75</v>
      </c>
      <c r="F1165" t="s">
        <v>21583</v>
      </c>
      <c r="G1165" t="s">
        <v>74</v>
      </c>
      <c r="H1165" t="s">
        <v>74</v>
      </c>
      <c r="I1165" t="s">
        <v>21584</v>
      </c>
      <c r="J1165" t="s">
        <v>869</v>
      </c>
      <c r="K1165" t="s">
        <v>74</v>
      </c>
      <c r="L1165" t="s">
        <v>74</v>
      </c>
      <c r="M1165" t="s">
        <v>79</v>
      </c>
      <c r="N1165" t="s">
        <v>80</v>
      </c>
      <c r="O1165" t="s">
        <v>870</v>
      </c>
      <c r="P1165" t="s">
        <v>871</v>
      </c>
      <c r="Q1165" t="s">
        <v>872</v>
      </c>
      <c r="R1165" t="s">
        <v>873</v>
      </c>
      <c r="S1165" t="s">
        <v>74</v>
      </c>
      <c r="T1165" t="s">
        <v>21585</v>
      </c>
      <c r="U1165" t="s">
        <v>74</v>
      </c>
      <c r="V1165" t="s">
        <v>21586</v>
      </c>
      <c r="W1165" t="s">
        <v>21587</v>
      </c>
      <c r="X1165" t="s">
        <v>21588</v>
      </c>
      <c r="Y1165" t="s">
        <v>21589</v>
      </c>
      <c r="Z1165" t="s">
        <v>21590</v>
      </c>
      <c r="AA1165" t="s">
        <v>74</v>
      </c>
      <c r="AB1165" t="s">
        <v>74</v>
      </c>
      <c r="AC1165" t="s">
        <v>21591</v>
      </c>
      <c r="AD1165" t="s">
        <v>21592</v>
      </c>
      <c r="AE1165" t="s">
        <v>21593</v>
      </c>
      <c r="AF1165" t="s">
        <v>74</v>
      </c>
      <c r="AG1165">
        <v>59</v>
      </c>
      <c r="AH1165">
        <v>0</v>
      </c>
      <c r="AI1165">
        <v>0</v>
      </c>
      <c r="AJ1165">
        <v>1</v>
      </c>
      <c r="AK1165">
        <v>1</v>
      </c>
      <c r="AL1165" t="s">
        <v>92</v>
      </c>
      <c r="AM1165" t="s">
        <v>93</v>
      </c>
      <c r="AN1165" t="s">
        <v>94</v>
      </c>
      <c r="AO1165" t="s">
        <v>74</v>
      </c>
      <c r="AP1165" t="s">
        <v>74</v>
      </c>
      <c r="AQ1165" t="s">
        <v>881</v>
      </c>
      <c r="AR1165" t="s">
        <v>74</v>
      </c>
      <c r="AS1165" t="s">
        <v>74</v>
      </c>
      <c r="AT1165" t="s">
        <v>74</v>
      </c>
      <c r="AU1165">
        <v>2023</v>
      </c>
      <c r="AV1165" t="s">
        <v>74</v>
      </c>
      <c r="AW1165" t="s">
        <v>74</v>
      </c>
      <c r="AX1165" t="s">
        <v>74</v>
      </c>
      <c r="AY1165" t="s">
        <v>74</v>
      </c>
      <c r="AZ1165" t="s">
        <v>74</v>
      </c>
      <c r="BA1165" t="s">
        <v>74</v>
      </c>
      <c r="BB1165">
        <v>4530</v>
      </c>
      <c r="BC1165">
        <v>4537</v>
      </c>
      <c r="BD1165" t="s">
        <v>74</v>
      </c>
      <c r="BE1165" t="s">
        <v>21594</v>
      </c>
      <c r="BF1165" t="str">
        <f>HYPERLINK("http://dx.doi.org/10.1145/3583780.3614729","http://dx.doi.org/10.1145/3583780.3614729")</f>
        <v>http://dx.doi.org/10.1145/3583780.3614729</v>
      </c>
      <c r="BG1165" t="s">
        <v>74</v>
      </c>
      <c r="BH1165" t="s">
        <v>74</v>
      </c>
      <c r="BI1165">
        <v>8</v>
      </c>
      <c r="BJ1165" t="s">
        <v>883</v>
      </c>
      <c r="BK1165" t="s">
        <v>98</v>
      </c>
      <c r="BL1165" t="s">
        <v>99</v>
      </c>
      <c r="BM1165" t="s">
        <v>884</v>
      </c>
      <c r="BN1165" t="s">
        <v>74</v>
      </c>
      <c r="BO1165" t="s">
        <v>74</v>
      </c>
      <c r="BP1165" t="s">
        <v>74</v>
      </c>
      <c r="BQ1165" t="s">
        <v>74</v>
      </c>
      <c r="BR1165" t="s">
        <v>101</v>
      </c>
      <c r="BS1165" t="s">
        <v>21595</v>
      </c>
      <c r="BT1165" t="str">
        <f>HYPERLINK("https%3A%2F%2Fwww.webofscience.com%2Fwos%2Fwoscc%2Ffull-record%2FWOS:001161549504108","View Full Record in Web of Science")</f>
        <v>View Full Record in Web of Science</v>
      </c>
    </row>
    <row r="1166" spans="1:72" x14ac:dyDescent="0.2">
      <c r="A1166" t="s">
        <v>72</v>
      </c>
      <c r="B1166" t="s">
        <v>21596</v>
      </c>
      <c r="C1166" t="s">
        <v>74</v>
      </c>
      <c r="D1166" t="s">
        <v>74</v>
      </c>
      <c r="E1166" t="s">
        <v>284</v>
      </c>
      <c r="F1166" t="s">
        <v>21597</v>
      </c>
      <c r="G1166" t="s">
        <v>74</v>
      </c>
      <c r="H1166" t="s">
        <v>74</v>
      </c>
      <c r="I1166" t="s">
        <v>21598</v>
      </c>
      <c r="J1166" t="s">
        <v>20771</v>
      </c>
      <c r="K1166" t="s">
        <v>20772</v>
      </c>
      <c r="L1166" t="s">
        <v>74</v>
      </c>
      <c r="M1166" t="s">
        <v>79</v>
      </c>
      <c r="N1166" t="s">
        <v>80</v>
      </c>
      <c r="O1166" t="s">
        <v>20773</v>
      </c>
      <c r="P1166" t="s">
        <v>20774</v>
      </c>
      <c r="Q1166" t="s">
        <v>2831</v>
      </c>
      <c r="R1166" t="s">
        <v>20775</v>
      </c>
      <c r="S1166" t="s">
        <v>74</v>
      </c>
      <c r="T1166" t="s">
        <v>21599</v>
      </c>
      <c r="U1166" t="s">
        <v>74</v>
      </c>
      <c r="V1166" t="s">
        <v>21600</v>
      </c>
      <c r="W1166" t="s">
        <v>21601</v>
      </c>
      <c r="X1166" t="s">
        <v>21602</v>
      </c>
      <c r="Y1166" t="s">
        <v>21603</v>
      </c>
      <c r="Z1166" t="s">
        <v>21604</v>
      </c>
      <c r="AA1166" t="s">
        <v>74</v>
      </c>
      <c r="AB1166" t="s">
        <v>74</v>
      </c>
      <c r="AC1166" t="s">
        <v>21605</v>
      </c>
      <c r="AD1166" t="s">
        <v>21606</v>
      </c>
      <c r="AE1166" t="s">
        <v>21607</v>
      </c>
      <c r="AF1166" t="s">
        <v>74</v>
      </c>
      <c r="AG1166">
        <v>6</v>
      </c>
      <c r="AH1166">
        <v>0</v>
      </c>
      <c r="AI1166">
        <v>0</v>
      </c>
      <c r="AJ1166">
        <v>4</v>
      </c>
      <c r="AK1166">
        <v>4</v>
      </c>
      <c r="AL1166" t="s">
        <v>284</v>
      </c>
      <c r="AM1166" t="s">
        <v>93</v>
      </c>
      <c r="AN1166" t="s">
        <v>299</v>
      </c>
      <c r="AO1166" t="s">
        <v>20784</v>
      </c>
      <c r="AP1166" t="s">
        <v>74</v>
      </c>
      <c r="AQ1166" t="s">
        <v>20785</v>
      </c>
      <c r="AR1166" t="s">
        <v>20786</v>
      </c>
      <c r="AS1166" t="s">
        <v>74</v>
      </c>
      <c r="AT1166" t="s">
        <v>74</v>
      </c>
      <c r="AU1166">
        <v>2023</v>
      </c>
      <c r="AV1166" t="s">
        <v>74</v>
      </c>
      <c r="AW1166" t="s">
        <v>74</v>
      </c>
      <c r="AX1166" t="s">
        <v>74</v>
      </c>
      <c r="AY1166" t="s">
        <v>74</v>
      </c>
      <c r="AZ1166" t="s">
        <v>74</v>
      </c>
      <c r="BA1166" t="s">
        <v>74</v>
      </c>
      <c r="BB1166" t="s">
        <v>74</v>
      </c>
      <c r="BC1166" t="s">
        <v>74</v>
      </c>
      <c r="BD1166" t="s">
        <v>74</v>
      </c>
      <c r="BE1166" t="s">
        <v>21608</v>
      </c>
      <c r="BF1166" t="str">
        <f>HYPERLINK("http://dx.doi.org/10.1109/BHI58575.2023.10313354","http://dx.doi.org/10.1109/BHI58575.2023.10313354")</f>
        <v>http://dx.doi.org/10.1109/BHI58575.2023.10313354</v>
      </c>
      <c r="BG1166" t="s">
        <v>74</v>
      </c>
      <c r="BH1166" t="s">
        <v>74</v>
      </c>
      <c r="BI1166">
        <v>4</v>
      </c>
      <c r="BJ1166" t="s">
        <v>20788</v>
      </c>
      <c r="BK1166" t="s">
        <v>98</v>
      </c>
      <c r="BL1166" t="s">
        <v>6455</v>
      </c>
      <c r="BM1166" t="s">
        <v>20789</v>
      </c>
      <c r="BN1166" t="s">
        <v>74</v>
      </c>
      <c r="BO1166" t="s">
        <v>74</v>
      </c>
      <c r="BP1166" t="s">
        <v>74</v>
      </c>
      <c r="BQ1166" t="s">
        <v>74</v>
      </c>
      <c r="BR1166" t="s">
        <v>101</v>
      </c>
      <c r="BS1166" t="s">
        <v>21609</v>
      </c>
      <c r="BT1166" t="str">
        <f>HYPERLINK("https%3A%2F%2Fwww.webofscience.com%2Fwos%2Fwoscc%2Ffull-record%2FWOS:001107519300002","View Full Record in Web of Science")</f>
        <v>View Full Record in Web of Science</v>
      </c>
    </row>
    <row r="1167" spans="1:72" x14ac:dyDescent="0.2">
      <c r="A1167" t="s">
        <v>103</v>
      </c>
      <c r="B1167" t="s">
        <v>21610</v>
      </c>
      <c r="C1167" t="s">
        <v>74</v>
      </c>
      <c r="D1167" t="s">
        <v>74</v>
      </c>
      <c r="E1167" t="s">
        <v>74</v>
      </c>
      <c r="F1167" t="s">
        <v>21611</v>
      </c>
      <c r="G1167" t="s">
        <v>74</v>
      </c>
      <c r="H1167" t="s">
        <v>74</v>
      </c>
      <c r="I1167" t="s">
        <v>21612</v>
      </c>
      <c r="J1167" t="s">
        <v>4686</v>
      </c>
      <c r="K1167" t="s">
        <v>74</v>
      </c>
      <c r="L1167" t="s">
        <v>74</v>
      </c>
      <c r="M1167" t="s">
        <v>79</v>
      </c>
      <c r="N1167" t="s">
        <v>108</v>
      </c>
      <c r="O1167" t="s">
        <v>74</v>
      </c>
      <c r="P1167" t="s">
        <v>74</v>
      </c>
      <c r="Q1167" t="s">
        <v>74</v>
      </c>
      <c r="R1167" t="s">
        <v>74</v>
      </c>
      <c r="S1167" t="s">
        <v>74</v>
      </c>
      <c r="T1167" t="s">
        <v>21613</v>
      </c>
      <c r="U1167" t="s">
        <v>74</v>
      </c>
      <c r="V1167" t="s">
        <v>21614</v>
      </c>
      <c r="W1167" t="s">
        <v>21615</v>
      </c>
      <c r="X1167" t="s">
        <v>21616</v>
      </c>
      <c r="Y1167" t="s">
        <v>21617</v>
      </c>
      <c r="Z1167" t="s">
        <v>21618</v>
      </c>
      <c r="AA1167" t="s">
        <v>74</v>
      </c>
      <c r="AB1167" t="s">
        <v>74</v>
      </c>
      <c r="AC1167" t="s">
        <v>74</v>
      </c>
      <c r="AD1167" t="s">
        <v>74</v>
      </c>
      <c r="AE1167" t="s">
        <v>74</v>
      </c>
      <c r="AF1167" t="s">
        <v>74</v>
      </c>
      <c r="AG1167">
        <v>7</v>
      </c>
      <c r="AH1167">
        <v>0</v>
      </c>
      <c r="AI1167">
        <v>0</v>
      </c>
      <c r="AJ1167">
        <v>0</v>
      </c>
      <c r="AK1167">
        <v>0</v>
      </c>
      <c r="AL1167" t="s">
        <v>2032</v>
      </c>
      <c r="AM1167" t="s">
        <v>149</v>
      </c>
      <c r="AN1167" t="s">
        <v>2033</v>
      </c>
      <c r="AO1167" t="s">
        <v>74</v>
      </c>
      <c r="AP1167" t="s">
        <v>4694</v>
      </c>
      <c r="AQ1167" t="s">
        <v>74</v>
      </c>
      <c r="AR1167" t="s">
        <v>4695</v>
      </c>
      <c r="AS1167" t="s">
        <v>4696</v>
      </c>
      <c r="AT1167" t="s">
        <v>21619</v>
      </c>
      <c r="AU1167">
        <v>2023</v>
      </c>
      <c r="AV1167">
        <v>15</v>
      </c>
      <c r="AW1167">
        <v>5</v>
      </c>
      <c r="AX1167" t="s">
        <v>74</v>
      </c>
      <c r="AY1167" t="s">
        <v>74</v>
      </c>
      <c r="AZ1167" t="s">
        <v>74</v>
      </c>
      <c r="BA1167" t="s">
        <v>74</v>
      </c>
      <c r="BB1167" t="s">
        <v>74</v>
      </c>
      <c r="BC1167" t="s">
        <v>74</v>
      </c>
      <c r="BD1167" t="s">
        <v>21620</v>
      </c>
      <c r="BE1167" t="s">
        <v>21621</v>
      </c>
      <c r="BF1167" t="str">
        <f>HYPERLINK("http://dx.doi.org/10.7759/cureus.39288","http://dx.doi.org/10.7759/cureus.39288")</f>
        <v>http://dx.doi.org/10.7759/cureus.39288</v>
      </c>
      <c r="BG1167" t="s">
        <v>74</v>
      </c>
      <c r="BH1167" t="s">
        <v>74</v>
      </c>
      <c r="BI1167">
        <v>8</v>
      </c>
      <c r="BJ1167" t="s">
        <v>3440</v>
      </c>
      <c r="BK1167" t="s">
        <v>352</v>
      </c>
      <c r="BL1167" t="s">
        <v>3441</v>
      </c>
      <c r="BM1167" t="s">
        <v>21622</v>
      </c>
      <c r="BN1167">
        <v>37346223</v>
      </c>
      <c r="BO1167" t="s">
        <v>1728</v>
      </c>
      <c r="BP1167" t="s">
        <v>74</v>
      </c>
      <c r="BQ1167" t="s">
        <v>74</v>
      </c>
      <c r="BR1167" t="s">
        <v>101</v>
      </c>
      <c r="BS1167" t="s">
        <v>21623</v>
      </c>
      <c r="BT1167" t="str">
        <f>HYPERLINK("https%3A%2F%2Fwww.webofscience.com%2Fwos%2Fwoscc%2Ffull-record%2FWOS:001021631400023","View Full Record in Web of Science")</f>
        <v>View Full Record in Web of Science</v>
      </c>
    </row>
    <row r="1168" spans="1:72" x14ac:dyDescent="0.2">
      <c r="A1168" t="s">
        <v>72</v>
      </c>
      <c r="B1168" t="s">
        <v>21624</v>
      </c>
      <c r="C1168" t="s">
        <v>74</v>
      </c>
      <c r="D1168" t="s">
        <v>74</v>
      </c>
      <c r="E1168" t="s">
        <v>284</v>
      </c>
      <c r="F1168" t="s">
        <v>21625</v>
      </c>
      <c r="G1168" t="s">
        <v>74</v>
      </c>
      <c r="H1168" t="s">
        <v>74</v>
      </c>
      <c r="I1168" t="s">
        <v>21626</v>
      </c>
      <c r="J1168" t="s">
        <v>21627</v>
      </c>
      <c r="K1168" t="s">
        <v>21628</v>
      </c>
      <c r="L1168" t="s">
        <v>74</v>
      </c>
      <c r="M1168" t="s">
        <v>79</v>
      </c>
      <c r="N1168" t="s">
        <v>80</v>
      </c>
      <c r="O1168" t="s">
        <v>21629</v>
      </c>
      <c r="P1168" t="s">
        <v>21630</v>
      </c>
      <c r="Q1168" t="s">
        <v>3660</v>
      </c>
      <c r="R1168" t="s">
        <v>21631</v>
      </c>
      <c r="S1168" t="s">
        <v>74</v>
      </c>
      <c r="T1168" t="s">
        <v>74</v>
      </c>
      <c r="U1168" t="s">
        <v>21632</v>
      </c>
      <c r="V1168" t="s">
        <v>21633</v>
      </c>
      <c r="W1168" t="s">
        <v>21634</v>
      </c>
      <c r="X1168" t="s">
        <v>21635</v>
      </c>
      <c r="Y1168" t="s">
        <v>21636</v>
      </c>
      <c r="Z1168" t="s">
        <v>21637</v>
      </c>
      <c r="AA1168" t="s">
        <v>74</v>
      </c>
      <c r="AB1168" t="s">
        <v>21638</v>
      </c>
      <c r="AC1168" t="s">
        <v>21639</v>
      </c>
      <c r="AD1168" t="s">
        <v>21639</v>
      </c>
      <c r="AE1168" t="s">
        <v>21640</v>
      </c>
      <c r="AF1168" t="s">
        <v>74</v>
      </c>
      <c r="AG1168">
        <v>25</v>
      </c>
      <c r="AH1168">
        <v>2</v>
      </c>
      <c r="AI1168">
        <v>2</v>
      </c>
      <c r="AJ1168">
        <v>0</v>
      </c>
      <c r="AK1168">
        <v>0</v>
      </c>
      <c r="AL1168" t="s">
        <v>284</v>
      </c>
      <c r="AM1168" t="s">
        <v>93</v>
      </c>
      <c r="AN1168" t="s">
        <v>299</v>
      </c>
      <c r="AO1168" t="s">
        <v>21641</v>
      </c>
      <c r="AP1168" t="s">
        <v>21642</v>
      </c>
      <c r="AQ1168" t="s">
        <v>21643</v>
      </c>
      <c r="AR1168" t="s">
        <v>21644</v>
      </c>
      <c r="AS1168" t="s">
        <v>74</v>
      </c>
      <c r="AT1168" t="s">
        <v>74</v>
      </c>
      <c r="AU1168">
        <v>2023</v>
      </c>
      <c r="AV1168" t="s">
        <v>74</v>
      </c>
      <c r="AW1168" t="s">
        <v>74</v>
      </c>
      <c r="AX1168" t="s">
        <v>74</v>
      </c>
      <c r="AY1168" t="s">
        <v>74</v>
      </c>
      <c r="AZ1168" t="s">
        <v>74</v>
      </c>
      <c r="BA1168" t="s">
        <v>74</v>
      </c>
      <c r="BB1168">
        <v>1320</v>
      </c>
      <c r="BC1168">
        <v>1326</v>
      </c>
      <c r="BD1168" t="s">
        <v>74</v>
      </c>
      <c r="BE1168" t="s">
        <v>21645</v>
      </c>
      <c r="BF1168" t="str">
        <f>HYPERLINK("http://dx.doi.org/10.1109/ICRA48891.2023.10160953","http://dx.doi.org/10.1109/ICRA48891.2023.10160953")</f>
        <v>http://dx.doi.org/10.1109/ICRA48891.2023.10160953</v>
      </c>
      <c r="BG1168" t="s">
        <v>74</v>
      </c>
      <c r="BH1168" t="s">
        <v>74</v>
      </c>
      <c r="BI1168">
        <v>7</v>
      </c>
      <c r="BJ1168" t="s">
        <v>21646</v>
      </c>
      <c r="BK1168" t="s">
        <v>98</v>
      </c>
      <c r="BL1168" t="s">
        <v>21647</v>
      </c>
      <c r="BM1168" t="s">
        <v>21648</v>
      </c>
      <c r="BN1168" t="s">
        <v>74</v>
      </c>
      <c r="BO1168" t="s">
        <v>646</v>
      </c>
      <c r="BP1168" t="s">
        <v>74</v>
      </c>
      <c r="BQ1168" t="s">
        <v>74</v>
      </c>
      <c r="BR1168" t="s">
        <v>101</v>
      </c>
      <c r="BS1168" t="s">
        <v>21649</v>
      </c>
      <c r="BT1168" t="str">
        <f>HYPERLINK("https%3A%2F%2Fwww.webofscience.com%2Fwos%2Fwoscc%2Ffull-record%2FWOS:001036713001021","View Full Record in Web of Science")</f>
        <v>View Full Record in Web of Science</v>
      </c>
    </row>
    <row r="1169" spans="1:72" x14ac:dyDescent="0.2">
      <c r="A1169" t="s">
        <v>72</v>
      </c>
      <c r="B1169" t="s">
        <v>21650</v>
      </c>
      <c r="C1169" t="s">
        <v>74</v>
      </c>
      <c r="D1169" t="s">
        <v>308</v>
      </c>
      <c r="E1169" t="s">
        <v>74</v>
      </c>
      <c r="F1169" t="s">
        <v>21651</v>
      </c>
      <c r="G1169" t="s">
        <v>74</v>
      </c>
      <c r="H1169" t="s">
        <v>74</v>
      </c>
      <c r="I1169" t="s">
        <v>21652</v>
      </c>
      <c r="J1169" t="s">
        <v>311</v>
      </c>
      <c r="K1169" t="s">
        <v>312</v>
      </c>
      <c r="L1169" t="s">
        <v>74</v>
      </c>
      <c r="M1169" t="s">
        <v>79</v>
      </c>
      <c r="N1169" t="s">
        <v>80</v>
      </c>
      <c r="O1169" t="s">
        <v>313</v>
      </c>
      <c r="P1169" t="s">
        <v>314</v>
      </c>
      <c r="Q1169" t="s">
        <v>315</v>
      </c>
      <c r="R1169" t="s">
        <v>74</v>
      </c>
      <c r="S1169" t="s">
        <v>74</v>
      </c>
      <c r="T1169" t="s">
        <v>21653</v>
      </c>
      <c r="U1169" t="s">
        <v>74</v>
      </c>
      <c r="V1169" t="s">
        <v>21654</v>
      </c>
      <c r="W1169" t="s">
        <v>21655</v>
      </c>
      <c r="X1169" t="s">
        <v>74</v>
      </c>
      <c r="Y1169" t="s">
        <v>21656</v>
      </c>
      <c r="Z1169" t="s">
        <v>21657</v>
      </c>
      <c r="AA1169" t="s">
        <v>74</v>
      </c>
      <c r="AB1169" t="s">
        <v>21658</v>
      </c>
      <c r="AC1169" t="s">
        <v>74</v>
      </c>
      <c r="AD1169" t="s">
        <v>74</v>
      </c>
      <c r="AE1169" t="s">
        <v>74</v>
      </c>
      <c r="AF1169" t="s">
        <v>74</v>
      </c>
      <c r="AG1169">
        <v>26</v>
      </c>
      <c r="AH1169">
        <v>0</v>
      </c>
      <c r="AI1169">
        <v>0</v>
      </c>
      <c r="AJ1169">
        <v>0</v>
      </c>
      <c r="AK1169">
        <v>0</v>
      </c>
      <c r="AL1169" t="s">
        <v>325</v>
      </c>
      <c r="AM1169" t="s">
        <v>245</v>
      </c>
      <c r="AN1169" t="s">
        <v>246</v>
      </c>
      <c r="AO1169" t="s">
        <v>326</v>
      </c>
      <c r="AP1169" t="s">
        <v>327</v>
      </c>
      <c r="AQ1169" t="s">
        <v>328</v>
      </c>
      <c r="AR1169" t="s">
        <v>329</v>
      </c>
      <c r="AS1169" t="s">
        <v>74</v>
      </c>
      <c r="AT1169" t="s">
        <v>74</v>
      </c>
      <c r="AU1169">
        <v>2023</v>
      </c>
      <c r="AV1169">
        <v>14059</v>
      </c>
      <c r="AW1169" t="s">
        <v>74</v>
      </c>
      <c r="AX1169" t="s">
        <v>74</v>
      </c>
      <c r="AY1169" t="s">
        <v>74</v>
      </c>
      <c r="AZ1169" t="s">
        <v>74</v>
      </c>
      <c r="BA1169" t="s">
        <v>74</v>
      </c>
      <c r="BB1169">
        <v>162</v>
      </c>
      <c r="BC1169">
        <v>181</v>
      </c>
      <c r="BD1169" t="s">
        <v>74</v>
      </c>
      <c r="BE1169" t="s">
        <v>21659</v>
      </c>
      <c r="BF1169" t="str">
        <f>HYPERLINK("http://dx.doi.org/10.1007/978-3-031-48057-7_11","http://dx.doi.org/10.1007/978-3-031-48057-7_11")</f>
        <v>http://dx.doi.org/10.1007/978-3-031-48057-7_11</v>
      </c>
      <c r="BG1169" t="s">
        <v>74</v>
      </c>
      <c r="BH1169" t="s">
        <v>74</v>
      </c>
      <c r="BI1169">
        <v>20</v>
      </c>
      <c r="BJ1169" t="s">
        <v>331</v>
      </c>
      <c r="BK1169" t="s">
        <v>98</v>
      </c>
      <c r="BL1169" t="s">
        <v>99</v>
      </c>
      <c r="BM1169" t="s">
        <v>332</v>
      </c>
      <c r="BN1169" t="s">
        <v>74</v>
      </c>
      <c r="BO1169" t="s">
        <v>161</v>
      </c>
      <c r="BP1169" t="s">
        <v>74</v>
      </c>
      <c r="BQ1169" t="s">
        <v>74</v>
      </c>
      <c r="BR1169" t="s">
        <v>101</v>
      </c>
      <c r="BS1169" t="s">
        <v>21660</v>
      </c>
      <c r="BT1169" t="str">
        <f>HYPERLINK("https%3A%2F%2Fwww.webofscience.com%2Fwos%2Fwoscc%2Ffull-record%2FWOS:001159622900011","View Full Record in Web of Science")</f>
        <v>View Full Record in Web of Science</v>
      </c>
    </row>
    <row r="1170" spans="1:72" x14ac:dyDescent="0.2">
      <c r="A1170" t="s">
        <v>103</v>
      </c>
      <c r="B1170" t="s">
        <v>21661</v>
      </c>
      <c r="C1170" t="s">
        <v>74</v>
      </c>
      <c r="D1170" t="s">
        <v>74</v>
      </c>
      <c r="E1170" t="s">
        <v>74</v>
      </c>
      <c r="F1170" t="s">
        <v>21662</v>
      </c>
      <c r="G1170" t="s">
        <v>74</v>
      </c>
      <c r="H1170" t="s">
        <v>74</v>
      </c>
      <c r="I1170" t="s">
        <v>21663</v>
      </c>
      <c r="J1170" t="s">
        <v>1698</v>
      </c>
      <c r="K1170" t="s">
        <v>74</v>
      </c>
      <c r="L1170" t="s">
        <v>74</v>
      </c>
      <c r="M1170" t="s">
        <v>79</v>
      </c>
      <c r="N1170" t="s">
        <v>108</v>
      </c>
      <c r="O1170" t="s">
        <v>74</v>
      </c>
      <c r="P1170" t="s">
        <v>74</v>
      </c>
      <c r="Q1170" t="s">
        <v>74</v>
      </c>
      <c r="R1170" t="s">
        <v>74</v>
      </c>
      <c r="S1170" t="s">
        <v>74</v>
      </c>
      <c r="T1170" t="s">
        <v>21664</v>
      </c>
      <c r="U1170" t="s">
        <v>21665</v>
      </c>
      <c r="V1170" t="s">
        <v>21666</v>
      </c>
      <c r="W1170" t="s">
        <v>21667</v>
      </c>
      <c r="X1170" t="s">
        <v>21668</v>
      </c>
      <c r="Y1170" t="s">
        <v>21669</v>
      </c>
      <c r="Z1170" t="s">
        <v>21670</v>
      </c>
      <c r="AA1170" t="s">
        <v>74</v>
      </c>
      <c r="AB1170" t="s">
        <v>21671</v>
      </c>
      <c r="AC1170" t="s">
        <v>74</v>
      </c>
      <c r="AD1170" t="s">
        <v>74</v>
      </c>
      <c r="AE1170" t="s">
        <v>74</v>
      </c>
      <c r="AF1170" t="s">
        <v>74</v>
      </c>
      <c r="AG1170">
        <v>60</v>
      </c>
      <c r="AH1170">
        <v>1</v>
      </c>
      <c r="AI1170">
        <v>1</v>
      </c>
      <c r="AJ1170">
        <v>117</v>
      </c>
      <c r="AK1170">
        <v>117</v>
      </c>
      <c r="AL1170" t="s">
        <v>343</v>
      </c>
      <c r="AM1170" t="s">
        <v>93</v>
      </c>
      <c r="AN1170" t="s">
        <v>344</v>
      </c>
      <c r="AO1170" t="s">
        <v>1705</v>
      </c>
      <c r="AP1170" t="s">
        <v>74</v>
      </c>
      <c r="AQ1170" t="s">
        <v>74</v>
      </c>
      <c r="AR1170" t="s">
        <v>1706</v>
      </c>
      <c r="AS1170" t="s">
        <v>1707</v>
      </c>
      <c r="AT1170" t="s">
        <v>11219</v>
      </c>
      <c r="AU1170">
        <v>2023</v>
      </c>
      <c r="AV1170">
        <v>20</v>
      </c>
      <c r="AW1170">
        <v>1</v>
      </c>
      <c r="AX1170" t="s">
        <v>74</v>
      </c>
      <c r="AY1170" t="s">
        <v>74</v>
      </c>
      <c r="AZ1170" t="s">
        <v>74</v>
      </c>
      <c r="BA1170" t="s">
        <v>74</v>
      </c>
      <c r="BB1170" t="s">
        <v>74</v>
      </c>
      <c r="BC1170" t="s">
        <v>74</v>
      </c>
      <c r="BD1170">
        <v>63</v>
      </c>
      <c r="BE1170" t="s">
        <v>21672</v>
      </c>
      <c r="BF1170" t="str">
        <f>HYPERLINK("http://dx.doi.org/10.1186/s41239-023-00434-1","http://dx.doi.org/10.1186/s41239-023-00434-1")</f>
        <v>http://dx.doi.org/10.1186/s41239-023-00434-1</v>
      </c>
      <c r="BG1170" t="s">
        <v>74</v>
      </c>
      <c r="BH1170" t="s">
        <v>74</v>
      </c>
      <c r="BI1170">
        <v>18</v>
      </c>
      <c r="BJ1170" t="s">
        <v>423</v>
      </c>
      <c r="BK1170" t="s">
        <v>159</v>
      </c>
      <c r="BL1170" t="s">
        <v>423</v>
      </c>
      <c r="BM1170" t="s">
        <v>21673</v>
      </c>
      <c r="BN1170" t="s">
        <v>74</v>
      </c>
      <c r="BO1170" t="s">
        <v>425</v>
      </c>
      <c r="BP1170" t="s">
        <v>74</v>
      </c>
      <c r="BQ1170" t="s">
        <v>74</v>
      </c>
      <c r="BR1170" t="s">
        <v>101</v>
      </c>
      <c r="BS1170" t="s">
        <v>21674</v>
      </c>
      <c r="BT1170" t="str">
        <f>HYPERLINK("https%3A%2F%2Fwww.webofscience.com%2Fwos%2Fwoscc%2Ffull-record%2FWOS:001129334900001","View Full Record in Web of Science")</f>
        <v>View Full Record in Web of Science</v>
      </c>
    </row>
    <row r="1171" spans="1:72" x14ac:dyDescent="0.2">
      <c r="A1171" t="s">
        <v>103</v>
      </c>
      <c r="B1171" t="s">
        <v>21675</v>
      </c>
      <c r="C1171" t="s">
        <v>74</v>
      </c>
      <c r="D1171" t="s">
        <v>74</v>
      </c>
      <c r="E1171" t="s">
        <v>74</v>
      </c>
      <c r="F1171" t="s">
        <v>21676</v>
      </c>
      <c r="G1171" t="s">
        <v>74</v>
      </c>
      <c r="H1171" t="s">
        <v>74</v>
      </c>
      <c r="I1171" t="s">
        <v>21677</v>
      </c>
      <c r="J1171" t="s">
        <v>21678</v>
      </c>
      <c r="K1171" t="s">
        <v>74</v>
      </c>
      <c r="L1171" t="s">
        <v>74</v>
      </c>
      <c r="M1171" t="s">
        <v>79</v>
      </c>
      <c r="N1171" t="s">
        <v>108</v>
      </c>
      <c r="O1171" t="s">
        <v>74</v>
      </c>
      <c r="P1171" t="s">
        <v>74</v>
      </c>
      <c r="Q1171" t="s">
        <v>74</v>
      </c>
      <c r="R1171" t="s">
        <v>74</v>
      </c>
      <c r="S1171" t="s">
        <v>74</v>
      </c>
      <c r="T1171" t="s">
        <v>21679</v>
      </c>
      <c r="U1171" t="s">
        <v>74</v>
      </c>
      <c r="V1171" t="s">
        <v>21680</v>
      </c>
      <c r="W1171" t="s">
        <v>21681</v>
      </c>
      <c r="X1171" t="s">
        <v>21682</v>
      </c>
      <c r="Y1171" t="s">
        <v>21683</v>
      </c>
      <c r="Z1171" t="s">
        <v>21684</v>
      </c>
      <c r="AA1171" t="s">
        <v>74</v>
      </c>
      <c r="AB1171" t="s">
        <v>74</v>
      </c>
      <c r="AC1171" t="s">
        <v>74</v>
      </c>
      <c r="AD1171" t="s">
        <v>74</v>
      </c>
      <c r="AE1171" t="s">
        <v>74</v>
      </c>
      <c r="AF1171" t="s">
        <v>74</v>
      </c>
      <c r="AG1171">
        <v>28</v>
      </c>
      <c r="AH1171">
        <v>0</v>
      </c>
      <c r="AI1171">
        <v>0</v>
      </c>
      <c r="AJ1171">
        <v>0</v>
      </c>
      <c r="AK1171">
        <v>0</v>
      </c>
      <c r="AL1171" t="s">
        <v>21685</v>
      </c>
      <c r="AM1171" t="s">
        <v>21686</v>
      </c>
      <c r="AN1171" t="s">
        <v>21687</v>
      </c>
      <c r="AO1171" t="s">
        <v>21688</v>
      </c>
      <c r="AP1171" t="s">
        <v>21689</v>
      </c>
      <c r="AQ1171" t="s">
        <v>74</v>
      </c>
      <c r="AR1171" t="s">
        <v>21690</v>
      </c>
      <c r="AS1171" t="s">
        <v>21691</v>
      </c>
      <c r="AT1171" t="s">
        <v>74</v>
      </c>
      <c r="AU1171">
        <v>2023</v>
      </c>
      <c r="AV1171">
        <v>13</v>
      </c>
      <c r="AW1171">
        <v>13</v>
      </c>
      <c r="AX1171" t="s">
        <v>74</v>
      </c>
      <c r="AY1171" t="s">
        <v>74</v>
      </c>
      <c r="AZ1171" t="s">
        <v>74</v>
      </c>
      <c r="BA1171" t="s">
        <v>74</v>
      </c>
      <c r="BB1171">
        <v>275</v>
      </c>
      <c r="BC1171">
        <v>297</v>
      </c>
      <c r="BD1171" t="s">
        <v>74</v>
      </c>
      <c r="BE1171" t="s">
        <v>21692</v>
      </c>
      <c r="BF1171" t="str">
        <f>HYPERLINK("http://dx.doi.org/10.18778/2083-2931.13.15","http://dx.doi.org/10.18778/2083-2931.13.15")</f>
        <v>http://dx.doi.org/10.18778/2083-2931.13.15</v>
      </c>
      <c r="BG1171" t="s">
        <v>74</v>
      </c>
      <c r="BH1171" t="s">
        <v>74</v>
      </c>
      <c r="BI1171">
        <v>23</v>
      </c>
      <c r="BJ1171" t="s">
        <v>18020</v>
      </c>
      <c r="BK1171" t="s">
        <v>352</v>
      </c>
      <c r="BL1171" t="s">
        <v>8185</v>
      </c>
      <c r="BM1171" t="s">
        <v>21693</v>
      </c>
      <c r="BN1171" t="s">
        <v>74</v>
      </c>
      <c r="BO1171" t="s">
        <v>425</v>
      </c>
      <c r="BP1171" t="s">
        <v>74</v>
      </c>
      <c r="BQ1171" t="s">
        <v>74</v>
      </c>
      <c r="BR1171" t="s">
        <v>101</v>
      </c>
      <c r="BS1171" t="s">
        <v>21694</v>
      </c>
      <c r="BT1171" t="str">
        <f>HYPERLINK("https%3A%2F%2Fwww.webofscience.com%2Fwos%2Fwoscc%2Ffull-record%2FWOS:001113458300010","View Full Record in Web of Science")</f>
        <v>View Full Record in Web of Science</v>
      </c>
    </row>
    <row r="1172" spans="1:72" x14ac:dyDescent="0.2">
      <c r="A1172" t="s">
        <v>72</v>
      </c>
      <c r="B1172" t="s">
        <v>21695</v>
      </c>
      <c r="C1172" t="s">
        <v>74</v>
      </c>
      <c r="D1172" t="s">
        <v>21696</v>
      </c>
      <c r="E1172" t="s">
        <v>74</v>
      </c>
      <c r="F1172" t="s">
        <v>21697</v>
      </c>
      <c r="G1172" t="s">
        <v>74</v>
      </c>
      <c r="H1172" t="s">
        <v>74</v>
      </c>
      <c r="I1172" t="s">
        <v>21698</v>
      </c>
      <c r="J1172" t="s">
        <v>21699</v>
      </c>
      <c r="K1172" t="s">
        <v>14106</v>
      </c>
      <c r="L1172" t="s">
        <v>74</v>
      </c>
      <c r="M1172" t="s">
        <v>79</v>
      </c>
      <c r="N1172" t="s">
        <v>80</v>
      </c>
      <c r="O1172" t="s">
        <v>21700</v>
      </c>
      <c r="P1172" t="s">
        <v>21701</v>
      </c>
      <c r="Q1172" t="s">
        <v>4495</v>
      </c>
      <c r="R1172" t="s">
        <v>74</v>
      </c>
      <c r="S1172" t="s">
        <v>74</v>
      </c>
      <c r="T1172" t="s">
        <v>21702</v>
      </c>
      <c r="U1172" t="s">
        <v>74</v>
      </c>
      <c r="V1172" t="s">
        <v>21703</v>
      </c>
      <c r="W1172" t="s">
        <v>21704</v>
      </c>
      <c r="X1172" t="s">
        <v>21705</v>
      </c>
      <c r="Y1172" t="s">
        <v>21706</v>
      </c>
      <c r="Z1172" t="s">
        <v>21707</v>
      </c>
      <c r="AA1172" t="s">
        <v>74</v>
      </c>
      <c r="AB1172" t="s">
        <v>74</v>
      </c>
      <c r="AC1172" t="s">
        <v>74</v>
      </c>
      <c r="AD1172" t="s">
        <v>74</v>
      </c>
      <c r="AE1172" t="s">
        <v>74</v>
      </c>
      <c r="AF1172" t="s">
        <v>74</v>
      </c>
      <c r="AG1172">
        <v>10</v>
      </c>
      <c r="AH1172">
        <v>0</v>
      </c>
      <c r="AI1172">
        <v>0</v>
      </c>
      <c r="AJ1172">
        <v>2</v>
      </c>
      <c r="AK1172">
        <v>5</v>
      </c>
      <c r="AL1172" t="s">
        <v>325</v>
      </c>
      <c r="AM1172" t="s">
        <v>245</v>
      </c>
      <c r="AN1172" t="s">
        <v>246</v>
      </c>
      <c r="AO1172" t="s">
        <v>14120</v>
      </c>
      <c r="AP1172" t="s">
        <v>14121</v>
      </c>
      <c r="AQ1172" t="s">
        <v>21708</v>
      </c>
      <c r="AR1172" t="s">
        <v>14123</v>
      </c>
      <c r="AS1172" t="s">
        <v>74</v>
      </c>
      <c r="AT1172" t="s">
        <v>74</v>
      </c>
      <c r="AU1172">
        <v>2023</v>
      </c>
      <c r="AV1172">
        <v>543</v>
      </c>
      <c r="AW1172" t="s">
        <v>74</v>
      </c>
      <c r="AX1172" t="s">
        <v>74</v>
      </c>
      <c r="AY1172" t="s">
        <v>74</v>
      </c>
      <c r="AZ1172" t="s">
        <v>74</v>
      </c>
      <c r="BA1172" t="s">
        <v>74</v>
      </c>
      <c r="BB1172">
        <v>646</v>
      </c>
      <c r="BC1172">
        <v>654</v>
      </c>
      <c r="BD1172" t="s">
        <v>74</v>
      </c>
      <c r="BE1172" t="s">
        <v>21709</v>
      </c>
      <c r="BF1172" t="str">
        <f>HYPERLINK("http://dx.doi.org/10.1007/978-3-031-16078-3_44","http://dx.doi.org/10.1007/978-3-031-16078-3_44")</f>
        <v>http://dx.doi.org/10.1007/978-3-031-16078-3_44</v>
      </c>
      <c r="BG1172" t="s">
        <v>74</v>
      </c>
      <c r="BH1172" t="s">
        <v>74</v>
      </c>
      <c r="BI1172">
        <v>9</v>
      </c>
      <c r="BJ1172" t="s">
        <v>1069</v>
      </c>
      <c r="BK1172" t="s">
        <v>98</v>
      </c>
      <c r="BL1172" t="s">
        <v>99</v>
      </c>
      <c r="BM1172" t="s">
        <v>21710</v>
      </c>
      <c r="BN1172" t="s">
        <v>74</v>
      </c>
      <c r="BO1172" t="s">
        <v>74</v>
      </c>
      <c r="BP1172" t="s">
        <v>74</v>
      </c>
      <c r="BQ1172" t="s">
        <v>74</v>
      </c>
      <c r="BR1172" t="s">
        <v>101</v>
      </c>
      <c r="BS1172" t="s">
        <v>21711</v>
      </c>
      <c r="BT1172" t="str">
        <f>HYPERLINK("https%3A%2F%2Fwww.webofscience.com%2Fwos%2Fwoscc%2Ffull-record%2FWOS:000890320100044","View Full Record in Web of Science")</f>
        <v>View Full Record in Web of Science</v>
      </c>
    </row>
    <row r="1173" spans="1:72" x14ac:dyDescent="0.2">
      <c r="A1173" t="s">
        <v>103</v>
      </c>
      <c r="B1173" t="s">
        <v>21712</v>
      </c>
      <c r="C1173" t="s">
        <v>74</v>
      </c>
      <c r="D1173" t="s">
        <v>74</v>
      </c>
      <c r="E1173" t="s">
        <v>74</v>
      </c>
      <c r="F1173" t="s">
        <v>21713</v>
      </c>
      <c r="G1173" t="s">
        <v>74</v>
      </c>
      <c r="H1173" t="s">
        <v>74</v>
      </c>
      <c r="I1173" t="s">
        <v>21714</v>
      </c>
      <c r="J1173" t="s">
        <v>21715</v>
      </c>
      <c r="K1173" t="s">
        <v>74</v>
      </c>
      <c r="L1173" t="s">
        <v>74</v>
      </c>
      <c r="M1173" t="s">
        <v>2675</v>
      </c>
      <c r="N1173" t="s">
        <v>108</v>
      </c>
      <c r="O1173" t="s">
        <v>74</v>
      </c>
      <c r="P1173" t="s">
        <v>74</v>
      </c>
      <c r="Q1173" t="s">
        <v>74</v>
      </c>
      <c r="R1173" t="s">
        <v>74</v>
      </c>
      <c r="S1173" t="s">
        <v>74</v>
      </c>
      <c r="T1173" t="s">
        <v>21716</v>
      </c>
      <c r="U1173" t="s">
        <v>21717</v>
      </c>
      <c r="V1173" t="s">
        <v>21718</v>
      </c>
      <c r="W1173" t="s">
        <v>21719</v>
      </c>
      <c r="X1173" t="s">
        <v>21720</v>
      </c>
      <c r="Y1173" t="s">
        <v>21721</v>
      </c>
      <c r="Z1173" t="s">
        <v>21722</v>
      </c>
      <c r="AA1173" t="s">
        <v>74</v>
      </c>
      <c r="AB1173" t="s">
        <v>74</v>
      </c>
      <c r="AC1173" t="s">
        <v>74</v>
      </c>
      <c r="AD1173" t="s">
        <v>74</v>
      </c>
      <c r="AE1173" t="s">
        <v>74</v>
      </c>
      <c r="AF1173" t="s">
        <v>74</v>
      </c>
      <c r="AG1173">
        <v>24</v>
      </c>
      <c r="AH1173">
        <v>0</v>
      </c>
      <c r="AI1173">
        <v>0</v>
      </c>
      <c r="AJ1173">
        <v>2</v>
      </c>
      <c r="AK1173">
        <v>3</v>
      </c>
      <c r="AL1173" t="s">
        <v>21723</v>
      </c>
      <c r="AM1173" t="s">
        <v>21724</v>
      </c>
      <c r="AN1173" t="s">
        <v>21725</v>
      </c>
      <c r="AO1173" t="s">
        <v>21726</v>
      </c>
      <c r="AP1173" t="s">
        <v>74</v>
      </c>
      <c r="AQ1173" t="s">
        <v>74</v>
      </c>
      <c r="AR1173" t="s">
        <v>21727</v>
      </c>
      <c r="AS1173" t="s">
        <v>21728</v>
      </c>
      <c r="AT1173" t="s">
        <v>74</v>
      </c>
      <c r="AU1173">
        <v>2023</v>
      </c>
      <c r="AV1173" t="s">
        <v>74</v>
      </c>
      <c r="AW1173">
        <v>3</v>
      </c>
      <c r="AX1173" t="s">
        <v>74</v>
      </c>
      <c r="AY1173" t="s">
        <v>74</v>
      </c>
      <c r="AZ1173" t="s">
        <v>74</v>
      </c>
      <c r="BA1173" t="s">
        <v>74</v>
      </c>
      <c r="BB1173">
        <v>84</v>
      </c>
      <c r="BC1173">
        <v>98</v>
      </c>
      <c r="BD1173" t="s">
        <v>74</v>
      </c>
      <c r="BE1173" t="s">
        <v>21729</v>
      </c>
      <c r="BF1173" t="str">
        <f>HYPERLINK("http://dx.doi.org/10.37482/0536-1036-2023-3-84-98","http://dx.doi.org/10.37482/0536-1036-2023-3-84-98")</f>
        <v>http://dx.doi.org/10.37482/0536-1036-2023-3-84-98</v>
      </c>
      <c r="BG1173" t="s">
        <v>74</v>
      </c>
      <c r="BH1173" t="s">
        <v>74</v>
      </c>
      <c r="BI1173">
        <v>15</v>
      </c>
      <c r="BJ1173" t="s">
        <v>17902</v>
      </c>
      <c r="BK1173" t="s">
        <v>352</v>
      </c>
      <c r="BL1173" t="s">
        <v>17902</v>
      </c>
      <c r="BM1173" t="s">
        <v>21730</v>
      </c>
      <c r="BN1173" t="s">
        <v>74</v>
      </c>
      <c r="BO1173" t="s">
        <v>74</v>
      </c>
      <c r="BP1173" t="s">
        <v>74</v>
      </c>
      <c r="BQ1173" t="s">
        <v>74</v>
      </c>
      <c r="BR1173" t="s">
        <v>101</v>
      </c>
      <c r="BS1173" t="s">
        <v>21731</v>
      </c>
      <c r="BT1173" t="str">
        <f>HYPERLINK("https%3A%2F%2Fwww.webofscience.com%2Fwos%2Fwoscc%2Ffull-record%2FWOS:001022180100002","View Full Record in Web of Science")</f>
        <v>View Full Record in Web of Science</v>
      </c>
    </row>
    <row r="1174" spans="1:72" x14ac:dyDescent="0.2">
      <c r="A1174" t="s">
        <v>103</v>
      </c>
      <c r="B1174" t="s">
        <v>21732</v>
      </c>
      <c r="C1174" t="s">
        <v>74</v>
      </c>
      <c r="D1174" t="s">
        <v>74</v>
      </c>
      <c r="E1174" t="s">
        <v>74</v>
      </c>
      <c r="F1174" t="s">
        <v>21733</v>
      </c>
      <c r="G1174" t="s">
        <v>74</v>
      </c>
      <c r="H1174" t="s">
        <v>74</v>
      </c>
      <c r="I1174" t="s">
        <v>21734</v>
      </c>
      <c r="J1174" t="s">
        <v>21735</v>
      </c>
      <c r="K1174" t="s">
        <v>74</v>
      </c>
      <c r="L1174" t="s">
        <v>74</v>
      </c>
      <c r="M1174" t="s">
        <v>79</v>
      </c>
      <c r="N1174" t="s">
        <v>108</v>
      </c>
      <c r="O1174" t="s">
        <v>74</v>
      </c>
      <c r="P1174" t="s">
        <v>74</v>
      </c>
      <c r="Q1174" t="s">
        <v>74</v>
      </c>
      <c r="R1174" t="s">
        <v>74</v>
      </c>
      <c r="S1174" t="s">
        <v>74</v>
      </c>
      <c r="T1174" t="s">
        <v>21736</v>
      </c>
      <c r="U1174" t="s">
        <v>74</v>
      </c>
      <c r="V1174" t="s">
        <v>21737</v>
      </c>
      <c r="W1174" t="s">
        <v>21738</v>
      </c>
      <c r="X1174" t="s">
        <v>21739</v>
      </c>
      <c r="Y1174" t="s">
        <v>21740</v>
      </c>
      <c r="Z1174" t="s">
        <v>21741</v>
      </c>
      <c r="AA1174" t="s">
        <v>21742</v>
      </c>
      <c r="AB1174" t="s">
        <v>21743</v>
      </c>
      <c r="AC1174" t="s">
        <v>74</v>
      </c>
      <c r="AD1174" t="s">
        <v>74</v>
      </c>
      <c r="AE1174" t="s">
        <v>74</v>
      </c>
      <c r="AF1174" t="s">
        <v>74</v>
      </c>
      <c r="AG1174">
        <v>17</v>
      </c>
      <c r="AH1174">
        <v>4</v>
      </c>
      <c r="AI1174">
        <v>4</v>
      </c>
      <c r="AJ1174">
        <v>53</v>
      </c>
      <c r="AK1174">
        <v>72</v>
      </c>
      <c r="AL1174" t="s">
        <v>939</v>
      </c>
      <c r="AM1174" t="s">
        <v>940</v>
      </c>
      <c r="AN1174" t="s">
        <v>941</v>
      </c>
      <c r="AO1174" t="s">
        <v>74</v>
      </c>
      <c r="AP1174" t="s">
        <v>21744</v>
      </c>
      <c r="AQ1174" t="s">
        <v>74</v>
      </c>
      <c r="AR1174" t="s">
        <v>21745</v>
      </c>
      <c r="AS1174" t="s">
        <v>21746</v>
      </c>
      <c r="AT1174" t="s">
        <v>615</v>
      </c>
      <c r="AU1174">
        <v>2023</v>
      </c>
      <c r="AV1174">
        <v>12</v>
      </c>
      <c r="AW1174">
        <v>7</v>
      </c>
      <c r="AX1174" t="s">
        <v>74</v>
      </c>
      <c r="AY1174" t="s">
        <v>74</v>
      </c>
      <c r="AZ1174" t="s">
        <v>74</v>
      </c>
      <c r="BA1174" t="s">
        <v>74</v>
      </c>
      <c r="BB1174" t="s">
        <v>74</v>
      </c>
      <c r="BC1174" t="s">
        <v>74</v>
      </c>
      <c r="BD1174">
        <v>284</v>
      </c>
      <c r="BE1174" t="s">
        <v>21747</v>
      </c>
      <c r="BF1174" t="str">
        <f>HYPERLINK("http://dx.doi.org/10.3390/ijgi12070284","http://dx.doi.org/10.3390/ijgi12070284")</f>
        <v>http://dx.doi.org/10.3390/ijgi12070284</v>
      </c>
      <c r="BG1174" t="s">
        <v>74</v>
      </c>
      <c r="BH1174" t="s">
        <v>74</v>
      </c>
      <c r="BI1174">
        <v>13</v>
      </c>
      <c r="BJ1174" t="s">
        <v>21748</v>
      </c>
      <c r="BK1174" t="s">
        <v>130</v>
      </c>
      <c r="BL1174" t="s">
        <v>21749</v>
      </c>
      <c r="BM1174" t="s">
        <v>21750</v>
      </c>
      <c r="BN1174" t="s">
        <v>74</v>
      </c>
      <c r="BO1174" t="s">
        <v>425</v>
      </c>
      <c r="BP1174" t="s">
        <v>74</v>
      </c>
      <c r="BQ1174" t="s">
        <v>74</v>
      </c>
      <c r="BR1174" t="s">
        <v>101</v>
      </c>
      <c r="BS1174" t="s">
        <v>21751</v>
      </c>
      <c r="BT1174" t="str">
        <f>HYPERLINK("https%3A%2F%2Fwww.webofscience.com%2Fwos%2Fwoscc%2Ffull-record%2FWOS:001036078400001","View Full Record in Web of Science")</f>
        <v>View Full Record in Web of Science</v>
      </c>
    </row>
    <row r="1175" spans="1:72" x14ac:dyDescent="0.2">
      <c r="A1175" t="s">
        <v>103</v>
      </c>
      <c r="B1175" t="s">
        <v>21752</v>
      </c>
      <c r="C1175" t="s">
        <v>74</v>
      </c>
      <c r="D1175" t="s">
        <v>74</v>
      </c>
      <c r="E1175" t="s">
        <v>74</v>
      </c>
      <c r="F1175" t="s">
        <v>21753</v>
      </c>
      <c r="G1175" t="s">
        <v>74</v>
      </c>
      <c r="H1175" t="s">
        <v>74</v>
      </c>
      <c r="I1175" t="s">
        <v>21754</v>
      </c>
      <c r="J1175" t="s">
        <v>18749</v>
      </c>
      <c r="K1175" t="s">
        <v>74</v>
      </c>
      <c r="L1175" t="s">
        <v>74</v>
      </c>
      <c r="M1175" t="s">
        <v>79</v>
      </c>
      <c r="N1175" t="s">
        <v>108</v>
      </c>
      <c r="O1175" t="s">
        <v>74</v>
      </c>
      <c r="P1175" t="s">
        <v>74</v>
      </c>
      <c r="Q1175" t="s">
        <v>74</v>
      </c>
      <c r="R1175" t="s">
        <v>74</v>
      </c>
      <c r="S1175" t="s">
        <v>74</v>
      </c>
      <c r="T1175" t="s">
        <v>21755</v>
      </c>
      <c r="U1175" t="s">
        <v>21756</v>
      </c>
      <c r="V1175" t="s">
        <v>21757</v>
      </c>
      <c r="W1175" t="s">
        <v>21758</v>
      </c>
      <c r="X1175" t="s">
        <v>21759</v>
      </c>
      <c r="Y1175" t="s">
        <v>21760</v>
      </c>
      <c r="Z1175" t="s">
        <v>21761</v>
      </c>
      <c r="AA1175" t="s">
        <v>74</v>
      </c>
      <c r="AB1175" t="s">
        <v>74</v>
      </c>
      <c r="AC1175" t="s">
        <v>21762</v>
      </c>
      <c r="AD1175" t="s">
        <v>21763</v>
      </c>
      <c r="AE1175" t="s">
        <v>21764</v>
      </c>
      <c r="AF1175" t="s">
        <v>74</v>
      </c>
      <c r="AG1175">
        <v>97</v>
      </c>
      <c r="AH1175">
        <v>2</v>
      </c>
      <c r="AI1175">
        <v>2</v>
      </c>
      <c r="AJ1175">
        <v>5</v>
      </c>
      <c r="AK1175">
        <v>5</v>
      </c>
      <c r="AL1175" t="s">
        <v>5985</v>
      </c>
      <c r="AM1175" t="s">
        <v>1451</v>
      </c>
      <c r="AN1175" t="s">
        <v>5986</v>
      </c>
      <c r="AO1175" t="s">
        <v>74</v>
      </c>
      <c r="AP1175" t="s">
        <v>18761</v>
      </c>
      <c r="AQ1175" t="s">
        <v>74</v>
      </c>
      <c r="AR1175" t="s">
        <v>18762</v>
      </c>
      <c r="AS1175" t="s">
        <v>18763</v>
      </c>
      <c r="AT1175" t="s">
        <v>2497</v>
      </c>
      <c r="AU1175">
        <v>2023</v>
      </c>
      <c r="AV1175">
        <v>4</v>
      </c>
      <c r="AW1175">
        <v>4</v>
      </c>
      <c r="AX1175" t="s">
        <v>74</v>
      </c>
      <c r="AY1175" t="s">
        <v>74</v>
      </c>
      <c r="AZ1175" t="s">
        <v>74</v>
      </c>
      <c r="BA1175" t="s">
        <v>74</v>
      </c>
      <c r="BB1175" t="s">
        <v>74</v>
      </c>
      <c r="BC1175" t="s">
        <v>74</v>
      </c>
      <c r="BD1175">
        <v>45028</v>
      </c>
      <c r="BE1175" t="s">
        <v>21765</v>
      </c>
      <c r="BF1175" t="str">
        <f>HYPERLINK("http://dx.doi.org/10.1088/2632-2153/ad0938","http://dx.doi.org/10.1088/2632-2153/ad0938")</f>
        <v>http://dx.doi.org/10.1088/2632-2153/ad0938</v>
      </c>
      <c r="BG1175" t="s">
        <v>74</v>
      </c>
      <c r="BH1175" t="s">
        <v>74</v>
      </c>
      <c r="BI1175">
        <v>23</v>
      </c>
      <c r="BJ1175" t="s">
        <v>18765</v>
      </c>
      <c r="BK1175" t="s">
        <v>130</v>
      </c>
      <c r="BL1175" t="s">
        <v>1320</v>
      </c>
      <c r="BM1175" t="s">
        <v>21766</v>
      </c>
      <c r="BN1175" t="s">
        <v>74</v>
      </c>
      <c r="BO1175" t="s">
        <v>1071</v>
      </c>
      <c r="BP1175" t="s">
        <v>74</v>
      </c>
      <c r="BQ1175" t="s">
        <v>74</v>
      </c>
      <c r="BR1175" t="s">
        <v>101</v>
      </c>
      <c r="BS1175" t="s">
        <v>21767</v>
      </c>
      <c r="BT1175" t="str">
        <f>HYPERLINK("https%3A%2F%2Fwww.webofscience.com%2Fwos%2Fwoscc%2Ffull-record%2FWOS:001121098300001","View Full Record in Web of Science")</f>
        <v>View Full Record in Web of Science</v>
      </c>
    </row>
    <row r="1176" spans="1:72" x14ac:dyDescent="0.2">
      <c r="A1176" t="s">
        <v>103</v>
      </c>
      <c r="B1176" t="s">
        <v>21768</v>
      </c>
      <c r="C1176" t="s">
        <v>74</v>
      </c>
      <c r="D1176" t="s">
        <v>74</v>
      </c>
      <c r="E1176" t="s">
        <v>74</v>
      </c>
      <c r="F1176" t="s">
        <v>21769</v>
      </c>
      <c r="G1176" t="s">
        <v>74</v>
      </c>
      <c r="H1176" t="s">
        <v>74</v>
      </c>
      <c r="I1176" t="s">
        <v>21770</v>
      </c>
      <c r="J1176" t="s">
        <v>1370</v>
      </c>
      <c r="K1176" t="s">
        <v>74</v>
      </c>
      <c r="L1176" t="s">
        <v>74</v>
      </c>
      <c r="M1176" t="s">
        <v>79</v>
      </c>
      <c r="N1176" t="s">
        <v>108</v>
      </c>
      <c r="O1176" t="s">
        <v>74</v>
      </c>
      <c r="P1176" t="s">
        <v>74</v>
      </c>
      <c r="Q1176" t="s">
        <v>74</v>
      </c>
      <c r="R1176" t="s">
        <v>74</v>
      </c>
      <c r="S1176" t="s">
        <v>74</v>
      </c>
      <c r="T1176" t="s">
        <v>21771</v>
      </c>
      <c r="U1176" t="s">
        <v>21772</v>
      </c>
      <c r="V1176" t="s">
        <v>21773</v>
      </c>
      <c r="W1176" t="s">
        <v>21774</v>
      </c>
      <c r="X1176" t="s">
        <v>21775</v>
      </c>
      <c r="Y1176" t="s">
        <v>21776</v>
      </c>
      <c r="Z1176" t="s">
        <v>21777</v>
      </c>
      <c r="AA1176" t="s">
        <v>21778</v>
      </c>
      <c r="AB1176" t="s">
        <v>21779</v>
      </c>
      <c r="AC1176" t="s">
        <v>21780</v>
      </c>
      <c r="AD1176" t="s">
        <v>21781</v>
      </c>
      <c r="AE1176" t="s">
        <v>21782</v>
      </c>
      <c r="AF1176" t="s">
        <v>74</v>
      </c>
      <c r="AG1176">
        <v>38</v>
      </c>
      <c r="AH1176">
        <v>4</v>
      </c>
      <c r="AI1176">
        <v>4</v>
      </c>
      <c r="AJ1176">
        <v>36</v>
      </c>
      <c r="AK1176">
        <v>62</v>
      </c>
      <c r="AL1176" t="s">
        <v>1379</v>
      </c>
      <c r="AM1176" t="s">
        <v>1380</v>
      </c>
      <c r="AN1176" t="s">
        <v>1381</v>
      </c>
      <c r="AO1176" t="s">
        <v>1382</v>
      </c>
      <c r="AP1176" t="s">
        <v>74</v>
      </c>
      <c r="AQ1176" t="s">
        <v>74</v>
      </c>
      <c r="AR1176" t="s">
        <v>1370</v>
      </c>
      <c r="AS1176" t="s">
        <v>1383</v>
      </c>
      <c r="AT1176" t="s">
        <v>74</v>
      </c>
      <c r="AU1176">
        <v>2023</v>
      </c>
      <c r="AV1176">
        <v>11</v>
      </c>
      <c r="AW1176" t="s">
        <v>74</v>
      </c>
      <c r="AX1176" t="s">
        <v>74</v>
      </c>
      <c r="AY1176" t="s">
        <v>74</v>
      </c>
      <c r="AZ1176" t="s">
        <v>74</v>
      </c>
      <c r="BA1176" t="s">
        <v>74</v>
      </c>
      <c r="BB1176">
        <v>37149</v>
      </c>
      <c r="BC1176">
        <v>37163</v>
      </c>
      <c r="BD1176" t="s">
        <v>74</v>
      </c>
      <c r="BE1176" t="s">
        <v>21783</v>
      </c>
      <c r="BF1176" t="str">
        <f>HYPERLINK("http://dx.doi.org/10.1109/ACCESS.2023.3266656","http://dx.doi.org/10.1109/ACCESS.2023.3266656")</f>
        <v>http://dx.doi.org/10.1109/ACCESS.2023.3266656</v>
      </c>
      <c r="BG1176" t="s">
        <v>74</v>
      </c>
      <c r="BH1176" t="s">
        <v>74</v>
      </c>
      <c r="BI1176">
        <v>15</v>
      </c>
      <c r="BJ1176" t="s">
        <v>1385</v>
      </c>
      <c r="BK1176" t="s">
        <v>130</v>
      </c>
      <c r="BL1176" t="s">
        <v>1386</v>
      </c>
      <c r="BM1176" t="s">
        <v>21784</v>
      </c>
      <c r="BN1176" t="s">
        <v>74</v>
      </c>
      <c r="BO1176" t="s">
        <v>1711</v>
      </c>
      <c r="BP1176" t="s">
        <v>74</v>
      </c>
      <c r="BQ1176" t="s">
        <v>74</v>
      </c>
      <c r="BR1176" t="s">
        <v>101</v>
      </c>
      <c r="BS1176" t="s">
        <v>21785</v>
      </c>
      <c r="BT1176" t="str">
        <f>HYPERLINK("https%3A%2F%2Fwww.webofscience.com%2Fwos%2Fwoscc%2Ffull-record%2FWOS:000979587100001","View Full Record in Web of Science")</f>
        <v>View Full Record in Web of Science</v>
      </c>
    </row>
    <row r="1177" spans="1:72" x14ac:dyDescent="0.2">
      <c r="A1177" t="s">
        <v>103</v>
      </c>
      <c r="B1177" t="s">
        <v>21786</v>
      </c>
      <c r="C1177" t="s">
        <v>74</v>
      </c>
      <c r="D1177" t="s">
        <v>74</v>
      </c>
      <c r="E1177" t="s">
        <v>74</v>
      </c>
      <c r="F1177" t="s">
        <v>21787</v>
      </c>
      <c r="G1177" t="s">
        <v>74</v>
      </c>
      <c r="H1177" t="s">
        <v>74</v>
      </c>
      <c r="I1177" t="s">
        <v>21788</v>
      </c>
      <c r="J1177" t="s">
        <v>21789</v>
      </c>
      <c r="K1177" t="s">
        <v>74</v>
      </c>
      <c r="L1177" t="s">
        <v>74</v>
      </c>
      <c r="M1177" t="s">
        <v>79</v>
      </c>
      <c r="N1177" t="s">
        <v>108</v>
      </c>
      <c r="O1177" t="s">
        <v>74</v>
      </c>
      <c r="P1177" t="s">
        <v>74</v>
      </c>
      <c r="Q1177" t="s">
        <v>74</v>
      </c>
      <c r="R1177" t="s">
        <v>74</v>
      </c>
      <c r="S1177" t="s">
        <v>74</v>
      </c>
      <c r="T1177" t="s">
        <v>21790</v>
      </c>
      <c r="U1177" t="s">
        <v>21791</v>
      </c>
      <c r="V1177" t="s">
        <v>21792</v>
      </c>
      <c r="W1177" t="s">
        <v>21793</v>
      </c>
      <c r="X1177" t="s">
        <v>21794</v>
      </c>
      <c r="Y1177" t="s">
        <v>21795</v>
      </c>
      <c r="Z1177" t="s">
        <v>21796</v>
      </c>
      <c r="AA1177" t="s">
        <v>21797</v>
      </c>
      <c r="AB1177" t="s">
        <v>21798</v>
      </c>
      <c r="AC1177" t="s">
        <v>21799</v>
      </c>
      <c r="AD1177" t="s">
        <v>21800</v>
      </c>
      <c r="AE1177" t="s">
        <v>21801</v>
      </c>
      <c r="AF1177" t="s">
        <v>74</v>
      </c>
      <c r="AG1177">
        <v>21</v>
      </c>
      <c r="AH1177">
        <v>0</v>
      </c>
      <c r="AI1177">
        <v>0</v>
      </c>
      <c r="AJ1177">
        <v>2</v>
      </c>
      <c r="AK1177">
        <v>5</v>
      </c>
      <c r="AL1177" t="s">
        <v>939</v>
      </c>
      <c r="AM1177" t="s">
        <v>940</v>
      </c>
      <c r="AN1177" t="s">
        <v>941</v>
      </c>
      <c r="AO1177" t="s">
        <v>74</v>
      </c>
      <c r="AP1177" t="s">
        <v>21802</v>
      </c>
      <c r="AQ1177" t="s">
        <v>74</v>
      </c>
      <c r="AR1177" t="s">
        <v>21789</v>
      </c>
      <c r="AS1177" t="s">
        <v>21803</v>
      </c>
      <c r="AT1177" t="s">
        <v>126</v>
      </c>
      <c r="AU1177">
        <v>2023</v>
      </c>
      <c r="AV1177">
        <v>13</v>
      </c>
      <c r="AW1177">
        <v>6</v>
      </c>
      <c r="AX1177" t="s">
        <v>74</v>
      </c>
      <c r="AY1177" t="s">
        <v>74</v>
      </c>
      <c r="AZ1177" t="s">
        <v>74</v>
      </c>
      <c r="BA1177" t="s">
        <v>74</v>
      </c>
      <c r="BB1177" t="s">
        <v>74</v>
      </c>
      <c r="BC1177" t="s">
        <v>74</v>
      </c>
      <c r="BD1177">
        <v>1120</v>
      </c>
      <c r="BE1177" t="s">
        <v>21804</v>
      </c>
      <c r="BF1177" t="str">
        <f>HYPERLINK("http://dx.doi.org/10.3390/diagnostics13061120","http://dx.doi.org/10.3390/diagnostics13061120")</f>
        <v>http://dx.doi.org/10.3390/diagnostics13061120</v>
      </c>
      <c r="BG1177" t="s">
        <v>74</v>
      </c>
      <c r="BH1177" t="s">
        <v>74</v>
      </c>
      <c r="BI1177">
        <v>16</v>
      </c>
      <c r="BJ1177" t="s">
        <v>3440</v>
      </c>
      <c r="BK1177" t="s">
        <v>130</v>
      </c>
      <c r="BL1177" t="s">
        <v>3441</v>
      </c>
      <c r="BM1177" t="s">
        <v>21805</v>
      </c>
      <c r="BN1177">
        <v>36980428</v>
      </c>
      <c r="BO1177" t="s">
        <v>1728</v>
      </c>
      <c r="BP1177" t="s">
        <v>74</v>
      </c>
      <c r="BQ1177" t="s">
        <v>74</v>
      </c>
      <c r="BR1177" t="s">
        <v>101</v>
      </c>
      <c r="BS1177" t="s">
        <v>21806</v>
      </c>
      <c r="BT1177" t="str">
        <f>HYPERLINK("https%3A%2F%2Fwww.webofscience.com%2Fwos%2Fwoscc%2Ffull-record%2FWOS:000956016100001","View Full Record in Web of Science")</f>
        <v>View Full Record in Web of Science</v>
      </c>
    </row>
    <row r="1178" spans="1:72" x14ac:dyDescent="0.2">
      <c r="A1178" t="s">
        <v>72</v>
      </c>
      <c r="B1178" t="s">
        <v>21807</v>
      </c>
      <c r="C1178" t="s">
        <v>74</v>
      </c>
      <c r="D1178" t="s">
        <v>74</v>
      </c>
      <c r="E1178" t="s">
        <v>284</v>
      </c>
      <c r="F1178" t="s">
        <v>21808</v>
      </c>
      <c r="G1178" t="s">
        <v>74</v>
      </c>
      <c r="H1178" t="s">
        <v>74</v>
      </c>
      <c r="I1178" t="s">
        <v>21809</v>
      </c>
      <c r="J1178" t="s">
        <v>15358</v>
      </c>
      <c r="K1178" t="s">
        <v>15359</v>
      </c>
      <c r="L1178" t="s">
        <v>74</v>
      </c>
      <c r="M1178" t="s">
        <v>79</v>
      </c>
      <c r="N1178" t="s">
        <v>80</v>
      </c>
      <c r="O1178" t="s">
        <v>15360</v>
      </c>
      <c r="P1178" t="s">
        <v>1221</v>
      </c>
      <c r="Q1178" t="s">
        <v>15361</v>
      </c>
      <c r="R1178" t="s">
        <v>15362</v>
      </c>
      <c r="S1178" t="s">
        <v>74</v>
      </c>
      <c r="T1178" t="s">
        <v>21810</v>
      </c>
      <c r="U1178" t="s">
        <v>74</v>
      </c>
      <c r="V1178" t="s">
        <v>21811</v>
      </c>
      <c r="W1178" t="s">
        <v>21812</v>
      </c>
      <c r="X1178" t="s">
        <v>21813</v>
      </c>
      <c r="Y1178" t="s">
        <v>21814</v>
      </c>
      <c r="Z1178" t="s">
        <v>21815</v>
      </c>
      <c r="AA1178" t="s">
        <v>21816</v>
      </c>
      <c r="AB1178" t="s">
        <v>74</v>
      </c>
      <c r="AC1178" t="s">
        <v>21817</v>
      </c>
      <c r="AD1178" t="s">
        <v>21818</v>
      </c>
      <c r="AE1178" t="s">
        <v>21819</v>
      </c>
      <c r="AF1178" t="s">
        <v>74</v>
      </c>
      <c r="AG1178">
        <v>27</v>
      </c>
      <c r="AH1178">
        <v>0</v>
      </c>
      <c r="AI1178">
        <v>0</v>
      </c>
      <c r="AJ1178">
        <v>0</v>
      </c>
      <c r="AK1178">
        <v>0</v>
      </c>
      <c r="AL1178" t="s">
        <v>284</v>
      </c>
      <c r="AM1178" t="s">
        <v>93</v>
      </c>
      <c r="AN1178" t="s">
        <v>299</v>
      </c>
      <c r="AO1178" t="s">
        <v>15372</v>
      </c>
      <c r="AP1178" t="s">
        <v>74</v>
      </c>
      <c r="AQ1178" t="s">
        <v>15373</v>
      </c>
      <c r="AR1178" t="s">
        <v>15374</v>
      </c>
      <c r="AS1178" t="s">
        <v>74</v>
      </c>
      <c r="AT1178" t="s">
        <v>74</v>
      </c>
      <c r="AU1178">
        <v>2023</v>
      </c>
      <c r="AV1178" t="s">
        <v>74</v>
      </c>
      <c r="AW1178" t="s">
        <v>74</v>
      </c>
      <c r="AX1178" t="s">
        <v>74</v>
      </c>
      <c r="AY1178" t="s">
        <v>74</v>
      </c>
      <c r="AZ1178" t="s">
        <v>74</v>
      </c>
      <c r="BA1178" t="s">
        <v>74</v>
      </c>
      <c r="BB1178">
        <v>1703</v>
      </c>
      <c r="BC1178">
        <v>1708</v>
      </c>
      <c r="BD1178" t="s">
        <v>74</v>
      </c>
      <c r="BE1178" t="s">
        <v>21820</v>
      </c>
      <c r="BF1178" t="str">
        <f>HYPERLINK("http://dx.doi.org/10.1109/ICME55011.2023.00293","http://dx.doi.org/10.1109/ICME55011.2023.00293")</f>
        <v>http://dx.doi.org/10.1109/ICME55011.2023.00293</v>
      </c>
      <c r="BG1178" t="s">
        <v>74</v>
      </c>
      <c r="BH1178" t="s">
        <v>74</v>
      </c>
      <c r="BI1178">
        <v>6</v>
      </c>
      <c r="BJ1178" t="s">
        <v>6374</v>
      </c>
      <c r="BK1178" t="s">
        <v>98</v>
      </c>
      <c r="BL1178" t="s">
        <v>99</v>
      </c>
      <c r="BM1178" t="s">
        <v>15376</v>
      </c>
      <c r="BN1178" t="s">
        <v>74</v>
      </c>
      <c r="BO1178" t="s">
        <v>646</v>
      </c>
      <c r="BP1178" t="s">
        <v>74</v>
      </c>
      <c r="BQ1178" t="s">
        <v>74</v>
      </c>
      <c r="BR1178" t="s">
        <v>101</v>
      </c>
      <c r="BS1178" t="s">
        <v>21821</v>
      </c>
      <c r="BT1178" t="str">
        <f>HYPERLINK("https%3A%2F%2Fwww.webofscience.com%2Fwos%2Fwoscc%2Ffull-record%2FWOS:001062707300276","View Full Record in Web of Science")</f>
        <v>View Full Record in Web of Science</v>
      </c>
    </row>
    <row r="1179" spans="1:72" x14ac:dyDescent="0.2">
      <c r="A1179" t="s">
        <v>103</v>
      </c>
      <c r="B1179" t="s">
        <v>21822</v>
      </c>
      <c r="C1179" t="s">
        <v>74</v>
      </c>
      <c r="D1179" t="s">
        <v>74</v>
      </c>
      <c r="E1179" t="s">
        <v>74</v>
      </c>
      <c r="F1179" t="s">
        <v>21823</v>
      </c>
      <c r="G1179" t="s">
        <v>74</v>
      </c>
      <c r="H1179" t="s">
        <v>74</v>
      </c>
      <c r="I1179" t="s">
        <v>21824</v>
      </c>
      <c r="J1179" t="s">
        <v>21825</v>
      </c>
      <c r="K1179" t="s">
        <v>74</v>
      </c>
      <c r="L1179" t="s">
        <v>74</v>
      </c>
      <c r="M1179" t="s">
        <v>79</v>
      </c>
      <c r="N1179" t="s">
        <v>138</v>
      </c>
      <c r="O1179" t="s">
        <v>74</v>
      </c>
      <c r="P1179" t="s">
        <v>74</v>
      </c>
      <c r="Q1179" t="s">
        <v>74</v>
      </c>
      <c r="R1179" t="s">
        <v>74</v>
      </c>
      <c r="S1179" t="s">
        <v>74</v>
      </c>
      <c r="T1179" t="s">
        <v>21826</v>
      </c>
      <c r="U1179" t="s">
        <v>21827</v>
      </c>
      <c r="V1179" t="s">
        <v>21828</v>
      </c>
      <c r="W1179" t="s">
        <v>21829</v>
      </c>
      <c r="X1179" t="s">
        <v>21830</v>
      </c>
      <c r="Y1179" t="s">
        <v>21831</v>
      </c>
      <c r="Z1179" t="s">
        <v>21832</v>
      </c>
      <c r="AA1179" t="s">
        <v>21833</v>
      </c>
      <c r="AB1179" t="s">
        <v>21834</v>
      </c>
      <c r="AC1179" t="s">
        <v>21835</v>
      </c>
      <c r="AD1179" t="s">
        <v>21836</v>
      </c>
      <c r="AE1179" t="s">
        <v>21837</v>
      </c>
      <c r="AF1179" t="s">
        <v>74</v>
      </c>
      <c r="AG1179">
        <v>27</v>
      </c>
      <c r="AH1179">
        <v>9</v>
      </c>
      <c r="AI1179">
        <v>9</v>
      </c>
      <c r="AJ1179">
        <v>10</v>
      </c>
      <c r="AK1179">
        <v>10</v>
      </c>
      <c r="AL1179" t="s">
        <v>244</v>
      </c>
      <c r="AM1179" t="s">
        <v>245</v>
      </c>
      <c r="AN1179" t="s">
        <v>246</v>
      </c>
      <c r="AO1179" t="s">
        <v>21838</v>
      </c>
      <c r="AP1179" t="s">
        <v>21839</v>
      </c>
      <c r="AQ1179" t="s">
        <v>74</v>
      </c>
      <c r="AR1179" t="s">
        <v>21840</v>
      </c>
      <c r="AS1179" t="s">
        <v>21841</v>
      </c>
      <c r="AT1179" t="s">
        <v>1014</v>
      </c>
      <c r="AU1179">
        <v>2023</v>
      </c>
      <c r="AV1179" t="s">
        <v>74</v>
      </c>
      <c r="AW1179" t="s">
        <v>74</v>
      </c>
      <c r="AX1179" t="s">
        <v>74</v>
      </c>
      <c r="AY1179" t="s">
        <v>74</v>
      </c>
      <c r="AZ1179" t="s">
        <v>74</v>
      </c>
      <c r="BA1179" t="s">
        <v>74</v>
      </c>
      <c r="BB1179" t="s">
        <v>74</v>
      </c>
      <c r="BC1179" t="s">
        <v>74</v>
      </c>
      <c r="BD1179" t="s">
        <v>74</v>
      </c>
      <c r="BE1179" t="s">
        <v>21842</v>
      </c>
      <c r="BF1179" t="str">
        <f>HYPERLINK("http://dx.doi.org/10.1007/s40123-023-00805-x","http://dx.doi.org/10.1007/s40123-023-00805-x")</f>
        <v>http://dx.doi.org/10.1007/s40123-023-00805-x</v>
      </c>
      <c r="BG1179" t="s">
        <v>74</v>
      </c>
      <c r="BH1179" t="s">
        <v>278</v>
      </c>
      <c r="BI1179">
        <v>12</v>
      </c>
      <c r="BJ1179" t="s">
        <v>9843</v>
      </c>
      <c r="BK1179" t="s">
        <v>130</v>
      </c>
      <c r="BL1179" t="s">
        <v>9843</v>
      </c>
      <c r="BM1179" t="s">
        <v>21843</v>
      </c>
      <c r="BN1179">
        <v>37707707</v>
      </c>
      <c r="BO1179" t="s">
        <v>4185</v>
      </c>
      <c r="BP1179" t="s">
        <v>74</v>
      </c>
      <c r="BQ1179" t="s">
        <v>74</v>
      </c>
      <c r="BR1179" t="s">
        <v>101</v>
      </c>
      <c r="BS1179" t="s">
        <v>21844</v>
      </c>
      <c r="BT1179" t="str">
        <f>HYPERLINK("https%3A%2F%2Fwww.webofscience.com%2Fwos%2Fwoscc%2Ffull-record%2FWOS:001066039300001","View Full Record in Web of Science")</f>
        <v>View Full Record in Web of Science</v>
      </c>
    </row>
    <row r="1180" spans="1:72" x14ac:dyDescent="0.2">
      <c r="A1180" t="s">
        <v>103</v>
      </c>
      <c r="B1180" t="s">
        <v>21845</v>
      </c>
      <c r="C1180" t="s">
        <v>74</v>
      </c>
      <c r="D1180" t="s">
        <v>74</v>
      </c>
      <c r="E1180" t="s">
        <v>74</v>
      </c>
      <c r="F1180" t="s">
        <v>21846</v>
      </c>
      <c r="G1180" t="s">
        <v>74</v>
      </c>
      <c r="H1180" t="s">
        <v>74</v>
      </c>
      <c r="I1180" t="s">
        <v>21847</v>
      </c>
      <c r="J1180" t="s">
        <v>9880</v>
      </c>
      <c r="K1180" t="s">
        <v>74</v>
      </c>
      <c r="L1180" t="s">
        <v>74</v>
      </c>
      <c r="M1180" t="s">
        <v>79</v>
      </c>
      <c r="N1180" t="s">
        <v>4779</v>
      </c>
      <c r="O1180" t="s">
        <v>21848</v>
      </c>
      <c r="P1180" t="s">
        <v>21849</v>
      </c>
      <c r="Q1180" t="s">
        <v>21850</v>
      </c>
      <c r="R1180" t="s">
        <v>74</v>
      </c>
      <c r="S1180" t="s">
        <v>74</v>
      </c>
      <c r="T1180" t="s">
        <v>21851</v>
      </c>
      <c r="U1180" t="s">
        <v>21852</v>
      </c>
      <c r="V1180" t="s">
        <v>21853</v>
      </c>
      <c r="W1180" t="s">
        <v>21854</v>
      </c>
      <c r="X1180" t="s">
        <v>21855</v>
      </c>
      <c r="Y1180" t="s">
        <v>21856</v>
      </c>
      <c r="Z1180" t="s">
        <v>74</v>
      </c>
      <c r="AA1180" t="s">
        <v>74</v>
      </c>
      <c r="AB1180" t="s">
        <v>21857</v>
      </c>
      <c r="AC1180" t="s">
        <v>21858</v>
      </c>
      <c r="AD1180" t="s">
        <v>21859</v>
      </c>
      <c r="AE1180" t="s">
        <v>21860</v>
      </c>
      <c r="AF1180" t="s">
        <v>74</v>
      </c>
      <c r="AG1180">
        <v>228</v>
      </c>
      <c r="AH1180">
        <v>3</v>
      </c>
      <c r="AI1180">
        <v>3</v>
      </c>
      <c r="AJ1180">
        <v>5</v>
      </c>
      <c r="AK1180">
        <v>10</v>
      </c>
      <c r="AL1180" t="s">
        <v>3165</v>
      </c>
      <c r="AM1180" t="s">
        <v>3166</v>
      </c>
      <c r="AN1180" t="s">
        <v>3167</v>
      </c>
      <c r="AO1180" t="s">
        <v>9889</v>
      </c>
      <c r="AP1180" t="s">
        <v>9890</v>
      </c>
      <c r="AQ1180" t="s">
        <v>74</v>
      </c>
      <c r="AR1180" t="s">
        <v>9891</v>
      </c>
      <c r="AS1180" t="s">
        <v>9892</v>
      </c>
      <c r="AT1180" t="s">
        <v>4461</v>
      </c>
      <c r="AU1180">
        <v>2023</v>
      </c>
      <c r="AV1180">
        <v>42</v>
      </c>
      <c r="AW1180">
        <v>2</v>
      </c>
      <c r="AX1180" t="s">
        <v>74</v>
      </c>
      <c r="AY1180" t="s">
        <v>74</v>
      </c>
      <c r="AZ1180" t="s">
        <v>74</v>
      </c>
      <c r="BA1180" t="s">
        <v>74</v>
      </c>
      <c r="BB1180">
        <v>569</v>
      </c>
      <c r="BC1180">
        <v>596</v>
      </c>
      <c r="BD1180" t="s">
        <v>74</v>
      </c>
      <c r="BE1180" t="s">
        <v>21861</v>
      </c>
      <c r="BF1180" t="str">
        <f>HYPERLINK("http://dx.doi.org/10.1111/cgf.14776","http://dx.doi.org/10.1111/cgf.14776")</f>
        <v>http://dx.doi.org/10.1111/cgf.14776</v>
      </c>
      <c r="BG1180" t="s">
        <v>74</v>
      </c>
      <c r="BH1180" t="s">
        <v>74</v>
      </c>
      <c r="BI1180">
        <v>28</v>
      </c>
      <c r="BJ1180" t="s">
        <v>1563</v>
      </c>
      <c r="BK1180" t="s">
        <v>4799</v>
      </c>
      <c r="BL1180" t="s">
        <v>99</v>
      </c>
      <c r="BM1180" t="s">
        <v>21862</v>
      </c>
      <c r="BN1180" t="s">
        <v>74</v>
      </c>
      <c r="BO1180" t="s">
        <v>646</v>
      </c>
      <c r="BP1180" t="s">
        <v>74</v>
      </c>
      <c r="BQ1180" t="s">
        <v>74</v>
      </c>
      <c r="BR1180" t="s">
        <v>101</v>
      </c>
      <c r="BS1180" t="s">
        <v>21863</v>
      </c>
      <c r="BT1180" t="str">
        <f>HYPERLINK("https%3A%2F%2Fwww.webofscience.com%2Fwos%2Fwoscc%2Ffull-record%2FWOS:001000062600041","View Full Record in Web of Science")</f>
        <v>View Full Record in Web of Science</v>
      </c>
    </row>
    <row r="1181" spans="1:72" x14ac:dyDescent="0.2">
      <c r="A1181" t="s">
        <v>103</v>
      </c>
      <c r="B1181" t="s">
        <v>21864</v>
      </c>
      <c r="C1181" t="s">
        <v>74</v>
      </c>
      <c r="D1181" t="s">
        <v>74</v>
      </c>
      <c r="E1181" t="s">
        <v>74</v>
      </c>
      <c r="F1181" t="s">
        <v>21865</v>
      </c>
      <c r="G1181" t="s">
        <v>74</v>
      </c>
      <c r="H1181" t="s">
        <v>74</v>
      </c>
      <c r="I1181" t="s">
        <v>21866</v>
      </c>
      <c r="J1181" t="s">
        <v>4976</v>
      </c>
      <c r="K1181" t="s">
        <v>74</v>
      </c>
      <c r="L1181" t="s">
        <v>74</v>
      </c>
      <c r="M1181" t="s">
        <v>79</v>
      </c>
      <c r="N1181" t="s">
        <v>108</v>
      </c>
      <c r="O1181" t="s">
        <v>74</v>
      </c>
      <c r="P1181" t="s">
        <v>74</v>
      </c>
      <c r="Q1181" t="s">
        <v>74</v>
      </c>
      <c r="R1181" t="s">
        <v>74</v>
      </c>
      <c r="S1181" t="s">
        <v>74</v>
      </c>
      <c r="T1181" t="s">
        <v>21867</v>
      </c>
      <c r="U1181" t="s">
        <v>74</v>
      </c>
      <c r="V1181" t="s">
        <v>21868</v>
      </c>
      <c r="W1181" t="s">
        <v>21869</v>
      </c>
      <c r="X1181" t="s">
        <v>21870</v>
      </c>
      <c r="Y1181" t="s">
        <v>21871</v>
      </c>
      <c r="Z1181" t="s">
        <v>21872</v>
      </c>
      <c r="AA1181" t="s">
        <v>74</v>
      </c>
      <c r="AB1181" t="s">
        <v>21873</v>
      </c>
      <c r="AC1181" t="s">
        <v>21874</v>
      </c>
      <c r="AD1181" t="s">
        <v>21875</v>
      </c>
      <c r="AE1181" t="s">
        <v>21876</v>
      </c>
      <c r="AF1181" t="s">
        <v>74</v>
      </c>
      <c r="AG1181">
        <v>49</v>
      </c>
      <c r="AH1181">
        <v>3</v>
      </c>
      <c r="AI1181">
        <v>3</v>
      </c>
      <c r="AJ1181">
        <v>0</v>
      </c>
      <c r="AK1181">
        <v>1</v>
      </c>
      <c r="AL1181" t="s">
        <v>939</v>
      </c>
      <c r="AM1181" t="s">
        <v>940</v>
      </c>
      <c r="AN1181" t="s">
        <v>941</v>
      </c>
      <c r="AO1181" t="s">
        <v>74</v>
      </c>
      <c r="AP1181" t="s">
        <v>4986</v>
      </c>
      <c r="AQ1181" t="s">
        <v>74</v>
      </c>
      <c r="AR1181" t="s">
        <v>4976</v>
      </c>
      <c r="AS1181" t="s">
        <v>4987</v>
      </c>
      <c r="AT1181" t="s">
        <v>126</v>
      </c>
      <c r="AU1181">
        <v>2023</v>
      </c>
      <c r="AV1181">
        <v>10</v>
      </c>
      <c r="AW1181">
        <v>3</v>
      </c>
      <c r="AX1181" t="s">
        <v>74</v>
      </c>
      <c r="AY1181" t="s">
        <v>74</v>
      </c>
      <c r="AZ1181" t="s">
        <v>74</v>
      </c>
      <c r="BA1181" t="s">
        <v>74</v>
      </c>
      <c r="BB1181" t="s">
        <v>74</v>
      </c>
      <c r="BC1181" t="s">
        <v>74</v>
      </c>
      <c r="BD1181">
        <v>358</v>
      </c>
      <c r="BE1181" t="s">
        <v>21877</v>
      </c>
      <c r="BF1181" t="str">
        <f>HYPERLINK("http://dx.doi.org/10.3390/bioengineering10030358","http://dx.doi.org/10.3390/bioengineering10030358")</f>
        <v>http://dx.doi.org/10.3390/bioengineering10030358</v>
      </c>
      <c r="BG1181" t="s">
        <v>74</v>
      </c>
      <c r="BH1181" t="s">
        <v>74</v>
      </c>
      <c r="BI1181">
        <v>12</v>
      </c>
      <c r="BJ1181" t="s">
        <v>4989</v>
      </c>
      <c r="BK1181" t="s">
        <v>130</v>
      </c>
      <c r="BL1181" t="s">
        <v>4990</v>
      </c>
      <c r="BM1181" t="s">
        <v>21878</v>
      </c>
      <c r="BN1181">
        <v>36978749</v>
      </c>
      <c r="BO1181" t="s">
        <v>4185</v>
      </c>
      <c r="BP1181" t="s">
        <v>74</v>
      </c>
      <c r="BQ1181" t="s">
        <v>74</v>
      </c>
      <c r="BR1181" t="s">
        <v>101</v>
      </c>
      <c r="BS1181" t="s">
        <v>21879</v>
      </c>
      <c r="BT1181" t="str">
        <f>HYPERLINK("https%3A%2F%2Fwww.webofscience.com%2Fwos%2Fwoscc%2Ffull-record%2FWOS:000954186600001","View Full Record in Web of Science")</f>
        <v>View Full Record in Web of Science</v>
      </c>
    </row>
    <row r="1182" spans="1:72" x14ac:dyDescent="0.2">
      <c r="A1182" t="s">
        <v>103</v>
      </c>
      <c r="B1182" t="s">
        <v>21880</v>
      </c>
      <c r="C1182" t="s">
        <v>74</v>
      </c>
      <c r="D1182" t="s">
        <v>74</v>
      </c>
      <c r="E1182" t="s">
        <v>74</v>
      </c>
      <c r="F1182" t="s">
        <v>21881</v>
      </c>
      <c r="G1182" t="s">
        <v>74</v>
      </c>
      <c r="H1182" t="s">
        <v>74</v>
      </c>
      <c r="I1182" t="s">
        <v>21882</v>
      </c>
      <c r="J1182" t="s">
        <v>15092</v>
      </c>
      <c r="K1182" t="s">
        <v>74</v>
      </c>
      <c r="L1182" t="s">
        <v>74</v>
      </c>
      <c r="M1182" t="s">
        <v>79</v>
      </c>
      <c r="N1182" t="s">
        <v>108</v>
      </c>
      <c r="O1182" t="s">
        <v>74</v>
      </c>
      <c r="P1182" t="s">
        <v>74</v>
      </c>
      <c r="Q1182" t="s">
        <v>74</v>
      </c>
      <c r="R1182" t="s">
        <v>74</v>
      </c>
      <c r="S1182" t="s">
        <v>74</v>
      </c>
      <c r="T1182" t="s">
        <v>21883</v>
      </c>
      <c r="U1182" t="s">
        <v>21884</v>
      </c>
      <c r="V1182" t="s">
        <v>21885</v>
      </c>
      <c r="W1182" t="s">
        <v>21886</v>
      </c>
      <c r="X1182" t="s">
        <v>21887</v>
      </c>
      <c r="Y1182" t="s">
        <v>21888</v>
      </c>
      <c r="Z1182" t="s">
        <v>21889</v>
      </c>
      <c r="AA1182" t="s">
        <v>21890</v>
      </c>
      <c r="AB1182" t="s">
        <v>21891</v>
      </c>
      <c r="AC1182" t="s">
        <v>74</v>
      </c>
      <c r="AD1182" t="s">
        <v>74</v>
      </c>
      <c r="AE1182" t="s">
        <v>74</v>
      </c>
      <c r="AF1182" t="s">
        <v>74</v>
      </c>
      <c r="AG1182">
        <v>67</v>
      </c>
      <c r="AH1182">
        <v>2</v>
      </c>
      <c r="AI1182">
        <v>2</v>
      </c>
      <c r="AJ1182">
        <v>6</v>
      </c>
      <c r="AK1182">
        <v>6</v>
      </c>
      <c r="AL1182" t="s">
        <v>270</v>
      </c>
      <c r="AM1182" t="s">
        <v>120</v>
      </c>
      <c r="AN1182" t="s">
        <v>271</v>
      </c>
      <c r="AO1182" t="s">
        <v>15103</v>
      </c>
      <c r="AP1182" t="s">
        <v>15104</v>
      </c>
      <c r="AQ1182" t="s">
        <v>74</v>
      </c>
      <c r="AR1182" t="s">
        <v>15105</v>
      </c>
      <c r="AS1182" t="s">
        <v>15106</v>
      </c>
      <c r="AT1182" t="s">
        <v>771</v>
      </c>
      <c r="AU1182">
        <v>2023</v>
      </c>
      <c r="AV1182">
        <v>86</v>
      </c>
      <c r="AW1182" t="s">
        <v>74</v>
      </c>
      <c r="AX1182" t="s">
        <v>9937</v>
      </c>
      <c r="AY1182" t="s">
        <v>74</v>
      </c>
      <c r="AZ1182" t="s">
        <v>74</v>
      </c>
      <c r="BA1182" t="s">
        <v>74</v>
      </c>
      <c r="BB1182" t="s">
        <v>74</v>
      </c>
      <c r="BC1182" t="s">
        <v>74</v>
      </c>
      <c r="BD1182">
        <v>105191</v>
      </c>
      <c r="BE1182" t="s">
        <v>21892</v>
      </c>
      <c r="BF1182" t="str">
        <f>HYPERLINK("http://dx.doi.org/10.1016/j.bspc.2023.105191","http://dx.doi.org/10.1016/j.bspc.2023.105191")</f>
        <v>http://dx.doi.org/10.1016/j.bspc.2023.105191</v>
      </c>
      <c r="BG1182" t="s">
        <v>74</v>
      </c>
      <c r="BH1182" t="s">
        <v>229</v>
      </c>
      <c r="BI1182">
        <v>18</v>
      </c>
      <c r="BJ1182" t="s">
        <v>4718</v>
      </c>
      <c r="BK1182" t="s">
        <v>130</v>
      </c>
      <c r="BL1182" t="s">
        <v>2823</v>
      </c>
      <c r="BM1182" t="s">
        <v>21893</v>
      </c>
      <c r="BN1182" t="s">
        <v>74</v>
      </c>
      <c r="BO1182" t="s">
        <v>1237</v>
      </c>
      <c r="BP1182" t="s">
        <v>74</v>
      </c>
      <c r="BQ1182" t="s">
        <v>74</v>
      </c>
      <c r="BR1182" t="s">
        <v>101</v>
      </c>
      <c r="BS1182" t="s">
        <v>21894</v>
      </c>
      <c r="BT1182" t="str">
        <f>HYPERLINK("https%3A%2F%2Fwww.webofscience.com%2Fwos%2Fwoscc%2Ffull-record%2FWOS:001031616300001","View Full Record in Web of Science")</f>
        <v>View Full Record in Web of Science</v>
      </c>
    </row>
    <row r="1183" spans="1:72" x14ac:dyDescent="0.2">
      <c r="A1183" t="s">
        <v>103</v>
      </c>
      <c r="B1183" t="s">
        <v>21895</v>
      </c>
      <c r="C1183" t="s">
        <v>74</v>
      </c>
      <c r="D1183" t="s">
        <v>74</v>
      </c>
      <c r="E1183" t="s">
        <v>74</v>
      </c>
      <c r="F1183" t="s">
        <v>21896</v>
      </c>
      <c r="G1183" t="s">
        <v>74</v>
      </c>
      <c r="H1183" t="s">
        <v>74</v>
      </c>
      <c r="I1183" t="s">
        <v>21897</v>
      </c>
      <c r="J1183" t="s">
        <v>2433</v>
      </c>
      <c r="K1183" t="s">
        <v>74</v>
      </c>
      <c r="L1183" t="s">
        <v>74</v>
      </c>
      <c r="M1183" t="s">
        <v>79</v>
      </c>
      <c r="N1183" t="s">
        <v>108</v>
      </c>
      <c r="O1183" t="s">
        <v>74</v>
      </c>
      <c r="P1183" t="s">
        <v>74</v>
      </c>
      <c r="Q1183" t="s">
        <v>74</v>
      </c>
      <c r="R1183" t="s">
        <v>74</v>
      </c>
      <c r="S1183" t="s">
        <v>74</v>
      </c>
      <c r="T1183" t="s">
        <v>21898</v>
      </c>
      <c r="U1183" t="s">
        <v>21899</v>
      </c>
      <c r="V1183" t="s">
        <v>21900</v>
      </c>
      <c r="W1183" t="s">
        <v>21901</v>
      </c>
      <c r="X1183" t="s">
        <v>21902</v>
      </c>
      <c r="Y1183" t="s">
        <v>21903</v>
      </c>
      <c r="Z1183" t="s">
        <v>21904</v>
      </c>
      <c r="AA1183" t="s">
        <v>21905</v>
      </c>
      <c r="AB1183" t="s">
        <v>21906</v>
      </c>
      <c r="AC1183" t="s">
        <v>21907</v>
      </c>
      <c r="AD1183" t="s">
        <v>21908</v>
      </c>
      <c r="AE1183" t="s">
        <v>21909</v>
      </c>
      <c r="AF1183" t="s">
        <v>74</v>
      </c>
      <c r="AG1183">
        <v>50</v>
      </c>
      <c r="AH1183">
        <v>2</v>
      </c>
      <c r="AI1183">
        <v>2</v>
      </c>
      <c r="AJ1183">
        <v>2</v>
      </c>
      <c r="AK1183">
        <v>6</v>
      </c>
      <c r="AL1183" t="s">
        <v>939</v>
      </c>
      <c r="AM1183" t="s">
        <v>940</v>
      </c>
      <c r="AN1183" t="s">
        <v>941</v>
      </c>
      <c r="AO1183" t="s">
        <v>74</v>
      </c>
      <c r="AP1183" t="s">
        <v>2444</v>
      </c>
      <c r="AQ1183" t="s">
        <v>74</v>
      </c>
      <c r="AR1183" t="s">
        <v>2445</v>
      </c>
      <c r="AS1183" t="s">
        <v>2446</v>
      </c>
      <c r="AT1183" t="s">
        <v>445</v>
      </c>
      <c r="AU1183">
        <v>2023</v>
      </c>
      <c r="AV1183">
        <v>13</v>
      </c>
      <c r="AW1183">
        <v>8</v>
      </c>
      <c r="AX1183" t="s">
        <v>74</v>
      </c>
      <c r="AY1183" t="s">
        <v>74</v>
      </c>
      <c r="AZ1183" t="s">
        <v>74</v>
      </c>
      <c r="BA1183" t="s">
        <v>74</v>
      </c>
      <c r="BB1183" t="s">
        <v>74</v>
      </c>
      <c r="BC1183" t="s">
        <v>74</v>
      </c>
      <c r="BD1183">
        <v>4914</v>
      </c>
      <c r="BE1183" t="s">
        <v>21910</v>
      </c>
      <c r="BF1183" t="str">
        <f>HYPERLINK("http://dx.doi.org/10.3390/app13084914","http://dx.doi.org/10.3390/app13084914")</f>
        <v>http://dx.doi.org/10.3390/app13084914</v>
      </c>
      <c r="BG1183" t="s">
        <v>74</v>
      </c>
      <c r="BH1183" t="s">
        <v>74</v>
      </c>
      <c r="BI1183">
        <v>33</v>
      </c>
      <c r="BJ1183" t="s">
        <v>2448</v>
      </c>
      <c r="BK1183" t="s">
        <v>130</v>
      </c>
      <c r="BL1183" t="s">
        <v>2449</v>
      </c>
      <c r="BM1183" t="s">
        <v>21911</v>
      </c>
      <c r="BN1183" t="s">
        <v>74</v>
      </c>
      <c r="BO1183" t="s">
        <v>1071</v>
      </c>
      <c r="BP1183" t="s">
        <v>74</v>
      </c>
      <c r="BQ1183" t="s">
        <v>74</v>
      </c>
      <c r="BR1183" t="s">
        <v>101</v>
      </c>
      <c r="BS1183" t="s">
        <v>21912</v>
      </c>
      <c r="BT1183" t="str">
        <f>HYPERLINK("https%3A%2F%2Fwww.webofscience.com%2Fwos%2Fwoscc%2Ffull-record%2FWOS:000979255500001","View Full Record in Web of Science")</f>
        <v>View Full Record in Web of Science</v>
      </c>
    </row>
    <row r="1184" spans="1:72" x14ac:dyDescent="0.2">
      <c r="A1184" t="s">
        <v>103</v>
      </c>
      <c r="B1184" t="s">
        <v>21913</v>
      </c>
      <c r="C1184" t="s">
        <v>74</v>
      </c>
      <c r="D1184" t="s">
        <v>74</v>
      </c>
      <c r="E1184" t="s">
        <v>74</v>
      </c>
      <c r="F1184" t="s">
        <v>21914</v>
      </c>
      <c r="G1184" t="s">
        <v>74</v>
      </c>
      <c r="H1184" t="s">
        <v>74</v>
      </c>
      <c r="I1184" t="s">
        <v>21915</v>
      </c>
      <c r="J1184" t="s">
        <v>10733</v>
      </c>
      <c r="K1184" t="s">
        <v>74</v>
      </c>
      <c r="L1184" t="s">
        <v>74</v>
      </c>
      <c r="M1184" t="s">
        <v>79</v>
      </c>
      <c r="N1184" t="s">
        <v>108</v>
      </c>
      <c r="O1184" t="s">
        <v>74</v>
      </c>
      <c r="P1184" t="s">
        <v>74</v>
      </c>
      <c r="Q1184" t="s">
        <v>74</v>
      </c>
      <c r="R1184" t="s">
        <v>74</v>
      </c>
      <c r="S1184" t="s">
        <v>74</v>
      </c>
      <c r="T1184" t="s">
        <v>21916</v>
      </c>
      <c r="U1184" t="s">
        <v>21917</v>
      </c>
      <c r="V1184" t="s">
        <v>21918</v>
      </c>
      <c r="W1184" t="s">
        <v>21919</v>
      </c>
      <c r="X1184" t="s">
        <v>21920</v>
      </c>
      <c r="Y1184" t="s">
        <v>21921</v>
      </c>
      <c r="Z1184" t="s">
        <v>21922</v>
      </c>
      <c r="AA1184" t="s">
        <v>74</v>
      </c>
      <c r="AB1184" t="s">
        <v>21923</v>
      </c>
      <c r="AC1184" t="s">
        <v>21924</v>
      </c>
      <c r="AD1184" t="s">
        <v>21925</v>
      </c>
      <c r="AE1184" t="s">
        <v>21926</v>
      </c>
      <c r="AF1184" t="s">
        <v>74</v>
      </c>
      <c r="AG1184">
        <v>77</v>
      </c>
      <c r="AH1184">
        <v>0</v>
      </c>
      <c r="AI1184">
        <v>0</v>
      </c>
      <c r="AJ1184">
        <v>11</v>
      </c>
      <c r="AK1184">
        <v>11</v>
      </c>
      <c r="AL1184" t="s">
        <v>764</v>
      </c>
      <c r="AM1184" t="s">
        <v>765</v>
      </c>
      <c r="AN1184" t="s">
        <v>766</v>
      </c>
      <c r="AO1184" t="s">
        <v>10743</v>
      </c>
      <c r="AP1184" t="s">
        <v>10744</v>
      </c>
      <c r="AQ1184" t="s">
        <v>74</v>
      </c>
      <c r="AR1184" t="s">
        <v>10745</v>
      </c>
      <c r="AS1184" t="s">
        <v>10746</v>
      </c>
      <c r="AT1184" t="s">
        <v>527</v>
      </c>
      <c r="AU1184">
        <v>2023</v>
      </c>
      <c r="AV1184">
        <v>90</v>
      </c>
      <c r="AW1184" t="s">
        <v>74</v>
      </c>
      <c r="AX1184" t="s">
        <v>74</v>
      </c>
      <c r="AY1184" t="s">
        <v>74</v>
      </c>
      <c r="AZ1184" t="s">
        <v>74</v>
      </c>
      <c r="BA1184" t="s">
        <v>74</v>
      </c>
      <c r="BB1184" t="s">
        <v>74</v>
      </c>
      <c r="BC1184" t="s">
        <v>74</v>
      </c>
      <c r="BD1184">
        <v>102994</v>
      </c>
      <c r="BE1184" t="s">
        <v>21927</v>
      </c>
      <c r="BF1184" t="str">
        <f>HYPERLINK("http://dx.doi.org/10.1016/j.media.2023.102994","http://dx.doi.org/10.1016/j.media.2023.102994")</f>
        <v>http://dx.doi.org/10.1016/j.media.2023.102994</v>
      </c>
      <c r="BG1184" t="s">
        <v>74</v>
      </c>
      <c r="BH1184" t="s">
        <v>1886</v>
      </c>
      <c r="BI1184">
        <v>15</v>
      </c>
      <c r="BJ1184" t="s">
        <v>10748</v>
      </c>
      <c r="BK1184" t="s">
        <v>130</v>
      </c>
      <c r="BL1184" t="s">
        <v>10749</v>
      </c>
      <c r="BM1184" t="s">
        <v>21928</v>
      </c>
      <c r="BN1184">
        <v>37812856</v>
      </c>
      <c r="BO1184" t="s">
        <v>2722</v>
      </c>
      <c r="BP1184" t="s">
        <v>74</v>
      </c>
      <c r="BQ1184" t="s">
        <v>74</v>
      </c>
      <c r="BR1184" t="s">
        <v>101</v>
      </c>
      <c r="BS1184" t="s">
        <v>21929</v>
      </c>
      <c r="BT1184" t="str">
        <f>HYPERLINK("https%3A%2F%2Fwww.webofscience.com%2Fwos%2Fwoscc%2Ffull-record%2FWOS:001091752000001","View Full Record in Web of Science")</f>
        <v>View Full Record in Web of Science</v>
      </c>
    </row>
    <row r="1185" spans="1:72" x14ac:dyDescent="0.2">
      <c r="A1185" t="s">
        <v>103</v>
      </c>
      <c r="B1185" t="s">
        <v>21930</v>
      </c>
      <c r="C1185" t="s">
        <v>74</v>
      </c>
      <c r="D1185" t="s">
        <v>74</v>
      </c>
      <c r="E1185" t="s">
        <v>74</v>
      </c>
      <c r="F1185" t="s">
        <v>21931</v>
      </c>
      <c r="G1185" t="s">
        <v>74</v>
      </c>
      <c r="H1185" t="s">
        <v>74</v>
      </c>
      <c r="I1185" t="s">
        <v>21932</v>
      </c>
      <c r="J1185" t="s">
        <v>21933</v>
      </c>
      <c r="K1185" t="s">
        <v>74</v>
      </c>
      <c r="L1185" t="s">
        <v>74</v>
      </c>
      <c r="M1185" t="s">
        <v>79</v>
      </c>
      <c r="N1185" t="s">
        <v>108</v>
      </c>
      <c r="O1185" t="s">
        <v>74</v>
      </c>
      <c r="P1185" t="s">
        <v>74</v>
      </c>
      <c r="Q1185" t="s">
        <v>74</v>
      </c>
      <c r="R1185" t="s">
        <v>74</v>
      </c>
      <c r="S1185" t="s">
        <v>74</v>
      </c>
      <c r="T1185" t="s">
        <v>21934</v>
      </c>
      <c r="U1185" t="s">
        <v>74</v>
      </c>
      <c r="V1185" t="s">
        <v>21935</v>
      </c>
      <c r="W1185" t="s">
        <v>21936</v>
      </c>
      <c r="X1185" t="s">
        <v>21937</v>
      </c>
      <c r="Y1185" t="s">
        <v>21938</v>
      </c>
      <c r="Z1185" t="s">
        <v>21939</v>
      </c>
      <c r="AA1185" t="s">
        <v>74</v>
      </c>
      <c r="AB1185" t="s">
        <v>21940</v>
      </c>
      <c r="AC1185" t="s">
        <v>74</v>
      </c>
      <c r="AD1185" t="s">
        <v>74</v>
      </c>
      <c r="AE1185" t="s">
        <v>74</v>
      </c>
      <c r="AF1185" t="s">
        <v>74</v>
      </c>
      <c r="AG1185">
        <v>48</v>
      </c>
      <c r="AH1185">
        <v>0</v>
      </c>
      <c r="AI1185">
        <v>0</v>
      </c>
      <c r="AJ1185">
        <v>1</v>
      </c>
      <c r="AK1185">
        <v>1</v>
      </c>
      <c r="AL1185" t="s">
        <v>939</v>
      </c>
      <c r="AM1185" t="s">
        <v>940</v>
      </c>
      <c r="AN1185" t="s">
        <v>941</v>
      </c>
      <c r="AO1185" t="s">
        <v>74</v>
      </c>
      <c r="AP1185" t="s">
        <v>21941</v>
      </c>
      <c r="AQ1185" t="s">
        <v>74</v>
      </c>
      <c r="AR1185" t="s">
        <v>21942</v>
      </c>
      <c r="AS1185" t="s">
        <v>21943</v>
      </c>
      <c r="AT1185" t="s">
        <v>527</v>
      </c>
      <c r="AU1185">
        <v>2023</v>
      </c>
      <c r="AV1185">
        <v>7</v>
      </c>
      <c r="AW1185">
        <v>4</v>
      </c>
      <c r="AX1185" t="s">
        <v>74</v>
      </c>
      <c r="AY1185" t="s">
        <v>74</v>
      </c>
      <c r="AZ1185" t="s">
        <v>74</v>
      </c>
      <c r="BA1185" t="s">
        <v>74</v>
      </c>
      <c r="BB1185" t="s">
        <v>74</v>
      </c>
      <c r="BC1185" t="s">
        <v>74</v>
      </c>
      <c r="BD1185">
        <v>182</v>
      </c>
      <c r="BE1185" t="s">
        <v>21944</v>
      </c>
      <c r="BF1185" t="str">
        <f>HYPERLINK("http://dx.doi.org/10.3390/bdcc7040182","http://dx.doi.org/10.3390/bdcc7040182")</f>
        <v>http://dx.doi.org/10.3390/bdcc7040182</v>
      </c>
      <c r="BG1185" t="s">
        <v>74</v>
      </c>
      <c r="BH1185" t="s">
        <v>74</v>
      </c>
      <c r="BI1185">
        <v>22</v>
      </c>
      <c r="BJ1185" t="s">
        <v>6374</v>
      </c>
      <c r="BK1185" t="s">
        <v>352</v>
      </c>
      <c r="BL1185" t="s">
        <v>99</v>
      </c>
      <c r="BM1185" t="s">
        <v>21945</v>
      </c>
      <c r="BN1185" t="s">
        <v>74</v>
      </c>
      <c r="BO1185" t="s">
        <v>425</v>
      </c>
      <c r="BP1185" t="s">
        <v>74</v>
      </c>
      <c r="BQ1185" t="s">
        <v>74</v>
      </c>
      <c r="BR1185" t="s">
        <v>101</v>
      </c>
      <c r="BS1185" t="s">
        <v>21946</v>
      </c>
      <c r="BT1185" t="str">
        <f>HYPERLINK("https%3A%2F%2Fwww.webofscience.com%2Fwos%2Fwoscc%2Ffull-record%2FWOS:001137855700001","View Full Record in Web of Science")</f>
        <v>View Full Record in Web of Science</v>
      </c>
    </row>
    <row r="1186" spans="1:72" x14ac:dyDescent="0.2">
      <c r="A1186" t="s">
        <v>103</v>
      </c>
      <c r="B1186" t="s">
        <v>21947</v>
      </c>
      <c r="C1186" t="s">
        <v>74</v>
      </c>
      <c r="D1186" t="s">
        <v>74</v>
      </c>
      <c r="E1186" t="s">
        <v>74</v>
      </c>
      <c r="F1186" t="s">
        <v>21948</v>
      </c>
      <c r="G1186" t="s">
        <v>74</v>
      </c>
      <c r="H1186" t="s">
        <v>74</v>
      </c>
      <c r="I1186" t="s">
        <v>21949</v>
      </c>
      <c r="J1186" t="s">
        <v>3426</v>
      </c>
      <c r="K1186" t="s">
        <v>74</v>
      </c>
      <c r="L1186" t="s">
        <v>74</v>
      </c>
      <c r="M1186" t="s">
        <v>79</v>
      </c>
      <c r="N1186" t="s">
        <v>108</v>
      </c>
      <c r="O1186" t="s">
        <v>74</v>
      </c>
      <c r="P1186" t="s">
        <v>74</v>
      </c>
      <c r="Q1186" t="s">
        <v>74</v>
      </c>
      <c r="R1186" t="s">
        <v>74</v>
      </c>
      <c r="S1186" t="s">
        <v>74</v>
      </c>
      <c r="T1186" t="s">
        <v>21950</v>
      </c>
      <c r="U1186" t="s">
        <v>21951</v>
      </c>
      <c r="V1186" t="s">
        <v>21952</v>
      </c>
      <c r="W1186" t="s">
        <v>21953</v>
      </c>
      <c r="X1186" t="s">
        <v>21954</v>
      </c>
      <c r="Y1186" t="s">
        <v>21955</v>
      </c>
      <c r="Z1186" t="s">
        <v>21956</v>
      </c>
      <c r="AA1186" t="s">
        <v>74</v>
      </c>
      <c r="AB1186" t="s">
        <v>74</v>
      </c>
      <c r="AC1186" t="s">
        <v>74</v>
      </c>
      <c r="AD1186" t="s">
        <v>74</v>
      </c>
      <c r="AE1186" t="s">
        <v>74</v>
      </c>
      <c r="AF1186" t="s">
        <v>74</v>
      </c>
      <c r="AG1186">
        <v>355</v>
      </c>
      <c r="AH1186">
        <v>0</v>
      </c>
      <c r="AI1186">
        <v>0</v>
      </c>
      <c r="AJ1186">
        <v>4</v>
      </c>
      <c r="AK1186">
        <v>4</v>
      </c>
      <c r="AL1186" t="s">
        <v>939</v>
      </c>
      <c r="AM1186" t="s">
        <v>940</v>
      </c>
      <c r="AN1186" t="s">
        <v>941</v>
      </c>
      <c r="AO1186" t="s">
        <v>74</v>
      </c>
      <c r="AP1186" t="s">
        <v>3436</v>
      </c>
      <c r="AQ1186" t="s">
        <v>74</v>
      </c>
      <c r="AR1186" t="s">
        <v>3437</v>
      </c>
      <c r="AS1186" t="s">
        <v>3438</v>
      </c>
      <c r="AT1186" t="s">
        <v>615</v>
      </c>
      <c r="AU1186">
        <v>2023</v>
      </c>
      <c r="AV1186">
        <v>12</v>
      </c>
      <c r="AW1186">
        <v>14</v>
      </c>
      <c r="AX1186" t="s">
        <v>74</v>
      </c>
      <c r="AY1186" t="s">
        <v>74</v>
      </c>
      <c r="AZ1186" t="s">
        <v>74</v>
      </c>
      <c r="BA1186" t="s">
        <v>74</v>
      </c>
      <c r="BB1186" t="s">
        <v>74</v>
      </c>
      <c r="BC1186" t="s">
        <v>74</v>
      </c>
      <c r="BD1186">
        <v>4830</v>
      </c>
      <c r="BE1186" t="s">
        <v>21957</v>
      </c>
      <c r="BF1186" t="str">
        <f>HYPERLINK("http://dx.doi.org/10.3390/jcm12144830","http://dx.doi.org/10.3390/jcm12144830")</f>
        <v>http://dx.doi.org/10.3390/jcm12144830</v>
      </c>
      <c r="BG1186" t="s">
        <v>74</v>
      </c>
      <c r="BH1186" t="s">
        <v>74</v>
      </c>
      <c r="BI1186">
        <v>27</v>
      </c>
      <c r="BJ1186" t="s">
        <v>3440</v>
      </c>
      <c r="BK1186" t="s">
        <v>130</v>
      </c>
      <c r="BL1186" t="s">
        <v>3441</v>
      </c>
      <c r="BM1186" t="s">
        <v>21958</v>
      </c>
      <c r="BN1186">
        <v>37510945</v>
      </c>
      <c r="BO1186" t="s">
        <v>1728</v>
      </c>
      <c r="BP1186" t="s">
        <v>74</v>
      </c>
      <c r="BQ1186" t="s">
        <v>74</v>
      </c>
      <c r="BR1186" t="s">
        <v>101</v>
      </c>
      <c r="BS1186" t="s">
        <v>21959</v>
      </c>
      <c r="BT1186" t="str">
        <f>HYPERLINK("https%3A%2F%2Fwww.webofscience.com%2Fwos%2Fwoscc%2Ffull-record%2FWOS:001035963500001","View Full Record in Web of Science")</f>
        <v>View Full Record in Web of Science</v>
      </c>
    </row>
    <row r="1187" spans="1:72" x14ac:dyDescent="0.2">
      <c r="A1187" t="s">
        <v>72</v>
      </c>
      <c r="B1187" t="s">
        <v>21960</v>
      </c>
      <c r="C1187" t="s">
        <v>74</v>
      </c>
      <c r="D1187" t="s">
        <v>74</v>
      </c>
      <c r="E1187" t="s">
        <v>75</v>
      </c>
      <c r="F1187" t="s">
        <v>21961</v>
      </c>
      <c r="G1187" t="s">
        <v>74</v>
      </c>
      <c r="H1187" t="s">
        <v>74</v>
      </c>
      <c r="I1187" t="s">
        <v>21962</v>
      </c>
      <c r="J1187" t="s">
        <v>21963</v>
      </c>
      <c r="K1187" t="s">
        <v>74</v>
      </c>
      <c r="L1187" t="s">
        <v>74</v>
      </c>
      <c r="M1187" t="s">
        <v>79</v>
      </c>
      <c r="N1187" t="s">
        <v>80</v>
      </c>
      <c r="O1187" t="s">
        <v>21964</v>
      </c>
      <c r="P1187" t="s">
        <v>21965</v>
      </c>
      <c r="Q1187" t="s">
        <v>21966</v>
      </c>
      <c r="R1187" t="s">
        <v>21967</v>
      </c>
      <c r="S1187" t="s">
        <v>74</v>
      </c>
      <c r="T1187" t="s">
        <v>21968</v>
      </c>
      <c r="U1187" t="s">
        <v>74</v>
      </c>
      <c r="V1187" t="s">
        <v>21969</v>
      </c>
      <c r="W1187" t="s">
        <v>21970</v>
      </c>
      <c r="X1187" t="s">
        <v>17841</v>
      </c>
      <c r="Y1187" t="s">
        <v>21971</v>
      </c>
      <c r="Z1187" t="s">
        <v>21972</v>
      </c>
      <c r="AA1187" t="s">
        <v>74</v>
      </c>
      <c r="AB1187" t="s">
        <v>74</v>
      </c>
      <c r="AC1187" t="s">
        <v>74</v>
      </c>
      <c r="AD1187" t="s">
        <v>74</v>
      </c>
      <c r="AE1187" t="s">
        <v>74</v>
      </c>
      <c r="AF1187" t="s">
        <v>74</v>
      </c>
      <c r="AG1187">
        <v>12</v>
      </c>
      <c r="AH1187">
        <v>0</v>
      </c>
      <c r="AI1187">
        <v>0</v>
      </c>
      <c r="AJ1187">
        <v>6</v>
      </c>
      <c r="AK1187">
        <v>6</v>
      </c>
      <c r="AL1187" t="s">
        <v>92</v>
      </c>
      <c r="AM1187" t="s">
        <v>93</v>
      </c>
      <c r="AN1187" t="s">
        <v>94</v>
      </c>
      <c r="AO1187" t="s">
        <v>74</v>
      </c>
      <c r="AP1187" t="s">
        <v>74</v>
      </c>
      <c r="AQ1187" t="s">
        <v>21973</v>
      </c>
      <c r="AR1187" t="s">
        <v>74</v>
      </c>
      <c r="AS1187" t="s">
        <v>74</v>
      </c>
      <c r="AT1187" t="s">
        <v>74</v>
      </c>
      <c r="AU1187">
        <v>2023</v>
      </c>
      <c r="AV1187" t="s">
        <v>74</v>
      </c>
      <c r="AW1187" t="s">
        <v>74</v>
      </c>
      <c r="AX1187" t="s">
        <v>74</v>
      </c>
      <c r="AY1187" t="s">
        <v>74</v>
      </c>
      <c r="AZ1187" t="s">
        <v>74</v>
      </c>
      <c r="BA1187" t="s">
        <v>74</v>
      </c>
      <c r="BB1187">
        <v>5</v>
      </c>
      <c r="BC1187">
        <v>6</v>
      </c>
      <c r="BD1187" t="s">
        <v>74</v>
      </c>
      <c r="BE1187" t="s">
        <v>21974</v>
      </c>
      <c r="BF1187" t="str">
        <f>HYPERLINK("http://dx.doi.org/10.1145/3539618.3593069","http://dx.doi.org/10.1145/3539618.3593069")</f>
        <v>http://dx.doi.org/10.1145/3539618.3593069</v>
      </c>
      <c r="BG1187" t="s">
        <v>74</v>
      </c>
      <c r="BH1187" t="s">
        <v>74</v>
      </c>
      <c r="BI1187">
        <v>2</v>
      </c>
      <c r="BJ1187" t="s">
        <v>9511</v>
      </c>
      <c r="BK1187" t="s">
        <v>98</v>
      </c>
      <c r="BL1187" t="s">
        <v>99</v>
      </c>
      <c r="BM1187" t="s">
        <v>21975</v>
      </c>
      <c r="BN1187" t="s">
        <v>74</v>
      </c>
      <c r="BO1187" t="s">
        <v>74</v>
      </c>
      <c r="BP1187" t="s">
        <v>74</v>
      </c>
      <c r="BQ1187" t="s">
        <v>74</v>
      </c>
      <c r="BR1187" t="s">
        <v>101</v>
      </c>
      <c r="BS1187" t="s">
        <v>21976</v>
      </c>
      <c r="BT1187" t="str">
        <f>HYPERLINK("https%3A%2F%2Fwww.webofscience.com%2Fwos%2Fwoscc%2Ffull-record%2FWOS:001118084000004","View Full Record in Web of Science")</f>
        <v>View Full Record in Web of Science</v>
      </c>
    </row>
    <row r="1188" spans="1:72" x14ac:dyDescent="0.2">
      <c r="A1188" t="s">
        <v>72</v>
      </c>
      <c r="B1188" t="s">
        <v>21977</v>
      </c>
      <c r="C1188" t="s">
        <v>74</v>
      </c>
      <c r="D1188" t="s">
        <v>74</v>
      </c>
      <c r="E1188" t="s">
        <v>284</v>
      </c>
      <c r="F1188" t="s">
        <v>21978</v>
      </c>
      <c r="G1188" t="s">
        <v>74</v>
      </c>
      <c r="H1188" t="s">
        <v>74</v>
      </c>
      <c r="I1188" t="s">
        <v>21979</v>
      </c>
      <c r="J1188" t="s">
        <v>21627</v>
      </c>
      <c r="K1188" t="s">
        <v>21628</v>
      </c>
      <c r="L1188" t="s">
        <v>74</v>
      </c>
      <c r="M1188" t="s">
        <v>79</v>
      </c>
      <c r="N1188" t="s">
        <v>80</v>
      </c>
      <c r="O1188" t="s">
        <v>21629</v>
      </c>
      <c r="P1188" t="s">
        <v>21630</v>
      </c>
      <c r="Q1188" t="s">
        <v>3660</v>
      </c>
      <c r="R1188" t="s">
        <v>21631</v>
      </c>
      <c r="S1188" t="s">
        <v>74</v>
      </c>
      <c r="T1188" t="s">
        <v>74</v>
      </c>
      <c r="U1188" t="s">
        <v>74</v>
      </c>
      <c r="V1188" t="s">
        <v>21980</v>
      </c>
      <c r="W1188" t="s">
        <v>21981</v>
      </c>
      <c r="X1188" t="s">
        <v>21982</v>
      </c>
      <c r="Y1188" t="s">
        <v>21983</v>
      </c>
      <c r="Z1188" t="s">
        <v>21984</v>
      </c>
      <c r="AA1188" t="s">
        <v>74</v>
      </c>
      <c r="AB1188" t="s">
        <v>74</v>
      </c>
      <c r="AC1188" t="s">
        <v>21985</v>
      </c>
      <c r="AD1188" t="s">
        <v>21986</v>
      </c>
      <c r="AE1188" t="s">
        <v>21987</v>
      </c>
      <c r="AF1188" t="s">
        <v>74</v>
      </c>
      <c r="AG1188">
        <v>31</v>
      </c>
      <c r="AH1188">
        <v>0</v>
      </c>
      <c r="AI1188">
        <v>0</v>
      </c>
      <c r="AJ1188">
        <v>0</v>
      </c>
      <c r="AK1188">
        <v>0</v>
      </c>
      <c r="AL1188" t="s">
        <v>284</v>
      </c>
      <c r="AM1188" t="s">
        <v>93</v>
      </c>
      <c r="AN1188" t="s">
        <v>299</v>
      </c>
      <c r="AO1188" t="s">
        <v>21641</v>
      </c>
      <c r="AP1188" t="s">
        <v>21642</v>
      </c>
      <c r="AQ1188" t="s">
        <v>21643</v>
      </c>
      <c r="AR1188" t="s">
        <v>21644</v>
      </c>
      <c r="AS1188" t="s">
        <v>74</v>
      </c>
      <c r="AT1188" t="s">
        <v>74</v>
      </c>
      <c r="AU1188">
        <v>2023</v>
      </c>
      <c r="AV1188" t="s">
        <v>74</v>
      </c>
      <c r="AW1188" t="s">
        <v>74</v>
      </c>
      <c r="AX1188" t="s">
        <v>74</v>
      </c>
      <c r="AY1188" t="s">
        <v>74</v>
      </c>
      <c r="AZ1188" t="s">
        <v>74</v>
      </c>
      <c r="BA1188" t="s">
        <v>74</v>
      </c>
      <c r="BB1188">
        <v>2944</v>
      </c>
      <c r="BC1188">
        <v>2950</v>
      </c>
      <c r="BD1188" t="s">
        <v>74</v>
      </c>
      <c r="BE1188" t="s">
        <v>21988</v>
      </c>
      <c r="BF1188" t="str">
        <f>HYPERLINK("http://dx.doi.org/10.1109/ICRA48891.2023.10160421","http://dx.doi.org/10.1109/ICRA48891.2023.10160421")</f>
        <v>http://dx.doi.org/10.1109/ICRA48891.2023.10160421</v>
      </c>
      <c r="BG1188" t="s">
        <v>74</v>
      </c>
      <c r="BH1188" t="s">
        <v>74</v>
      </c>
      <c r="BI1188">
        <v>7</v>
      </c>
      <c r="BJ1188" t="s">
        <v>21646</v>
      </c>
      <c r="BK1188" t="s">
        <v>98</v>
      </c>
      <c r="BL1188" t="s">
        <v>21647</v>
      </c>
      <c r="BM1188" t="s">
        <v>21648</v>
      </c>
      <c r="BN1188" t="s">
        <v>74</v>
      </c>
      <c r="BO1188" t="s">
        <v>646</v>
      </c>
      <c r="BP1188" t="s">
        <v>74</v>
      </c>
      <c r="BQ1188" t="s">
        <v>74</v>
      </c>
      <c r="BR1188" t="s">
        <v>101</v>
      </c>
      <c r="BS1188" t="s">
        <v>21989</v>
      </c>
      <c r="BT1188" t="str">
        <f>HYPERLINK("https%3A%2F%2Fwww.webofscience.com%2Fwos%2Fwoscc%2Ffull-record%2FWOS:001036713002048","View Full Record in Web of Science")</f>
        <v>View Full Record in Web of Science</v>
      </c>
    </row>
    <row r="1189" spans="1:72" x14ac:dyDescent="0.2">
      <c r="A1189" t="s">
        <v>103</v>
      </c>
      <c r="B1189" t="s">
        <v>21990</v>
      </c>
      <c r="C1189" t="s">
        <v>74</v>
      </c>
      <c r="D1189" t="s">
        <v>74</v>
      </c>
      <c r="E1189" t="s">
        <v>74</v>
      </c>
      <c r="F1189" t="s">
        <v>21991</v>
      </c>
      <c r="G1189" t="s">
        <v>74</v>
      </c>
      <c r="H1189" t="s">
        <v>74</v>
      </c>
      <c r="I1189" t="s">
        <v>21992</v>
      </c>
      <c r="J1189" t="s">
        <v>21993</v>
      </c>
      <c r="K1189" t="s">
        <v>74</v>
      </c>
      <c r="L1189" t="s">
        <v>74</v>
      </c>
      <c r="M1189" t="s">
        <v>79</v>
      </c>
      <c r="N1189" t="s">
        <v>108</v>
      </c>
      <c r="O1189" t="s">
        <v>74</v>
      </c>
      <c r="P1189" t="s">
        <v>74</v>
      </c>
      <c r="Q1189" t="s">
        <v>74</v>
      </c>
      <c r="R1189" t="s">
        <v>74</v>
      </c>
      <c r="S1189" t="s">
        <v>74</v>
      </c>
      <c r="T1189" t="s">
        <v>74</v>
      </c>
      <c r="U1189" t="s">
        <v>21994</v>
      </c>
      <c r="V1189" t="s">
        <v>21995</v>
      </c>
      <c r="W1189" t="s">
        <v>21996</v>
      </c>
      <c r="X1189" t="s">
        <v>21997</v>
      </c>
      <c r="Y1189" t="s">
        <v>21998</v>
      </c>
      <c r="Z1189" t="s">
        <v>21999</v>
      </c>
      <c r="AA1189" t="s">
        <v>22000</v>
      </c>
      <c r="AB1189" t="s">
        <v>22001</v>
      </c>
      <c r="AC1189" t="s">
        <v>22002</v>
      </c>
      <c r="AD1189" t="s">
        <v>22002</v>
      </c>
      <c r="AE1189" t="s">
        <v>22003</v>
      </c>
      <c r="AF1189" t="s">
        <v>74</v>
      </c>
      <c r="AG1189">
        <v>39</v>
      </c>
      <c r="AH1189">
        <v>0</v>
      </c>
      <c r="AI1189">
        <v>0</v>
      </c>
      <c r="AJ1189">
        <v>1</v>
      </c>
      <c r="AK1189">
        <v>1</v>
      </c>
      <c r="AL1189" t="s">
        <v>1152</v>
      </c>
      <c r="AM1189" t="s">
        <v>1153</v>
      </c>
      <c r="AN1189" t="s">
        <v>1154</v>
      </c>
      <c r="AO1189" t="s">
        <v>22004</v>
      </c>
      <c r="AP1189" t="s">
        <v>22005</v>
      </c>
      <c r="AQ1189" t="s">
        <v>74</v>
      </c>
      <c r="AR1189" t="s">
        <v>22006</v>
      </c>
      <c r="AS1189" t="s">
        <v>22007</v>
      </c>
      <c r="AT1189" t="s">
        <v>791</v>
      </c>
      <c r="AU1189">
        <v>2023</v>
      </c>
      <c r="AV1189">
        <v>28</v>
      </c>
      <c r="AW1189">
        <v>2</v>
      </c>
      <c r="AX1189" t="s">
        <v>74</v>
      </c>
      <c r="AY1189" t="s">
        <v>74</v>
      </c>
      <c r="AZ1189" t="s">
        <v>253</v>
      </c>
      <c r="BA1189" t="s">
        <v>74</v>
      </c>
      <c r="BB1189">
        <v>305</v>
      </c>
      <c r="BC1189">
        <v>314</v>
      </c>
      <c r="BD1189" t="s">
        <v>74</v>
      </c>
      <c r="BE1189" t="s">
        <v>22008</v>
      </c>
      <c r="BF1189" t="str">
        <f>HYPERLINK("http://dx.doi.org/10.1017/S1355771823000420","http://dx.doi.org/10.1017/S1355771823000420")</f>
        <v>http://dx.doi.org/10.1017/S1355771823000420</v>
      </c>
      <c r="BG1189" t="s">
        <v>74</v>
      </c>
      <c r="BH1189" t="s">
        <v>255</v>
      </c>
      <c r="BI1189">
        <v>10</v>
      </c>
      <c r="BJ1189" t="s">
        <v>2237</v>
      </c>
      <c r="BK1189" t="s">
        <v>2649</v>
      </c>
      <c r="BL1189" t="s">
        <v>2237</v>
      </c>
      <c r="BM1189" t="s">
        <v>22009</v>
      </c>
      <c r="BN1189" t="s">
        <v>74</v>
      </c>
      <c r="BO1189" t="s">
        <v>161</v>
      </c>
      <c r="BP1189" t="s">
        <v>74</v>
      </c>
      <c r="BQ1189" t="s">
        <v>74</v>
      </c>
      <c r="BR1189" t="s">
        <v>101</v>
      </c>
      <c r="BS1189" t="s">
        <v>22010</v>
      </c>
      <c r="BT1189" t="str">
        <f>HYPERLINK("https%3A%2F%2Fwww.webofscience.com%2Fwos%2Fwoscc%2Ffull-record%2FWOS:001093279600001","View Full Record in Web of Science")</f>
        <v>View Full Record in Web of Science</v>
      </c>
    </row>
    <row r="1190" spans="1:72" x14ac:dyDescent="0.2">
      <c r="A1190" t="s">
        <v>103</v>
      </c>
      <c r="B1190" t="s">
        <v>22011</v>
      </c>
      <c r="C1190" t="s">
        <v>74</v>
      </c>
      <c r="D1190" t="s">
        <v>74</v>
      </c>
      <c r="E1190" t="s">
        <v>74</v>
      </c>
      <c r="F1190" t="s">
        <v>22012</v>
      </c>
      <c r="G1190" t="s">
        <v>74</v>
      </c>
      <c r="H1190" t="s">
        <v>74</v>
      </c>
      <c r="I1190" t="s">
        <v>22013</v>
      </c>
      <c r="J1190" t="s">
        <v>22014</v>
      </c>
      <c r="K1190" t="s">
        <v>74</v>
      </c>
      <c r="L1190" t="s">
        <v>74</v>
      </c>
      <c r="M1190" t="s">
        <v>79</v>
      </c>
      <c r="N1190" t="s">
        <v>108</v>
      </c>
      <c r="O1190" t="s">
        <v>74</v>
      </c>
      <c r="P1190" t="s">
        <v>74</v>
      </c>
      <c r="Q1190" t="s">
        <v>74</v>
      </c>
      <c r="R1190" t="s">
        <v>74</v>
      </c>
      <c r="S1190" t="s">
        <v>74</v>
      </c>
      <c r="T1190" t="s">
        <v>22015</v>
      </c>
      <c r="U1190" t="s">
        <v>22016</v>
      </c>
      <c r="V1190" t="s">
        <v>22017</v>
      </c>
      <c r="W1190" t="s">
        <v>22018</v>
      </c>
      <c r="X1190" t="s">
        <v>22019</v>
      </c>
      <c r="Y1190" t="s">
        <v>22020</v>
      </c>
      <c r="Z1190" t="s">
        <v>22021</v>
      </c>
      <c r="AA1190" t="s">
        <v>74</v>
      </c>
      <c r="AB1190" t="s">
        <v>22022</v>
      </c>
      <c r="AC1190" t="s">
        <v>22023</v>
      </c>
      <c r="AD1190" t="s">
        <v>22024</v>
      </c>
      <c r="AE1190" t="s">
        <v>22025</v>
      </c>
      <c r="AF1190" t="s">
        <v>74</v>
      </c>
      <c r="AG1190">
        <v>48</v>
      </c>
      <c r="AH1190">
        <v>1</v>
      </c>
      <c r="AI1190">
        <v>1</v>
      </c>
      <c r="AJ1190">
        <v>12</v>
      </c>
      <c r="AK1190">
        <v>23</v>
      </c>
      <c r="AL1190" t="s">
        <v>438</v>
      </c>
      <c r="AM1190" t="s">
        <v>439</v>
      </c>
      <c r="AN1190" t="s">
        <v>440</v>
      </c>
      <c r="AO1190" t="s">
        <v>22026</v>
      </c>
      <c r="AP1190" t="s">
        <v>22027</v>
      </c>
      <c r="AQ1190" t="s">
        <v>74</v>
      </c>
      <c r="AR1190" t="s">
        <v>22028</v>
      </c>
      <c r="AS1190" t="s">
        <v>22029</v>
      </c>
      <c r="AT1190" t="s">
        <v>2582</v>
      </c>
      <c r="AU1190">
        <v>2023</v>
      </c>
      <c r="AV1190">
        <v>77</v>
      </c>
      <c r="AW1190">
        <v>6</v>
      </c>
      <c r="AX1190" t="s">
        <v>74</v>
      </c>
      <c r="AY1190" t="s">
        <v>74</v>
      </c>
      <c r="AZ1190" t="s">
        <v>74</v>
      </c>
      <c r="BA1190" t="s">
        <v>74</v>
      </c>
      <c r="BB1190">
        <v>603</v>
      </c>
      <c r="BC1190">
        <v>615</v>
      </c>
      <c r="BD1190" t="s">
        <v>74</v>
      </c>
      <c r="BE1190" t="s">
        <v>22030</v>
      </c>
      <c r="BF1190" t="str">
        <f>HYPERLINK("http://dx.doi.org/10.1177/00037028231170234","http://dx.doi.org/10.1177/00037028231170234")</f>
        <v>http://dx.doi.org/10.1177/00037028231170234</v>
      </c>
      <c r="BG1190" t="s">
        <v>74</v>
      </c>
      <c r="BH1190" t="s">
        <v>793</v>
      </c>
      <c r="BI1190">
        <v>13</v>
      </c>
      <c r="BJ1190" t="s">
        <v>22031</v>
      </c>
      <c r="BK1190" t="s">
        <v>130</v>
      </c>
      <c r="BL1190" t="s">
        <v>22031</v>
      </c>
      <c r="BM1190" t="s">
        <v>22032</v>
      </c>
      <c r="BN1190">
        <v>37097821</v>
      </c>
      <c r="BO1190" t="s">
        <v>74</v>
      </c>
      <c r="BP1190" t="s">
        <v>74</v>
      </c>
      <c r="BQ1190" t="s">
        <v>74</v>
      </c>
      <c r="BR1190" t="s">
        <v>101</v>
      </c>
      <c r="BS1190" t="s">
        <v>22033</v>
      </c>
      <c r="BT1190" t="str">
        <f>HYPERLINK("https%3A%2F%2Fwww.webofscience.com%2Fwos%2Fwoscc%2Ffull-record%2FWOS:000976883400001","View Full Record in Web of Science")</f>
        <v>View Full Record in Web of Science</v>
      </c>
    </row>
    <row r="1191" spans="1:72" x14ac:dyDescent="0.2">
      <c r="A1191" t="s">
        <v>103</v>
      </c>
      <c r="B1191" t="s">
        <v>22034</v>
      </c>
      <c r="C1191" t="s">
        <v>74</v>
      </c>
      <c r="D1191" t="s">
        <v>74</v>
      </c>
      <c r="E1191" t="s">
        <v>74</v>
      </c>
      <c r="F1191" t="s">
        <v>22035</v>
      </c>
      <c r="G1191" t="s">
        <v>74</v>
      </c>
      <c r="H1191" t="s">
        <v>74</v>
      </c>
      <c r="I1191" t="s">
        <v>22036</v>
      </c>
      <c r="J1191" t="s">
        <v>10184</v>
      </c>
      <c r="K1191" t="s">
        <v>74</v>
      </c>
      <c r="L1191" t="s">
        <v>74</v>
      </c>
      <c r="M1191" t="s">
        <v>79</v>
      </c>
      <c r="N1191" t="s">
        <v>138</v>
      </c>
      <c r="O1191" t="s">
        <v>74</v>
      </c>
      <c r="P1191" t="s">
        <v>74</v>
      </c>
      <c r="Q1191" t="s">
        <v>74</v>
      </c>
      <c r="R1191" t="s">
        <v>74</v>
      </c>
      <c r="S1191" t="s">
        <v>74</v>
      </c>
      <c r="T1191" t="s">
        <v>74</v>
      </c>
      <c r="U1191" t="s">
        <v>22037</v>
      </c>
      <c r="V1191" t="s">
        <v>22038</v>
      </c>
      <c r="W1191" t="s">
        <v>22039</v>
      </c>
      <c r="X1191" t="s">
        <v>22040</v>
      </c>
      <c r="Y1191" t="s">
        <v>22041</v>
      </c>
      <c r="Z1191" t="s">
        <v>22042</v>
      </c>
      <c r="AA1191" t="s">
        <v>74</v>
      </c>
      <c r="AB1191" t="s">
        <v>22043</v>
      </c>
      <c r="AC1191" t="s">
        <v>22044</v>
      </c>
      <c r="AD1191" t="s">
        <v>22045</v>
      </c>
      <c r="AE1191" t="s">
        <v>22046</v>
      </c>
      <c r="AF1191" t="s">
        <v>74</v>
      </c>
      <c r="AG1191">
        <v>53</v>
      </c>
      <c r="AH1191">
        <v>1</v>
      </c>
      <c r="AI1191">
        <v>1</v>
      </c>
      <c r="AJ1191">
        <v>21</v>
      </c>
      <c r="AK1191">
        <v>21</v>
      </c>
      <c r="AL1191" t="s">
        <v>1880</v>
      </c>
      <c r="AM1191" t="s">
        <v>369</v>
      </c>
      <c r="AN1191" t="s">
        <v>1881</v>
      </c>
      <c r="AO1191" t="s">
        <v>74</v>
      </c>
      <c r="AP1191" t="s">
        <v>10196</v>
      </c>
      <c r="AQ1191" t="s">
        <v>74</v>
      </c>
      <c r="AR1191" t="s">
        <v>10197</v>
      </c>
      <c r="AS1191" t="s">
        <v>10198</v>
      </c>
      <c r="AT1191" t="s">
        <v>22047</v>
      </c>
      <c r="AU1191">
        <v>2023</v>
      </c>
      <c r="AV1191" t="s">
        <v>74</v>
      </c>
      <c r="AW1191" t="s">
        <v>74</v>
      </c>
      <c r="AX1191" t="s">
        <v>74</v>
      </c>
      <c r="AY1191" t="s">
        <v>74</v>
      </c>
      <c r="AZ1191" t="s">
        <v>74</v>
      </c>
      <c r="BA1191" t="s">
        <v>74</v>
      </c>
      <c r="BB1191" t="s">
        <v>74</v>
      </c>
      <c r="BC1191" t="s">
        <v>74</v>
      </c>
      <c r="BD1191" t="s">
        <v>74</v>
      </c>
      <c r="BE1191" t="s">
        <v>22048</v>
      </c>
      <c r="BF1191" t="str">
        <f>HYPERLINK("http://dx.doi.org/10.1038/s42256-023-00761-y","http://dx.doi.org/10.1038/s42256-023-00761-y")</f>
        <v>http://dx.doi.org/10.1038/s42256-023-00761-y</v>
      </c>
      <c r="BG1191" t="s">
        <v>74</v>
      </c>
      <c r="BH1191" t="s">
        <v>128</v>
      </c>
      <c r="BI1191">
        <v>8</v>
      </c>
      <c r="BJ1191" t="s">
        <v>1069</v>
      </c>
      <c r="BK1191" t="s">
        <v>130</v>
      </c>
      <c r="BL1191" t="s">
        <v>99</v>
      </c>
      <c r="BM1191" t="s">
        <v>22049</v>
      </c>
      <c r="BN1191" t="s">
        <v>74</v>
      </c>
      <c r="BO1191" t="s">
        <v>646</v>
      </c>
      <c r="BP1191" t="s">
        <v>74</v>
      </c>
      <c r="BQ1191" t="s">
        <v>74</v>
      </c>
      <c r="BR1191" t="s">
        <v>101</v>
      </c>
      <c r="BS1191" t="s">
        <v>22050</v>
      </c>
      <c r="BT1191" t="str">
        <f>HYPERLINK("https%3A%2F%2Fwww.webofscience.com%2Fwos%2Fwoscc%2Ffull-record%2FWOS:001112821500001","View Full Record in Web of Science")</f>
        <v>View Full Record in Web of Science</v>
      </c>
    </row>
    <row r="1192" spans="1:72" x14ac:dyDescent="0.2">
      <c r="A1192" t="s">
        <v>72</v>
      </c>
      <c r="B1192" t="s">
        <v>22051</v>
      </c>
      <c r="C1192" t="s">
        <v>74</v>
      </c>
      <c r="D1192" t="s">
        <v>74</v>
      </c>
      <c r="E1192" t="s">
        <v>75</v>
      </c>
      <c r="F1192" t="s">
        <v>22052</v>
      </c>
      <c r="G1192" t="s">
        <v>74</v>
      </c>
      <c r="H1192" t="s">
        <v>74</v>
      </c>
      <c r="I1192" t="s">
        <v>22053</v>
      </c>
      <c r="J1192" t="s">
        <v>912</v>
      </c>
      <c r="K1192" t="s">
        <v>74</v>
      </c>
      <c r="L1192" t="s">
        <v>74</v>
      </c>
      <c r="M1192" t="s">
        <v>79</v>
      </c>
      <c r="N1192" t="s">
        <v>80</v>
      </c>
      <c r="O1192" t="s">
        <v>913</v>
      </c>
      <c r="P1192" t="s">
        <v>914</v>
      </c>
      <c r="Q1192" t="s">
        <v>915</v>
      </c>
      <c r="R1192" t="s">
        <v>916</v>
      </c>
      <c r="S1192" t="s">
        <v>74</v>
      </c>
      <c r="T1192" t="s">
        <v>22054</v>
      </c>
      <c r="U1192" t="s">
        <v>74</v>
      </c>
      <c r="V1192" t="s">
        <v>22055</v>
      </c>
      <c r="W1192" t="s">
        <v>22056</v>
      </c>
      <c r="X1192" t="s">
        <v>22057</v>
      </c>
      <c r="Y1192" t="s">
        <v>22058</v>
      </c>
      <c r="Z1192" t="s">
        <v>22059</v>
      </c>
      <c r="AA1192" t="s">
        <v>22060</v>
      </c>
      <c r="AB1192" t="s">
        <v>22061</v>
      </c>
      <c r="AC1192" t="s">
        <v>22062</v>
      </c>
      <c r="AD1192" t="s">
        <v>22063</v>
      </c>
      <c r="AE1192" t="s">
        <v>22064</v>
      </c>
      <c r="AF1192" t="s">
        <v>74</v>
      </c>
      <c r="AG1192">
        <v>67</v>
      </c>
      <c r="AH1192">
        <v>0</v>
      </c>
      <c r="AI1192">
        <v>0</v>
      </c>
      <c r="AJ1192">
        <v>0</v>
      </c>
      <c r="AK1192">
        <v>0</v>
      </c>
      <c r="AL1192" t="s">
        <v>92</v>
      </c>
      <c r="AM1192" t="s">
        <v>93</v>
      </c>
      <c r="AN1192" t="s">
        <v>94</v>
      </c>
      <c r="AO1192" t="s">
        <v>74</v>
      </c>
      <c r="AP1192" t="s">
        <v>74</v>
      </c>
      <c r="AQ1192" t="s">
        <v>922</v>
      </c>
      <c r="AR1192" t="s">
        <v>74</v>
      </c>
      <c r="AS1192" t="s">
        <v>74</v>
      </c>
      <c r="AT1192" t="s">
        <v>74</v>
      </c>
      <c r="AU1192">
        <v>2023</v>
      </c>
      <c r="AV1192" t="s">
        <v>74</v>
      </c>
      <c r="AW1192" t="s">
        <v>74</v>
      </c>
      <c r="AX1192" t="s">
        <v>74</v>
      </c>
      <c r="AY1192" t="s">
        <v>74</v>
      </c>
      <c r="AZ1192" t="s">
        <v>74</v>
      </c>
      <c r="BA1192" t="s">
        <v>74</v>
      </c>
      <c r="BB1192">
        <v>810</v>
      </c>
      <c r="BC1192">
        <v>821</v>
      </c>
      <c r="BD1192" t="s">
        <v>74</v>
      </c>
      <c r="BE1192" t="s">
        <v>22065</v>
      </c>
      <c r="BF1192" t="str">
        <f>HYPERLINK("http://dx.doi.org/10.1145/3580305.3599520","http://dx.doi.org/10.1145/3580305.3599520")</f>
        <v>http://dx.doi.org/10.1145/3580305.3599520</v>
      </c>
      <c r="BG1192" t="s">
        <v>74</v>
      </c>
      <c r="BH1192" t="s">
        <v>74</v>
      </c>
      <c r="BI1192">
        <v>12</v>
      </c>
      <c r="BJ1192" t="s">
        <v>924</v>
      </c>
      <c r="BK1192" t="s">
        <v>98</v>
      </c>
      <c r="BL1192" t="s">
        <v>99</v>
      </c>
      <c r="BM1192" t="s">
        <v>925</v>
      </c>
      <c r="BN1192" t="s">
        <v>74</v>
      </c>
      <c r="BO1192" t="s">
        <v>646</v>
      </c>
      <c r="BP1192" t="s">
        <v>74</v>
      </c>
      <c r="BQ1192" t="s">
        <v>74</v>
      </c>
      <c r="BR1192" t="s">
        <v>101</v>
      </c>
      <c r="BS1192" t="s">
        <v>22066</v>
      </c>
      <c r="BT1192" t="str">
        <f>HYPERLINK("https%3A%2F%2Fwww.webofscience.com%2Fwos%2Fwoscc%2Ffull-record%2FWOS:001118896300070","View Full Record in Web of Science")</f>
        <v>View Full Record in Web of Science</v>
      </c>
    </row>
    <row r="1193" spans="1:72" x14ac:dyDescent="0.2">
      <c r="A1193" t="s">
        <v>72</v>
      </c>
      <c r="B1193" t="s">
        <v>22067</v>
      </c>
      <c r="C1193" t="s">
        <v>74</v>
      </c>
      <c r="D1193" t="s">
        <v>74</v>
      </c>
      <c r="E1193" t="s">
        <v>284</v>
      </c>
      <c r="F1193" t="s">
        <v>22068</v>
      </c>
      <c r="G1193" t="s">
        <v>74</v>
      </c>
      <c r="H1193" t="s">
        <v>74</v>
      </c>
      <c r="I1193" t="s">
        <v>22069</v>
      </c>
      <c r="J1193" t="s">
        <v>11058</v>
      </c>
      <c r="K1193" t="s">
        <v>11059</v>
      </c>
      <c r="L1193" t="s">
        <v>74</v>
      </c>
      <c r="M1193" t="s">
        <v>79</v>
      </c>
      <c r="N1193" t="s">
        <v>80</v>
      </c>
      <c r="O1193" t="s">
        <v>11060</v>
      </c>
      <c r="P1193" t="s">
        <v>11061</v>
      </c>
      <c r="Q1193" t="s">
        <v>11062</v>
      </c>
      <c r="R1193" t="s">
        <v>8249</v>
      </c>
      <c r="S1193" t="s">
        <v>74</v>
      </c>
      <c r="T1193" t="s">
        <v>74</v>
      </c>
      <c r="U1193" t="s">
        <v>10959</v>
      </c>
      <c r="V1193" t="s">
        <v>22070</v>
      </c>
      <c r="W1193" t="s">
        <v>22071</v>
      </c>
      <c r="X1193" t="s">
        <v>22072</v>
      </c>
      <c r="Y1193" t="s">
        <v>22073</v>
      </c>
      <c r="Z1193" t="s">
        <v>22074</v>
      </c>
      <c r="AA1193" t="s">
        <v>74</v>
      </c>
      <c r="AB1193" t="s">
        <v>74</v>
      </c>
      <c r="AC1193" t="s">
        <v>74</v>
      </c>
      <c r="AD1193" t="s">
        <v>74</v>
      </c>
      <c r="AE1193" t="s">
        <v>74</v>
      </c>
      <c r="AF1193" t="s">
        <v>74</v>
      </c>
      <c r="AG1193">
        <v>74</v>
      </c>
      <c r="AH1193">
        <v>3</v>
      </c>
      <c r="AI1193">
        <v>3</v>
      </c>
      <c r="AJ1193">
        <v>4</v>
      </c>
      <c r="AK1193">
        <v>4</v>
      </c>
      <c r="AL1193" t="s">
        <v>638</v>
      </c>
      <c r="AM1193" t="s">
        <v>639</v>
      </c>
      <c r="AN1193" t="s">
        <v>640</v>
      </c>
      <c r="AO1193" t="s">
        <v>11070</v>
      </c>
      <c r="AP1193" t="s">
        <v>74</v>
      </c>
      <c r="AQ1193" t="s">
        <v>11071</v>
      </c>
      <c r="AR1193" t="s">
        <v>11072</v>
      </c>
      <c r="AS1193" t="s">
        <v>74</v>
      </c>
      <c r="AT1193" t="s">
        <v>74</v>
      </c>
      <c r="AU1193">
        <v>2023</v>
      </c>
      <c r="AV1193" t="s">
        <v>74</v>
      </c>
      <c r="AW1193" t="s">
        <v>74</v>
      </c>
      <c r="AX1193" t="s">
        <v>74</v>
      </c>
      <c r="AY1193" t="s">
        <v>74</v>
      </c>
      <c r="AZ1193" t="s">
        <v>74</v>
      </c>
      <c r="BA1193" t="s">
        <v>74</v>
      </c>
      <c r="BB1193">
        <v>1369</v>
      </c>
      <c r="BC1193">
        <v>1379</v>
      </c>
      <c r="BD1193" t="s">
        <v>74</v>
      </c>
      <c r="BE1193" t="s">
        <v>22075</v>
      </c>
      <c r="BF1193" t="str">
        <f>HYPERLINK("http://dx.doi.org/10.1109/WACV56688.2023.00142","http://dx.doi.org/10.1109/WACV56688.2023.00142")</f>
        <v>http://dx.doi.org/10.1109/WACV56688.2023.00142</v>
      </c>
      <c r="BG1193" t="s">
        <v>74</v>
      </c>
      <c r="BH1193" t="s">
        <v>74</v>
      </c>
      <c r="BI1193">
        <v>11</v>
      </c>
      <c r="BJ1193" t="s">
        <v>11074</v>
      </c>
      <c r="BK1193" t="s">
        <v>98</v>
      </c>
      <c r="BL1193" t="s">
        <v>11075</v>
      </c>
      <c r="BM1193" t="s">
        <v>11076</v>
      </c>
      <c r="BN1193" t="s">
        <v>74</v>
      </c>
      <c r="BO1193" t="s">
        <v>646</v>
      </c>
      <c r="BP1193" t="s">
        <v>74</v>
      </c>
      <c r="BQ1193" t="s">
        <v>74</v>
      </c>
      <c r="BR1193" t="s">
        <v>101</v>
      </c>
      <c r="BS1193" t="s">
        <v>22076</v>
      </c>
      <c r="BT1193" t="str">
        <f>HYPERLINK("https%3A%2F%2Fwww.webofscience.com%2Fwos%2Fwoscc%2Ffull-record%2FWOS:000971500201045","View Full Record in Web of Science")</f>
        <v>View Full Record in Web of Science</v>
      </c>
    </row>
    <row r="1194" spans="1:72" x14ac:dyDescent="0.2">
      <c r="A1194" t="s">
        <v>72</v>
      </c>
      <c r="B1194" t="s">
        <v>22077</v>
      </c>
      <c r="C1194" t="s">
        <v>74</v>
      </c>
      <c r="D1194" t="s">
        <v>74</v>
      </c>
      <c r="E1194" t="s">
        <v>284</v>
      </c>
      <c r="F1194" t="s">
        <v>22078</v>
      </c>
      <c r="G1194" t="s">
        <v>74</v>
      </c>
      <c r="H1194" t="s">
        <v>74</v>
      </c>
      <c r="I1194" t="s">
        <v>22079</v>
      </c>
      <c r="J1194" t="s">
        <v>16442</v>
      </c>
      <c r="K1194" t="s">
        <v>74</v>
      </c>
      <c r="L1194" t="s">
        <v>74</v>
      </c>
      <c r="M1194" t="s">
        <v>79</v>
      </c>
      <c r="N1194" t="s">
        <v>80</v>
      </c>
      <c r="O1194" t="s">
        <v>16443</v>
      </c>
      <c r="P1194" t="s">
        <v>16444</v>
      </c>
      <c r="Q1194" t="s">
        <v>16445</v>
      </c>
      <c r="R1194" t="s">
        <v>16446</v>
      </c>
      <c r="S1194" t="s">
        <v>74</v>
      </c>
      <c r="T1194" t="s">
        <v>22080</v>
      </c>
      <c r="U1194" t="s">
        <v>74</v>
      </c>
      <c r="V1194" t="s">
        <v>22081</v>
      </c>
      <c r="W1194" t="s">
        <v>22082</v>
      </c>
      <c r="X1194" t="s">
        <v>22083</v>
      </c>
      <c r="Y1194" t="s">
        <v>22084</v>
      </c>
      <c r="Z1194" t="s">
        <v>22085</v>
      </c>
      <c r="AA1194" t="s">
        <v>74</v>
      </c>
      <c r="AB1194" t="s">
        <v>74</v>
      </c>
      <c r="AC1194" t="s">
        <v>74</v>
      </c>
      <c r="AD1194" t="s">
        <v>74</v>
      </c>
      <c r="AE1194" t="s">
        <v>74</v>
      </c>
      <c r="AF1194" t="s">
        <v>74</v>
      </c>
      <c r="AG1194">
        <v>19</v>
      </c>
      <c r="AH1194">
        <v>0</v>
      </c>
      <c r="AI1194">
        <v>0</v>
      </c>
      <c r="AJ1194">
        <v>0</v>
      </c>
      <c r="AK1194">
        <v>0</v>
      </c>
      <c r="AL1194" t="s">
        <v>284</v>
      </c>
      <c r="AM1194" t="s">
        <v>93</v>
      </c>
      <c r="AN1194" t="s">
        <v>299</v>
      </c>
      <c r="AO1194" t="s">
        <v>74</v>
      </c>
      <c r="AP1194" t="s">
        <v>74</v>
      </c>
      <c r="AQ1194" t="s">
        <v>16455</v>
      </c>
      <c r="AR1194" t="s">
        <v>74</v>
      </c>
      <c r="AS1194" t="s">
        <v>74</v>
      </c>
      <c r="AT1194" t="s">
        <v>74</v>
      </c>
      <c r="AU1194">
        <v>2023</v>
      </c>
      <c r="AV1194" t="s">
        <v>74</v>
      </c>
      <c r="AW1194" t="s">
        <v>74</v>
      </c>
      <c r="AX1194" t="s">
        <v>74</v>
      </c>
      <c r="AY1194" t="s">
        <v>74</v>
      </c>
      <c r="AZ1194" t="s">
        <v>74</v>
      </c>
      <c r="BA1194" t="s">
        <v>74</v>
      </c>
      <c r="BB1194">
        <v>995</v>
      </c>
      <c r="BC1194">
        <v>999</v>
      </c>
      <c r="BD1194" t="s">
        <v>74</v>
      </c>
      <c r="BE1194" t="s">
        <v>22086</v>
      </c>
      <c r="BF1194" t="str">
        <f>HYPERLINK("http://dx.doi.org/10.1109/ICIP49359.2023.10222616","http://dx.doi.org/10.1109/ICIP49359.2023.10222616")</f>
        <v>http://dx.doi.org/10.1109/ICIP49359.2023.10222616</v>
      </c>
      <c r="BG1194" t="s">
        <v>74</v>
      </c>
      <c r="BH1194" t="s">
        <v>74</v>
      </c>
      <c r="BI1194">
        <v>5</v>
      </c>
      <c r="BJ1194" t="s">
        <v>331</v>
      </c>
      <c r="BK1194" t="s">
        <v>98</v>
      </c>
      <c r="BL1194" t="s">
        <v>99</v>
      </c>
      <c r="BM1194" t="s">
        <v>16457</v>
      </c>
      <c r="BN1194" t="s">
        <v>74</v>
      </c>
      <c r="BO1194" t="s">
        <v>646</v>
      </c>
      <c r="BP1194" t="s">
        <v>74</v>
      </c>
      <c r="BQ1194" t="s">
        <v>74</v>
      </c>
      <c r="BR1194" t="s">
        <v>101</v>
      </c>
      <c r="BS1194" t="s">
        <v>22087</v>
      </c>
      <c r="BT1194" t="str">
        <f>HYPERLINK("https%3A%2F%2Fwww.webofscience.com%2Fwos%2Fwoscc%2Ffull-record%2FWOS:001106821001015","View Full Record in Web of Science")</f>
        <v>View Full Record in Web of Science</v>
      </c>
    </row>
    <row r="1195" spans="1:72" x14ac:dyDescent="0.2">
      <c r="A1195" t="s">
        <v>72</v>
      </c>
      <c r="B1195" t="s">
        <v>22088</v>
      </c>
      <c r="C1195" t="s">
        <v>74</v>
      </c>
      <c r="D1195" t="s">
        <v>74</v>
      </c>
      <c r="E1195" t="s">
        <v>284</v>
      </c>
      <c r="F1195" t="s">
        <v>22089</v>
      </c>
      <c r="G1195" t="s">
        <v>74</v>
      </c>
      <c r="H1195" t="s">
        <v>74</v>
      </c>
      <c r="I1195" t="s">
        <v>22090</v>
      </c>
      <c r="J1195" t="s">
        <v>8245</v>
      </c>
      <c r="K1195" t="s">
        <v>8246</v>
      </c>
      <c r="L1195" t="s">
        <v>74</v>
      </c>
      <c r="M1195" t="s">
        <v>79</v>
      </c>
      <c r="N1195" t="s">
        <v>80</v>
      </c>
      <c r="O1195" t="s">
        <v>8247</v>
      </c>
      <c r="P1195" t="s">
        <v>8248</v>
      </c>
      <c r="Q1195" t="s">
        <v>6017</v>
      </c>
      <c r="R1195" t="s">
        <v>8249</v>
      </c>
      <c r="S1195" t="s">
        <v>74</v>
      </c>
      <c r="T1195" t="s">
        <v>74</v>
      </c>
      <c r="U1195" t="s">
        <v>74</v>
      </c>
      <c r="V1195" t="s">
        <v>22091</v>
      </c>
      <c r="W1195" t="s">
        <v>22092</v>
      </c>
      <c r="X1195" t="s">
        <v>22093</v>
      </c>
      <c r="Y1195" t="s">
        <v>22094</v>
      </c>
      <c r="Z1195" t="s">
        <v>22095</v>
      </c>
      <c r="AA1195" t="s">
        <v>74</v>
      </c>
      <c r="AB1195" t="s">
        <v>74</v>
      </c>
      <c r="AC1195" t="s">
        <v>22096</v>
      </c>
      <c r="AD1195" t="s">
        <v>22097</v>
      </c>
      <c r="AE1195" t="s">
        <v>22098</v>
      </c>
      <c r="AF1195" t="s">
        <v>74</v>
      </c>
      <c r="AG1195">
        <v>81</v>
      </c>
      <c r="AH1195">
        <v>0</v>
      </c>
      <c r="AI1195">
        <v>0</v>
      </c>
      <c r="AJ1195">
        <v>1</v>
      </c>
      <c r="AK1195">
        <v>1</v>
      </c>
      <c r="AL1195" t="s">
        <v>638</v>
      </c>
      <c r="AM1195" t="s">
        <v>639</v>
      </c>
      <c r="AN1195" t="s">
        <v>640</v>
      </c>
      <c r="AO1195" t="s">
        <v>8260</v>
      </c>
      <c r="AP1195" t="s">
        <v>74</v>
      </c>
      <c r="AQ1195" t="s">
        <v>8261</v>
      </c>
      <c r="AR1195" t="s">
        <v>8262</v>
      </c>
      <c r="AS1195" t="s">
        <v>74</v>
      </c>
      <c r="AT1195" t="s">
        <v>74</v>
      </c>
      <c r="AU1195">
        <v>2023</v>
      </c>
      <c r="AV1195" t="s">
        <v>74</v>
      </c>
      <c r="AW1195" t="s">
        <v>74</v>
      </c>
      <c r="AX1195" t="s">
        <v>74</v>
      </c>
      <c r="AY1195" t="s">
        <v>74</v>
      </c>
      <c r="AZ1195" t="s">
        <v>74</v>
      </c>
      <c r="BA1195" t="s">
        <v>74</v>
      </c>
      <c r="BB1195">
        <v>12965</v>
      </c>
      <c r="BC1195">
        <v>12976</v>
      </c>
      <c r="BD1195" t="s">
        <v>74</v>
      </c>
      <c r="BE1195" t="s">
        <v>22099</v>
      </c>
      <c r="BF1195" t="str">
        <f>HYPERLINK("http://dx.doi.org/10.1109/CVPR52729.2023.01246","http://dx.doi.org/10.1109/CVPR52729.2023.01246")</f>
        <v>http://dx.doi.org/10.1109/CVPR52729.2023.01246</v>
      </c>
      <c r="BG1195" t="s">
        <v>74</v>
      </c>
      <c r="BH1195" t="s">
        <v>74</v>
      </c>
      <c r="BI1195">
        <v>12</v>
      </c>
      <c r="BJ1195" t="s">
        <v>304</v>
      </c>
      <c r="BK1195" t="s">
        <v>98</v>
      </c>
      <c r="BL1195" t="s">
        <v>99</v>
      </c>
      <c r="BM1195" t="s">
        <v>8264</v>
      </c>
      <c r="BN1195" t="s">
        <v>74</v>
      </c>
      <c r="BO1195" t="s">
        <v>646</v>
      </c>
      <c r="BP1195" t="s">
        <v>74</v>
      </c>
      <c r="BQ1195" t="s">
        <v>74</v>
      </c>
      <c r="BR1195" t="s">
        <v>101</v>
      </c>
      <c r="BS1195" t="s">
        <v>22100</v>
      </c>
      <c r="BT1195" t="str">
        <f>HYPERLINK("https%3A%2F%2Fwww.webofscience.com%2Fwos%2Fwoscc%2Ffull-record%2FWOS:001062522105027","View Full Record in Web of Science")</f>
        <v>View Full Record in Web of Science</v>
      </c>
    </row>
    <row r="1196" spans="1:72" x14ac:dyDescent="0.2">
      <c r="A1196" t="s">
        <v>103</v>
      </c>
      <c r="B1196" t="s">
        <v>22101</v>
      </c>
      <c r="C1196" t="s">
        <v>74</v>
      </c>
      <c r="D1196" t="s">
        <v>74</v>
      </c>
      <c r="E1196" t="s">
        <v>74</v>
      </c>
      <c r="F1196" t="s">
        <v>22102</v>
      </c>
      <c r="G1196" t="s">
        <v>74</v>
      </c>
      <c r="H1196" t="s">
        <v>74</v>
      </c>
      <c r="I1196" t="s">
        <v>22103</v>
      </c>
      <c r="J1196" t="s">
        <v>22104</v>
      </c>
      <c r="K1196" t="s">
        <v>74</v>
      </c>
      <c r="L1196" t="s">
        <v>74</v>
      </c>
      <c r="M1196" t="s">
        <v>79</v>
      </c>
      <c r="N1196" t="s">
        <v>108</v>
      </c>
      <c r="O1196" t="s">
        <v>74</v>
      </c>
      <c r="P1196" t="s">
        <v>74</v>
      </c>
      <c r="Q1196" t="s">
        <v>74</v>
      </c>
      <c r="R1196" t="s">
        <v>74</v>
      </c>
      <c r="S1196" t="s">
        <v>74</v>
      </c>
      <c r="T1196" t="s">
        <v>22105</v>
      </c>
      <c r="U1196" t="s">
        <v>74</v>
      </c>
      <c r="V1196" t="s">
        <v>22106</v>
      </c>
      <c r="W1196" t="s">
        <v>22107</v>
      </c>
      <c r="X1196" t="s">
        <v>22108</v>
      </c>
      <c r="Y1196" t="s">
        <v>22109</v>
      </c>
      <c r="Z1196" t="s">
        <v>22110</v>
      </c>
      <c r="AA1196" t="s">
        <v>22111</v>
      </c>
      <c r="AB1196" t="s">
        <v>22112</v>
      </c>
      <c r="AC1196" t="s">
        <v>74</v>
      </c>
      <c r="AD1196" t="s">
        <v>74</v>
      </c>
      <c r="AE1196" t="s">
        <v>74</v>
      </c>
      <c r="AF1196" t="s">
        <v>74</v>
      </c>
      <c r="AG1196">
        <v>7</v>
      </c>
      <c r="AH1196">
        <v>148</v>
      </c>
      <c r="AI1196">
        <v>148</v>
      </c>
      <c r="AJ1196">
        <v>275</v>
      </c>
      <c r="AK1196">
        <v>687</v>
      </c>
      <c r="AL1196" t="s">
        <v>1987</v>
      </c>
      <c r="AM1196" t="s">
        <v>149</v>
      </c>
      <c r="AN1196" t="s">
        <v>1988</v>
      </c>
      <c r="AO1196" t="s">
        <v>22113</v>
      </c>
      <c r="AP1196" t="s">
        <v>22114</v>
      </c>
      <c r="AQ1196" t="s">
        <v>74</v>
      </c>
      <c r="AR1196" t="s">
        <v>22115</v>
      </c>
      <c r="AS1196" t="s">
        <v>22116</v>
      </c>
      <c r="AT1196" t="s">
        <v>22117</v>
      </c>
      <c r="AU1196">
        <v>2023</v>
      </c>
      <c r="AV1196">
        <v>27</v>
      </c>
      <c r="AW1196">
        <v>1</v>
      </c>
      <c r="AX1196" t="s">
        <v>74</v>
      </c>
      <c r="AY1196" t="s">
        <v>74</v>
      </c>
      <c r="AZ1196" t="s">
        <v>74</v>
      </c>
      <c r="BA1196" t="s">
        <v>74</v>
      </c>
      <c r="BB1196" t="s">
        <v>74</v>
      </c>
      <c r="BC1196" t="s">
        <v>74</v>
      </c>
      <c r="BD1196">
        <v>75</v>
      </c>
      <c r="BE1196" t="s">
        <v>22118</v>
      </c>
      <c r="BF1196" t="str">
        <f>HYPERLINK("http://dx.doi.org/10.1186/s13054-023-04380-2","http://dx.doi.org/10.1186/s13054-023-04380-2")</f>
        <v>http://dx.doi.org/10.1186/s13054-023-04380-2</v>
      </c>
      <c r="BG1196" t="s">
        <v>74</v>
      </c>
      <c r="BH1196" t="s">
        <v>74</v>
      </c>
      <c r="BI1196">
        <v>5</v>
      </c>
      <c r="BJ1196" t="s">
        <v>16679</v>
      </c>
      <c r="BK1196" t="s">
        <v>130</v>
      </c>
      <c r="BL1196" t="s">
        <v>3441</v>
      </c>
      <c r="BM1196" t="s">
        <v>22119</v>
      </c>
      <c r="BN1196">
        <v>36841840</v>
      </c>
      <c r="BO1196" t="s">
        <v>1728</v>
      </c>
      <c r="BP1196" t="s">
        <v>1434</v>
      </c>
      <c r="BQ1196" t="s">
        <v>1434</v>
      </c>
      <c r="BR1196" t="s">
        <v>101</v>
      </c>
      <c r="BS1196" t="s">
        <v>22120</v>
      </c>
      <c r="BT1196" t="str">
        <f>HYPERLINK("https%3A%2F%2Fwww.webofscience.com%2Fwos%2Fwoscc%2Ffull-record%2FWOS:000939387400001","View Full Record in Web of Science")</f>
        <v>View Full Record in Web of Science</v>
      </c>
    </row>
    <row r="1197" spans="1:72" x14ac:dyDescent="0.2">
      <c r="A1197" t="s">
        <v>103</v>
      </c>
      <c r="B1197" t="s">
        <v>22121</v>
      </c>
      <c r="C1197" t="s">
        <v>74</v>
      </c>
      <c r="D1197" t="s">
        <v>74</v>
      </c>
      <c r="E1197" t="s">
        <v>74</v>
      </c>
      <c r="F1197" t="s">
        <v>22122</v>
      </c>
      <c r="G1197" t="s">
        <v>74</v>
      </c>
      <c r="H1197" t="s">
        <v>74</v>
      </c>
      <c r="I1197" t="s">
        <v>22123</v>
      </c>
      <c r="J1197" t="s">
        <v>1974</v>
      </c>
      <c r="K1197" t="s">
        <v>74</v>
      </c>
      <c r="L1197" t="s">
        <v>74</v>
      </c>
      <c r="M1197" t="s">
        <v>79</v>
      </c>
      <c r="N1197" t="s">
        <v>108</v>
      </c>
      <c r="O1197" t="s">
        <v>74</v>
      </c>
      <c r="P1197" t="s">
        <v>74</v>
      </c>
      <c r="Q1197" t="s">
        <v>74</v>
      </c>
      <c r="R1197" t="s">
        <v>74</v>
      </c>
      <c r="S1197" t="s">
        <v>74</v>
      </c>
      <c r="T1197" t="s">
        <v>22124</v>
      </c>
      <c r="U1197" t="s">
        <v>22125</v>
      </c>
      <c r="V1197" t="s">
        <v>22126</v>
      </c>
      <c r="W1197" t="s">
        <v>22127</v>
      </c>
      <c r="X1197" t="s">
        <v>22128</v>
      </c>
      <c r="Y1197" t="s">
        <v>22129</v>
      </c>
      <c r="Z1197" t="s">
        <v>22130</v>
      </c>
      <c r="AA1197" t="s">
        <v>74</v>
      </c>
      <c r="AB1197" t="s">
        <v>22131</v>
      </c>
      <c r="AC1197" t="s">
        <v>22132</v>
      </c>
      <c r="AD1197" t="s">
        <v>22133</v>
      </c>
      <c r="AE1197" t="s">
        <v>22134</v>
      </c>
      <c r="AF1197" t="s">
        <v>74</v>
      </c>
      <c r="AG1197">
        <v>58</v>
      </c>
      <c r="AH1197">
        <v>4</v>
      </c>
      <c r="AI1197">
        <v>4</v>
      </c>
      <c r="AJ1197">
        <v>5</v>
      </c>
      <c r="AK1197">
        <v>12</v>
      </c>
      <c r="AL1197" t="s">
        <v>1987</v>
      </c>
      <c r="AM1197" t="s">
        <v>149</v>
      </c>
      <c r="AN1197" t="s">
        <v>1988</v>
      </c>
      <c r="AO1197" t="s">
        <v>1989</v>
      </c>
      <c r="AP1197" t="s">
        <v>74</v>
      </c>
      <c r="AQ1197" t="s">
        <v>74</v>
      </c>
      <c r="AR1197" t="s">
        <v>1990</v>
      </c>
      <c r="AS1197" t="s">
        <v>1991</v>
      </c>
      <c r="AT1197" t="s">
        <v>22135</v>
      </c>
      <c r="AU1197">
        <v>2023</v>
      </c>
      <c r="AV1197">
        <v>15</v>
      </c>
      <c r="AW1197">
        <v>1</v>
      </c>
      <c r="AX1197" t="s">
        <v>74</v>
      </c>
      <c r="AY1197" t="s">
        <v>74</v>
      </c>
      <c r="AZ1197" t="s">
        <v>74</v>
      </c>
      <c r="BA1197" t="s">
        <v>74</v>
      </c>
      <c r="BB1197" t="s">
        <v>74</v>
      </c>
      <c r="BC1197" t="s">
        <v>74</v>
      </c>
      <c r="BD1197">
        <v>26</v>
      </c>
      <c r="BE1197" t="s">
        <v>22136</v>
      </c>
      <c r="BF1197" t="str">
        <f>HYPERLINK("http://dx.doi.org/10.1186/s13321-023-00693-0","http://dx.doi.org/10.1186/s13321-023-00693-0")</f>
        <v>http://dx.doi.org/10.1186/s13321-023-00693-0</v>
      </c>
      <c r="BG1197" t="s">
        <v>74</v>
      </c>
      <c r="BH1197" t="s">
        <v>74</v>
      </c>
      <c r="BI1197">
        <v>11</v>
      </c>
      <c r="BJ1197" t="s">
        <v>1994</v>
      </c>
      <c r="BK1197" t="s">
        <v>130</v>
      </c>
      <c r="BL1197" t="s">
        <v>1995</v>
      </c>
      <c r="BM1197" t="s">
        <v>22137</v>
      </c>
      <c r="BN1197">
        <v>36823647</v>
      </c>
      <c r="BO1197" t="s">
        <v>14333</v>
      </c>
      <c r="BP1197" t="s">
        <v>74</v>
      </c>
      <c r="BQ1197" t="s">
        <v>74</v>
      </c>
      <c r="BR1197" t="s">
        <v>101</v>
      </c>
      <c r="BS1197" t="s">
        <v>22138</v>
      </c>
      <c r="BT1197" t="str">
        <f>HYPERLINK("https%3A%2F%2Fwww.webofscience.com%2Fwos%2Fwoscc%2Ffull-record%2FWOS:000938150900001","View Full Record in Web of Science")</f>
        <v>View Full Record in Web of Science</v>
      </c>
    </row>
    <row r="1198" spans="1:72" x14ac:dyDescent="0.2">
      <c r="A1198" t="s">
        <v>72</v>
      </c>
      <c r="B1198" t="s">
        <v>22139</v>
      </c>
      <c r="C1198" t="s">
        <v>74</v>
      </c>
      <c r="D1198" t="s">
        <v>74</v>
      </c>
      <c r="E1198" t="s">
        <v>22140</v>
      </c>
      <c r="F1198" t="s">
        <v>22141</v>
      </c>
      <c r="G1198" t="s">
        <v>74</v>
      </c>
      <c r="H1198" t="s">
        <v>74</v>
      </c>
      <c r="I1198" t="s">
        <v>22142</v>
      </c>
      <c r="J1198" t="s">
        <v>22143</v>
      </c>
      <c r="K1198" t="s">
        <v>74</v>
      </c>
      <c r="L1198" t="s">
        <v>74</v>
      </c>
      <c r="M1198" t="s">
        <v>79</v>
      </c>
      <c r="N1198" t="s">
        <v>80</v>
      </c>
      <c r="O1198" t="s">
        <v>22144</v>
      </c>
      <c r="P1198" t="s">
        <v>22145</v>
      </c>
      <c r="Q1198" t="s">
        <v>22146</v>
      </c>
      <c r="R1198" t="s">
        <v>22147</v>
      </c>
      <c r="S1198" t="s">
        <v>74</v>
      </c>
      <c r="T1198" t="s">
        <v>74</v>
      </c>
      <c r="U1198" t="s">
        <v>74</v>
      </c>
      <c r="V1198" t="s">
        <v>22148</v>
      </c>
      <c r="W1198" t="s">
        <v>22149</v>
      </c>
      <c r="X1198" t="s">
        <v>22150</v>
      </c>
      <c r="Y1198" t="s">
        <v>22151</v>
      </c>
      <c r="Z1198" t="s">
        <v>22152</v>
      </c>
      <c r="AA1198" t="s">
        <v>74</v>
      </c>
      <c r="AB1198" t="s">
        <v>74</v>
      </c>
      <c r="AC1198" t="s">
        <v>22153</v>
      </c>
      <c r="AD1198" t="s">
        <v>22154</v>
      </c>
      <c r="AE1198" t="s">
        <v>22155</v>
      </c>
      <c r="AF1198" t="s">
        <v>74</v>
      </c>
      <c r="AG1198">
        <v>107</v>
      </c>
      <c r="AH1198">
        <v>0</v>
      </c>
      <c r="AI1198">
        <v>0</v>
      </c>
      <c r="AJ1198">
        <v>1</v>
      </c>
      <c r="AK1198">
        <v>1</v>
      </c>
      <c r="AL1198" t="s">
        <v>22156</v>
      </c>
      <c r="AM1198" t="s">
        <v>22157</v>
      </c>
      <c r="AN1198" t="s">
        <v>22158</v>
      </c>
      <c r="AO1198" t="s">
        <v>74</v>
      </c>
      <c r="AP1198" t="s">
        <v>74</v>
      </c>
      <c r="AQ1198" t="s">
        <v>22159</v>
      </c>
      <c r="AR1198" t="s">
        <v>74</v>
      </c>
      <c r="AS1198" t="s">
        <v>74</v>
      </c>
      <c r="AT1198" t="s">
        <v>74</v>
      </c>
      <c r="AU1198">
        <v>2023</v>
      </c>
      <c r="AV1198" t="s">
        <v>74</v>
      </c>
      <c r="AW1198" t="s">
        <v>74</v>
      </c>
      <c r="AX1198" t="s">
        <v>74</v>
      </c>
      <c r="AY1198" t="s">
        <v>74</v>
      </c>
      <c r="AZ1198" t="s">
        <v>74</v>
      </c>
      <c r="BA1198" t="s">
        <v>74</v>
      </c>
      <c r="BB1198">
        <v>2187</v>
      </c>
      <c r="BC1198">
        <v>2204</v>
      </c>
      <c r="BD1198" t="s">
        <v>74</v>
      </c>
      <c r="BE1198" t="s">
        <v>74</v>
      </c>
      <c r="BF1198" t="s">
        <v>74</v>
      </c>
      <c r="BG1198" t="s">
        <v>74</v>
      </c>
      <c r="BH1198" t="s">
        <v>74</v>
      </c>
      <c r="BI1198">
        <v>18</v>
      </c>
      <c r="BJ1198" t="s">
        <v>924</v>
      </c>
      <c r="BK1198" t="s">
        <v>98</v>
      </c>
      <c r="BL1198" t="s">
        <v>99</v>
      </c>
      <c r="BM1198" t="s">
        <v>22160</v>
      </c>
      <c r="BN1198" t="s">
        <v>74</v>
      </c>
      <c r="BO1198" t="s">
        <v>74</v>
      </c>
      <c r="BP1198" t="s">
        <v>74</v>
      </c>
      <c r="BQ1198" t="s">
        <v>74</v>
      </c>
      <c r="BR1198" t="s">
        <v>101</v>
      </c>
      <c r="BS1198" t="s">
        <v>22161</v>
      </c>
      <c r="BT1198" t="str">
        <f>HYPERLINK("https%3A%2F%2Fwww.webofscience.com%2Fwos%2Fwoscc%2Ffull-record%2FWOS:001066451502018","View Full Record in Web of Science")</f>
        <v>View Full Record in Web of Science</v>
      </c>
    </row>
    <row r="1199" spans="1:72" x14ac:dyDescent="0.2">
      <c r="A1199" t="s">
        <v>72</v>
      </c>
      <c r="B1199" t="s">
        <v>22162</v>
      </c>
      <c r="C1199" t="s">
        <v>74</v>
      </c>
      <c r="D1199" t="s">
        <v>74</v>
      </c>
      <c r="E1199" t="s">
        <v>284</v>
      </c>
      <c r="F1199" t="s">
        <v>22163</v>
      </c>
      <c r="G1199" t="s">
        <v>74</v>
      </c>
      <c r="H1199" t="s">
        <v>74</v>
      </c>
      <c r="I1199" t="s">
        <v>22164</v>
      </c>
      <c r="J1199" t="s">
        <v>21627</v>
      </c>
      <c r="K1199" t="s">
        <v>21628</v>
      </c>
      <c r="L1199" t="s">
        <v>74</v>
      </c>
      <c r="M1199" t="s">
        <v>79</v>
      </c>
      <c r="N1199" t="s">
        <v>80</v>
      </c>
      <c r="O1199" t="s">
        <v>21629</v>
      </c>
      <c r="P1199" t="s">
        <v>21630</v>
      </c>
      <c r="Q1199" t="s">
        <v>3660</v>
      </c>
      <c r="R1199" t="s">
        <v>21631</v>
      </c>
      <c r="S1199" t="s">
        <v>74</v>
      </c>
      <c r="T1199" t="s">
        <v>74</v>
      </c>
      <c r="U1199" t="s">
        <v>4266</v>
      </c>
      <c r="V1199" t="s">
        <v>22165</v>
      </c>
      <c r="W1199" t="s">
        <v>22166</v>
      </c>
      <c r="X1199" t="s">
        <v>22167</v>
      </c>
      <c r="Y1199" t="s">
        <v>22168</v>
      </c>
      <c r="Z1199" t="s">
        <v>74</v>
      </c>
      <c r="AA1199" t="s">
        <v>22169</v>
      </c>
      <c r="AB1199" t="s">
        <v>74</v>
      </c>
      <c r="AC1199" t="s">
        <v>22170</v>
      </c>
      <c r="AD1199" t="s">
        <v>22170</v>
      </c>
      <c r="AE1199" t="s">
        <v>22171</v>
      </c>
      <c r="AF1199" t="s">
        <v>74</v>
      </c>
      <c r="AG1199">
        <v>31</v>
      </c>
      <c r="AH1199">
        <v>0</v>
      </c>
      <c r="AI1199">
        <v>0</v>
      </c>
      <c r="AJ1199">
        <v>0</v>
      </c>
      <c r="AK1199">
        <v>0</v>
      </c>
      <c r="AL1199" t="s">
        <v>284</v>
      </c>
      <c r="AM1199" t="s">
        <v>93</v>
      </c>
      <c r="AN1199" t="s">
        <v>299</v>
      </c>
      <c r="AO1199" t="s">
        <v>21641</v>
      </c>
      <c r="AP1199" t="s">
        <v>21642</v>
      </c>
      <c r="AQ1199" t="s">
        <v>21643</v>
      </c>
      <c r="AR1199" t="s">
        <v>21644</v>
      </c>
      <c r="AS1199" t="s">
        <v>74</v>
      </c>
      <c r="AT1199" t="s">
        <v>74</v>
      </c>
      <c r="AU1199">
        <v>2023</v>
      </c>
      <c r="AV1199" t="s">
        <v>74</v>
      </c>
      <c r="AW1199" t="s">
        <v>74</v>
      </c>
      <c r="AX1199" t="s">
        <v>74</v>
      </c>
      <c r="AY1199" t="s">
        <v>74</v>
      </c>
      <c r="AZ1199" t="s">
        <v>74</v>
      </c>
      <c r="BA1199" t="s">
        <v>74</v>
      </c>
      <c r="BB1199">
        <v>3567</v>
      </c>
      <c r="BC1199">
        <v>3575</v>
      </c>
      <c r="BD1199" t="s">
        <v>74</v>
      </c>
      <c r="BE1199" t="s">
        <v>22172</v>
      </c>
      <c r="BF1199" t="str">
        <f>HYPERLINK("http://dx.doi.org/10.1109/ICRA48891.2023.10160296","http://dx.doi.org/10.1109/ICRA48891.2023.10160296")</f>
        <v>http://dx.doi.org/10.1109/ICRA48891.2023.10160296</v>
      </c>
      <c r="BG1199" t="s">
        <v>74</v>
      </c>
      <c r="BH1199" t="s">
        <v>74</v>
      </c>
      <c r="BI1199">
        <v>9</v>
      </c>
      <c r="BJ1199" t="s">
        <v>21646</v>
      </c>
      <c r="BK1199" t="s">
        <v>98</v>
      </c>
      <c r="BL1199" t="s">
        <v>21647</v>
      </c>
      <c r="BM1199" t="s">
        <v>21648</v>
      </c>
      <c r="BN1199" t="s">
        <v>74</v>
      </c>
      <c r="BO1199" t="s">
        <v>646</v>
      </c>
      <c r="BP1199" t="s">
        <v>74</v>
      </c>
      <c r="BQ1199" t="s">
        <v>74</v>
      </c>
      <c r="BR1199" t="s">
        <v>101</v>
      </c>
      <c r="BS1199" t="s">
        <v>22173</v>
      </c>
      <c r="BT1199" t="str">
        <f>HYPERLINK("https%3A%2F%2Fwww.webofscience.com%2Fwos%2Fwoscc%2Ffull-record%2FWOS:001036713002135","View Full Record in Web of Science")</f>
        <v>View Full Record in Web of Science</v>
      </c>
    </row>
    <row r="1200" spans="1:72" x14ac:dyDescent="0.2">
      <c r="A1200" t="s">
        <v>103</v>
      </c>
      <c r="B1200" t="s">
        <v>22174</v>
      </c>
      <c r="C1200" t="s">
        <v>74</v>
      </c>
      <c r="D1200" t="s">
        <v>74</v>
      </c>
      <c r="E1200" t="s">
        <v>74</v>
      </c>
      <c r="F1200" t="s">
        <v>22175</v>
      </c>
      <c r="G1200" t="s">
        <v>74</v>
      </c>
      <c r="H1200" t="s">
        <v>74</v>
      </c>
      <c r="I1200" t="s">
        <v>22176</v>
      </c>
      <c r="J1200" t="s">
        <v>1677</v>
      </c>
      <c r="K1200" t="s">
        <v>74</v>
      </c>
      <c r="L1200" t="s">
        <v>74</v>
      </c>
      <c r="M1200" t="s">
        <v>79</v>
      </c>
      <c r="N1200" t="s">
        <v>108</v>
      </c>
      <c r="O1200" t="s">
        <v>74</v>
      </c>
      <c r="P1200" t="s">
        <v>74</v>
      </c>
      <c r="Q1200" t="s">
        <v>74</v>
      </c>
      <c r="R1200" t="s">
        <v>74</v>
      </c>
      <c r="S1200" t="s">
        <v>74</v>
      </c>
      <c r="T1200" t="s">
        <v>22177</v>
      </c>
      <c r="U1200" t="s">
        <v>22178</v>
      </c>
      <c r="V1200" t="s">
        <v>22179</v>
      </c>
      <c r="W1200" t="s">
        <v>22180</v>
      </c>
      <c r="X1200" t="s">
        <v>22181</v>
      </c>
      <c r="Y1200" t="s">
        <v>22182</v>
      </c>
      <c r="Z1200" t="s">
        <v>22183</v>
      </c>
      <c r="AA1200" t="s">
        <v>22184</v>
      </c>
      <c r="AB1200" t="s">
        <v>22185</v>
      </c>
      <c r="AC1200" t="s">
        <v>22186</v>
      </c>
      <c r="AD1200" t="s">
        <v>22186</v>
      </c>
      <c r="AE1200" t="s">
        <v>22187</v>
      </c>
      <c r="AF1200" t="s">
        <v>74</v>
      </c>
      <c r="AG1200">
        <v>95</v>
      </c>
      <c r="AH1200">
        <v>3</v>
      </c>
      <c r="AI1200">
        <v>3</v>
      </c>
      <c r="AJ1200">
        <v>160</v>
      </c>
      <c r="AK1200">
        <v>160</v>
      </c>
      <c r="AL1200" t="s">
        <v>270</v>
      </c>
      <c r="AM1200" t="s">
        <v>120</v>
      </c>
      <c r="AN1200" t="s">
        <v>271</v>
      </c>
      <c r="AO1200" t="s">
        <v>1686</v>
      </c>
      <c r="AP1200" t="s">
        <v>1687</v>
      </c>
      <c r="AQ1200" t="s">
        <v>74</v>
      </c>
      <c r="AR1200" t="s">
        <v>1688</v>
      </c>
      <c r="AS1200" t="s">
        <v>1689</v>
      </c>
      <c r="AT1200" t="s">
        <v>276</v>
      </c>
      <c r="AU1200">
        <v>2023</v>
      </c>
      <c r="AV1200">
        <v>21</v>
      </c>
      <c r="AW1200">
        <v>3</v>
      </c>
      <c r="AX1200" t="s">
        <v>74</v>
      </c>
      <c r="AY1200" t="s">
        <v>74</v>
      </c>
      <c r="AZ1200" t="s">
        <v>74</v>
      </c>
      <c r="BA1200" t="s">
        <v>74</v>
      </c>
      <c r="BB1200" t="s">
        <v>74</v>
      </c>
      <c r="BC1200" t="s">
        <v>74</v>
      </c>
      <c r="BD1200">
        <v>100883</v>
      </c>
      <c r="BE1200" t="s">
        <v>22188</v>
      </c>
      <c r="BF1200" t="str">
        <f>HYPERLINK("http://dx.doi.org/10.1016/j.ijme.2023.100883","http://dx.doi.org/10.1016/j.ijme.2023.100883")</f>
        <v>http://dx.doi.org/10.1016/j.ijme.2023.100883</v>
      </c>
      <c r="BG1200" t="s">
        <v>74</v>
      </c>
      <c r="BH1200" t="s">
        <v>1886</v>
      </c>
      <c r="BI1200">
        <v>18</v>
      </c>
      <c r="BJ1200" t="s">
        <v>1691</v>
      </c>
      <c r="BK1200" t="s">
        <v>159</v>
      </c>
      <c r="BL1200" t="s">
        <v>1692</v>
      </c>
      <c r="BM1200" t="s">
        <v>22189</v>
      </c>
      <c r="BN1200" t="s">
        <v>74</v>
      </c>
      <c r="BO1200" t="s">
        <v>74</v>
      </c>
      <c r="BP1200" t="s">
        <v>74</v>
      </c>
      <c r="BQ1200" t="s">
        <v>74</v>
      </c>
      <c r="BR1200" t="s">
        <v>101</v>
      </c>
      <c r="BS1200" t="s">
        <v>22190</v>
      </c>
      <c r="BT1200" t="str">
        <f>HYPERLINK("https%3A%2F%2Fwww.webofscience.com%2Fwos%2Fwoscc%2Ffull-record%2FWOS:001098391800001","View Full Record in Web of Science")</f>
        <v>View Full Record in Web of Science</v>
      </c>
    </row>
    <row r="1201" spans="1:72" x14ac:dyDescent="0.2">
      <c r="A1201" t="s">
        <v>72</v>
      </c>
      <c r="B1201" t="s">
        <v>22191</v>
      </c>
      <c r="C1201" t="s">
        <v>74</v>
      </c>
      <c r="D1201" t="s">
        <v>74</v>
      </c>
      <c r="E1201" t="s">
        <v>75</v>
      </c>
      <c r="F1201" t="s">
        <v>22192</v>
      </c>
      <c r="G1201" t="s">
        <v>74</v>
      </c>
      <c r="H1201" t="s">
        <v>74</v>
      </c>
      <c r="I1201" t="s">
        <v>22193</v>
      </c>
      <c r="J1201" t="s">
        <v>869</v>
      </c>
      <c r="K1201" t="s">
        <v>74</v>
      </c>
      <c r="L1201" t="s">
        <v>74</v>
      </c>
      <c r="M1201" t="s">
        <v>79</v>
      </c>
      <c r="N1201" t="s">
        <v>80</v>
      </c>
      <c r="O1201" t="s">
        <v>870</v>
      </c>
      <c r="P1201" t="s">
        <v>871</v>
      </c>
      <c r="Q1201" t="s">
        <v>872</v>
      </c>
      <c r="R1201" t="s">
        <v>873</v>
      </c>
      <c r="S1201" t="s">
        <v>74</v>
      </c>
      <c r="T1201" t="s">
        <v>22194</v>
      </c>
      <c r="U1201" t="s">
        <v>74</v>
      </c>
      <c r="V1201" t="s">
        <v>22195</v>
      </c>
      <c r="W1201" t="s">
        <v>22196</v>
      </c>
      <c r="X1201" t="s">
        <v>22197</v>
      </c>
      <c r="Y1201" t="s">
        <v>22198</v>
      </c>
      <c r="Z1201" t="s">
        <v>22199</v>
      </c>
      <c r="AA1201" t="s">
        <v>74</v>
      </c>
      <c r="AB1201" t="s">
        <v>74</v>
      </c>
      <c r="AC1201" t="s">
        <v>74</v>
      </c>
      <c r="AD1201" t="s">
        <v>74</v>
      </c>
      <c r="AE1201" t="s">
        <v>74</v>
      </c>
      <c r="AF1201" t="s">
        <v>74</v>
      </c>
      <c r="AG1201">
        <v>7</v>
      </c>
      <c r="AH1201">
        <v>1</v>
      </c>
      <c r="AI1201">
        <v>1</v>
      </c>
      <c r="AJ1201">
        <v>0</v>
      </c>
      <c r="AK1201">
        <v>0</v>
      </c>
      <c r="AL1201" t="s">
        <v>92</v>
      </c>
      <c r="AM1201" t="s">
        <v>93</v>
      </c>
      <c r="AN1201" t="s">
        <v>94</v>
      </c>
      <c r="AO1201" t="s">
        <v>74</v>
      </c>
      <c r="AP1201" t="s">
        <v>74</v>
      </c>
      <c r="AQ1201" t="s">
        <v>881</v>
      </c>
      <c r="AR1201" t="s">
        <v>74</v>
      </c>
      <c r="AS1201" t="s">
        <v>74</v>
      </c>
      <c r="AT1201" t="s">
        <v>74</v>
      </c>
      <c r="AU1201">
        <v>2023</v>
      </c>
      <c r="AV1201" t="s">
        <v>74</v>
      </c>
      <c r="AW1201" t="s">
        <v>74</v>
      </c>
      <c r="AX1201" t="s">
        <v>74</v>
      </c>
      <c r="AY1201" t="s">
        <v>74</v>
      </c>
      <c r="AZ1201" t="s">
        <v>74</v>
      </c>
      <c r="BA1201" t="s">
        <v>74</v>
      </c>
      <c r="BB1201">
        <v>5277</v>
      </c>
      <c r="BC1201">
        <v>5280</v>
      </c>
      <c r="BD1201" t="s">
        <v>74</v>
      </c>
      <c r="BE1201" t="s">
        <v>22200</v>
      </c>
      <c r="BF1201" t="str">
        <f>HYPERLINK("http://dx.doi.org/10.1145/3583780.3615308","http://dx.doi.org/10.1145/3583780.3615308")</f>
        <v>http://dx.doi.org/10.1145/3583780.3615308</v>
      </c>
      <c r="BG1201" t="s">
        <v>74</v>
      </c>
      <c r="BH1201" t="s">
        <v>74</v>
      </c>
      <c r="BI1201">
        <v>4</v>
      </c>
      <c r="BJ1201" t="s">
        <v>883</v>
      </c>
      <c r="BK1201" t="s">
        <v>98</v>
      </c>
      <c r="BL1201" t="s">
        <v>99</v>
      </c>
      <c r="BM1201" t="s">
        <v>884</v>
      </c>
      <c r="BN1201" t="s">
        <v>74</v>
      </c>
      <c r="BO1201" t="s">
        <v>74</v>
      </c>
      <c r="BP1201" t="s">
        <v>74</v>
      </c>
      <c r="BQ1201" t="s">
        <v>74</v>
      </c>
      <c r="BR1201" t="s">
        <v>101</v>
      </c>
      <c r="BS1201" t="s">
        <v>22201</v>
      </c>
      <c r="BT1201" t="str">
        <f>HYPERLINK("https%3A%2F%2Fwww.webofscience.com%2Fwos%2Fwoscc%2Ffull-record%2FWOS:001161549505069","View Full Record in Web of Science")</f>
        <v>View Full Record in Web of Science</v>
      </c>
    </row>
    <row r="1202" spans="1:72" x14ac:dyDescent="0.2">
      <c r="A1202" t="s">
        <v>103</v>
      </c>
      <c r="B1202" t="s">
        <v>22202</v>
      </c>
      <c r="C1202" t="s">
        <v>74</v>
      </c>
      <c r="D1202" t="s">
        <v>74</v>
      </c>
      <c r="E1202" t="s">
        <v>74</v>
      </c>
      <c r="F1202" t="s">
        <v>22203</v>
      </c>
      <c r="G1202" t="s">
        <v>74</v>
      </c>
      <c r="H1202" t="s">
        <v>74</v>
      </c>
      <c r="I1202" t="s">
        <v>22204</v>
      </c>
      <c r="J1202" t="s">
        <v>14597</v>
      </c>
      <c r="K1202" t="s">
        <v>74</v>
      </c>
      <c r="L1202" t="s">
        <v>74</v>
      </c>
      <c r="M1202" t="s">
        <v>79</v>
      </c>
      <c r="N1202" t="s">
        <v>108</v>
      </c>
      <c r="O1202" t="s">
        <v>74</v>
      </c>
      <c r="P1202" t="s">
        <v>74</v>
      </c>
      <c r="Q1202" t="s">
        <v>74</v>
      </c>
      <c r="R1202" t="s">
        <v>74</v>
      </c>
      <c r="S1202" t="s">
        <v>74</v>
      </c>
      <c r="T1202" t="s">
        <v>22205</v>
      </c>
      <c r="U1202" t="s">
        <v>22206</v>
      </c>
      <c r="V1202" t="s">
        <v>22207</v>
      </c>
      <c r="W1202" t="s">
        <v>22208</v>
      </c>
      <c r="X1202" t="s">
        <v>22209</v>
      </c>
      <c r="Y1202" t="s">
        <v>22210</v>
      </c>
      <c r="Z1202" t="s">
        <v>22211</v>
      </c>
      <c r="AA1202" t="s">
        <v>22212</v>
      </c>
      <c r="AB1202" t="s">
        <v>22213</v>
      </c>
      <c r="AC1202" t="s">
        <v>22214</v>
      </c>
      <c r="AD1202" t="s">
        <v>22215</v>
      </c>
      <c r="AE1202" t="s">
        <v>22216</v>
      </c>
      <c r="AF1202" t="s">
        <v>74</v>
      </c>
      <c r="AG1202">
        <v>44</v>
      </c>
      <c r="AH1202">
        <v>0</v>
      </c>
      <c r="AI1202">
        <v>0</v>
      </c>
      <c r="AJ1202">
        <v>2</v>
      </c>
      <c r="AK1202">
        <v>2</v>
      </c>
      <c r="AL1202" t="s">
        <v>119</v>
      </c>
      <c r="AM1202" t="s">
        <v>120</v>
      </c>
      <c r="AN1202" t="s">
        <v>121</v>
      </c>
      <c r="AO1202" t="s">
        <v>14609</v>
      </c>
      <c r="AP1202" t="s">
        <v>14610</v>
      </c>
      <c r="AQ1202" t="s">
        <v>74</v>
      </c>
      <c r="AR1202" t="s">
        <v>14597</v>
      </c>
      <c r="AS1202" t="s">
        <v>14611</v>
      </c>
      <c r="AT1202" t="s">
        <v>467</v>
      </c>
      <c r="AU1202">
        <v>2023</v>
      </c>
      <c r="AV1202">
        <v>167</v>
      </c>
      <c r="AW1202" t="s">
        <v>74</v>
      </c>
      <c r="AX1202" t="s">
        <v>74</v>
      </c>
      <c r="AY1202" t="s">
        <v>74</v>
      </c>
      <c r="AZ1202" t="s">
        <v>74</v>
      </c>
      <c r="BA1202" t="s">
        <v>74</v>
      </c>
      <c r="BB1202">
        <v>638</v>
      </c>
      <c r="BC1202">
        <v>647</v>
      </c>
      <c r="BD1202" t="s">
        <v>74</v>
      </c>
      <c r="BE1202" t="s">
        <v>22217</v>
      </c>
      <c r="BF1202" t="str">
        <f>HYPERLINK("http://dx.doi.org/10.1016/j.neunet.2023.08.007","http://dx.doi.org/10.1016/j.neunet.2023.08.007")</f>
        <v>http://dx.doi.org/10.1016/j.neunet.2023.08.007</v>
      </c>
      <c r="BG1202" t="s">
        <v>74</v>
      </c>
      <c r="BH1202" t="s">
        <v>278</v>
      </c>
      <c r="BI1202">
        <v>10</v>
      </c>
      <c r="BJ1202" t="s">
        <v>14613</v>
      </c>
      <c r="BK1202" t="s">
        <v>130</v>
      </c>
      <c r="BL1202" t="s">
        <v>14614</v>
      </c>
      <c r="BM1202" t="s">
        <v>22218</v>
      </c>
      <c r="BN1202">
        <v>37717321</v>
      </c>
      <c r="BO1202" t="s">
        <v>74</v>
      </c>
      <c r="BP1202" t="s">
        <v>74</v>
      </c>
      <c r="BQ1202" t="s">
        <v>74</v>
      </c>
      <c r="BR1202" t="s">
        <v>101</v>
      </c>
      <c r="BS1202" t="s">
        <v>22219</v>
      </c>
      <c r="BT1202" t="str">
        <f>HYPERLINK("https%3A%2F%2Fwww.webofscience.com%2Fwos%2Fwoscc%2Ffull-record%2FWOS:001080489300001","View Full Record in Web of Science")</f>
        <v>View Full Record in Web of Science</v>
      </c>
    </row>
    <row r="1203" spans="1:72" x14ac:dyDescent="0.2">
      <c r="A1203" t="s">
        <v>103</v>
      </c>
      <c r="B1203" t="s">
        <v>22220</v>
      </c>
      <c r="C1203" t="s">
        <v>74</v>
      </c>
      <c r="D1203" t="s">
        <v>74</v>
      </c>
      <c r="E1203" t="s">
        <v>74</v>
      </c>
      <c r="F1203" t="s">
        <v>22221</v>
      </c>
      <c r="G1203" t="s">
        <v>74</v>
      </c>
      <c r="H1203" t="s">
        <v>74</v>
      </c>
      <c r="I1203" t="s">
        <v>22222</v>
      </c>
      <c r="J1203" t="s">
        <v>11207</v>
      </c>
      <c r="K1203" t="s">
        <v>74</v>
      </c>
      <c r="L1203" t="s">
        <v>74</v>
      </c>
      <c r="M1203" t="s">
        <v>79</v>
      </c>
      <c r="N1203" t="s">
        <v>108</v>
      </c>
      <c r="O1203" t="s">
        <v>74</v>
      </c>
      <c r="P1203" t="s">
        <v>74</v>
      </c>
      <c r="Q1203" t="s">
        <v>74</v>
      </c>
      <c r="R1203" t="s">
        <v>74</v>
      </c>
      <c r="S1203" t="s">
        <v>74</v>
      </c>
      <c r="T1203" t="s">
        <v>74</v>
      </c>
      <c r="U1203" t="s">
        <v>22223</v>
      </c>
      <c r="V1203" t="s">
        <v>22224</v>
      </c>
      <c r="W1203" t="s">
        <v>22225</v>
      </c>
      <c r="X1203" t="s">
        <v>22226</v>
      </c>
      <c r="Y1203" t="s">
        <v>22227</v>
      </c>
      <c r="Z1203" t="s">
        <v>22228</v>
      </c>
      <c r="AA1203" t="s">
        <v>74</v>
      </c>
      <c r="AB1203" t="s">
        <v>22229</v>
      </c>
      <c r="AC1203" t="s">
        <v>74</v>
      </c>
      <c r="AD1203" t="s">
        <v>74</v>
      </c>
      <c r="AE1203" t="s">
        <v>74</v>
      </c>
      <c r="AF1203" t="s">
        <v>74</v>
      </c>
      <c r="AG1203">
        <v>47</v>
      </c>
      <c r="AH1203">
        <v>0</v>
      </c>
      <c r="AI1203">
        <v>0</v>
      </c>
      <c r="AJ1203">
        <v>6</v>
      </c>
      <c r="AK1203">
        <v>6</v>
      </c>
      <c r="AL1203" t="s">
        <v>547</v>
      </c>
      <c r="AM1203" t="s">
        <v>548</v>
      </c>
      <c r="AN1203" t="s">
        <v>549</v>
      </c>
      <c r="AO1203" t="s">
        <v>11215</v>
      </c>
      <c r="AP1203" t="s">
        <v>11216</v>
      </c>
      <c r="AQ1203" t="s">
        <v>74</v>
      </c>
      <c r="AR1203" t="s">
        <v>11217</v>
      </c>
      <c r="AS1203" t="s">
        <v>11218</v>
      </c>
      <c r="AT1203" t="s">
        <v>22230</v>
      </c>
      <c r="AU1203">
        <v>2023</v>
      </c>
      <c r="AV1203">
        <v>63</v>
      </c>
      <c r="AW1203">
        <v>18</v>
      </c>
      <c r="AX1203" t="s">
        <v>74</v>
      </c>
      <c r="AY1203" t="s">
        <v>74</v>
      </c>
      <c r="AZ1203" t="s">
        <v>74</v>
      </c>
      <c r="BA1203" t="s">
        <v>74</v>
      </c>
      <c r="BB1203">
        <v>5709</v>
      </c>
      <c r="BC1203">
        <v>5726</v>
      </c>
      <c r="BD1203" t="s">
        <v>74</v>
      </c>
      <c r="BE1203" t="s">
        <v>22231</v>
      </c>
      <c r="BF1203" t="str">
        <f>HYPERLINK("http://dx.doi.org/10.1021/acs.jcim.3c00735","http://dx.doi.org/10.1021/acs.jcim.3c00735")</f>
        <v>http://dx.doi.org/10.1021/acs.jcim.3c00735</v>
      </c>
      <c r="BG1203" t="s">
        <v>74</v>
      </c>
      <c r="BH1203" t="s">
        <v>278</v>
      </c>
      <c r="BI1203">
        <v>18</v>
      </c>
      <c r="BJ1203" t="s">
        <v>11221</v>
      </c>
      <c r="BK1203" t="s">
        <v>130</v>
      </c>
      <c r="BL1203" t="s">
        <v>11222</v>
      </c>
      <c r="BM1203" t="s">
        <v>22232</v>
      </c>
      <c r="BN1203">
        <v>37668352</v>
      </c>
      <c r="BO1203" t="s">
        <v>74</v>
      </c>
      <c r="BP1203" t="s">
        <v>74</v>
      </c>
      <c r="BQ1203" t="s">
        <v>74</v>
      </c>
      <c r="BR1203" t="s">
        <v>101</v>
      </c>
      <c r="BS1203" t="s">
        <v>22233</v>
      </c>
      <c r="BT1203" t="str">
        <f>HYPERLINK("https%3A%2F%2Fwww.webofscience.com%2Fwos%2Fwoscc%2Ffull-record%2FWOS:001062608200001","View Full Record in Web of Science")</f>
        <v>View Full Record in Web of Science</v>
      </c>
    </row>
    <row r="1204" spans="1:72" x14ac:dyDescent="0.2">
      <c r="A1204" t="s">
        <v>11909</v>
      </c>
      <c r="B1204" t="s">
        <v>22234</v>
      </c>
      <c r="C1204" t="s">
        <v>74</v>
      </c>
      <c r="D1204" t="s">
        <v>22235</v>
      </c>
      <c r="E1204" t="s">
        <v>74</v>
      </c>
      <c r="F1204" t="s">
        <v>22236</v>
      </c>
      <c r="G1204" t="s">
        <v>74</v>
      </c>
      <c r="H1204" t="s">
        <v>74</v>
      </c>
      <c r="I1204" t="s">
        <v>22237</v>
      </c>
      <c r="J1204" t="s">
        <v>22238</v>
      </c>
      <c r="K1204" t="s">
        <v>1755</v>
      </c>
      <c r="L1204" t="s">
        <v>74</v>
      </c>
      <c r="M1204" t="s">
        <v>79</v>
      </c>
      <c r="N1204" t="s">
        <v>16480</v>
      </c>
      <c r="O1204" t="s">
        <v>74</v>
      </c>
      <c r="P1204" t="s">
        <v>74</v>
      </c>
      <c r="Q1204" t="s">
        <v>74</v>
      </c>
      <c r="R1204" t="s">
        <v>74</v>
      </c>
      <c r="S1204" t="s">
        <v>74</v>
      </c>
      <c r="T1204" t="s">
        <v>74</v>
      </c>
      <c r="U1204" t="s">
        <v>74</v>
      </c>
      <c r="V1204" t="s">
        <v>22239</v>
      </c>
      <c r="W1204" t="s">
        <v>22240</v>
      </c>
      <c r="X1204" t="s">
        <v>22241</v>
      </c>
      <c r="Y1204" t="s">
        <v>22242</v>
      </c>
      <c r="Z1204" t="s">
        <v>74</v>
      </c>
      <c r="AA1204" t="s">
        <v>74</v>
      </c>
      <c r="AB1204" t="s">
        <v>74</v>
      </c>
      <c r="AC1204" t="s">
        <v>22243</v>
      </c>
      <c r="AD1204" t="s">
        <v>22244</v>
      </c>
      <c r="AE1204" t="s">
        <v>22245</v>
      </c>
      <c r="AF1204" t="s">
        <v>74</v>
      </c>
      <c r="AG1204">
        <v>55</v>
      </c>
      <c r="AH1204">
        <v>0</v>
      </c>
      <c r="AI1204">
        <v>0</v>
      </c>
      <c r="AJ1204">
        <v>1</v>
      </c>
      <c r="AK1204">
        <v>1</v>
      </c>
      <c r="AL1204" t="s">
        <v>1766</v>
      </c>
      <c r="AM1204" t="s">
        <v>765</v>
      </c>
      <c r="AN1204" t="s">
        <v>1767</v>
      </c>
      <c r="AO1204" t="s">
        <v>1768</v>
      </c>
      <c r="AP1204" t="s">
        <v>1769</v>
      </c>
      <c r="AQ1204" t="s">
        <v>22246</v>
      </c>
      <c r="AR1204" t="s">
        <v>1771</v>
      </c>
      <c r="AS1204" t="s">
        <v>74</v>
      </c>
      <c r="AT1204" t="s">
        <v>74</v>
      </c>
      <c r="AU1204">
        <v>2023</v>
      </c>
      <c r="AV1204">
        <v>369</v>
      </c>
      <c r="AW1204" t="s">
        <v>74</v>
      </c>
      <c r="AX1204" t="s">
        <v>74</v>
      </c>
      <c r="AY1204" t="s">
        <v>74</v>
      </c>
      <c r="AZ1204" t="s">
        <v>74</v>
      </c>
      <c r="BA1204" t="s">
        <v>74</v>
      </c>
      <c r="BB1204">
        <v>485</v>
      </c>
      <c r="BC1204">
        <v>505</v>
      </c>
      <c r="BD1204" t="s">
        <v>74</v>
      </c>
      <c r="BE1204" t="s">
        <v>22247</v>
      </c>
      <c r="BF1204" t="str">
        <f>HYPERLINK("http://dx.doi.org/10.3233/FAIA230154","http://dx.doi.org/10.3233/FAIA230154")</f>
        <v>http://dx.doi.org/10.3233/FAIA230154</v>
      </c>
      <c r="BG1204" t="s">
        <v>22248</v>
      </c>
      <c r="BH1204" t="s">
        <v>74</v>
      </c>
      <c r="BI1204">
        <v>21</v>
      </c>
      <c r="BJ1204" t="s">
        <v>883</v>
      </c>
      <c r="BK1204" t="s">
        <v>16489</v>
      </c>
      <c r="BL1204" t="s">
        <v>99</v>
      </c>
      <c r="BM1204" t="s">
        <v>22249</v>
      </c>
      <c r="BN1204" t="s">
        <v>74</v>
      </c>
      <c r="BO1204" t="s">
        <v>74</v>
      </c>
      <c r="BP1204" t="s">
        <v>74</v>
      </c>
      <c r="BQ1204" t="s">
        <v>74</v>
      </c>
      <c r="BR1204" t="s">
        <v>101</v>
      </c>
      <c r="BS1204" t="s">
        <v>22250</v>
      </c>
      <c r="BT1204" t="str">
        <f>HYPERLINK("https%3A%2F%2Fwww.webofscience.com%2Fwos%2Fwoscc%2Ffull-record%2FWOS:001106215800023","View Full Record in Web of Science")</f>
        <v>View Full Record in Web of Science</v>
      </c>
    </row>
    <row r="1205" spans="1:72" x14ac:dyDescent="0.2">
      <c r="A1205" t="s">
        <v>103</v>
      </c>
      <c r="B1205" t="s">
        <v>22251</v>
      </c>
      <c r="C1205" t="s">
        <v>74</v>
      </c>
      <c r="D1205" t="s">
        <v>74</v>
      </c>
      <c r="E1205" t="s">
        <v>74</v>
      </c>
      <c r="F1205" t="s">
        <v>22252</v>
      </c>
      <c r="G1205" t="s">
        <v>74</v>
      </c>
      <c r="H1205" t="s">
        <v>74</v>
      </c>
      <c r="I1205" t="s">
        <v>22253</v>
      </c>
      <c r="J1205" t="s">
        <v>22254</v>
      </c>
      <c r="K1205" t="s">
        <v>74</v>
      </c>
      <c r="L1205" t="s">
        <v>74</v>
      </c>
      <c r="M1205" t="s">
        <v>79</v>
      </c>
      <c r="N1205" t="s">
        <v>108</v>
      </c>
      <c r="O1205" t="s">
        <v>74</v>
      </c>
      <c r="P1205" t="s">
        <v>74</v>
      </c>
      <c r="Q1205" t="s">
        <v>74</v>
      </c>
      <c r="R1205" t="s">
        <v>74</v>
      </c>
      <c r="S1205" t="s">
        <v>74</v>
      </c>
      <c r="T1205" t="s">
        <v>74</v>
      </c>
      <c r="U1205" t="s">
        <v>22255</v>
      </c>
      <c r="V1205" t="s">
        <v>22256</v>
      </c>
      <c r="W1205" t="s">
        <v>22257</v>
      </c>
      <c r="X1205" t="s">
        <v>22258</v>
      </c>
      <c r="Y1205" t="s">
        <v>22259</v>
      </c>
      <c r="Z1205" t="s">
        <v>22260</v>
      </c>
      <c r="AA1205" t="s">
        <v>74</v>
      </c>
      <c r="AB1205" t="s">
        <v>74</v>
      </c>
      <c r="AC1205" t="s">
        <v>74</v>
      </c>
      <c r="AD1205" t="s">
        <v>74</v>
      </c>
      <c r="AE1205" t="s">
        <v>74</v>
      </c>
      <c r="AF1205" t="s">
        <v>74</v>
      </c>
      <c r="AG1205">
        <v>34</v>
      </c>
      <c r="AH1205">
        <v>0</v>
      </c>
      <c r="AI1205">
        <v>0</v>
      </c>
      <c r="AJ1205">
        <v>1</v>
      </c>
      <c r="AK1205">
        <v>4</v>
      </c>
      <c r="AL1205" t="s">
        <v>20407</v>
      </c>
      <c r="AM1205" t="s">
        <v>149</v>
      </c>
      <c r="AN1205" t="s">
        <v>20408</v>
      </c>
      <c r="AO1205" t="s">
        <v>22261</v>
      </c>
      <c r="AP1205" t="s">
        <v>22262</v>
      </c>
      <c r="AQ1205" t="s">
        <v>74</v>
      </c>
      <c r="AR1205" t="s">
        <v>22263</v>
      </c>
      <c r="AS1205" t="s">
        <v>22264</v>
      </c>
      <c r="AT1205" t="s">
        <v>22265</v>
      </c>
      <c r="AU1205">
        <v>2023</v>
      </c>
      <c r="AV1205">
        <v>2023</v>
      </c>
      <c r="AW1205" t="s">
        <v>74</v>
      </c>
      <c r="AX1205" t="s">
        <v>74</v>
      </c>
      <c r="AY1205" t="s">
        <v>74</v>
      </c>
      <c r="AZ1205" t="s">
        <v>74</v>
      </c>
      <c r="BA1205" t="s">
        <v>74</v>
      </c>
      <c r="BB1205" t="s">
        <v>74</v>
      </c>
      <c r="BC1205" t="s">
        <v>74</v>
      </c>
      <c r="BD1205">
        <v>8600543</v>
      </c>
      <c r="BE1205" t="s">
        <v>22266</v>
      </c>
      <c r="BF1205" t="str">
        <f>HYPERLINK("http://dx.doi.org/10.1155/2023/8600543","http://dx.doi.org/10.1155/2023/8600543")</f>
        <v>http://dx.doi.org/10.1155/2023/8600543</v>
      </c>
      <c r="BG1205" t="s">
        <v>74</v>
      </c>
      <c r="BH1205" t="s">
        <v>74</v>
      </c>
      <c r="BI1205">
        <v>8</v>
      </c>
      <c r="BJ1205" t="s">
        <v>2822</v>
      </c>
      <c r="BK1205" t="s">
        <v>352</v>
      </c>
      <c r="BL1205" t="s">
        <v>2823</v>
      </c>
      <c r="BM1205" t="s">
        <v>22267</v>
      </c>
      <c r="BN1205" t="s">
        <v>74</v>
      </c>
      <c r="BO1205" t="s">
        <v>425</v>
      </c>
      <c r="BP1205" t="s">
        <v>74</v>
      </c>
      <c r="BQ1205" t="s">
        <v>74</v>
      </c>
      <c r="BR1205" t="s">
        <v>101</v>
      </c>
      <c r="BS1205" t="s">
        <v>22268</v>
      </c>
      <c r="BT1205" t="str">
        <f>HYPERLINK("https%3A%2F%2Fwww.webofscience.com%2Fwos%2Fwoscc%2Ffull-record%2FWOS:000978554000002","View Full Record in Web of Science")</f>
        <v>View Full Record in Web of Science</v>
      </c>
    </row>
    <row r="1206" spans="1:72" x14ac:dyDescent="0.2">
      <c r="A1206" t="s">
        <v>72</v>
      </c>
      <c r="B1206" t="s">
        <v>22269</v>
      </c>
      <c r="C1206" t="s">
        <v>74</v>
      </c>
      <c r="D1206" t="s">
        <v>6011</v>
      </c>
      <c r="E1206" t="s">
        <v>74</v>
      </c>
      <c r="F1206" t="s">
        <v>22270</v>
      </c>
      <c r="G1206" t="s">
        <v>74</v>
      </c>
      <c r="H1206" t="s">
        <v>74</v>
      </c>
      <c r="I1206" t="s">
        <v>22271</v>
      </c>
      <c r="J1206" t="s">
        <v>16815</v>
      </c>
      <c r="K1206" t="s">
        <v>312</v>
      </c>
      <c r="L1206" t="s">
        <v>74</v>
      </c>
      <c r="M1206" t="s">
        <v>79</v>
      </c>
      <c r="N1206" t="s">
        <v>80</v>
      </c>
      <c r="O1206" t="s">
        <v>6015</v>
      </c>
      <c r="P1206" t="s">
        <v>6016</v>
      </c>
      <c r="Q1206" t="s">
        <v>6017</v>
      </c>
      <c r="R1206" t="s">
        <v>74</v>
      </c>
      <c r="S1206" t="s">
        <v>74</v>
      </c>
      <c r="T1206" t="s">
        <v>22272</v>
      </c>
      <c r="U1206" t="s">
        <v>18888</v>
      </c>
      <c r="V1206" t="s">
        <v>22273</v>
      </c>
      <c r="W1206" t="s">
        <v>22274</v>
      </c>
      <c r="X1206" t="s">
        <v>22275</v>
      </c>
      <c r="Y1206" t="s">
        <v>22276</v>
      </c>
      <c r="Z1206" t="s">
        <v>22277</v>
      </c>
      <c r="AA1206" t="s">
        <v>22278</v>
      </c>
      <c r="AB1206" t="s">
        <v>22279</v>
      </c>
      <c r="AC1206" t="s">
        <v>22280</v>
      </c>
      <c r="AD1206" t="s">
        <v>22281</v>
      </c>
      <c r="AE1206" t="s">
        <v>22282</v>
      </c>
      <c r="AF1206" t="s">
        <v>74</v>
      </c>
      <c r="AG1206">
        <v>38</v>
      </c>
      <c r="AH1206">
        <v>0</v>
      </c>
      <c r="AI1206">
        <v>0</v>
      </c>
      <c r="AJ1206">
        <v>3</v>
      </c>
      <c r="AK1206">
        <v>3</v>
      </c>
      <c r="AL1206" t="s">
        <v>325</v>
      </c>
      <c r="AM1206" t="s">
        <v>245</v>
      </c>
      <c r="AN1206" t="s">
        <v>246</v>
      </c>
      <c r="AO1206" t="s">
        <v>326</v>
      </c>
      <c r="AP1206" t="s">
        <v>327</v>
      </c>
      <c r="AQ1206" t="s">
        <v>16826</v>
      </c>
      <c r="AR1206" t="s">
        <v>329</v>
      </c>
      <c r="AS1206" t="s">
        <v>74</v>
      </c>
      <c r="AT1206" t="s">
        <v>74</v>
      </c>
      <c r="AU1206">
        <v>2023</v>
      </c>
      <c r="AV1206">
        <v>14229</v>
      </c>
      <c r="AW1206" t="s">
        <v>74</v>
      </c>
      <c r="AX1206" t="s">
        <v>74</v>
      </c>
      <c r="AY1206" t="s">
        <v>74</v>
      </c>
      <c r="AZ1206" t="s">
        <v>74</v>
      </c>
      <c r="BA1206" t="s">
        <v>74</v>
      </c>
      <c r="BB1206">
        <v>142</v>
      </c>
      <c r="BC1206">
        <v>152</v>
      </c>
      <c r="BD1206" t="s">
        <v>74</v>
      </c>
      <c r="BE1206" t="s">
        <v>22283</v>
      </c>
      <c r="BF1206" t="str">
        <f>HYPERLINK("http://dx.doi.org/10.1007/978-3-031-43999-5_14","http://dx.doi.org/10.1007/978-3-031-43999-5_14")</f>
        <v>http://dx.doi.org/10.1007/978-3-031-43999-5_14</v>
      </c>
      <c r="BG1206" t="s">
        <v>74</v>
      </c>
      <c r="BH1206" t="s">
        <v>74</v>
      </c>
      <c r="BI1206">
        <v>11</v>
      </c>
      <c r="BJ1206" t="s">
        <v>6029</v>
      </c>
      <c r="BK1206" t="s">
        <v>98</v>
      </c>
      <c r="BL1206" t="s">
        <v>6030</v>
      </c>
      <c r="BM1206" t="s">
        <v>16828</v>
      </c>
      <c r="BN1206" t="s">
        <v>74</v>
      </c>
      <c r="BO1206" t="s">
        <v>646</v>
      </c>
      <c r="BP1206" t="s">
        <v>74</v>
      </c>
      <c r="BQ1206" t="s">
        <v>74</v>
      </c>
      <c r="BR1206" t="s">
        <v>101</v>
      </c>
      <c r="BS1206" t="s">
        <v>22284</v>
      </c>
      <c r="BT1206" t="str">
        <f>HYPERLINK("https%3A%2F%2Fwww.webofscience.com%2Fwos%2Fwoscc%2Ffull-record%2FWOS:001109641000014","View Full Record in Web of Science")</f>
        <v>View Full Record in Web of Science</v>
      </c>
    </row>
    <row r="1207" spans="1:72" x14ac:dyDescent="0.2">
      <c r="A1207" t="s">
        <v>103</v>
      </c>
      <c r="B1207" t="s">
        <v>22285</v>
      </c>
      <c r="C1207" t="s">
        <v>74</v>
      </c>
      <c r="D1207" t="s">
        <v>74</v>
      </c>
      <c r="E1207" t="s">
        <v>74</v>
      </c>
      <c r="F1207" t="s">
        <v>22286</v>
      </c>
      <c r="G1207" t="s">
        <v>74</v>
      </c>
      <c r="H1207" t="s">
        <v>74</v>
      </c>
      <c r="I1207" t="s">
        <v>22287</v>
      </c>
      <c r="J1207" t="s">
        <v>22288</v>
      </c>
      <c r="K1207" t="s">
        <v>74</v>
      </c>
      <c r="L1207" t="s">
        <v>74</v>
      </c>
      <c r="M1207" t="s">
        <v>79</v>
      </c>
      <c r="N1207" t="s">
        <v>108</v>
      </c>
      <c r="O1207" t="s">
        <v>74</v>
      </c>
      <c r="P1207" t="s">
        <v>74</v>
      </c>
      <c r="Q1207" t="s">
        <v>74</v>
      </c>
      <c r="R1207" t="s">
        <v>74</v>
      </c>
      <c r="S1207" t="s">
        <v>74</v>
      </c>
      <c r="T1207" t="s">
        <v>22289</v>
      </c>
      <c r="U1207" t="s">
        <v>74</v>
      </c>
      <c r="V1207" t="s">
        <v>22290</v>
      </c>
      <c r="W1207" t="s">
        <v>22291</v>
      </c>
      <c r="X1207" t="s">
        <v>74</v>
      </c>
      <c r="Y1207" t="s">
        <v>22292</v>
      </c>
      <c r="Z1207" t="s">
        <v>22293</v>
      </c>
      <c r="AA1207" t="s">
        <v>74</v>
      </c>
      <c r="AB1207" t="s">
        <v>74</v>
      </c>
      <c r="AC1207" t="s">
        <v>22294</v>
      </c>
      <c r="AD1207" t="s">
        <v>22295</v>
      </c>
      <c r="AE1207" t="s">
        <v>22296</v>
      </c>
      <c r="AF1207" t="s">
        <v>74</v>
      </c>
      <c r="AG1207">
        <v>20</v>
      </c>
      <c r="AH1207">
        <v>0</v>
      </c>
      <c r="AI1207">
        <v>0</v>
      </c>
      <c r="AJ1207">
        <v>31</v>
      </c>
      <c r="AK1207">
        <v>31</v>
      </c>
      <c r="AL1207" t="s">
        <v>92</v>
      </c>
      <c r="AM1207" t="s">
        <v>93</v>
      </c>
      <c r="AN1207" t="s">
        <v>3186</v>
      </c>
      <c r="AO1207" t="s">
        <v>22297</v>
      </c>
      <c r="AP1207" t="s">
        <v>22298</v>
      </c>
      <c r="AQ1207" t="s">
        <v>74</v>
      </c>
      <c r="AR1207" t="s">
        <v>22299</v>
      </c>
      <c r="AS1207" t="s">
        <v>22300</v>
      </c>
      <c r="AT1207" t="s">
        <v>771</v>
      </c>
      <c r="AU1207">
        <v>2023</v>
      </c>
      <c r="AV1207">
        <v>22</v>
      </c>
      <c r="AW1207">
        <v>9</v>
      </c>
      <c r="AX1207" t="s">
        <v>74</v>
      </c>
      <c r="AY1207" t="s">
        <v>74</v>
      </c>
      <c r="AZ1207" t="s">
        <v>74</v>
      </c>
      <c r="BA1207" t="s">
        <v>74</v>
      </c>
      <c r="BB1207" t="s">
        <v>74</v>
      </c>
      <c r="BC1207" t="s">
        <v>74</v>
      </c>
      <c r="BD1207">
        <v>221</v>
      </c>
      <c r="BE1207" t="s">
        <v>22301</v>
      </c>
      <c r="BF1207" t="str">
        <f>HYPERLINK("http://dx.doi.org/10.1145/3554735","http://dx.doi.org/10.1145/3554735")</f>
        <v>http://dx.doi.org/10.1145/3554735</v>
      </c>
      <c r="BG1207" t="s">
        <v>74</v>
      </c>
      <c r="BH1207" t="s">
        <v>74</v>
      </c>
      <c r="BI1207">
        <v>21</v>
      </c>
      <c r="BJ1207" t="s">
        <v>304</v>
      </c>
      <c r="BK1207" t="s">
        <v>130</v>
      </c>
      <c r="BL1207" t="s">
        <v>99</v>
      </c>
      <c r="BM1207" t="s">
        <v>22302</v>
      </c>
      <c r="BN1207" t="s">
        <v>74</v>
      </c>
      <c r="BO1207" t="s">
        <v>74</v>
      </c>
      <c r="BP1207" t="s">
        <v>74</v>
      </c>
      <c r="BQ1207" t="s">
        <v>74</v>
      </c>
      <c r="BR1207" t="s">
        <v>101</v>
      </c>
      <c r="BS1207" t="s">
        <v>22303</v>
      </c>
      <c r="BT1207" t="str">
        <f>HYPERLINK("https%3A%2F%2Fwww.webofscience.com%2Fwos%2Fwoscc%2Ffull-record%2FWOS:001079577300001","View Full Record in Web of Science")</f>
        <v>View Full Record in Web of Science</v>
      </c>
    </row>
    <row r="1208" spans="1:72" x14ac:dyDescent="0.2">
      <c r="A1208" t="s">
        <v>72</v>
      </c>
      <c r="B1208" t="s">
        <v>22304</v>
      </c>
      <c r="C1208" t="s">
        <v>74</v>
      </c>
      <c r="D1208" t="s">
        <v>74</v>
      </c>
      <c r="E1208" t="s">
        <v>284</v>
      </c>
      <c r="F1208" t="s">
        <v>22305</v>
      </c>
      <c r="G1208" t="s">
        <v>74</v>
      </c>
      <c r="H1208" t="s">
        <v>74</v>
      </c>
      <c r="I1208" t="s">
        <v>22306</v>
      </c>
      <c r="J1208" t="s">
        <v>20896</v>
      </c>
      <c r="K1208" t="s">
        <v>20897</v>
      </c>
      <c r="L1208" t="s">
        <v>74</v>
      </c>
      <c r="M1208" t="s">
        <v>79</v>
      </c>
      <c r="N1208" t="s">
        <v>80</v>
      </c>
      <c r="O1208" t="s">
        <v>20898</v>
      </c>
      <c r="P1208" t="s">
        <v>1101</v>
      </c>
      <c r="Q1208" t="s">
        <v>20899</v>
      </c>
      <c r="R1208" t="s">
        <v>20900</v>
      </c>
      <c r="S1208" t="s">
        <v>20901</v>
      </c>
      <c r="T1208" t="s">
        <v>22307</v>
      </c>
      <c r="U1208" t="s">
        <v>74</v>
      </c>
      <c r="V1208" t="s">
        <v>22308</v>
      </c>
      <c r="W1208" t="s">
        <v>22309</v>
      </c>
      <c r="X1208" t="s">
        <v>22310</v>
      </c>
      <c r="Y1208" t="s">
        <v>22311</v>
      </c>
      <c r="Z1208" t="s">
        <v>22312</v>
      </c>
      <c r="AA1208" t="s">
        <v>74</v>
      </c>
      <c r="AB1208" t="s">
        <v>74</v>
      </c>
      <c r="AC1208" t="s">
        <v>74</v>
      </c>
      <c r="AD1208" t="s">
        <v>74</v>
      </c>
      <c r="AE1208" t="s">
        <v>74</v>
      </c>
      <c r="AF1208" t="s">
        <v>74</v>
      </c>
      <c r="AG1208">
        <v>21</v>
      </c>
      <c r="AH1208">
        <v>0</v>
      </c>
      <c r="AI1208">
        <v>0</v>
      </c>
      <c r="AJ1208">
        <v>4</v>
      </c>
      <c r="AK1208">
        <v>4</v>
      </c>
      <c r="AL1208" t="s">
        <v>638</v>
      </c>
      <c r="AM1208" t="s">
        <v>639</v>
      </c>
      <c r="AN1208" t="s">
        <v>640</v>
      </c>
      <c r="AO1208" t="s">
        <v>20907</v>
      </c>
      <c r="AP1208" t="s">
        <v>74</v>
      </c>
      <c r="AQ1208" t="s">
        <v>20908</v>
      </c>
      <c r="AR1208" t="s">
        <v>20909</v>
      </c>
      <c r="AS1208" t="s">
        <v>74</v>
      </c>
      <c r="AT1208" t="s">
        <v>74</v>
      </c>
      <c r="AU1208">
        <v>2023</v>
      </c>
      <c r="AV1208" t="s">
        <v>74</v>
      </c>
      <c r="AW1208" t="s">
        <v>74</v>
      </c>
      <c r="AX1208" t="s">
        <v>74</v>
      </c>
      <c r="AY1208" t="s">
        <v>74</v>
      </c>
      <c r="AZ1208" t="s">
        <v>74</v>
      </c>
      <c r="BA1208" t="s">
        <v>74</v>
      </c>
      <c r="BB1208">
        <v>391</v>
      </c>
      <c r="BC1208">
        <v>396</v>
      </c>
      <c r="BD1208" t="s">
        <v>74</v>
      </c>
      <c r="BE1208" t="s">
        <v>22313</v>
      </c>
      <c r="BF1208" t="str">
        <f>HYPERLINK("http://dx.doi.org/10.1109/ICSME58846.2023.00051","http://dx.doi.org/10.1109/ICSME58846.2023.00051")</f>
        <v>http://dx.doi.org/10.1109/ICSME58846.2023.00051</v>
      </c>
      <c r="BG1208" t="s">
        <v>74</v>
      </c>
      <c r="BH1208" t="s">
        <v>74</v>
      </c>
      <c r="BI1208">
        <v>6</v>
      </c>
      <c r="BJ1208" t="s">
        <v>1093</v>
      </c>
      <c r="BK1208" t="s">
        <v>98</v>
      </c>
      <c r="BL1208" t="s">
        <v>99</v>
      </c>
      <c r="BM1208" t="s">
        <v>20911</v>
      </c>
      <c r="BN1208" t="s">
        <v>74</v>
      </c>
      <c r="BO1208" t="s">
        <v>74</v>
      </c>
      <c r="BP1208" t="s">
        <v>74</v>
      </c>
      <c r="BQ1208" t="s">
        <v>74</v>
      </c>
      <c r="BR1208" t="s">
        <v>101</v>
      </c>
      <c r="BS1208" t="s">
        <v>22314</v>
      </c>
      <c r="BT1208" t="str">
        <f>HYPERLINK("https%3A%2F%2Fwww.webofscience.com%2Fwos%2Fwoscc%2Ffull-record%2FWOS:001125977500039","View Full Record in Web of Science")</f>
        <v>View Full Record in Web of Science</v>
      </c>
    </row>
    <row r="1209" spans="1:72" x14ac:dyDescent="0.2">
      <c r="A1209" t="s">
        <v>72</v>
      </c>
      <c r="B1209" t="s">
        <v>22315</v>
      </c>
      <c r="C1209" t="s">
        <v>74</v>
      </c>
      <c r="D1209" t="s">
        <v>74</v>
      </c>
      <c r="E1209" t="s">
        <v>284</v>
      </c>
      <c r="F1209" t="s">
        <v>22316</v>
      </c>
      <c r="G1209" t="s">
        <v>74</v>
      </c>
      <c r="H1209" t="s">
        <v>74</v>
      </c>
      <c r="I1209" t="s">
        <v>22317</v>
      </c>
      <c r="J1209" t="s">
        <v>8245</v>
      </c>
      <c r="K1209" t="s">
        <v>8246</v>
      </c>
      <c r="L1209" t="s">
        <v>74</v>
      </c>
      <c r="M1209" t="s">
        <v>79</v>
      </c>
      <c r="N1209" t="s">
        <v>80</v>
      </c>
      <c r="O1209" t="s">
        <v>8247</v>
      </c>
      <c r="P1209" t="s">
        <v>8248</v>
      </c>
      <c r="Q1209" t="s">
        <v>6017</v>
      </c>
      <c r="R1209" t="s">
        <v>8249</v>
      </c>
      <c r="S1209" t="s">
        <v>74</v>
      </c>
      <c r="T1209" t="s">
        <v>74</v>
      </c>
      <c r="U1209" t="s">
        <v>74</v>
      </c>
      <c r="V1209" t="s">
        <v>22318</v>
      </c>
      <c r="W1209" t="s">
        <v>22319</v>
      </c>
      <c r="X1209" t="s">
        <v>22320</v>
      </c>
      <c r="Y1209" t="s">
        <v>22321</v>
      </c>
      <c r="Z1209" t="s">
        <v>74</v>
      </c>
      <c r="AA1209" t="s">
        <v>74</v>
      </c>
      <c r="AB1209" t="s">
        <v>74</v>
      </c>
      <c r="AC1209" t="s">
        <v>22322</v>
      </c>
      <c r="AD1209" t="s">
        <v>22323</v>
      </c>
      <c r="AE1209" t="s">
        <v>22324</v>
      </c>
      <c r="AF1209" t="s">
        <v>74</v>
      </c>
      <c r="AG1209">
        <v>75</v>
      </c>
      <c r="AH1209">
        <v>0</v>
      </c>
      <c r="AI1209">
        <v>0</v>
      </c>
      <c r="AJ1209">
        <v>1</v>
      </c>
      <c r="AK1209">
        <v>1</v>
      </c>
      <c r="AL1209" t="s">
        <v>638</v>
      </c>
      <c r="AM1209" t="s">
        <v>639</v>
      </c>
      <c r="AN1209" t="s">
        <v>640</v>
      </c>
      <c r="AO1209" t="s">
        <v>8260</v>
      </c>
      <c r="AP1209" t="s">
        <v>74</v>
      </c>
      <c r="AQ1209" t="s">
        <v>8261</v>
      </c>
      <c r="AR1209" t="s">
        <v>8262</v>
      </c>
      <c r="AS1209" t="s">
        <v>74</v>
      </c>
      <c r="AT1209" t="s">
        <v>74</v>
      </c>
      <c r="AU1209">
        <v>2023</v>
      </c>
      <c r="AV1209" t="s">
        <v>74</v>
      </c>
      <c r="AW1209" t="s">
        <v>74</v>
      </c>
      <c r="AX1209" t="s">
        <v>74</v>
      </c>
      <c r="AY1209" t="s">
        <v>74</v>
      </c>
      <c r="AZ1209" t="s">
        <v>74</v>
      </c>
      <c r="BA1209" t="s">
        <v>74</v>
      </c>
      <c r="BB1209">
        <v>16762</v>
      </c>
      <c r="BC1209">
        <v>16772</v>
      </c>
      <c r="BD1209" t="s">
        <v>74</v>
      </c>
      <c r="BE1209" t="s">
        <v>22325</v>
      </c>
      <c r="BF1209" t="str">
        <f>HYPERLINK("http://dx.doi.org/10.1109/CVPR52729.2023.01608","http://dx.doi.org/10.1109/CVPR52729.2023.01608")</f>
        <v>http://dx.doi.org/10.1109/CVPR52729.2023.01608</v>
      </c>
      <c r="BG1209" t="s">
        <v>74</v>
      </c>
      <c r="BH1209" t="s">
        <v>74</v>
      </c>
      <c r="BI1209">
        <v>11</v>
      </c>
      <c r="BJ1209" t="s">
        <v>304</v>
      </c>
      <c r="BK1209" t="s">
        <v>98</v>
      </c>
      <c r="BL1209" t="s">
        <v>99</v>
      </c>
      <c r="BM1209" t="s">
        <v>9731</v>
      </c>
      <c r="BN1209" t="s">
        <v>74</v>
      </c>
      <c r="BO1209" t="s">
        <v>646</v>
      </c>
      <c r="BP1209" t="s">
        <v>74</v>
      </c>
      <c r="BQ1209" t="s">
        <v>74</v>
      </c>
      <c r="BR1209" t="s">
        <v>101</v>
      </c>
      <c r="BS1209" t="s">
        <v>22326</v>
      </c>
      <c r="BT1209" t="str">
        <f>HYPERLINK("https%3A%2F%2Fwww.webofscience.com%2Fwos%2Fwoscc%2Ffull-record%2FWOS:001062531301007","View Full Record in Web of Science")</f>
        <v>View Full Record in Web of Science</v>
      </c>
    </row>
    <row r="1210" spans="1:72" x14ac:dyDescent="0.2">
      <c r="A1210" t="s">
        <v>103</v>
      </c>
      <c r="B1210" t="s">
        <v>22327</v>
      </c>
      <c r="C1210" t="s">
        <v>74</v>
      </c>
      <c r="D1210" t="s">
        <v>74</v>
      </c>
      <c r="E1210" t="s">
        <v>74</v>
      </c>
      <c r="F1210" t="s">
        <v>22328</v>
      </c>
      <c r="G1210" t="s">
        <v>74</v>
      </c>
      <c r="H1210" t="s">
        <v>74</v>
      </c>
      <c r="I1210" t="s">
        <v>22329</v>
      </c>
      <c r="J1210" t="s">
        <v>6056</v>
      </c>
      <c r="K1210" t="s">
        <v>74</v>
      </c>
      <c r="L1210" t="s">
        <v>74</v>
      </c>
      <c r="M1210" t="s">
        <v>79</v>
      </c>
      <c r="N1210" t="s">
        <v>108</v>
      </c>
      <c r="O1210" t="s">
        <v>74</v>
      </c>
      <c r="P1210" t="s">
        <v>74</v>
      </c>
      <c r="Q1210" t="s">
        <v>74</v>
      </c>
      <c r="R1210" t="s">
        <v>74</v>
      </c>
      <c r="S1210" t="s">
        <v>74</v>
      </c>
      <c r="T1210" t="s">
        <v>22330</v>
      </c>
      <c r="U1210" t="s">
        <v>22331</v>
      </c>
      <c r="V1210" t="s">
        <v>22332</v>
      </c>
      <c r="W1210" t="s">
        <v>22333</v>
      </c>
      <c r="X1210" t="s">
        <v>21185</v>
      </c>
      <c r="Y1210" t="s">
        <v>22334</v>
      </c>
      <c r="Z1210" t="s">
        <v>21187</v>
      </c>
      <c r="AA1210" t="s">
        <v>21188</v>
      </c>
      <c r="AB1210" t="s">
        <v>22335</v>
      </c>
      <c r="AC1210" t="s">
        <v>74</v>
      </c>
      <c r="AD1210" t="s">
        <v>74</v>
      </c>
      <c r="AE1210" t="s">
        <v>74</v>
      </c>
      <c r="AF1210" t="s">
        <v>74</v>
      </c>
      <c r="AG1210">
        <v>53</v>
      </c>
      <c r="AH1210">
        <v>28</v>
      </c>
      <c r="AI1210">
        <v>28</v>
      </c>
      <c r="AJ1210">
        <v>130</v>
      </c>
      <c r="AK1210">
        <v>191</v>
      </c>
      <c r="AL1210" t="s">
        <v>4176</v>
      </c>
      <c r="AM1210" t="s">
        <v>4177</v>
      </c>
      <c r="AN1210" t="s">
        <v>4178</v>
      </c>
      <c r="AO1210" t="s">
        <v>6067</v>
      </c>
      <c r="AP1210" t="s">
        <v>74</v>
      </c>
      <c r="AQ1210" t="s">
        <v>74</v>
      </c>
      <c r="AR1210" t="s">
        <v>6068</v>
      </c>
      <c r="AS1210" t="s">
        <v>6069</v>
      </c>
      <c r="AT1210" t="s">
        <v>22336</v>
      </c>
      <c r="AU1210">
        <v>2023</v>
      </c>
      <c r="AV1210">
        <v>25</v>
      </c>
      <c r="AW1210" t="s">
        <v>74</v>
      </c>
      <c r="AX1210" t="s">
        <v>74</v>
      </c>
      <c r="AY1210" t="s">
        <v>74</v>
      </c>
      <c r="AZ1210" t="s">
        <v>74</v>
      </c>
      <c r="BA1210" t="s">
        <v>74</v>
      </c>
      <c r="BB1210" t="s">
        <v>74</v>
      </c>
      <c r="BC1210" t="s">
        <v>74</v>
      </c>
      <c r="BD1210" t="s">
        <v>22337</v>
      </c>
      <c r="BE1210" t="s">
        <v>22338</v>
      </c>
      <c r="BF1210" t="str">
        <f>HYPERLINK("http://dx.doi.org/10.2196/47184","http://dx.doi.org/10.2196/47184")</f>
        <v>http://dx.doi.org/10.2196/47184</v>
      </c>
      <c r="BG1210" t="s">
        <v>74</v>
      </c>
      <c r="BH1210" t="s">
        <v>74</v>
      </c>
      <c r="BI1210">
        <v>11</v>
      </c>
      <c r="BJ1210" t="s">
        <v>4947</v>
      </c>
      <c r="BK1210" t="s">
        <v>130</v>
      </c>
      <c r="BL1210" t="s">
        <v>4947</v>
      </c>
      <c r="BM1210" t="s">
        <v>22339</v>
      </c>
      <c r="BN1210">
        <v>37314848</v>
      </c>
      <c r="BO1210" t="s">
        <v>1728</v>
      </c>
      <c r="BP1210" t="s">
        <v>1434</v>
      </c>
      <c r="BQ1210" t="s">
        <v>1912</v>
      </c>
      <c r="BR1210" t="s">
        <v>101</v>
      </c>
      <c r="BS1210" t="s">
        <v>22340</v>
      </c>
      <c r="BT1210" t="str">
        <f>HYPERLINK("https%3A%2F%2Fwww.webofscience.com%2Fwos%2Fwoscc%2Ffull-record%2FWOS:001022396100002","View Full Record in Web of Science")</f>
        <v>View Full Record in Web of Science</v>
      </c>
    </row>
    <row r="1211" spans="1:72" x14ac:dyDescent="0.2">
      <c r="A1211" t="s">
        <v>103</v>
      </c>
      <c r="B1211" t="s">
        <v>22341</v>
      </c>
      <c r="C1211" t="s">
        <v>74</v>
      </c>
      <c r="D1211" t="s">
        <v>74</v>
      </c>
      <c r="E1211" t="s">
        <v>74</v>
      </c>
      <c r="F1211" t="s">
        <v>22342</v>
      </c>
      <c r="G1211" t="s">
        <v>74</v>
      </c>
      <c r="H1211" t="s">
        <v>74</v>
      </c>
      <c r="I1211" t="s">
        <v>22343</v>
      </c>
      <c r="J1211" t="s">
        <v>12176</v>
      </c>
      <c r="K1211" t="s">
        <v>74</v>
      </c>
      <c r="L1211" t="s">
        <v>74</v>
      </c>
      <c r="M1211" t="s">
        <v>79</v>
      </c>
      <c r="N1211" t="s">
        <v>108</v>
      </c>
      <c r="O1211" t="s">
        <v>74</v>
      </c>
      <c r="P1211" t="s">
        <v>74</v>
      </c>
      <c r="Q1211" t="s">
        <v>74</v>
      </c>
      <c r="R1211" t="s">
        <v>74</v>
      </c>
      <c r="S1211" t="s">
        <v>74</v>
      </c>
      <c r="T1211" t="s">
        <v>22344</v>
      </c>
      <c r="U1211" t="s">
        <v>74</v>
      </c>
      <c r="V1211" t="s">
        <v>22345</v>
      </c>
      <c r="W1211" t="s">
        <v>22346</v>
      </c>
      <c r="X1211" t="s">
        <v>22347</v>
      </c>
      <c r="Y1211" t="s">
        <v>22348</v>
      </c>
      <c r="Z1211" t="s">
        <v>22349</v>
      </c>
      <c r="AA1211" t="s">
        <v>22350</v>
      </c>
      <c r="AB1211" t="s">
        <v>22351</v>
      </c>
      <c r="AC1211" t="s">
        <v>22352</v>
      </c>
      <c r="AD1211" t="s">
        <v>22353</v>
      </c>
      <c r="AE1211" t="s">
        <v>22354</v>
      </c>
      <c r="AF1211" t="s">
        <v>74</v>
      </c>
      <c r="AG1211">
        <v>54</v>
      </c>
      <c r="AH1211">
        <v>6</v>
      </c>
      <c r="AI1211">
        <v>6</v>
      </c>
      <c r="AJ1211">
        <v>1</v>
      </c>
      <c r="AK1211">
        <v>5</v>
      </c>
      <c r="AL1211" t="s">
        <v>764</v>
      </c>
      <c r="AM1211" t="s">
        <v>765</v>
      </c>
      <c r="AN1211" t="s">
        <v>766</v>
      </c>
      <c r="AO1211" t="s">
        <v>12189</v>
      </c>
      <c r="AP1211" t="s">
        <v>12190</v>
      </c>
      <c r="AQ1211" t="s">
        <v>74</v>
      </c>
      <c r="AR1211" t="s">
        <v>12176</v>
      </c>
      <c r="AS1211" t="s">
        <v>12191</v>
      </c>
      <c r="AT1211" t="s">
        <v>22336</v>
      </c>
      <c r="AU1211">
        <v>2023</v>
      </c>
      <c r="AV1211">
        <v>538</v>
      </c>
      <c r="AW1211" t="s">
        <v>74</v>
      </c>
      <c r="AX1211" t="s">
        <v>74</v>
      </c>
      <c r="AY1211" t="s">
        <v>74</v>
      </c>
      <c r="AZ1211" t="s">
        <v>74</v>
      </c>
      <c r="BA1211" t="s">
        <v>74</v>
      </c>
      <c r="BB1211" t="s">
        <v>74</v>
      </c>
      <c r="BC1211" t="s">
        <v>74</v>
      </c>
      <c r="BD1211">
        <v>126211</v>
      </c>
      <c r="BE1211" t="s">
        <v>22355</v>
      </c>
      <c r="BF1211" t="str">
        <f>HYPERLINK("http://dx.doi.org/10.1016/j.neucom.2023.03.072","http://dx.doi.org/10.1016/j.neucom.2023.03.072")</f>
        <v>http://dx.doi.org/10.1016/j.neucom.2023.03.072</v>
      </c>
      <c r="BG1211" t="s">
        <v>74</v>
      </c>
      <c r="BH1211" t="s">
        <v>793</v>
      </c>
      <c r="BI1211">
        <v>15</v>
      </c>
      <c r="BJ1211" t="s">
        <v>304</v>
      </c>
      <c r="BK1211" t="s">
        <v>130</v>
      </c>
      <c r="BL1211" t="s">
        <v>99</v>
      </c>
      <c r="BM1211" t="s">
        <v>22356</v>
      </c>
      <c r="BN1211" t="s">
        <v>74</v>
      </c>
      <c r="BO1211" t="s">
        <v>646</v>
      </c>
      <c r="BP1211" t="s">
        <v>74</v>
      </c>
      <c r="BQ1211" t="s">
        <v>74</v>
      </c>
      <c r="BR1211" t="s">
        <v>101</v>
      </c>
      <c r="BS1211" t="s">
        <v>22357</v>
      </c>
      <c r="BT1211" t="str">
        <f>HYPERLINK("https%3A%2F%2Fwww.webofscience.com%2Fwos%2Fwoscc%2Ffull-record%2FWOS:000981177000001","View Full Record in Web of Science")</f>
        <v>View Full Record in Web of Science</v>
      </c>
    </row>
    <row r="1212" spans="1:72" x14ac:dyDescent="0.2">
      <c r="A1212" t="s">
        <v>72</v>
      </c>
      <c r="B1212" t="s">
        <v>22358</v>
      </c>
      <c r="C1212" t="s">
        <v>74</v>
      </c>
      <c r="D1212" t="s">
        <v>22359</v>
      </c>
      <c r="E1212" t="s">
        <v>74</v>
      </c>
      <c r="F1212" t="s">
        <v>22360</v>
      </c>
      <c r="G1212" t="s">
        <v>74</v>
      </c>
      <c r="H1212" t="s">
        <v>74</v>
      </c>
      <c r="I1212" t="s">
        <v>22361</v>
      </c>
      <c r="J1212" t="s">
        <v>22362</v>
      </c>
      <c r="K1212" t="s">
        <v>312</v>
      </c>
      <c r="L1212" t="s">
        <v>74</v>
      </c>
      <c r="M1212" t="s">
        <v>79</v>
      </c>
      <c r="N1212" t="s">
        <v>80</v>
      </c>
      <c r="O1212" t="s">
        <v>22363</v>
      </c>
      <c r="P1212" t="s">
        <v>15561</v>
      </c>
      <c r="Q1212" t="s">
        <v>21966</v>
      </c>
      <c r="R1212" t="s">
        <v>74</v>
      </c>
      <c r="S1212" t="s">
        <v>74</v>
      </c>
      <c r="T1212" t="s">
        <v>22364</v>
      </c>
      <c r="U1212" t="s">
        <v>74</v>
      </c>
      <c r="V1212" t="s">
        <v>22365</v>
      </c>
      <c r="W1212" t="s">
        <v>74</v>
      </c>
      <c r="X1212" t="s">
        <v>74</v>
      </c>
      <c r="Y1212" t="s">
        <v>74</v>
      </c>
      <c r="Z1212" t="s">
        <v>22366</v>
      </c>
      <c r="AA1212" t="s">
        <v>74</v>
      </c>
      <c r="AB1212" t="s">
        <v>74</v>
      </c>
      <c r="AC1212" t="s">
        <v>74</v>
      </c>
      <c r="AD1212" t="s">
        <v>74</v>
      </c>
      <c r="AE1212" t="s">
        <v>74</v>
      </c>
      <c r="AF1212" t="s">
        <v>74</v>
      </c>
      <c r="AG1212">
        <v>24</v>
      </c>
      <c r="AH1212">
        <v>0</v>
      </c>
      <c r="AI1212">
        <v>0</v>
      </c>
      <c r="AJ1212">
        <v>0</v>
      </c>
      <c r="AK1212">
        <v>0</v>
      </c>
      <c r="AL1212" t="s">
        <v>5011</v>
      </c>
      <c r="AM1212" t="s">
        <v>5012</v>
      </c>
      <c r="AN1212" t="s">
        <v>5013</v>
      </c>
      <c r="AO1212" t="s">
        <v>326</v>
      </c>
      <c r="AP1212" t="s">
        <v>327</v>
      </c>
      <c r="AQ1212" t="s">
        <v>22367</v>
      </c>
      <c r="AR1212" t="s">
        <v>329</v>
      </c>
      <c r="AS1212" t="s">
        <v>74</v>
      </c>
      <c r="AT1212" t="s">
        <v>74</v>
      </c>
      <c r="AU1212">
        <v>2023</v>
      </c>
      <c r="AV1212">
        <v>14458</v>
      </c>
      <c r="AW1212" t="s">
        <v>74</v>
      </c>
      <c r="AX1212" t="s">
        <v>74</v>
      </c>
      <c r="AY1212" t="s">
        <v>74</v>
      </c>
      <c r="AZ1212" t="s">
        <v>74</v>
      </c>
      <c r="BA1212" t="s">
        <v>74</v>
      </c>
      <c r="BB1212">
        <v>211</v>
      </c>
      <c r="BC1212">
        <v>219</v>
      </c>
      <c r="BD1212" t="s">
        <v>74</v>
      </c>
      <c r="BE1212" t="s">
        <v>22368</v>
      </c>
      <c r="BF1212" t="str">
        <f>HYPERLINK("http://dx.doi.org/10.1007/978-981-99-8088-8_18","http://dx.doi.org/10.1007/978-981-99-8088-8_18")</f>
        <v>http://dx.doi.org/10.1007/978-981-99-8088-8_18</v>
      </c>
      <c r="BG1212" t="s">
        <v>74</v>
      </c>
      <c r="BH1212" t="s">
        <v>74</v>
      </c>
      <c r="BI1212">
        <v>9</v>
      </c>
      <c r="BJ1212" t="s">
        <v>22369</v>
      </c>
      <c r="BK1212" t="s">
        <v>180</v>
      </c>
      <c r="BL1212" t="s">
        <v>22370</v>
      </c>
      <c r="BM1212" t="s">
        <v>22371</v>
      </c>
      <c r="BN1212" t="s">
        <v>74</v>
      </c>
      <c r="BO1212" t="s">
        <v>2722</v>
      </c>
      <c r="BP1212" t="s">
        <v>74</v>
      </c>
      <c r="BQ1212" t="s">
        <v>74</v>
      </c>
      <c r="BR1212" t="s">
        <v>101</v>
      </c>
      <c r="BS1212" t="s">
        <v>22372</v>
      </c>
      <c r="BT1212" t="str">
        <f>HYPERLINK("https%3A%2F%2Fwww.webofscience.com%2Fwos%2Fwoscc%2Ffull-record%2FWOS:001160706600018","View Full Record in Web of Science")</f>
        <v>View Full Record in Web of Science</v>
      </c>
    </row>
    <row r="1213" spans="1:72" x14ac:dyDescent="0.2">
      <c r="A1213" t="s">
        <v>103</v>
      </c>
      <c r="B1213" t="s">
        <v>22373</v>
      </c>
      <c r="C1213" t="s">
        <v>74</v>
      </c>
      <c r="D1213" t="s">
        <v>74</v>
      </c>
      <c r="E1213" t="s">
        <v>74</v>
      </c>
      <c r="F1213" t="s">
        <v>22374</v>
      </c>
      <c r="G1213" t="s">
        <v>74</v>
      </c>
      <c r="H1213" t="s">
        <v>74</v>
      </c>
      <c r="I1213" t="s">
        <v>22375</v>
      </c>
      <c r="J1213" t="s">
        <v>22376</v>
      </c>
      <c r="K1213" t="s">
        <v>74</v>
      </c>
      <c r="L1213" t="s">
        <v>74</v>
      </c>
      <c r="M1213" t="s">
        <v>79</v>
      </c>
      <c r="N1213" t="s">
        <v>108</v>
      </c>
      <c r="O1213" t="s">
        <v>74</v>
      </c>
      <c r="P1213" t="s">
        <v>74</v>
      </c>
      <c r="Q1213" t="s">
        <v>74</v>
      </c>
      <c r="R1213" t="s">
        <v>74</v>
      </c>
      <c r="S1213" t="s">
        <v>74</v>
      </c>
      <c r="T1213" t="s">
        <v>22377</v>
      </c>
      <c r="U1213" t="s">
        <v>74</v>
      </c>
      <c r="V1213" t="s">
        <v>22378</v>
      </c>
      <c r="W1213" t="s">
        <v>22379</v>
      </c>
      <c r="X1213" t="s">
        <v>22380</v>
      </c>
      <c r="Y1213" t="s">
        <v>22381</v>
      </c>
      <c r="Z1213" t="s">
        <v>22382</v>
      </c>
      <c r="AA1213" t="s">
        <v>74</v>
      </c>
      <c r="AB1213" t="s">
        <v>22383</v>
      </c>
      <c r="AC1213" t="s">
        <v>74</v>
      </c>
      <c r="AD1213" t="s">
        <v>74</v>
      </c>
      <c r="AE1213" t="s">
        <v>74</v>
      </c>
      <c r="AF1213" t="s">
        <v>74</v>
      </c>
      <c r="AG1213">
        <v>17</v>
      </c>
      <c r="AH1213">
        <v>8</v>
      </c>
      <c r="AI1213">
        <v>8</v>
      </c>
      <c r="AJ1213">
        <v>23</v>
      </c>
      <c r="AK1213">
        <v>24</v>
      </c>
      <c r="AL1213" t="s">
        <v>2010</v>
      </c>
      <c r="AM1213" t="s">
        <v>93</v>
      </c>
      <c r="AN1213" t="s">
        <v>2011</v>
      </c>
      <c r="AO1213" t="s">
        <v>22384</v>
      </c>
      <c r="AP1213" t="s">
        <v>22385</v>
      </c>
      <c r="AQ1213" t="s">
        <v>74</v>
      </c>
      <c r="AR1213" t="s">
        <v>22386</v>
      </c>
      <c r="AS1213" t="s">
        <v>22387</v>
      </c>
      <c r="AT1213" t="s">
        <v>276</v>
      </c>
      <c r="AU1213">
        <v>2023</v>
      </c>
      <c r="AV1213">
        <v>179</v>
      </c>
      <c r="AW1213" t="s">
        <v>74</v>
      </c>
      <c r="AX1213" t="s">
        <v>74</v>
      </c>
      <c r="AY1213" t="s">
        <v>74</v>
      </c>
      <c r="AZ1213" t="s">
        <v>74</v>
      </c>
      <c r="BA1213" t="s">
        <v>74</v>
      </c>
      <c r="BB1213" t="s">
        <v>22388</v>
      </c>
      <c r="BC1213" t="s">
        <v>22389</v>
      </c>
      <c r="BD1213" t="s">
        <v>74</v>
      </c>
      <c r="BE1213" t="s">
        <v>22390</v>
      </c>
      <c r="BF1213" t="str">
        <f>HYPERLINK("http://dx.doi.org/10.1016/j.wneu.2023.08.042","http://dx.doi.org/10.1016/j.wneu.2023.08.042")</f>
        <v>http://dx.doi.org/10.1016/j.wneu.2023.08.042</v>
      </c>
      <c r="BG1213" t="s">
        <v>74</v>
      </c>
      <c r="BH1213" t="s">
        <v>1886</v>
      </c>
      <c r="BI1213">
        <v>6</v>
      </c>
      <c r="BJ1213" t="s">
        <v>22391</v>
      </c>
      <c r="BK1213" t="s">
        <v>130</v>
      </c>
      <c r="BL1213" t="s">
        <v>22392</v>
      </c>
      <c r="BM1213" t="s">
        <v>22393</v>
      </c>
      <c r="BN1213">
        <v>37597659</v>
      </c>
      <c r="BO1213" t="s">
        <v>74</v>
      </c>
      <c r="BP1213" t="s">
        <v>74</v>
      </c>
      <c r="BQ1213" t="s">
        <v>74</v>
      </c>
      <c r="BR1213" t="s">
        <v>101</v>
      </c>
      <c r="BS1213" t="s">
        <v>22394</v>
      </c>
      <c r="BT1213" t="str">
        <f>HYPERLINK("https%3A%2F%2Fwww.webofscience.com%2Fwos%2Fwoscc%2Ffull-record%2FWOS:001104803500001","View Full Record in Web of Science")</f>
        <v>View Full Record in Web of Science</v>
      </c>
    </row>
    <row r="1214" spans="1:72" x14ac:dyDescent="0.2">
      <c r="A1214" t="s">
        <v>72</v>
      </c>
      <c r="B1214" t="s">
        <v>22395</v>
      </c>
      <c r="C1214" t="s">
        <v>74</v>
      </c>
      <c r="D1214" t="s">
        <v>74</v>
      </c>
      <c r="E1214" t="s">
        <v>284</v>
      </c>
      <c r="F1214" t="s">
        <v>22396</v>
      </c>
      <c r="G1214" t="s">
        <v>74</v>
      </c>
      <c r="H1214" t="s">
        <v>74</v>
      </c>
      <c r="I1214" t="s">
        <v>22397</v>
      </c>
      <c r="J1214" t="s">
        <v>10100</v>
      </c>
      <c r="K1214" t="s">
        <v>8246</v>
      </c>
      <c r="L1214" t="s">
        <v>74</v>
      </c>
      <c r="M1214" t="s">
        <v>79</v>
      </c>
      <c r="N1214" t="s">
        <v>80</v>
      </c>
      <c r="O1214" t="s">
        <v>8247</v>
      </c>
      <c r="P1214" t="s">
        <v>8248</v>
      </c>
      <c r="Q1214" t="s">
        <v>6017</v>
      </c>
      <c r="R1214" t="s">
        <v>8249</v>
      </c>
      <c r="S1214" t="s">
        <v>74</v>
      </c>
      <c r="T1214" t="s">
        <v>74</v>
      </c>
      <c r="U1214" t="s">
        <v>74</v>
      </c>
      <c r="V1214" t="s">
        <v>22398</v>
      </c>
      <c r="W1214" t="s">
        <v>22399</v>
      </c>
      <c r="X1214" t="s">
        <v>74</v>
      </c>
      <c r="Y1214" t="s">
        <v>22400</v>
      </c>
      <c r="Z1214" t="s">
        <v>74</v>
      </c>
      <c r="AA1214" t="s">
        <v>74</v>
      </c>
      <c r="AB1214" t="s">
        <v>74</v>
      </c>
      <c r="AC1214" t="s">
        <v>74</v>
      </c>
      <c r="AD1214" t="s">
        <v>74</v>
      </c>
      <c r="AE1214" t="s">
        <v>74</v>
      </c>
      <c r="AF1214" t="s">
        <v>74</v>
      </c>
      <c r="AG1214">
        <v>76</v>
      </c>
      <c r="AH1214">
        <v>0</v>
      </c>
      <c r="AI1214">
        <v>0</v>
      </c>
      <c r="AJ1214">
        <v>2</v>
      </c>
      <c r="AK1214">
        <v>2</v>
      </c>
      <c r="AL1214" t="s">
        <v>638</v>
      </c>
      <c r="AM1214" t="s">
        <v>639</v>
      </c>
      <c r="AN1214" t="s">
        <v>640</v>
      </c>
      <c r="AO1214" t="s">
        <v>8260</v>
      </c>
      <c r="AP1214" t="s">
        <v>74</v>
      </c>
      <c r="AQ1214" t="s">
        <v>8261</v>
      </c>
      <c r="AR1214" t="s">
        <v>8262</v>
      </c>
      <c r="AS1214" t="s">
        <v>74</v>
      </c>
      <c r="AT1214" t="s">
        <v>74</v>
      </c>
      <c r="AU1214">
        <v>2023</v>
      </c>
      <c r="AV1214" t="s">
        <v>74</v>
      </c>
      <c r="AW1214" t="s">
        <v>74</v>
      </c>
      <c r="AX1214" t="s">
        <v>74</v>
      </c>
      <c r="AY1214" t="s">
        <v>74</v>
      </c>
      <c r="AZ1214" t="s">
        <v>74</v>
      </c>
      <c r="BA1214" t="s">
        <v>74</v>
      </c>
      <c r="BB1214">
        <v>4423</v>
      </c>
      <c r="BC1214">
        <v>4433</v>
      </c>
      <c r="BD1214" t="s">
        <v>74</v>
      </c>
      <c r="BE1214" t="s">
        <v>22401</v>
      </c>
      <c r="BF1214" t="str">
        <f>HYPERLINK("http://dx.doi.org/10.1109/CVPR52729.2023.00430","http://dx.doi.org/10.1109/CVPR52729.2023.00430")</f>
        <v>http://dx.doi.org/10.1109/CVPR52729.2023.00430</v>
      </c>
      <c r="BG1214" t="s">
        <v>74</v>
      </c>
      <c r="BH1214" t="s">
        <v>74</v>
      </c>
      <c r="BI1214">
        <v>11</v>
      </c>
      <c r="BJ1214" t="s">
        <v>10109</v>
      </c>
      <c r="BK1214" t="s">
        <v>98</v>
      </c>
      <c r="BL1214" t="s">
        <v>99</v>
      </c>
      <c r="BM1214" t="s">
        <v>10110</v>
      </c>
      <c r="BN1214" t="s">
        <v>74</v>
      </c>
      <c r="BO1214" t="s">
        <v>646</v>
      </c>
      <c r="BP1214" t="s">
        <v>74</v>
      </c>
      <c r="BQ1214" t="s">
        <v>74</v>
      </c>
      <c r="BR1214" t="s">
        <v>101</v>
      </c>
      <c r="BS1214" t="s">
        <v>22402</v>
      </c>
      <c r="BT1214" t="str">
        <f>HYPERLINK("https%3A%2F%2Fwww.webofscience.com%2Fwos%2Fwoscc%2Ffull-record%2FWOS:001058542604073","View Full Record in Web of Science")</f>
        <v>View Full Record in Web of Science</v>
      </c>
    </row>
    <row r="1215" spans="1:72" x14ac:dyDescent="0.2">
      <c r="A1215" t="s">
        <v>103</v>
      </c>
      <c r="B1215" t="s">
        <v>22403</v>
      </c>
      <c r="C1215" t="s">
        <v>74</v>
      </c>
      <c r="D1215" t="s">
        <v>74</v>
      </c>
      <c r="E1215" t="s">
        <v>74</v>
      </c>
      <c r="F1215" t="s">
        <v>22404</v>
      </c>
      <c r="G1215" t="s">
        <v>74</v>
      </c>
      <c r="H1215" t="s">
        <v>74</v>
      </c>
      <c r="I1215" t="s">
        <v>22405</v>
      </c>
      <c r="J1215" t="s">
        <v>22406</v>
      </c>
      <c r="K1215" t="s">
        <v>74</v>
      </c>
      <c r="L1215" t="s">
        <v>74</v>
      </c>
      <c r="M1215" t="s">
        <v>79</v>
      </c>
      <c r="N1215" t="s">
        <v>108</v>
      </c>
      <c r="O1215" t="s">
        <v>74</v>
      </c>
      <c r="P1215" t="s">
        <v>74</v>
      </c>
      <c r="Q1215" t="s">
        <v>74</v>
      </c>
      <c r="R1215" t="s">
        <v>74</v>
      </c>
      <c r="S1215" t="s">
        <v>74</v>
      </c>
      <c r="T1215" t="s">
        <v>22407</v>
      </c>
      <c r="U1215" t="s">
        <v>74</v>
      </c>
      <c r="V1215" t="s">
        <v>22408</v>
      </c>
      <c r="W1215" t="s">
        <v>22409</v>
      </c>
      <c r="X1215" t="s">
        <v>22410</v>
      </c>
      <c r="Y1215" t="s">
        <v>22411</v>
      </c>
      <c r="Z1215" t="s">
        <v>22412</v>
      </c>
      <c r="AA1215" t="s">
        <v>74</v>
      </c>
      <c r="AB1215" t="s">
        <v>22413</v>
      </c>
      <c r="AC1215" t="s">
        <v>22414</v>
      </c>
      <c r="AD1215" t="s">
        <v>22415</v>
      </c>
      <c r="AE1215" t="s">
        <v>22416</v>
      </c>
      <c r="AF1215" t="s">
        <v>74</v>
      </c>
      <c r="AG1215">
        <v>29</v>
      </c>
      <c r="AH1215">
        <v>1</v>
      </c>
      <c r="AI1215">
        <v>1</v>
      </c>
      <c r="AJ1215">
        <v>4</v>
      </c>
      <c r="AK1215">
        <v>4</v>
      </c>
      <c r="AL1215" t="s">
        <v>1379</v>
      </c>
      <c r="AM1215" t="s">
        <v>1380</v>
      </c>
      <c r="AN1215" t="s">
        <v>1381</v>
      </c>
      <c r="AO1215" t="s">
        <v>22417</v>
      </c>
      <c r="AP1215" t="s">
        <v>22418</v>
      </c>
      <c r="AQ1215" t="s">
        <v>74</v>
      </c>
      <c r="AR1215" t="s">
        <v>22419</v>
      </c>
      <c r="AS1215" t="s">
        <v>22420</v>
      </c>
      <c r="AT1215" t="s">
        <v>527</v>
      </c>
      <c r="AU1215">
        <v>2023</v>
      </c>
      <c r="AV1215">
        <v>30</v>
      </c>
      <c r="AW1215">
        <v>4</v>
      </c>
      <c r="AX1215" t="s">
        <v>74</v>
      </c>
      <c r="AY1215" t="s">
        <v>74</v>
      </c>
      <c r="AZ1215" t="s">
        <v>74</v>
      </c>
      <c r="BA1215" t="s">
        <v>74</v>
      </c>
      <c r="BB1215">
        <v>10</v>
      </c>
      <c r="BC1215">
        <v>19</v>
      </c>
      <c r="BD1215" t="s">
        <v>74</v>
      </c>
      <c r="BE1215" t="s">
        <v>22421</v>
      </c>
      <c r="BF1215" t="str">
        <f>HYPERLINK("http://dx.doi.org/10.1109/MRA.2023.3309098","http://dx.doi.org/10.1109/MRA.2023.3309098")</f>
        <v>http://dx.doi.org/10.1109/MRA.2023.3309098</v>
      </c>
      <c r="BG1215" t="s">
        <v>74</v>
      </c>
      <c r="BH1215" t="s">
        <v>278</v>
      </c>
      <c r="BI1215">
        <v>10</v>
      </c>
      <c r="BJ1215" t="s">
        <v>22422</v>
      </c>
      <c r="BK1215" t="s">
        <v>130</v>
      </c>
      <c r="BL1215" t="s">
        <v>22422</v>
      </c>
      <c r="BM1215" t="s">
        <v>22423</v>
      </c>
      <c r="BN1215" t="s">
        <v>74</v>
      </c>
      <c r="BO1215" t="s">
        <v>161</v>
      </c>
      <c r="BP1215" t="s">
        <v>74</v>
      </c>
      <c r="BQ1215" t="s">
        <v>74</v>
      </c>
      <c r="BR1215" t="s">
        <v>101</v>
      </c>
      <c r="BS1215" t="s">
        <v>22424</v>
      </c>
      <c r="BT1215" t="str">
        <f>HYPERLINK("https%3A%2F%2Fwww.webofscience.com%2Fwos%2Fwoscc%2Ffull-record%2FWOS:001068968400001","View Full Record in Web of Science")</f>
        <v>View Full Record in Web of Science</v>
      </c>
    </row>
    <row r="1216" spans="1:72" x14ac:dyDescent="0.2">
      <c r="A1216" t="s">
        <v>103</v>
      </c>
      <c r="B1216" t="s">
        <v>22425</v>
      </c>
      <c r="C1216" t="s">
        <v>74</v>
      </c>
      <c r="D1216" t="s">
        <v>74</v>
      </c>
      <c r="E1216" t="s">
        <v>74</v>
      </c>
      <c r="F1216" t="s">
        <v>22426</v>
      </c>
      <c r="G1216" t="s">
        <v>74</v>
      </c>
      <c r="H1216" t="s">
        <v>74</v>
      </c>
      <c r="I1216" t="s">
        <v>22427</v>
      </c>
      <c r="J1216" t="s">
        <v>18949</v>
      </c>
      <c r="K1216" t="s">
        <v>74</v>
      </c>
      <c r="L1216" t="s">
        <v>74</v>
      </c>
      <c r="M1216" t="s">
        <v>79</v>
      </c>
      <c r="N1216" t="s">
        <v>108</v>
      </c>
      <c r="O1216" t="s">
        <v>74</v>
      </c>
      <c r="P1216" t="s">
        <v>74</v>
      </c>
      <c r="Q1216" t="s">
        <v>74</v>
      </c>
      <c r="R1216" t="s">
        <v>74</v>
      </c>
      <c r="S1216" t="s">
        <v>74</v>
      </c>
      <c r="T1216" t="s">
        <v>22428</v>
      </c>
      <c r="U1216" t="s">
        <v>22429</v>
      </c>
      <c r="V1216" t="s">
        <v>22430</v>
      </c>
      <c r="W1216" t="s">
        <v>22431</v>
      </c>
      <c r="X1216" t="s">
        <v>22432</v>
      </c>
      <c r="Y1216" t="s">
        <v>22433</v>
      </c>
      <c r="Z1216" t="s">
        <v>22434</v>
      </c>
      <c r="AA1216" t="s">
        <v>22435</v>
      </c>
      <c r="AB1216" t="s">
        <v>22436</v>
      </c>
      <c r="AC1216" t="s">
        <v>22437</v>
      </c>
      <c r="AD1216" t="s">
        <v>22438</v>
      </c>
      <c r="AE1216" t="s">
        <v>22439</v>
      </c>
      <c r="AF1216" t="s">
        <v>74</v>
      </c>
      <c r="AG1216">
        <v>68</v>
      </c>
      <c r="AH1216">
        <v>0</v>
      </c>
      <c r="AI1216">
        <v>0</v>
      </c>
      <c r="AJ1216">
        <v>0</v>
      </c>
      <c r="AK1216">
        <v>0</v>
      </c>
      <c r="AL1216" t="s">
        <v>18962</v>
      </c>
      <c r="AM1216" t="s">
        <v>6657</v>
      </c>
      <c r="AN1216" t="s">
        <v>18963</v>
      </c>
      <c r="AO1216" t="s">
        <v>18964</v>
      </c>
      <c r="AP1216" t="s">
        <v>18965</v>
      </c>
      <c r="AQ1216" t="s">
        <v>74</v>
      </c>
      <c r="AR1216" t="s">
        <v>18966</v>
      </c>
      <c r="AS1216" t="s">
        <v>18967</v>
      </c>
      <c r="AT1216" t="s">
        <v>527</v>
      </c>
      <c r="AU1216">
        <v>2023</v>
      </c>
      <c r="AV1216">
        <v>24</v>
      </c>
      <c r="AW1216">
        <v>12</v>
      </c>
      <c r="AX1216" t="s">
        <v>74</v>
      </c>
      <c r="AY1216" t="s">
        <v>74</v>
      </c>
      <c r="AZ1216" t="s">
        <v>74</v>
      </c>
      <c r="BA1216" t="s">
        <v>74</v>
      </c>
      <c r="BB1216">
        <v>1179</v>
      </c>
      <c r="BC1216">
        <v>1189</v>
      </c>
      <c r="BD1216" t="s">
        <v>74</v>
      </c>
      <c r="BE1216" t="s">
        <v>22440</v>
      </c>
      <c r="BF1216" t="str">
        <f>HYPERLINK("http://dx.doi.org/10.3348/kjr.2023.1027","http://dx.doi.org/10.3348/kjr.2023.1027")</f>
        <v>http://dx.doi.org/10.3348/kjr.2023.1027</v>
      </c>
      <c r="BG1216" t="s">
        <v>74</v>
      </c>
      <c r="BH1216" t="s">
        <v>74</v>
      </c>
      <c r="BI1216">
        <v>11</v>
      </c>
      <c r="BJ1216" t="s">
        <v>5360</v>
      </c>
      <c r="BK1216" t="s">
        <v>130</v>
      </c>
      <c r="BL1216" t="s">
        <v>5360</v>
      </c>
      <c r="BM1216" t="s">
        <v>22441</v>
      </c>
      <c r="BN1216">
        <v>38016678</v>
      </c>
      <c r="BO1216" t="s">
        <v>74</v>
      </c>
      <c r="BP1216" t="s">
        <v>74</v>
      </c>
      <c r="BQ1216" t="s">
        <v>74</v>
      </c>
      <c r="BR1216" t="s">
        <v>101</v>
      </c>
      <c r="BS1216" t="s">
        <v>22442</v>
      </c>
      <c r="BT1216" t="str">
        <f>HYPERLINK("https%3A%2F%2Fwww.webofscience.com%2Fwos%2Fwoscc%2Ffull-record%2FWOS:001112781700007","View Full Record in Web of Science")</f>
        <v>View Full Record in Web of Science</v>
      </c>
    </row>
    <row r="1217" spans="1:72" x14ac:dyDescent="0.2">
      <c r="A1217" t="s">
        <v>103</v>
      </c>
      <c r="B1217" t="s">
        <v>22443</v>
      </c>
      <c r="C1217" t="s">
        <v>74</v>
      </c>
      <c r="D1217" t="s">
        <v>74</v>
      </c>
      <c r="E1217" t="s">
        <v>74</v>
      </c>
      <c r="F1217" t="s">
        <v>22444</v>
      </c>
      <c r="G1217" t="s">
        <v>74</v>
      </c>
      <c r="H1217" t="s">
        <v>74</v>
      </c>
      <c r="I1217" t="s">
        <v>22445</v>
      </c>
      <c r="J1217" t="s">
        <v>22446</v>
      </c>
      <c r="K1217" t="s">
        <v>74</v>
      </c>
      <c r="L1217" t="s">
        <v>74</v>
      </c>
      <c r="M1217" t="s">
        <v>79</v>
      </c>
      <c r="N1217" t="s">
        <v>108</v>
      </c>
      <c r="O1217" t="s">
        <v>74</v>
      </c>
      <c r="P1217" t="s">
        <v>74</v>
      </c>
      <c r="Q1217" t="s">
        <v>74</v>
      </c>
      <c r="R1217" t="s">
        <v>74</v>
      </c>
      <c r="S1217" t="s">
        <v>74</v>
      </c>
      <c r="T1217" t="s">
        <v>22447</v>
      </c>
      <c r="U1217" t="s">
        <v>22448</v>
      </c>
      <c r="V1217" t="s">
        <v>22449</v>
      </c>
      <c r="W1217" t="s">
        <v>22450</v>
      </c>
      <c r="X1217" t="s">
        <v>13433</v>
      </c>
      <c r="Y1217" t="s">
        <v>22451</v>
      </c>
      <c r="Z1217" t="s">
        <v>22452</v>
      </c>
      <c r="AA1217" t="s">
        <v>74</v>
      </c>
      <c r="AB1217" t="s">
        <v>22453</v>
      </c>
      <c r="AC1217" t="s">
        <v>74</v>
      </c>
      <c r="AD1217" t="s">
        <v>74</v>
      </c>
      <c r="AE1217" t="s">
        <v>74</v>
      </c>
      <c r="AF1217" t="s">
        <v>74</v>
      </c>
      <c r="AG1217">
        <v>50</v>
      </c>
      <c r="AH1217">
        <v>3</v>
      </c>
      <c r="AI1217">
        <v>3</v>
      </c>
      <c r="AJ1217">
        <v>25</v>
      </c>
      <c r="AK1217">
        <v>25</v>
      </c>
      <c r="AL1217" t="s">
        <v>18736</v>
      </c>
      <c r="AM1217" t="s">
        <v>149</v>
      </c>
      <c r="AN1217" t="s">
        <v>18737</v>
      </c>
      <c r="AO1217" t="s">
        <v>22454</v>
      </c>
      <c r="AP1217" t="s">
        <v>22455</v>
      </c>
      <c r="AQ1217" t="s">
        <v>74</v>
      </c>
      <c r="AR1217" t="s">
        <v>22456</v>
      </c>
      <c r="AS1217" t="s">
        <v>22457</v>
      </c>
      <c r="AT1217" t="s">
        <v>771</v>
      </c>
      <c r="AU1217">
        <v>2023</v>
      </c>
      <c r="AV1217">
        <v>11</v>
      </c>
      <c r="AW1217">
        <v>4</v>
      </c>
      <c r="AX1217" t="s">
        <v>74</v>
      </c>
      <c r="AY1217" t="s">
        <v>74</v>
      </c>
      <c r="AZ1217" t="s">
        <v>74</v>
      </c>
      <c r="BA1217" t="s">
        <v>74</v>
      </c>
      <c r="BB1217" t="s">
        <v>74</v>
      </c>
      <c r="BC1217" t="s">
        <v>74</v>
      </c>
      <c r="BD1217" t="s">
        <v>22458</v>
      </c>
      <c r="BE1217" t="s">
        <v>22459</v>
      </c>
      <c r="BF1217" t="str">
        <f>HYPERLINK("http://dx.doi.org/10.1136/fmch-2023-002391","http://dx.doi.org/10.1136/fmch-2023-002391")</f>
        <v>http://dx.doi.org/10.1136/fmch-2023-002391</v>
      </c>
      <c r="BG1217" t="s">
        <v>74</v>
      </c>
      <c r="BH1217" t="s">
        <v>74</v>
      </c>
      <c r="BI1217">
        <v>9</v>
      </c>
      <c r="BJ1217" t="s">
        <v>22460</v>
      </c>
      <c r="BK1217" t="s">
        <v>352</v>
      </c>
      <c r="BL1217" t="s">
        <v>3441</v>
      </c>
      <c r="BM1217" t="s">
        <v>22461</v>
      </c>
      <c r="BN1217">
        <v>37844967</v>
      </c>
      <c r="BO1217" t="s">
        <v>1728</v>
      </c>
      <c r="BP1217" t="s">
        <v>74</v>
      </c>
      <c r="BQ1217" t="s">
        <v>74</v>
      </c>
      <c r="BR1217" t="s">
        <v>101</v>
      </c>
      <c r="BS1217" t="s">
        <v>22462</v>
      </c>
      <c r="BT1217" t="str">
        <f>HYPERLINK("https%3A%2F%2Fwww.webofscience.com%2Fwos%2Fwoscc%2Ffull-record%2FWOS:001145721000001","View Full Record in Web of Science")</f>
        <v>View Full Record in Web of Science</v>
      </c>
    </row>
    <row r="1218" spans="1:72" x14ac:dyDescent="0.2">
      <c r="A1218" t="s">
        <v>103</v>
      </c>
      <c r="B1218" t="s">
        <v>22463</v>
      </c>
      <c r="C1218" t="s">
        <v>74</v>
      </c>
      <c r="D1218" t="s">
        <v>74</v>
      </c>
      <c r="E1218" t="s">
        <v>74</v>
      </c>
      <c r="F1218" t="s">
        <v>22464</v>
      </c>
      <c r="G1218" t="s">
        <v>74</v>
      </c>
      <c r="H1218" t="s">
        <v>74</v>
      </c>
      <c r="I1218" t="s">
        <v>22465</v>
      </c>
      <c r="J1218" t="s">
        <v>18925</v>
      </c>
      <c r="K1218" t="s">
        <v>74</v>
      </c>
      <c r="L1218" t="s">
        <v>74</v>
      </c>
      <c r="M1218" t="s">
        <v>79</v>
      </c>
      <c r="N1218" t="s">
        <v>108</v>
      </c>
      <c r="O1218" t="s">
        <v>74</v>
      </c>
      <c r="P1218" t="s">
        <v>74</v>
      </c>
      <c r="Q1218" t="s">
        <v>74</v>
      </c>
      <c r="R1218" t="s">
        <v>74</v>
      </c>
      <c r="S1218" t="s">
        <v>74</v>
      </c>
      <c r="T1218" t="s">
        <v>22466</v>
      </c>
      <c r="U1218" t="s">
        <v>22467</v>
      </c>
      <c r="V1218" t="s">
        <v>22468</v>
      </c>
      <c r="W1218" t="s">
        <v>22469</v>
      </c>
      <c r="X1218" t="s">
        <v>22470</v>
      </c>
      <c r="Y1218" t="s">
        <v>22471</v>
      </c>
      <c r="Z1218" t="s">
        <v>22472</v>
      </c>
      <c r="AA1218" t="s">
        <v>22473</v>
      </c>
      <c r="AB1218" t="s">
        <v>22474</v>
      </c>
      <c r="AC1218" t="s">
        <v>22475</v>
      </c>
      <c r="AD1218" t="s">
        <v>22476</v>
      </c>
      <c r="AE1218" t="s">
        <v>22477</v>
      </c>
      <c r="AF1218" t="s">
        <v>74</v>
      </c>
      <c r="AG1218">
        <v>54</v>
      </c>
      <c r="AH1218">
        <v>1</v>
      </c>
      <c r="AI1218">
        <v>1</v>
      </c>
      <c r="AJ1218">
        <v>22</v>
      </c>
      <c r="AK1218">
        <v>22</v>
      </c>
      <c r="AL1218" t="s">
        <v>119</v>
      </c>
      <c r="AM1218" t="s">
        <v>120</v>
      </c>
      <c r="AN1218" t="s">
        <v>121</v>
      </c>
      <c r="AO1218" t="s">
        <v>18937</v>
      </c>
      <c r="AP1218" t="s">
        <v>18938</v>
      </c>
      <c r="AQ1218" t="s">
        <v>74</v>
      </c>
      <c r="AR1218" t="s">
        <v>18939</v>
      </c>
      <c r="AS1218" t="s">
        <v>18940</v>
      </c>
      <c r="AT1218" t="s">
        <v>10061</v>
      </c>
      <c r="AU1218">
        <v>2024</v>
      </c>
      <c r="AV1218">
        <v>238</v>
      </c>
      <c r="AW1218" t="s">
        <v>74</v>
      </c>
      <c r="AX1218" t="s">
        <v>22478</v>
      </c>
      <c r="AY1218" t="s">
        <v>74</v>
      </c>
      <c r="AZ1218" t="s">
        <v>74</v>
      </c>
      <c r="BA1218" t="s">
        <v>74</v>
      </c>
      <c r="BB1218" t="s">
        <v>74</v>
      </c>
      <c r="BC1218" t="s">
        <v>74</v>
      </c>
      <c r="BD1218">
        <v>122198</v>
      </c>
      <c r="BE1218" t="s">
        <v>22479</v>
      </c>
      <c r="BF1218" t="str">
        <f>HYPERLINK("http://dx.doi.org/10.1016/j.eswa.2023.122198","http://dx.doi.org/10.1016/j.eswa.2023.122198")</f>
        <v>http://dx.doi.org/10.1016/j.eswa.2023.122198</v>
      </c>
      <c r="BG1218" t="s">
        <v>74</v>
      </c>
      <c r="BH1218" t="s">
        <v>157</v>
      </c>
      <c r="BI1218">
        <v>16</v>
      </c>
      <c r="BJ1218" t="s">
        <v>18942</v>
      </c>
      <c r="BK1218" t="s">
        <v>130</v>
      </c>
      <c r="BL1218" t="s">
        <v>18943</v>
      </c>
      <c r="BM1218" t="s">
        <v>22480</v>
      </c>
      <c r="BN1218" t="s">
        <v>74</v>
      </c>
      <c r="BO1218" t="s">
        <v>74</v>
      </c>
      <c r="BP1218" t="s">
        <v>74</v>
      </c>
      <c r="BQ1218" t="s">
        <v>74</v>
      </c>
      <c r="BR1218" t="s">
        <v>101</v>
      </c>
      <c r="BS1218" t="s">
        <v>22481</v>
      </c>
      <c r="BT1218" t="str">
        <f>HYPERLINK("https%3A%2F%2Fwww.webofscience.com%2Fwos%2Fwoscc%2Ffull-record%2FWOS:001105387900001","View Full Record in Web of Science")</f>
        <v>View Full Record in Web of Science</v>
      </c>
    </row>
    <row r="1219" spans="1:72" x14ac:dyDescent="0.2">
      <c r="A1219" t="s">
        <v>103</v>
      </c>
      <c r="B1219" t="s">
        <v>22482</v>
      </c>
      <c r="C1219" t="s">
        <v>74</v>
      </c>
      <c r="D1219" t="s">
        <v>74</v>
      </c>
      <c r="E1219" t="s">
        <v>74</v>
      </c>
      <c r="F1219" t="s">
        <v>22483</v>
      </c>
      <c r="G1219" t="s">
        <v>74</v>
      </c>
      <c r="H1219" t="s">
        <v>74</v>
      </c>
      <c r="I1219" t="s">
        <v>22484</v>
      </c>
      <c r="J1219" t="s">
        <v>930</v>
      </c>
      <c r="K1219" t="s">
        <v>74</v>
      </c>
      <c r="L1219" t="s">
        <v>74</v>
      </c>
      <c r="M1219" t="s">
        <v>79</v>
      </c>
      <c r="N1219" t="s">
        <v>108</v>
      </c>
      <c r="O1219" t="s">
        <v>74</v>
      </c>
      <c r="P1219" t="s">
        <v>74</v>
      </c>
      <c r="Q1219" t="s">
        <v>74</v>
      </c>
      <c r="R1219" t="s">
        <v>74</v>
      </c>
      <c r="S1219" t="s">
        <v>74</v>
      </c>
      <c r="T1219" t="s">
        <v>22485</v>
      </c>
      <c r="U1219" t="s">
        <v>22486</v>
      </c>
      <c r="V1219" t="s">
        <v>22487</v>
      </c>
      <c r="W1219" t="s">
        <v>22488</v>
      </c>
      <c r="X1219" t="s">
        <v>22489</v>
      </c>
      <c r="Y1219" t="s">
        <v>22490</v>
      </c>
      <c r="Z1219" t="s">
        <v>22491</v>
      </c>
      <c r="AA1219" t="s">
        <v>74</v>
      </c>
      <c r="AB1219" t="s">
        <v>22492</v>
      </c>
      <c r="AC1219" t="s">
        <v>74</v>
      </c>
      <c r="AD1219" t="s">
        <v>74</v>
      </c>
      <c r="AE1219" t="s">
        <v>74</v>
      </c>
      <c r="AF1219" t="s">
        <v>74</v>
      </c>
      <c r="AG1219">
        <v>132</v>
      </c>
      <c r="AH1219">
        <v>12</v>
      </c>
      <c r="AI1219">
        <v>13</v>
      </c>
      <c r="AJ1219">
        <v>45</v>
      </c>
      <c r="AK1219">
        <v>93</v>
      </c>
      <c r="AL1219" t="s">
        <v>939</v>
      </c>
      <c r="AM1219" t="s">
        <v>940</v>
      </c>
      <c r="AN1219" t="s">
        <v>941</v>
      </c>
      <c r="AO1219" t="s">
        <v>74</v>
      </c>
      <c r="AP1219" t="s">
        <v>942</v>
      </c>
      <c r="AQ1219" t="s">
        <v>74</v>
      </c>
      <c r="AR1219" t="s">
        <v>943</v>
      </c>
      <c r="AS1219" t="s">
        <v>944</v>
      </c>
      <c r="AT1219" t="s">
        <v>22493</v>
      </c>
      <c r="AU1219">
        <v>2023</v>
      </c>
      <c r="AV1219">
        <v>15</v>
      </c>
      <c r="AW1219">
        <v>9</v>
      </c>
      <c r="AX1219" t="s">
        <v>74</v>
      </c>
      <c r="AY1219" t="s">
        <v>74</v>
      </c>
      <c r="AZ1219" t="s">
        <v>74</v>
      </c>
      <c r="BA1219" t="s">
        <v>74</v>
      </c>
      <c r="BB1219" t="s">
        <v>74</v>
      </c>
      <c r="BC1219" t="s">
        <v>74</v>
      </c>
      <c r="BD1219">
        <v>7121</v>
      </c>
      <c r="BE1219" t="s">
        <v>22494</v>
      </c>
      <c r="BF1219" t="str">
        <f>HYPERLINK("http://dx.doi.org/10.3390/su15097121","http://dx.doi.org/10.3390/su15097121")</f>
        <v>http://dx.doi.org/10.3390/su15097121</v>
      </c>
      <c r="BG1219" t="s">
        <v>74</v>
      </c>
      <c r="BH1219" t="s">
        <v>74</v>
      </c>
      <c r="BI1219">
        <v>22</v>
      </c>
      <c r="BJ1219" t="s">
        <v>946</v>
      </c>
      <c r="BK1219" t="s">
        <v>947</v>
      </c>
      <c r="BL1219" t="s">
        <v>948</v>
      </c>
      <c r="BM1219" t="s">
        <v>22495</v>
      </c>
      <c r="BN1219" t="s">
        <v>74</v>
      </c>
      <c r="BO1219" t="s">
        <v>425</v>
      </c>
      <c r="BP1219" t="s">
        <v>74</v>
      </c>
      <c r="BQ1219" t="s">
        <v>74</v>
      </c>
      <c r="BR1219" t="s">
        <v>101</v>
      </c>
      <c r="BS1219" t="s">
        <v>22496</v>
      </c>
      <c r="BT1219" t="str">
        <f>HYPERLINK("https%3A%2F%2Fwww.webofscience.com%2Fwos%2Fwoscc%2Ffull-record%2FWOS:000988134100001","View Full Record in Web of Science")</f>
        <v>View Full Record in Web of Science</v>
      </c>
    </row>
    <row r="1220" spans="1:72" x14ac:dyDescent="0.2">
      <c r="A1220" t="s">
        <v>72</v>
      </c>
      <c r="B1220" t="s">
        <v>22497</v>
      </c>
      <c r="C1220" t="s">
        <v>74</v>
      </c>
      <c r="D1220" t="s">
        <v>74</v>
      </c>
      <c r="E1220" t="s">
        <v>22140</v>
      </c>
      <c r="F1220" t="s">
        <v>22498</v>
      </c>
      <c r="G1220" t="s">
        <v>74</v>
      </c>
      <c r="H1220" t="s">
        <v>74</v>
      </c>
      <c r="I1220" t="s">
        <v>22499</v>
      </c>
      <c r="J1220" t="s">
        <v>22143</v>
      </c>
      <c r="K1220" t="s">
        <v>74</v>
      </c>
      <c r="L1220" t="s">
        <v>74</v>
      </c>
      <c r="M1220" t="s">
        <v>79</v>
      </c>
      <c r="N1220" t="s">
        <v>80</v>
      </c>
      <c r="O1220" t="s">
        <v>22144</v>
      </c>
      <c r="P1220" t="s">
        <v>22145</v>
      </c>
      <c r="Q1220" t="s">
        <v>22146</v>
      </c>
      <c r="R1220" t="s">
        <v>22147</v>
      </c>
      <c r="S1220" t="s">
        <v>74</v>
      </c>
      <c r="T1220" t="s">
        <v>74</v>
      </c>
      <c r="U1220" t="s">
        <v>74</v>
      </c>
      <c r="V1220" t="s">
        <v>22500</v>
      </c>
      <c r="W1220" t="s">
        <v>22501</v>
      </c>
      <c r="X1220" t="s">
        <v>22502</v>
      </c>
      <c r="Y1220" t="s">
        <v>22503</v>
      </c>
      <c r="Z1220" t="s">
        <v>74</v>
      </c>
      <c r="AA1220" t="s">
        <v>74</v>
      </c>
      <c r="AB1220" t="s">
        <v>74</v>
      </c>
      <c r="AC1220" t="s">
        <v>22504</v>
      </c>
      <c r="AD1220" t="s">
        <v>22504</v>
      </c>
      <c r="AE1220" t="s">
        <v>22505</v>
      </c>
      <c r="AF1220" t="s">
        <v>74</v>
      </c>
      <c r="AG1220">
        <v>88</v>
      </c>
      <c r="AH1220">
        <v>4</v>
      </c>
      <c r="AI1220">
        <v>5</v>
      </c>
      <c r="AJ1220">
        <v>1</v>
      </c>
      <c r="AK1220">
        <v>1</v>
      </c>
      <c r="AL1220" t="s">
        <v>22156</v>
      </c>
      <c r="AM1220" t="s">
        <v>22157</v>
      </c>
      <c r="AN1220" t="s">
        <v>22158</v>
      </c>
      <c r="AO1220" t="s">
        <v>74</v>
      </c>
      <c r="AP1220" t="s">
        <v>74</v>
      </c>
      <c r="AQ1220" t="s">
        <v>22159</v>
      </c>
      <c r="AR1220" t="s">
        <v>74</v>
      </c>
      <c r="AS1220" t="s">
        <v>74</v>
      </c>
      <c r="AT1220" t="s">
        <v>74</v>
      </c>
      <c r="AU1220">
        <v>2023</v>
      </c>
      <c r="AV1220" t="s">
        <v>74</v>
      </c>
      <c r="AW1220" t="s">
        <v>74</v>
      </c>
      <c r="AX1220" t="s">
        <v>74</v>
      </c>
      <c r="AY1220" t="s">
        <v>74</v>
      </c>
      <c r="AZ1220" t="s">
        <v>74</v>
      </c>
      <c r="BA1220" t="s">
        <v>74</v>
      </c>
      <c r="BB1220">
        <v>5253</v>
      </c>
      <c r="BC1220">
        <v>5270</v>
      </c>
      <c r="BD1220" t="s">
        <v>74</v>
      </c>
      <c r="BE1220" t="s">
        <v>74</v>
      </c>
      <c r="BF1220" t="s">
        <v>74</v>
      </c>
      <c r="BG1220" t="s">
        <v>74</v>
      </c>
      <c r="BH1220" t="s">
        <v>74</v>
      </c>
      <c r="BI1220">
        <v>18</v>
      </c>
      <c r="BJ1220" t="s">
        <v>924</v>
      </c>
      <c r="BK1220" t="s">
        <v>98</v>
      </c>
      <c r="BL1220" t="s">
        <v>99</v>
      </c>
      <c r="BM1220" t="s">
        <v>22160</v>
      </c>
      <c r="BN1220" t="s">
        <v>74</v>
      </c>
      <c r="BO1220" t="s">
        <v>74</v>
      </c>
      <c r="BP1220" t="s">
        <v>74</v>
      </c>
      <c r="BQ1220" t="s">
        <v>74</v>
      </c>
      <c r="BR1220" t="s">
        <v>101</v>
      </c>
      <c r="BS1220" t="s">
        <v>22506</v>
      </c>
      <c r="BT1220" t="str">
        <f>HYPERLINK("https%3A%2F%2Fwww.webofscience.com%2Fwos%2Fwoscc%2Ffull-record%2FWOS:001066451505025","View Full Record in Web of Science")</f>
        <v>View Full Record in Web of Science</v>
      </c>
    </row>
    <row r="1221" spans="1:72" x14ac:dyDescent="0.2">
      <c r="A1221" t="s">
        <v>103</v>
      </c>
      <c r="B1221" t="s">
        <v>22507</v>
      </c>
      <c r="C1221" t="s">
        <v>74</v>
      </c>
      <c r="D1221" t="s">
        <v>74</v>
      </c>
      <c r="E1221" t="s">
        <v>74</v>
      </c>
      <c r="F1221" t="s">
        <v>22508</v>
      </c>
      <c r="G1221" t="s">
        <v>74</v>
      </c>
      <c r="H1221" t="s">
        <v>74</v>
      </c>
      <c r="I1221" t="s">
        <v>22509</v>
      </c>
      <c r="J1221" t="s">
        <v>22510</v>
      </c>
      <c r="K1221" t="s">
        <v>74</v>
      </c>
      <c r="L1221" t="s">
        <v>74</v>
      </c>
      <c r="M1221" t="s">
        <v>79</v>
      </c>
      <c r="N1221" t="s">
        <v>108</v>
      </c>
      <c r="O1221" t="s">
        <v>74</v>
      </c>
      <c r="P1221" t="s">
        <v>74</v>
      </c>
      <c r="Q1221" t="s">
        <v>74</v>
      </c>
      <c r="R1221" t="s">
        <v>74</v>
      </c>
      <c r="S1221" t="s">
        <v>74</v>
      </c>
      <c r="T1221" t="s">
        <v>22511</v>
      </c>
      <c r="U1221" t="s">
        <v>74</v>
      </c>
      <c r="V1221" t="s">
        <v>22512</v>
      </c>
      <c r="W1221" t="s">
        <v>22513</v>
      </c>
      <c r="X1221" t="s">
        <v>22514</v>
      </c>
      <c r="Y1221" t="s">
        <v>22515</v>
      </c>
      <c r="Z1221" t="s">
        <v>22516</v>
      </c>
      <c r="AA1221" t="s">
        <v>74</v>
      </c>
      <c r="AB1221" t="s">
        <v>74</v>
      </c>
      <c r="AC1221" t="s">
        <v>22517</v>
      </c>
      <c r="AD1221" t="s">
        <v>22518</v>
      </c>
      <c r="AE1221" t="s">
        <v>22519</v>
      </c>
      <c r="AF1221" t="s">
        <v>74</v>
      </c>
      <c r="AG1221">
        <v>82</v>
      </c>
      <c r="AH1221">
        <v>1</v>
      </c>
      <c r="AI1221">
        <v>1</v>
      </c>
      <c r="AJ1221">
        <v>11</v>
      </c>
      <c r="AK1221">
        <v>13</v>
      </c>
      <c r="AL1221" t="s">
        <v>92</v>
      </c>
      <c r="AM1221" t="s">
        <v>93</v>
      </c>
      <c r="AN1221" t="s">
        <v>3186</v>
      </c>
      <c r="AO1221" t="s">
        <v>22520</v>
      </c>
      <c r="AP1221" t="s">
        <v>22521</v>
      </c>
      <c r="AQ1221" t="s">
        <v>74</v>
      </c>
      <c r="AR1221" t="s">
        <v>22522</v>
      </c>
      <c r="AS1221" t="s">
        <v>22523</v>
      </c>
      <c r="AT1221" t="s">
        <v>2016</v>
      </c>
      <c r="AU1221">
        <v>2023</v>
      </c>
      <c r="AV1221">
        <v>41</v>
      </c>
      <c r="AW1221">
        <v>1</v>
      </c>
      <c r="AX1221" t="s">
        <v>74</v>
      </c>
      <c r="AY1221" t="s">
        <v>74</v>
      </c>
      <c r="AZ1221" t="s">
        <v>74</v>
      </c>
      <c r="BA1221" t="s">
        <v>74</v>
      </c>
      <c r="BB1221" t="s">
        <v>74</v>
      </c>
      <c r="BC1221" t="s">
        <v>74</v>
      </c>
      <c r="BD1221" t="s">
        <v>74</v>
      </c>
      <c r="BE1221" t="s">
        <v>22524</v>
      </c>
      <c r="BF1221" t="str">
        <f>HYPERLINK("http://dx.doi.org/10.1145/3511469","http://dx.doi.org/10.1145/3511469")</f>
        <v>http://dx.doi.org/10.1145/3511469</v>
      </c>
      <c r="BG1221" t="s">
        <v>74</v>
      </c>
      <c r="BH1221" t="s">
        <v>74</v>
      </c>
      <c r="BI1221">
        <v>35</v>
      </c>
      <c r="BJ1221" t="s">
        <v>230</v>
      </c>
      <c r="BK1221" t="s">
        <v>130</v>
      </c>
      <c r="BL1221" t="s">
        <v>99</v>
      </c>
      <c r="BM1221" t="s">
        <v>22525</v>
      </c>
      <c r="BN1221" t="s">
        <v>74</v>
      </c>
      <c r="BO1221" t="s">
        <v>1237</v>
      </c>
      <c r="BP1221" t="s">
        <v>74</v>
      </c>
      <c r="BQ1221" t="s">
        <v>74</v>
      </c>
      <c r="BR1221" t="s">
        <v>101</v>
      </c>
      <c r="BS1221" t="s">
        <v>22526</v>
      </c>
      <c r="BT1221" t="str">
        <f>HYPERLINK("https%3A%2F%2Fwww.webofscience.com%2Fwos%2Fwoscc%2Ffull-record%2FWOS:000939802100005","View Full Record in Web of Science")</f>
        <v>View Full Record in Web of Science</v>
      </c>
    </row>
    <row r="1222" spans="1:72" x14ac:dyDescent="0.2">
      <c r="A1222" t="s">
        <v>103</v>
      </c>
      <c r="B1222" t="s">
        <v>22527</v>
      </c>
      <c r="C1222" t="s">
        <v>74</v>
      </c>
      <c r="D1222" t="s">
        <v>74</v>
      </c>
      <c r="E1222" t="s">
        <v>74</v>
      </c>
      <c r="F1222" t="s">
        <v>22528</v>
      </c>
      <c r="G1222" t="s">
        <v>74</v>
      </c>
      <c r="H1222" t="s">
        <v>74</v>
      </c>
      <c r="I1222" t="s">
        <v>22529</v>
      </c>
      <c r="J1222" t="s">
        <v>22530</v>
      </c>
      <c r="K1222" t="s">
        <v>74</v>
      </c>
      <c r="L1222" t="s">
        <v>74</v>
      </c>
      <c r="M1222" t="s">
        <v>79</v>
      </c>
      <c r="N1222" t="s">
        <v>108</v>
      </c>
      <c r="O1222" t="s">
        <v>74</v>
      </c>
      <c r="P1222" t="s">
        <v>74</v>
      </c>
      <c r="Q1222" t="s">
        <v>74</v>
      </c>
      <c r="R1222" t="s">
        <v>74</v>
      </c>
      <c r="S1222" t="s">
        <v>74</v>
      </c>
      <c r="T1222" t="s">
        <v>22531</v>
      </c>
      <c r="U1222" t="s">
        <v>22532</v>
      </c>
      <c r="V1222" t="s">
        <v>22533</v>
      </c>
      <c r="W1222" t="s">
        <v>22534</v>
      </c>
      <c r="X1222" t="s">
        <v>22535</v>
      </c>
      <c r="Y1222" t="s">
        <v>22536</v>
      </c>
      <c r="Z1222" t="s">
        <v>22537</v>
      </c>
      <c r="AA1222" t="s">
        <v>22538</v>
      </c>
      <c r="AB1222" t="s">
        <v>22539</v>
      </c>
      <c r="AC1222" t="s">
        <v>74</v>
      </c>
      <c r="AD1222" t="s">
        <v>74</v>
      </c>
      <c r="AE1222" t="s">
        <v>74</v>
      </c>
      <c r="AF1222" t="s">
        <v>74</v>
      </c>
      <c r="AG1222">
        <v>40</v>
      </c>
      <c r="AH1222">
        <v>0</v>
      </c>
      <c r="AI1222">
        <v>0</v>
      </c>
      <c r="AJ1222">
        <v>0</v>
      </c>
      <c r="AK1222">
        <v>0</v>
      </c>
      <c r="AL1222" t="s">
        <v>22540</v>
      </c>
      <c r="AM1222" t="s">
        <v>22541</v>
      </c>
      <c r="AN1222" t="s">
        <v>22542</v>
      </c>
      <c r="AO1222" t="s">
        <v>22543</v>
      </c>
      <c r="AP1222" t="s">
        <v>22544</v>
      </c>
      <c r="AQ1222" t="s">
        <v>74</v>
      </c>
      <c r="AR1222" t="s">
        <v>22545</v>
      </c>
      <c r="AS1222" t="s">
        <v>22546</v>
      </c>
      <c r="AT1222" t="s">
        <v>276</v>
      </c>
      <c r="AU1222">
        <v>2023</v>
      </c>
      <c r="AV1222">
        <v>60</v>
      </c>
      <c r="AW1222">
        <v>11</v>
      </c>
      <c r="AX1222" t="s">
        <v>74</v>
      </c>
      <c r="AY1222" t="s">
        <v>74</v>
      </c>
      <c r="AZ1222" t="s">
        <v>74</v>
      </c>
      <c r="BA1222" t="s">
        <v>74</v>
      </c>
      <c r="BB1222">
        <v>844</v>
      </c>
      <c r="BC1222">
        <v>856</v>
      </c>
      <c r="BD1222" t="s">
        <v>74</v>
      </c>
      <c r="BE1222" t="s">
        <v>22547</v>
      </c>
      <c r="BF1222" t="str">
        <f>HYPERLINK("http://dx.doi.org/10.56042/ijbb.v60i11.6067","http://dx.doi.org/10.56042/ijbb.v60i11.6067")</f>
        <v>http://dx.doi.org/10.56042/ijbb.v60i11.6067</v>
      </c>
      <c r="BG1222" t="s">
        <v>74</v>
      </c>
      <c r="BH1222" t="s">
        <v>74</v>
      </c>
      <c r="BI1222">
        <v>13</v>
      </c>
      <c r="BJ1222" t="s">
        <v>14202</v>
      </c>
      <c r="BK1222" t="s">
        <v>130</v>
      </c>
      <c r="BL1222" t="s">
        <v>14202</v>
      </c>
      <c r="BM1222" t="s">
        <v>22548</v>
      </c>
      <c r="BN1222" t="s">
        <v>74</v>
      </c>
      <c r="BO1222" t="s">
        <v>425</v>
      </c>
      <c r="BP1222" t="s">
        <v>74</v>
      </c>
      <c r="BQ1222" t="s">
        <v>74</v>
      </c>
      <c r="BR1222" t="s">
        <v>101</v>
      </c>
      <c r="BS1222" t="s">
        <v>22549</v>
      </c>
      <c r="BT1222" t="str">
        <f>HYPERLINK("https%3A%2F%2Fwww.webofscience.com%2Fwos%2Fwoscc%2Ffull-record%2FWOS:001104464300004","View Full Record in Web of Science")</f>
        <v>View Full Record in Web of Science</v>
      </c>
    </row>
    <row r="1223" spans="1:72" x14ac:dyDescent="0.2">
      <c r="A1223" t="s">
        <v>103</v>
      </c>
      <c r="B1223" t="s">
        <v>22550</v>
      </c>
      <c r="C1223" t="s">
        <v>74</v>
      </c>
      <c r="D1223" t="s">
        <v>74</v>
      </c>
      <c r="E1223" t="s">
        <v>74</v>
      </c>
      <c r="F1223" t="s">
        <v>22551</v>
      </c>
      <c r="G1223" t="s">
        <v>74</v>
      </c>
      <c r="H1223" t="s">
        <v>74</v>
      </c>
      <c r="I1223" t="s">
        <v>22552</v>
      </c>
      <c r="J1223" t="s">
        <v>18925</v>
      </c>
      <c r="K1223" t="s">
        <v>74</v>
      </c>
      <c r="L1223" t="s">
        <v>74</v>
      </c>
      <c r="M1223" t="s">
        <v>79</v>
      </c>
      <c r="N1223" t="s">
        <v>108</v>
      </c>
      <c r="O1223" t="s">
        <v>74</v>
      </c>
      <c r="P1223" t="s">
        <v>74</v>
      </c>
      <c r="Q1223" t="s">
        <v>74</v>
      </c>
      <c r="R1223" t="s">
        <v>74</v>
      </c>
      <c r="S1223" t="s">
        <v>74</v>
      </c>
      <c r="T1223" t="s">
        <v>22553</v>
      </c>
      <c r="U1223" t="s">
        <v>74</v>
      </c>
      <c r="V1223" t="s">
        <v>22554</v>
      </c>
      <c r="W1223" t="s">
        <v>22555</v>
      </c>
      <c r="X1223" t="s">
        <v>20047</v>
      </c>
      <c r="Y1223" t="s">
        <v>22556</v>
      </c>
      <c r="Z1223" t="s">
        <v>22557</v>
      </c>
      <c r="AA1223" t="s">
        <v>22558</v>
      </c>
      <c r="AB1223" t="s">
        <v>22559</v>
      </c>
      <c r="AC1223" t="s">
        <v>22560</v>
      </c>
      <c r="AD1223" t="s">
        <v>22561</v>
      </c>
      <c r="AE1223" t="s">
        <v>22562</v>
      </c>
      <c r="AF1223" t="s">
        <v>74</v>
      </c>
      <c r="AG1223">
        <v>44</v>
      </c>
      <c r="AH1223">
        <v>2</v>
      </c>
      <c r="AI1223">
        <v>2</v>
      </c>
      <c r="AJ1223">
        <v>16</v>
      </c>
      <c r="AK1223">
        <v>28</v>
      </c>
      <c r="AL1223" t="s">
        <v>119</v>
      </c>
      <c r="AM1223" t="s">
        <v>120</v>
      </c>
      <c r="AN1223" t="s">
        <v>121</v>
      </c>
      <c r="AO1223" t="s">
        <v>18937</v>
      </c>
      <c r="AP1223" t="s">
        <v>18938</v>
      </c>
      <c r="AQ1223" t="s">
        <v>74</v>
      </c>
      <c r="AR1223" t="s">
        <v>18939</v>
      </c>
      <c r="AS1223" t="s">
        <v>18940</v>
      </c>
      <c r="AT1223" t="s">
        <v>22563</v>
      </c>
      <c r="AU1223">
        <v>2023</v>
      </c>
      <c r="AV1223">
        <v>228</v>
      </c>
      <c r="AW1223" t="s">
        <v>74</v>
      </c>
      <c r="AX1223" t="s">
        <v>74</v>
      </c>
      <c r="AY1223" t="s">
        <v>74</v>
      </c>
      <c r="AZ1223" t="s">
        <v>74</v>
      </c>
      <c r="BA1223" t="s">
        <v>74</v>
      </c>
      <c r="BB1223" t="s">
        <v>74</v>
      </c>
      <c r="BC1223" t="s">
        <v>74</v>
      </c>
      <c r="BD1223">
        <v>120284</v>
      </c>
      <c r="BE1223" t="s">
        <v>22564</v>
      </c>
      <c r="BF1223" t="str">
        <f>HYPERLINK("http://dx.doi.org/10.1016/j.eswa.2023.120284","http://dx.doi.org/10.1016/j.eswa.2023.120284")</f>
        <v>http://dx.doi.org/10.1016/j.eswa.2023.120284</v>
      </c>
      <c r="BG1223" t="s">
        <v>74</v>
      </c>
      <c r="BH1223" t="s">
        <v>2889</v>
      </c>
      <c r="BI1223">
        <v>16</v>
      </c>
      <c r="BJ1223" t="s">
        <v>18942</v>
      </c>
      <c r="BK1223" t="s">
        <v>130</v>
      </c>
      <c r="BL1223" t="s">
        <v>18943</v>
      </c>
      <c r="BM1223" t="s">
        <v>22565</v>
      </c>
      <c r="BN1223" t="s">
        <v>74</v>
      </c>
      <c r="BO1223" t="s">
        <v>74</v>
      </c>
      <c r="BP1223" t="s">
        <v>74</v>
      </c>
      <c r="BQ1223" t="s">
        <v>74</v>
      </c>
      <c r="BR1223" t="s">
        <v>101</v>
      </c>
      <c r="BS1223" t="s">
        <v>22566</v>
      </c>
      <c r="BT1223" t="str">
        <f>HYPERLINK("https%3A%2F%2Fwww.webofscience.com%2Fwos%2Fwoscc%2Ffull-record%2FWOS:001002116200001","View Full Record in Web of Science")</f>
        <v>View Full Record in Web of Science</v>
      </c>
    </row>
    <row r="1224" spans="1:72" x14ac:dyDescent="0.2">
      <c r="A1224" t="s">
        <v>103</v>
      </c>
      <c r="B1224" t="s">
        <v>22567</v>
      </c>
      <c r="C1224" t="s">
        <v>74</v>
      </c>
      <c r="D1224" t="s">
        <v>74</v>
      </c>
      <c r="E1224" t="s">
        <v>74</v>
      </c>
      <c r="F1224" t="s">
        <v>22568</v>
      </c>
      <c r="G1224" t="s">
        <v>74</v>
      </c>
      <c r="H1224" t="s">
        <v>74</v>
      </c>
      <c r="I1224" t="s">
        <v>22569</v>
      </c>
      <c r="J1224" t="s">
        <v>22570</v>
      </c>
      <c r="K1224" t="s">
        <v>74</v>
      </c>
      <c r="L1224" t="s">
        <v>74</v>
      </c>
      <c r="M1224" t="s">
        <v>79</v>
      </c>
      <c r="N1224" t="s">
        <v>108</v>
      </c>
      <c r="O1224" t="s">
        <v>74</v>
      </c>
      <c r="P1224" t="s">
        <v>74</v>
      </c>
      <c r="Q1224" t="s">
        <v>74</v>
      </c>
      <c r="R1224" t="s">
        <v>74</v>
      </c>
      <c r="S1224" t="s">
        <v>74</v>
      </c>
      <c r="T1224" t="s">
        <v>22571</v>
      </c>
      <c r="U1224" t="s">
        <v>74</v>
      </c>
      <c r="V1224" t="s">
        <v>22572</v>
      </c>
      <c r="W1224" t="s">
        <v>22573</v>
      </c>
      <c r="X1224" t="s">
        <v>22574</v>
      </c>
      <c r="Y1224" t="s">
        <v>22575</v>
      </c>
      <c r="Z1224" t="s">
        <v>22576</v>
      </c>
      <c r="AA1224" t="s">
        <v>22577</v>
      </c>
      <c r="AB1224" t="s">
        <v>22578</v>
      </c>
      <c r="AC1224" t="s">
        <v>74</v>
      </c>
      <c r="AD1224" t="s">
        <v>74</v>
      </c>
      <c r="AE1224" t="s">
        <v>74</v>
      </c>
      <c r="AF1224" t="s">
        <v>74</v>
      </c>
      <c r="AG1224">
        <v>30</v>
      </c>
      <c r="AH1224">
        <v>0</v>
      </c>
      <c r="AI1224">
        <v>0</v>
      </c>
      <c r="AJ1224">
        <v>0</v>
      </c>
      <c r="AK1224">
        <v>0</v>
      </c>
      <c r="AL1224" t="s">
        <v>764</v>
      </c>
      <c r="AM1224" t="s">
        <v>765</v>
      </c>
      <c r="AN1224" t="s">
        <v>766</v>
      </c>
      <c r="AO1224" t="s">
        <v>22579</v>
      </c>
      <c r="AP1224" t="s">
        <v>22580</v>
      </c>
      <c r="AQ1224" t="s">
        <v>74</v>
      </c>
      <c r="AR1224" t="s">
        <v>22581</v>
      </c>
      <c r="AS1224" t="s">
        <v>22582</v>
      </c>
      <c r="AT1224" t="s">
        <v>2016</v>
      </c>
      <c r="AU1224">
        <v>2024</v>
      </c>
      <c r="AV1224">
        <v>177</v>
      </c>
      <c r="AW1224" t="s">
        <v>74</v>
      </c>
      <c r="AX1224" t="s">
        <v>74</v>
      </c>
      <c r="AY1224" t="s">
        <v>74</v>
      </c>
      <c r="AZ1224" t="s">
        <v>74</v>
      </c>
      <c r="BA1224" t="s">
        <v>74</v>
      </c>
      <c r="BB1224">
        <v>121</v>
      </c>
      <c r="BC1224">
        <v>127</v>
      </c>
      <c r="BD1224" t="s">
        <v>74</v>
      </c>
      <c r="BE1224" t="s">
        <v>22583</v>
      </c>
      <c r="BF1224" t="str">
        <f>HYPERLINK("http://dx.doi.org/10.1016/j.patrec.2023.12.004","http://dx.doi.org/10.1016/j.patrec.2023.12.004")</f>
        <v>http://dx.doi.org/10.1016/j.patrec.2023.12.004</v>
      </c>
      <c r="BG1224" t="s">
        <v>74</v>
      </c>
      <c r="BH1224" t="s">
        <v>128</v>
      </c>
      <c r="BI1224">
        <v>7</v>
      </c>
      <c r="BJ1224" t="s">
        <v>304</v>
      </c>
      <c r="BK1224" t="s">
        <v>130</v>
      </c>
      <c r="BL1224" t="s">
        <v>99</v>
      </c>
      <c r="BM1224" t="s">
        <v>22584</v>
      </c>
      <c r="BN1224" t="s">
        <v>74</v>
      </c>
      <c r="BO1224" t="s">
        <v>2310</v>
      </c>
      <c r="BP1224" t="s">
        <v>74</v>
      </c>
      <c r="BQ1224" t="s">
        <v>74</v>
      </c>
      <c r="BR1224" t="s">
        <v>101</v>
      </c>
      <c r="BS1224" t="s">
        <v>22585</v>
      </c>
      <c r="BT1224" t="str">
        <f>HYPERLINK("https%3A%2F%2Fwww.webofscience.com%2Fwos%2Fwoscc%2Ffull-record%2FWOS:001138839400001","View Full Record in Web of Science")</f>
        <v>View Full Record in Web of Science</v>
      </c>
    </row>
    <row r="1225" spans="1:72" x14ac:dyDescent="0.2">
      <c r="A1225" t="s">
        <v>103</v>
      </c>
      <c r="B1225" t="s">
        <v>22586</v>
      </c>
      <c r="C1225" t="s">
        <v>74</v>
      </c>
      <c r="D1225" t="s">
        <v>74</v>
      </c>
      <c r="E1225" t="s">
        <v>74</v>
      </c>
      <c r="F1225" t="s">
        <v>22587</v>
      </c>
      <c r="G1225" t="s">
        <v>74</v>
      </c>
      <c r="H1225" t="s">
        <v>74</v>
      </c>
      <c r="I1225" t="s">
        <v>22588</v>
      </c>
      <c r="J1225" t="s">
        <v>18925</v>
      </c>
      <c r="K1225" t="s">
        <v>74</v>
      </c>
      <c r="L1225" t="s">
        <v>74</v>
      </c>
      <c r="M1225" t="s">
        <v>79</v>
      </c>
      <c r="N1225" t="s">
        <v>108</v>
      </c>
      <c r="O1225" t="s">
        <v>74</v>
      </c>
      <c r="P1225" t="s">
        <v>74</v>
      </c>
      <c r="Q1225" t="s">
        <v>74</v>
      </c>
      <c r="R1225" t="s">
        <v>74</v>
      </c>
      <c r="S1225" t="s">
        <v>74</v>
      </c>
      <c r="T1225" t="s">
        <v>22589</v>
      </c>
      <c r="U1225" t="s">
        <v>74</v>
      </c>
      <c r="V1225" t="s">
        <v>22590</v>
      </c>
      <c r="W1225" t="s">
        <v>22591</v>
      </c>
      <c r="X1225" t="s">
        <v>22592</v>
      </c>
      <c r="Y1225" t="s">
        <v>22593</v>
      </c>
      <c r="Z1225" t="s">
        <v>22594</v>
      </c>
      <c r="AA1225" t="s">
        <v>74</v>
      </c>
      <c r="AB1225" t="s">
        <v>22595</v>
      </c>
      <c r="AC1225" t="s">
        <v>22596</v>
      </c>
      <c r="AD1225" t="s">
        <v>22597</v>
      </c>
      <c r="AE1225" t="s">
        <v>22598</v>
      </c>
      <c r="AF1225" t="s">
        <v>74</v>
      </c>
      <c r="AG1225">
        <v>62</v>
      </c>
      <c r="AH1225">
        <v>0</v>
      </c>
      <c r="AI1225">
        <v>0</v>
      </c>
      <c r="AJ1225">
        <v>6</v>
      </c>
      <c r="AK1225">
        <v>7</v>
      </c>
      <c r="AL1225" t="s">
        <v>119</v>
      </c>
      <c r="AM1225" t="s">
        <v>120</v>
      </c>
      <c r="AN1225" t="s">
        <v>121</v>
      </c>
      <c r="AO1225" t="s">
        <v>18937</v>
      </c>
      <c r="AP1225" t="s">
        <v>18938</v>
      </c>
      <c r="AQ1225" t="s">
        <v>74</v>
      </c>
      <c r="AR1225" t="s">
        <v>18939</v>
      </c>
      <c r="AS1225" t="s">
        <v>18940</v>
      </c>
      <c r="AT1225" t="s">
        <v>375</v>
      </c>
      <c r="AU1225">
        <v>2023</v>
      </c>
      <c r="AV1225">
        <v>233</v>
      </c>
      <c r="AW1225" t="s">
        <v>74</v>
      </c>
      <c r="AX1225" t="s">
        <v>74</v>
      </c>
      <c r="AY1225" t="s">
        <v>74</v>
      </c>
      <c r="AZ1225" t="s">
        <v>74</v>
      </c>
      <c r="BA1225" t="s">
        <v>74</v>
      </c>
      <c r="BB1225" t="s">
        <v>74</v>
      </c>
      <c r="BC1225" t="s">
        <v>74</v>
      </c>
      <c r="BD1225">
        <v>120982</v>
      </c>
      <c r="BE1225" t="s">
        <v>22599</v>
      </c>
      <c r="BF1225" t="str">
        <f>HYPERLINK("http://dx.doi.org/10.1016/j.eswa.2023.120982","http://dx.doi.org/10.1016/j.eswa.2023.120982")</f>
        <v>http://dx.doi.org/10.1016/j.eswa.2023.120982</v>
      </c>
      <c r="BG1225" t="s">
        <v>74</v>
      </c>
      <c r="BH1225" t="s">
        <v>229</v>
      </c>
      <c r="BI1225">
        <v>15</v>
      </c>
      <c r="BJ1225" t="s">
        <v>18942</v>
      </c>
      <c r="BK1225" t="s">
        <v>130</v>
      </c>
      <c r="BL1225" t="s">
        <v>18943</v>
      </c>
      <c r="BM1225" t="s">
        <v>22600</v>
      </c>
      <c r="BN1225" t="s">
        <v>74</v>
      </c>
      <c r="BO1225" t="s">
        <v>74</v>
      </c>
      <c r="BP1225" t="s">
        <v>74</v>
      </c>
      <c r="BQ1225" t="s">
        <v>74</v>
      </c>
      <c r="BR1225" t="s">
        <v>101</v>
      </c>
      <c r="BS1225" t="s">
        <v>22601</v>
      </c>
      <c r="BT1225" t="str">
        <f>HYPERLINK("https%3A%2F%2Fwww.webofscience.com%2Fwos%2Fwoscc%2Ffull-record%2FWOS:001049616900001","View Full Record in Web of Science")</f>
        <v>View Full Record in Web of Science</v>
      </c>
    </row>
    <row r="1226" spans="1:72" x14ac:dyDescent="0.2">
      <c r="A1226" t="s">
        <v>72</v>
      </c>
      <c r="B1226" t="s">
        <v>22602</v>
      </c>
      <c r="C1226" t="s">
        <v>74</v>
      </c>
      <c r="D1226" t="s">
        <v>74</v>
      </c>
      <c r="E1226" t="s">
        <v>75</v>
      </c>
      <c r="F1226" t="s">
        <v>22603</v>
      </c>
      <c r="G1226" t="s">
        <v>74</v>
      </c>
      <c r="H1226" t="s">
        <v>74</v>
      </c>
      <c r="I1226" t="s">
        <v>22604</v>
      </c>
      <c r="J1226" t="s">
        <v>22605</v>
      </c>
      <c r="K1226" t="s">
        <v>22606</v>
      </c>
      <c r="L1226" t="s">
        <v>74</v>
      </c>
      <c r="M1226" t="s">
        <v>79</v>
      </c>
      <c r="N1226" t="s">
        <v>80</v>
      </c>
      <c r="O1226" t="s">
        <v>22607</v>
      </c>
      <c r="P1226" t="s">
        <v>22608</v>
      </c>
      <c r="Q1226" t="s">
        <v>22609</v>
      </c>
      <c r="R1226" t="s">
        <v>22610</v>
      </c>
      <c r="S1226" t="s">
        <v>74</v>
      </c>
      <c r="T1226" t="s">
        <v>22611</v>
      </c>
      <c r="U1226" t="s">
        <v>74</v>
      </c>
      <c r="V1226" t="s">
        <v>22612</v>
      </c>
      <c r="W1226" t="s">
        <v>22613</v>
      </c>
      <c r="X1226" t="s">
        <v>22614</v>
      </c>
      <c r="Y1226" t="s">
        <v>22615</v>
      </c>
      <c r="Z1226" t="s">
        <v>74</v>
      </c>
      <c r="AA1226" t="s">
        <v>74</v>
      </c>
      <c r="AB1226" t="s">
        <v>74</v>
      </c>
      <c r="AC1226" t="s">
        <v>74</v>
      </c>
      <c r="AD1226" t="s">
        <v>74</v>
      </c>
      <c r="AE1226" t="s">
        <v>74</v>
      </c>
      <c r="AF1226" t="s">
        <v>74</v>
      </c>
      <c r="AG1226">
        <v>21</v>
      </c>
      <c r="AH1226">
        <v>0</v>
      </c>
      <c r="AI1226">
        <v>0</v>
      </c>
      <c r="AJ1226">
        <v>0</v>
      </c>
      <c r="AK1226">
        <v>0</v>
      </c>
      <c r="AL1226" t="s">
        <v>92</v>
      </c>
      <c r="AM1226" t="s">
        <v>93</v>
      </c>
      <c r="AN1226" t="s">
        <v>94</v>
      </c>
      <c r="AO1226" t="s">
        <v>22616</v>
      </c>
      <c r="AP1226" t="s">
        <v>74</v>
      </c>
      <c r="AQ1226" t="s">
        <v>22617</v>
      </c>
      <c r="AR1226" t="s">
        <v>22618</v>
      </c>
      <c r="AS1226" t="s">
        <v>74</v>
      </c>
      <c r="AT1226" t="s">
        <v>74</v>
      </c>
      <c r="AU1226">
        <v>2023</v>
      </c>
      <c r="AV1226" t="s">
        <v>74</v>
      </c>
      <c r="AW1226" t="s">
        <v>74</v>
      </c>
      <c r="AX1226" t="s">
        <v>74</v>
      </c>
      <c r="AY1226" t="s">
        <v>74</v>
      </c>
      <c r="AZ1226" t="s">
        <v>74</v>
      </c>
      <c r="BA1226" t="s">
        <v>74</v>
      </c>
      <c r="BB1226">
        <v>287</v>
      </c>
      <c r="BC1226">
        <v>293</v>
      </c>
      <c r="BD1226" t="s">
        <v>74</v>
      </c>
      <c r="BE1226" t="s">
        <v>22619</v>
      </c>
      <c r="BF1226" t="str">
        <f>HYPERLINK("http://dx.doi.org/10.1145/3583740.3626809","http://dx.doi.org/10.1145/3583740.3626809")</f>
        <v>http://dx.doi.org/10.1145/3583740.3626809</v>
      </c>
      <c r="BG1226" t="s">
        <v>74</v>
      </c>
      <c r="BH1226" t="s">
        <v>74</v>
      </c>
      <c r="BI1226">
        <v>7</v>
      </c>
      <c r="BJ1226" t="s">
        <v>9575</v>
      </c>
      <c r="BK1226" t="s">
        <v>98</v>
      </c>
      <c r="BL1226" t="s">
        <v>99</v>
      </c>
      <c r="BM1226" t="s">
        <v>22620</v>
      </c>
      <c r="BN1226" t="s">
        <v>74</v>
      </c>
      <c r="BO1226" t="s">
        <v>74</v>
      </c>
      <c r="BP1226" t="s">
        <v>74</v>
      </c>
      <c r="BQ1226" t="s">
        <v>74</v>
      </c>
      <c r="BR1226" t="s">
        <v>101</v>
      </c>
      <c r="BS1226" t="s">
        <v>22621</v>
      </c>
      <c r="BT1226" t="str">
        <f>HYPERLINK("https%3A%2F%2Fwww.webofscience.com%2Fwos%2Fwoscc%2Ffull-record%2FWOS:001164050000035","View Full Record in Web of Science")</f>
        <v>View Full Record in Web of Science</v>
      </c>
    </row>
    <row r="1227" spans="1:72" x14ac:dyDescent="0.2">
      <c r="A1227" t="s">
        <v>72</v>
      </c>
      <c r="B1227" t="s">
        <v>22622</v>
      </c>
      <c r="C1227" t="s">
        <v>74</v>
      </c>
      <c r="D1227" t="s">
        <v>74</v>
      </c>
      <c r="E1227" t="s">
        <v>284</v>
      </c>
      <c r="F1227" t="s">
        <v>22623</v>
      </c>
      <c r="G1227" t="s">
        <v>74</v>
      </c>
      <c r="H1227" t="s">
        <v>74</v>
      </c>
      <c r="I1227" t="s">
        <v>22624</v>
      </c>
      <c r="J1227" t="s">
        <v>8245</v>
      </c>
      <c r="K1227" t="s">
        <v>8246</v>
      </c>
      <c r="L1227" t="s">
        <v>74</v>
      </c>
      <c r="M1227" t="s">
        <v>79</v>
      </c>
      <c r="N1227" t="s">
        <v>80</v>
      </c>
      <c r="O1227" t="s">
        <v>8247</v>
      </c>
      <c r="P1227" t="s">
        <v>8248</v>
      </c>
      <c r="Q1227" t="s">
        <v>6017</v>
      </c>
      <c r="R1227" t="s">
        <v>8249</v>
      </c>
      <c r="S1227" t="s">
        <v>74</v>
      </c>
      <c r="T1227" t="s">
        <v>74</v>
      </c>
      <c r="U1227" t="s">
        <v>74</v>
      </c>
      <c r="V1227" t="s">
        <v>22625</v>
      </c>
      <c r="W1227" t="s">
        <v>22626</v>
      </c>
      <c r="X1227" t="s">
        <v>22627</v>
      </c>
      <c r="Y1227" t="s">
        <v>22628</v>
      </c>
      <c r="Z1227" t="s">
        <v>74</v>
      </c>
      <c r="AA1227" t="s">
        <v>74</v>
      </c>
      <c r="AB1227" t="s">
        <v>74</v>
      </c>
      <c r="AC1227" t="s">
        <v>22629</v>
      </c>
      <c r="AD1227" t="s">
        <v>22630</v>
      </c>
      <c r="AE1227" t="s">
        <v>22631</v>
      </c>
      <c r="AF1227" t="s">
        <v>74</v>
      </c>
      <c r="AG1227">
        <v>73</v>
      </c>
      <c r="AH1227">
        <v>0</v>
      </c>
      <c r="AI1227">
        <v>0</v>
      </c>
      <c r="AJ1227">
        <v>3</v>
      </c>
      <c r="AK1227">
        <v>3</v>
      </c>
      <c r="AL1227" t="s">
        <v>638</v>
      </c>
      <c r="AM1227" t="s">
        <v>639</v>
      </c>
      <c r="AN1227" t="s">
        <v>640</v>
      </c>
      <c r="AO1227" t="s">
        <v>8260</v>
      </c>
      <c r="AP1227" t="s">
        <v>74</v>
      </c>
      <c r="AQ1227" t="s">
        <v>8261</v>
      </c>
      <c r="AR1227" t="s">
        <v>8262</v>
      </c>
      <c r="AS1227" t="s">
        <v>74</v>
      </c>
      <c r="AT1227" t="s">
        <v>74</v>
      </c>
      <c r="AU1227">
        <v>2023</v>
      </c>
      <c r="AV1227" t="s">
        <v>74</v>
      </c>
      <c r="AW1227" t="s">
        <v>74</v>
      </c>
      <c r="AX1227" t="s">
        <v>74</v>
      </c>
      <c r="AY1227" t="s">
        <v>74</v>
      </c>
      <c r="AZ1227" t="s">
        <v>74</v>
      </c>
      <c r="BA1227" t="s">
        <v>74</v>
      </c>
      <c r="BB1227">
        <v>14730</v>
      </c>
      <c r="BC1227">
        <v>14740</v>
      </c>
      <c r="BD1227" t="s">
        <v>74</v>
      </c>
      <c r="BE1227" t="s">
        <v>22632</v>
      </c>
      <c r="BF1227" t="str">
        <f>HYPERLINK("http://dx.doi.org/10.1109/CVPR52729.2023.01415","http://dx.doi.org/10.1109/CVPR52729.2023.01415")</f>
        <v>http://dx.doi.org/10.1109/CVPR52729.2023.01415</v>
      </c>
      <c r="BG1227" t="s">
        <v>74</v>
      </c>
      <c r="BH1227" t="s">
        <v>74</v>
      </c>
      <c r="BI1227">
        <v>11</v>
      </c>
      <c r="BJ1227" t="s">
        <v>304</v>
      </c>
      <c r="BK1227" t="s">
        <v>98</v>
      </c>
      <c r="BL1227" t="s">
        <v>99</v>
      </c>
      <c r="BM1227" t="s">
        <v>8264</v>
      </c>
      <c r="BN1227" t="s">
        <v>74</v>
      </c>
      <c r="BO1227" t="s">
        <v>74</v>
      </c>
      <c r="BP1227" t="s">
        <v>74</v>
      </c>
      <c r="BQ1227" t="s">
        <v>74</v>
      </c>
      <c r="BR1227" t="s">
        <v>101</v>
      </c>
      <c r="BS1227" t="s">
        <v>22633</v>
      </c>
      <c r="BT1227" t="str">
        <f>HYPERLINK("https%3A%2F%2Fwww.webofscience.com%2Fwos%2Fwoscc%2Ffull-record%2FWOS:001062522107006","View Full Record in Web of Science")</f>
        <v>View Full Record in Web of Science</v>
      </c>
    </row>
    <row r="1228" spans="1:72" x14ac:dyDescent="0.2">
      <c r="A1228" t="s">
        <v>103</v>
      </c>
      <c r="B1228" t="s">
        <v>22634</v>
      </c>
      <c r="C1228" t="s">
        <v>74</v>
      </c>
      <c r="D1228" t="s">
        <v>74</v>
      </c>
      <c r="E1228" t="s">
        <v>74</v>
      </c>
      <c r="F1228" t="s">
        <v>22635</v>
      </c>
      <c r="G1228" t="s">
        <v>74</v>
      </c>
      <c r="H1228" t="s">
        <v>74</v>
      </c>
      <c r="I1228" t="s">
        <v>22636</v>
      </c>
      <c r="J1228" t="s">
        <v>4393</v>
      </c>
      <c r="K1228" t="s">
        <v>74</v>
      </c>
      <c r="L1228" t="s">
        <v>74</v>
      </c>
      <c r="M1228" t="s">
        <v>79</v>
      </c>
      <c r="N1228" t="s">
        <v>108</v>
      </c>
      <c r="O1228" t="s">
        <v>74</v>
      </c>
      <c r="P1228" t="s">
        <v>74</v>
      </c>
      <c r="Q1228" t="s">
        <v>74</v>
      </c>
      <c r="R1228" t="s">
        <v>74</v>
      </c>
      <c r="S1228" t="s">
        <v>74</v>
      </c>
      <c r="T1228" t="s">
        <v>22637</v>
      </c>
      <c r="U1228" t="s">
        <v>74</v>
      </c>
      <c r="V1228" t="s">
        <v>22638</v>
      </c>
      <c r="W1228" t="s">
        <v>22639</v>
      </c>
      <c r="X1228" t="s">
        <v>22640</v>
      </c>
      <c r="Y1228" t="s">
        <v>22641</v>
      </c>
      <c r="Z1228" t="s">
        <v>22642</v>
      </c>
      <c r="AA1228" t="s">
        <v>22643</v>
      </c>
      <c r="AB1228" t="s">
        <v>22644</v>
      </c>
      <c r="AC1228" t="s">
        <v>74</v>
      </c>
      <c r="AD1228" t="s">
        <v>74</v>
      </c>
      <c r="AE1228" t="s">
        <v>74</v>
      </c>
      <c r="AF1228" t="s">
        <v>74</v>
      </c>
      <c r="AG1228">
        <v>54</v>
      </c>
      <c r="AH1228">
        <v>4</v>
      </c>
      <c r="AI1228">
        <v>4</v>
      </c>
      <c r="AJ1228">
        <v>4</v>
      </c>
      <c r="AK1228">
        <v>9</v>
      </c>
      <c r="AL1228" t="s">
        <v>939</v>
      </c>
      <c r="AM1228" t="s">
        <v>940</v>
      </c>
      <c r="AN1228" t="s">
        <v>941</v>
      </c>
      <c r="AO1228" t="s">
        <v>74</v>
      </c>
      <c r="AP1228" t="s">
        <v>4403</v>
      </c>
      <c r="AQ1228" t="s">
        <v>74</v>
      </c>
      <c r="AR1228" t="s">
        <v>4404</v>
      </c>
      <c r="AS1228" t="s">
        <v>4405</v>
      </c>
      <c r="AT1228" t="s">
        <v>2016</v>
      </c>
      <c r="AU1228">
        <v>2023</v>
      </c>
      <c r="AV1228">
        <v>9</v>
      </c>
      <c r="AW1228">
        <v>1</v>
      </c>
      <c r="AX1228" t="s">
        <v>74</v>
      </c>
      <c r="AY1228" t="s">
        <v>74</v>
      </c>
      <c r="AZ1228" t="s">
        <v>74</v>
      </c>
      <c r="BA1228" t="s">
        <v>74</v>
      </c>
      <c r="BB1228" t="s">
        <v>74</v>
      </c>
      <c r="BC1228" t="s">
        <v>74</v>
      </c>
      <c r="BD1228">
        <v>3</v>
      </c>
      <c r="BE1228" t="s">
        <v>22645</v>
      </c>
      <c r="BF1228" t="str">
        <f>HYPERLINK("http://dx.doi.org/10.3390/jimaging9010003","http://dx.doi.org/10.3390/jimaging9010003")</f>
        <v>http://dx.doi.org/10.3390/jimaging9010003</v>
      </c>
      <c r="BG1228" t="s">
        <v>74</v>
      </c>
      <c r="BH1228" t="s">
        <v>74</v>
      </c>
      <c r="BI1228">
        <v>11</v>
      </c>
      <c r="BJ1228" t="s">
        <v>4407</v>
      </c>
      <c r="BK1228" t="s">
        <v>352</v>
      </c>
      <c r="BL1228" t="s">
        <v>4407</v>
      </c>
      <c r="BM1228" t="s">
        <v>22646</v>
      </c>
      <c r="BN1228">
        <v>36662101</v>
      </c>
      <c r="BO1228" t="s">
        <v>4185</v>
      </c>
      <c r="BP1228" t="s">
        <v>74</v>
      </c>
      <c r="BQ1228" t="s">
        <v>74</v>
      </c>
      <c r="BR1228" t="s">
        <v>101</v>
      </c>
      <c r="BS1228" t="s">
        <v>22647</v>
      </c>
      <c r="BT1228" t="str">
        <f>HYPERLINK("https%3A%2F%2Fwww.webofscience.com%2Fwos%2Fwoscc%2Ffull-record%2FWOS:000922239300001","View Full Record in Web of Science")</f>
        <v>View Full Record in Web of Science</v>
      </c>
    </row>
    <row r="1229" spans="1:72" x14ac:dyDescent="0.2">
      <c r="A1229" t="s">
        <v>103</v>
      </c>
      <c r="B1229" t="s">
        <v>22648</v>
      </c>
      <c r="C1229" t="s">
        <v>74</v>
      </c>
      <c r="D1229" t="s">
        <v>74</v>
      </c>
      <c r="E1229" t="s">
        <v>74</v>
      </c>
      <c r="F1229" t="s">
        <v>22649</v>
      </c>
      <c r="G1229" t="s">
        <v>74</v>
      </c>
      <c r="H1229" t="s">
        <v>74</v>
      </c>
      <c r="I1229" t="s">
        <v>22650</v>
      </c>
      <c r="J1229" t="s">
        <v>22651</v>
      </c>
      <c r="K1229" t="s">
        <v>74</v>
      </c>
      <c r="L1229" t="s">
        <v>74</v>
      </c>
      <c r="M1229" t="s">
        <v>79</v>
      </c>
      <c r="N1229" t="s">
        <v>108</v>
      </c>
      <c r="O1229" t="s">
        <v>74</v>
      </c>
      <c r="P1229" t="s">
        <v>74</v>
      </c>
      <c r="Q1229" t="s">
        <v>74</v>
      </c>
      <c r="R1229" t="s">
        <v>74</v>
      </c>
      <c r="S1229" t="s">
        <v>74</v>
      </c>
      <c r="T1229" t="s">
        <v>74</v>
      </c>
      <c r="U1229" t="s">
        <v>74</v>
      </c>
      <c r="V1229" t="s">
        <v>22652</v>
      </c>
      <c r="W1229" t="s">
        <v>22653</v>
      </c>
      <c r="X1229" t="s">
        <v>22654</v>
      </c>
      <c r="Y1229" t="s">
        <v>22655</v>
      </c>
      <c r="Z1229" t="s">
        <v>22656</v>
      </c>
      <c r="AA1229" t="s">
        <v>74</v>
      </c>
      <c r="AB1229" t="s">
        <v>22657</v>
      </c>
      <c r="AC1229" t="s">
        <v>74</v>
      </c>
      <c r="AD1229" t="s">
        <v>74</v>
      </c>
      <c r="AE1229" t="s">
        <v>74</v>
      </c>
      <c r="AF1229" t="s">
        <v>74</v>
      </c>
      <c r="AG1229">
        <v>37</v>
      </c>
      <c r="AH1229">
        <v>3</v>
      </c>
      <c r="AI1229">
        <v>3</v>
      </c>
      <c r="AJ1229">
        <v>4</v>
      </c>
      <c r="AK1229">
        <v>4</v>
      </c>
      <c r="AL1229" t="s">
        <v>547</v>
      </c>
      <c r="AM1229" t="s">
        <v>548</v>
      </c>
      <c r="AN1229" t="s">
        <v>549</v>
      </c>
      <c r="AO1229" t="s">
        <v>22658</v>
      </c>
      <c r="AP1229" t="s">
        <v>22659</v>
      </c>
      <c r="AQ1229" t="s">
        <v>74</v>
      </c>
      <c r="AR1229" t="s">
        <v>22660</v>
      </c>
      <c r="AS1229" t="s">
        <v>22661</v>
      </c>
      <c r="AT1229" t="s">
        <v>22662</v>
      </c>
      <c r="AU1229">
        <v>2023</v>
      </c>
      <c r="AV1229">
        <v>36</v>
      </c>
      <c r="AW1229">
        <v>8</v>
      </c>
      <c r="AX1229" t="s">
        <v>74</v>
      </c>
      <c r="AY1229" t="s">
        <v>74</v>
      </c>
      <c r="AZ1229" t="s">
        <v>74</v>
      </c>
      <c r="BA1229" t="s">
        <v>74</v>
      </c>
      <c r="BB1229">
        <v>1321</v>
      </c>
      <c r="BC1229">
        <v>1331</v>
      </c>
      <c r="BD1229" t="s">
        <v>74</v>
      </c>
      <c r="BE1229" t="s">
        <v>22663</v>
      </c>
      <c r="BF1229" t="str">
        <f>HYPERLINK("http://dx.doi.org/10.1021/acs.chemrestox.3c00058","http://dx.doi.org/10.1021/acs.chemrestox.3c00058")</f>
        <v>http://dx.doi.org/10.1021/acs.chemrestox.3c00058</v>
      </c>
      <c r="BG1229" t="s">
        <v>74</v>
      </c>
      <c r="BH1229" t="s">
        <v>255</v>
      </c>
      <c r="BI1229">
        <v>11</v>
      </c>
      <c r="BJ1229" t="s">
        <v>22664</v>
      </c>
      <c r="BK1229" t="s">
        <v>130</v>
      </c>
      <c r="BL1229" t="s">
        <v>22665</v>
      </c>
      <c r="BM1229" t="s">
        <v>22666</v>
      </c>
      <c r="BN1229">
        <v>37540590</v>
      </c>
      <c r="BO1229" t="s">
        <v>4863</v>
      </c>
      <c r="BP1229" t="s">
        <v>74</v>
      </c>
      <c r="BQ1229" t="s">
        <v>74</v>
      </c>
      <c r="BR1229" t="s">
        <v>101</v>
      </c>
      <c r="BS1229" t="s">
        <v>22667</v>
      </c>
      <c r="BT1229" t="str">
        <f>HYPERLINK("https%3A%2F%2Fwww.webofscience.com%2Fwos%2Fwoscc%2Ffull-record%2FWOS:001043222600001","View Full Record in Web of Science")</f>
        <v>View Full Record in Web of Science</v>
      </c>
    </row>
    <row r="1230" spans="1:72" x14ac:dyDescent="0.2">
      <c r="A1230" t="s">
        <v>72</v>
      </c>
      <c r="B1230" t="s">
        <v>22668</v>
      </c>
      <c r="C1230" t="s">
        <v>74</v>
      </c>
      <c r="D1230" t="s">
        <v>74</v>
      </c>
      <c r="E1230" t="s">
        <v>284</v>
      </c>
      <c r="F1230" t="s">
        <v>22669</v>
      </c>
      <c r="G1230" t="s">
        <v>74</v>
      </c>
      <c r="H1230" t="s">
        <v>74</v>
      </c>
      <c r="I1230" t="s">
        <v>22670</v>
      </c>
      <c r="J1230" t="s">
        <v>6787</v>
      </c>
      <c r="K1230" t="s">
        <v>6788</v>
      </c>
      <c r="L1230" t="s">
        <v>74</v>
      </c>
      <c r="M1230" t="s">
        <v>79</v>
      </c>
      <c r="N1230" t="s">
        <v>80</v>
      </c>
      <c r="O1230" t="s">
        <v>6789</v>
      </c>
      <c r="P1230" t="s">
        <v>6790</v>
      </c>
      <c r="Q1230" t="s">
        <v>2167</v>
      </c>
      <c r="R1230" t="s">
        <v>6791</v>
      </c>
      <c r="S1230" t="s">
        <v>74</v>
      </c>
      <c r="T1230" t="s">
        <v>74</v>
      </c>
      <c r="U1230" t="s">
        <v>22671</v>
      </c>
      <c r="V1230" t="s">
        <v>22672</v>
      </c>
      <c r="W1230" t="s">
        <v>22673</v>
      </c>
      <c r="X1230" t="s">
        <v>22674</v>
      </c>
      <c r="Y1230" t="s">
        <v>22675</v>
      </c>
      <c r="Z1230" t="s">
        <v>6797</v>
      </c>
      <c r="AA1230" t="s">
        <v>74</v>
      </c>
      <c r="AB1230" t="s">
        <v>74</v>
      </c>
      <c r="AC1230" t="s">
        <v>6798</v>
      </c>
      <c r="AD1230" t="s">
        <v>6799</v>
      </c>
      <c r="AE1230" t="s">
        <v>22676</v>
      </c>
      <c r="AF1230" t="s">
        <v>74</v>
      </c>
      <c r="AG1230">
        <v>37</v>
      </c>
      <c r="AH1230">
        <v>0</v>
      </c>
      <c r="AI1230">
        <v>0</v>
      </c>
      <c r="AJ1230">
        <v>0</v>
      </c>
      <c r="AK1230">
        <v>0</v>
      </c>
      <c r="AL1230" t="s">
        <v>284</v>
      </c>
      <c r="AM1230" t="s">
        <v>93</v>
      </c>
      <c r="AN1230" t="s">
        <v>299</v>
      </c>
      <c r="AO1230" t="s">
        <v>6801</v>
      </c>
      <c r="AP1230" t="s">
        <v>6802</v>
      </c>
      <c r="AQ1230" t="s">
        <v>6803</v>
      </c>
      <c r="AR1230" t="s">
        <v>6804</v>
      </c>
      <c r="AS1230" t="s">
        <v>74</v>
      </c>
      <c r="AT1230" t="s">
        <v>74</v>
      </c>
      <c r="AU1230">
        <v>2023</v>
      </c>
      <c r="AV1230" t="s">
        <v>74</v>
      </c>
      <c r="AW1230" t="s">
        <v>74</v>
      </c>
      <c r="AX1230" t="s">
        <v>74</v>
      </c>
      <c r="AY1230" t="s">
        <v>74</v>
      </c>
      <c r="AZ1230" t="s">
        <v>74</v>
      </c>
      <c r="BA1230" t="s">
        <v>74</v>
      </c>
      <c r="BB1230" t="s">
        <v>74</v>
      </c>
      <c r="BC1230" t="s">
        <v>74</v>
      </c>
      <c r="BD1230" t="s">
        <v>74</v>
      </c>
      <c r="BE1230" t="s">
        <v>22677</v>
      </c>
      <c r="BF1230" t="str">
        <f>HYPERLINK("http://dx.doi.org/10.1109/EMBC40787.2023.10341042","http://dx.doi.org/10.1109/EMBC40787.2023.10341042")</f>
        <v>http://dx.doi.org/10.1109/EMBC40787.2023.10341042</v>
      </c>
      <c r="BG1230" t="s">
        <v>74</v>
      </c>
      <c r="BH1230" t="s">
        <v>74</v>
      </c>
      <c r="BI1230">
        <v>7</v>
      </c>
      <c r="BJ1230" t="s">
        <v>6806</v>
      </c>
      <c r="BK1230" t="s">
        <v>98</v>
      </c>
      <c r="BL1230" t="s">
        <v>906</v>
      </c>
      <c r="BM1230" t="s">
        <v>6807</v>
      </c>
      <c r="BN1230">
        <v>38083579</v>
      </c>
      <c r="BO1230" t="s">
        <v>646</v>
      </c>
      <c r="BP1230" t="s">
        <v>74</v>
      </c>
      <c r="BQ1230" t="s">
        <v>74</v>
      </c>
      <c r="BR1230" t="s">
        <v>101</v>
      </c>
      <c r="BS1230" t="s">
        <v>22678</v>
      </c>
      <c r="BT1230" t="str">
        <f>HYPERLINK("https%3A%2F%2Fwww.webofscience.com%2Fwos%2Fwoscc%2Ffull-record%2FWOS:001133788304156","View Full Record in Web of Science")</f>
        <v>View Full Record in Web of Science</v>
      </c>
    </row>
    <row r="1231" spans="1:72" x14ac:dyDescent="0.2">
      <c r="A1231" t="s">
        <v>103</v>
      </c>
      <c r="B1231" t="s">
        <v>22679</v>
      </c>
      <c r="C1231" t="s">
        <v>74</v>
      </c>
      <c r="D1231" t="s">
        <v>74</v>
      </c>
      <c r="E1231" t="s">
        <v>74</v>
      </c>
      <c r="F1231" t="s">
        <v>22680</v>
      </c>
      <c r="G1231" t="s">
        <v>74</v>
      </c>
      <c r="H1231" t="s">
        <v>74</v>
      </c>
      <c r="I1231" t="s">
        <v>22681</v>
      </c>
      <c r="J1231" t="s">
        <v>22682</v>
      </c>
      <c r="K1231" t="s">
        <v>74</v>
      </c>
      <c r="L1231" t="s">
        <v>74</v>
      </c>
      <c r="M1231" t="s">
        <v>79</v>
      </c>
      <c r="N1231" t="s">
        <v>108</v>
      </c>
      <c r="O1231" t="s">
        <v>74</v>
      </c>
      <c r="P1231" t="s">
        <v>74</v>
      </c>
      <c r="Q1231" t="s">
        <v>74</v>
      </c>
      <c r="R1231" t="s">
        <v>74</v>
      </c>
      <c r="S1231" t="s">
        <v>74</v>
      </c>
      <c r="T1231" t="s">
        <v>22683</v>
      </c>
      <c r="U1231" t="s">
        <v>74</v>
      </c>
      <c r="V1231" t="s">
        <v>22684</v>
      </c>
      <c r="W1231" t="s">
        <v>22685</v>
      </c>
      <c r="X1231" t="s">
        <v>22686</v>
      </c>
      <c r="Y1231" t="s">
        <v>22687</v>
      </c>
      <c r="Z1231" t="s">
        <v>22688</v>
      </c>
      <c r="AA1231" t="s">
        <v>22689</v>
      </c>
      <c r="AB1231" t="s">
        <v>22690</v>
      </c>
      <c r="AC1231" t="s">
        <v>74</v>
      </c>
      <c r="AD1231" t="s">
        <v>74</v>
      </c>
      <c r="AE1231" t="s">
        <v>74</v>
      </c>
      <c r="AF1231" t="s">
        <v>74</v>
      </c>
      <c r="AG1231">
        <v>27</v>
      </c>
      <c r="AH1231">
        <v>52</v>
      </c>
      <c r="AI1231">
        <v>55</v>
      </c>
      <c r="AJ1231">
        <v>199</v>
      </c>
      <c r="AK1231">
        <v>300</v>
      </c>
      <c r="AL1231" t="s">
        <v>22691</v>
      </c>
      <c r="AM1231" t="s">
        <v>22692</v>
      </c>
      <c r="AN1231" t="s">
        <v>22693</v>
      </c>
      <c r="AO1231" t="s">
        <v>22694</v>
      </c>
      <c r="AP1231" t="s">
        <v>22695</v>
      </c>
      <c r="AQ1231" t="s">
        <v>74</v>
      </c>
      <c r="AR1231" t="s">
        <v>22696</v>
      </c>
      <c r="AS1231" t="s">
        <v>22697</v>
      </c>
      <c r="AT1231" t="s">
        <v>74</v>
      </c>
      <c r="AU1231">
        <v>2023</v>
      </c>
      <c r="AV1231">
        <v>40</v>
      </c>
      <c r="AW1231">
        <v>2</v>
      </c>
      <c r="AX1231" t="s">
        <v>74</v>
      </c>
      <c r="AY1231" t="s">
        <v>74</v>
      </c>
      <c r="AZ1231" t="s">
        <v>74</v>
      </c>
      <c r="BA1231" t="s">
        <v>74</v>
      </c>
      <c r="BB1231">
        <v>615</v>
      </c>
      <c r="BC1231">
        <v>622</v>
      </c>
      <c r="BD1231" t="s">
        <v>74</v>
      </c>
      <c r="BE1231" t="s">
        <v>22698</v>
      </c>
      <c r="BF1231" t="str">
        <f>HYPERLINK("http://dx.doi.org/10.5114/biolsport.2023.125623","http://dx.doi.org/10.5114/biolsport.2023.125623")</f>
        <v>http://dx.doi.org/10.5114/biolsport.2023.125623</v>
      </c>
      <c r="BG1231" t="s">
        <v>74</v>
      </c>
      <c r="BH1231" t="s">
        <v>74</v>
      </c>
      <c r="BI1231">
        <v>8</v>
      </c>
      <c r="BJ1231" t="s">
        <v>22699</v>
      </c>
      <c r="BK1231" t="s">
        <v>130</v>
      </c>
      <c r="BL1231" t="s">
        <v>22699</v>
      </c>
      <c r="BM1231" t="s">
        <v>22700</v>
      </c>
      <c r="BN1231">
        <v>37077800</v>
      </c>
      <c r="BO1231" t="s">
        <v>74</v>
      </c>
      <c r="BP1231" t="s">
        <v>1434</v>
      </c>
      <c r="BQ1231" t="s">
        <v>1912</v>
      </c>
      <c r="BR1231" t="s">
        <v>101</v>
      </c>
      <c r="BS1231" t="s">
        <v>22701</v>
      </c>
      <c r="BT1231" t="str">
        <f>HYPERLINK("https%3A%2F%2Fwww.webofscience.com%2Fwos%2Fwoscc%2Ffull-record%2FWOS:000972527400030","View Full Record in Web of Science")</f>
        <v>View Full Record in Web of Science</v>
      </c>
    </row>
    <row r="1232" spans="1:72" x14ac:dyDescent="0.2">
      <c r="A1232" t="s">
        <v>103</v>
      </c>
      <c r="B1232" t="s">
        <v>22121</v>
      </c>
      <c r="C1232" t="s">
        <v>74</v>
      </c>
      <c r="D1232" t="s">
        <v>74</v>
      </c>
      <c r="E1232" t="s">
        <v>74</v>
      </c>
      <c r="F1232" t="s">
        <v>22122</v>
      </c>
      <c r="G1232" t="s">
        <v>74</v>
      </c>
      <c r="H1232" t="s">
        <v>74</v>
      </c>
      <c r="I1232" t="s">
        <v>22702</v>
      </c>
      <c r="J1232" t="s">
        <v>1974</v>
      </c>
      <c r="K1232" t="s">
        <v>74</v>
      </c>
      <c r="L1232" t="s">
        <v>74</v>
      </c>
      <c r="M1232" t="s">
        <v>79</v>
      </c>
      <c r="N1232" t="s">
        <v>108</v>
      </c>
      <c r="O1232" t="s">
        <v>74</v>
      </c>
      <c r="P1232" t="s">
        <v>74</v>
      </c>
      <c r="Q1232" t="s">
        <v>74</v>
      </c>
      <c r="R1232" t="s">
        <v>74</v>
      </c>
      <c r="S1232" t="s">
        <v>74</v>
      </c>
      <c r="T1232" t="s">
        <v>22703</v>
      </c>
      <c r="U1232" t="s">
        <v>74</v>
      </c>
      <c r="V1232" t="s">
        <v>22704</v>
      </c>
      <c r="W1232" t="s">
        <v>22705</v>
      </c>
      <c r="X1232" t="s">
        <v>11487</v>
      </c>
      <c r="Y1232" t="s">
        <v>22706</v>
      </c>
      <c r="Z1232" t="s">
        <v>22130</v>
      </c>
      <c r="AA1232" t="s">
        <v>74</v>
      </c>
      <c r="AB1232" t="s">
        <v>22707</v>
      </c>
      <c r="AC1232" t="s">
        <v>22708</v>
      </c>
      <c r="AD1232" t="s">
        <v>22709</v>
      </c>
      <c r="AE1232" t="s">
        <v>22710</v>
      </c>
      <c r="AF1232" t="s">
        <v>74</v>
      </c>
      <c r="AG1232">
        <v>58</v>
      </c>
      <c r="AH1232">
        <v>4</v>
      </c>
      <c r="AI1232">
        <v>4</v>
      </c>
      <c r="AJ1232">
        <v>3</v>
      </c>
      <c r="AK1232">
        <v>5</v>
      </c>
      <c r="AL1232" t="s">
        <v>1987</v>
      </c>
      <c r="AM1232" t="s">
        <v>149</v>
      </c>
      <c r="AN1232" t="s">
        <v>1988</v>
      </c>
      <c r="AO1232" t="s">
        <v>1989</v>
      </c>
      <c r="AP1232" t="s">
        <v>74</v>
      </c>
      <c r="AQ1232" t="s">
        <v>74</v>
      </c>
      <c r="AR1232" t="s">
        <v>1990</v>
      </c>
      <c r="AS1232" t="s">
        <v>1991</v>
      </c>
      <c r="AT1232" t="s">
        <v>10301</v>
      </c>
      <c r="AU1232">
        <v>2023</v>
      </c>
      <c r="AV1232">
        <v>15</v>
      </c>
      <c r="AW1232">
        <v>1</v>
      </c>
      <c r="AX1232" t="s">
        <v>74</v>
      </c>
      <c r="AY1232" t="s">
        <v>74</v>
      </c>
      <c r="AZ1232" t="s">
        <v>74</v>
      </c>
      <c r="BA1232" t="s">
        <v>74</v>
      </c>
      <c r="BB1232" t="s">
        <v>74</v>
      </c>
      <c r="BC1232" t="s">
        <v>74</v>
      </c>
      <c r="BD1232">
        <v>55</v>
      </c>
      <c r="BE1232" t="s">
        <v>22711</v>
      </c>
      <c r="BF1232" t="str">
        <f>HYPERLINK("http://dx.doi.org/10.1186/s13321-023-00725-9","http://dx.doi.org/10.1186/s13321-023-00725-9")</f>
        <v>http://dx.doi.org/10.1186/s13321-023-00725-9</v>
      </c>
      <c r="BG1232" t="s">
        <v>74</v>
      </c>
      <c r="BH1232" t="s">
        <v>74</v>
      </c>
      <c r="BI1232">
        <v>13</v>
      </c>
      <c r="BJ1232" t="s">
        <v>1994</v>
      </c>
      <c r="BK1232" t="s">
        <v>130</v>
      </c>
      <c r="BL1232" t="s">
        <v>1995</v>
      </c>
      <c r="BM1232" t="s">
        <v>22712</v>
      </c>
      <c r="BN1232">
        <v>37248531</v>
      </c>
      <c r="BO1232" t="s">
        <v>12573</v>
      </c>
      <c r="BP1232" t="s">
        <v>74</v>
      </c>
      <c r="BQ1232" t="s">
        <v>74</v>
      </c>
      <c r="BR1232" t="s">
        <v>101</v>
      </c>
      <c r="BS1232" t="s">
        <v>22713</v>
      </c>
      <c r="BT1232" t="str">
        <f>HYPERLINK("https%3A%2F%2Fwww.webofscience.com%2Fwos%2Fwoscc%2Ffull-record%2FWOS:000997063500001","View Full Record in Web of Science")</f>
        <v>View Full Record in Web of Science</v>
      </c>
    </row>
    <row r="1233" spans="1:72" x14ac:dyDescent="0.2">
      <c r="A1233" t="s">
        <v>103</v>
      </c>
      <c r="B1233" t="s">
        <v>22714</v>
      </c>
      <c r="C1233" t="s">
        <v>74</v>
      </c>
      <c r="D1233" t="s">
        <v>74</v>
      </c>
      <c r="E1233" t="s">
        <v>74</v>
      </c>
      <c r="F1233" t="s">
        <v>22715</v>
      </c>
      <c r="G1233" t="s">
        <v>74</v>
      </c>
      <c r="H1233" t="s">
        <v>74</v>
      </c>
      <c r="I1233" t="s">
        <v>22716</v>
      </c>
      <c r="J1233" t="s">
        <v>22717</v>
      </c>
      <c r="K1233" t="s">
        <v>74</v>
      </c>
      <c r="L1233" t="s">
        <v>74</v>
      </c>
      <c r="M1233" t="s">
        <v>79</v>
      </c>
      <c r="N1233" t="s">
        <v>108</v>
      </c>
      <c r="O1233" t="s">
        <v>74</v>
      </c>
      <c r="P1233" t="s">
        <v>74</v>
      </c>
      <c r="Q1233" t="s">
        <v>74</v>
      </c>
      <c r="R1233" t="s">
        <v>74</v>
      </c>
      <c r="S1233" t="s">
        <v>74</v>
      </c>
      <c r="T1233" t="s">
        <v>22718</v>
      </c>
      <c r="U1233" t="s">
        <v>74</v>
      </c>
      <c r="V1233" t="s">
        <v>22719</v>
      </c>
      <c r="W1233" t="s">
        <v>22720</v>
      </c>
      <c r="X1233" t="s">
        <v>22721</v>
      </c>
      <c r="Y1233" t="s">
        <v>22722</v>
      </c>
      <c r="Z1233" t="s">
        <v>22723</v>
      </c>
      <c r="AA1233" t="s">
        <v>74</v>
      </c>
      <c r="AB1233" t="s">
        <v>74</v>
      </c>
      <c r="AC1233" t="s">
        <v>22724</v>
      </c>
      <c r="AD1233" t="s">
        <v>22725</v>
      </c>
      <c r="AE1233" t="s">
        <v>22726</v>
      </c>
      <c r="AF1233" t="s">
        <v>74</v>
      </c>
      <c r="AG1233">
        <v>59</v>
      </c>
      <c r="AH1233">
        <v>6</v>
      </c>
      <c r="AI1233">
        <v>6</v>
      </c>
      <c r="AJ1233">
        <v>10</v>
      </c>
      <c r="AK1233">
        <v>12</v>
      </c>
      <c r="AL1233" t="s">
        <v>764</v>
      </c>
      <c r="AM1233" t="s">
        <v>765</v>
      </c>
      <c r="AN1233" t="s">
        <v>766</v>
      </c>
      <c r="AO1233" t="s">
        <v>22727</v>
      </c>
      <c r="AP1233" t="s">
        <v>22728</v>
      </c>
      <c r="AQ1233" t="s">
        <v>74</v>
      </c>
      <c r="AR1233" t="s">
        <v>22729</v>
      </c>
      <c r="AS1233" t="s">
        <v>22730</v>
      </c>
      <c r="AT1233" t="s">
        <v>615</v>
      </c>
      <c r="AU1233">
        <v>2023</v>
      </c>
      <c r="AV1233">
        <v>135</v>
      </c>
      <c r="AW1233" t="s">
        <v>74</v>
      </c>
      <c r="AX1233" t="s">
        <v>74</v>
      </c>
      <c r="AY1233" t="s">
        <v>74</v>
      </c>
      <c r="AZ1233" t="s">
        <v>74</v>
      </c>
      <c r="BA1233" t="s">
        <v>74</v>
      </c>
      <c r="BB1233" t="s">
        <v>74</v>
      </c>
      <c r="BC1233" t="s">
        <v>74</v>
      </c>
      <c r="BD1233">
        <v>104688</v>
      </c>
      <c r="BE1233" t="s">
        <v>22731</v>
      </c>
      <c r="BF1233" t="str">
        <f>HYPERLINK("http://dx.doi.org/10.1016/j.imavis.2023.104688","http://dx.doi.org/10.1016/j.imavis.2023.104688")</f>
        <v>http://dx.doi.org/10.1016/j.imavis.2023.104688</v>
      </c>
      <c r="BG1233" t="s">
        <v>74</v>
      </c>
      <c r="BH1233" t="s">
        <v>2889</v>
      </c>
      <c r="BI1233">
        <v>9</v>
      </c>
      <c r="BJ1233" t="s">
        <v>22732</v>
      </c>
      <c r="BK1233" t="s">
        <v>130</v>
      </c>
      <c r="BL1233" t="s">
        <v>22733</v>
      </c>
      <c r="BM1233" t="s">
        <v>22734</v>
      </c>
      <c r="BN1233" t="s">
        <v>74</v>
      </c>
      <c r="BO1233" t="s">
        <v>646</v>
      </c>
      <c r="BP1233" t="s">
        <v>74</v>
      </c>
      <c r="BQ1233" t="s">
        <v>74</v>
      </c>
      <c r="BR1233" t="s">
        <v>101</v>
      </c>
      <c r="BS1233" t="s">
        <v>22735</v>
      </c>
      <c r="BT1233" t="str">
        <f>HYPERLINK("https%3A%2F%2Fwww.webofscience.com%2Fwos%2Fwoscc%2Ffull-record%2FWOS:001013125300001","View Full Record in Web of Science")</f>
        <v>View Full Record in Web of Science</v>
      </c>
    </row>
    <row r="1234" spans="1:72" x14ac:dyDescent="0.2">
      <c r="A1234" t="s">
        <v>103</v>
      </c>
      <c r="B1234" t="s">
        <v>22736</v>
      </c>
      <c r="C1234" t="s">
        <v>74</v>
      </c>
      <c r="D1234" t="s">
        <v>74</v>
      </c>
      <c r="E1234" t="s">
        <v>74</v>
      </c>
      <c r="F1234" t="s">
        <v>22737</v>
      </c>
      <c r="G1234" t="s">
        <v>74</v>
      </c>
      <c r="H1234" t="s">
        <v>74</v>
      </c>
      <c r="I1234" t="s">
        <v>22738</v>
      </c>
      <c r="J1234" t="s">
        <v>22739</v>
      </c>
      <c r="K1234" t="s">
        <v>74</v>
      </c>
      <c r="L1234" t="s">
        <v>74</v>
      </c>
      <c r="M1234" t="s">
        <v>79</v>
      </c>
      <c r="N1234" t="s">
        <v>108</v>
      </c>
      <c r="O1234" t="s">
        <v>74</v>
      </c>
      <c r="P1234" t="s">
        <v>74</v>
      </c>
      <c r="Q1234" t="s">
        <v>74</v>
      </c>
      <c r="R1234" t="s">
        <v>74</v>
      </c>
      <c r="S1234" t="s">
        <v>74</v>
      </c>
      <c r="T1234" t="s">
        <v>22740</v>
      </c>
      <c r="U1234" t="s">
        <v>74</v>
      </c>
      <c r="V1234" t="s">
        <v>22741</v>
      </c>
      <c r="W1234" t="s">
        <v>22742</v>
      </c>
      <c r="X1234" t="s">
        <v>22743</v>
      </c>
      <c r="Y1234" t="s">
        <v>22744</v>
      </c>
      <c r="Z1234" t="s">
        <v>22745</v>
      </c>
      <c r="AA1234" t="s">
        <v>74</v>
      </c>
      <c r="AB1234" t="s">
        <v>22746</v>
      </c>
      <c r="AC1234" t="s">
        <v>22747</v>
      </c>
      <c r="AD1234" t="s">
        <v>22748</v>
      </c>
      <c r="AE1234" t="s">
        <v>22749</v>
      </c>
      <c r="AF1234" t="s">
        <v>74</v>
      </c>
      <c r="AG1234">
        <v>23</v>
      </c>
      <c r="AH1234">
        <v>0</v>
      </c>
      <c r="AI1234">
        <v>0</v>
      </c>
      <c r="AJ1234">
        <v>2</v>
      </c>
      <c r="AK1234">
        <v>2</v>
      </c>
      <c r="AL1234" t="s">
        <v>3165</v>
      </c>
      <c r="AM1234" t="s">
        <v>3166</v>
      </c>
      <c r="AN1234" t="s">
        <v>3167</v>
      </c>
      <c r="AO1234" t="s">
        <v>22750</v>
      </c>
      <c r="AP1234" t="s">
        <v>22751</v>
      </c>
      <c r="AQ1234" t="s">
        <v>74</v>
      </c>
      <c r="AR1234" t="s">
        <v>22739</v>
      </c>
      <c r="AS1234" t="s">
        <v>22752</v>
      </c>
      <c r="AT1234" t="s">
        <v>126</v>
      </c>
      <c r="AU1234">
        <v>2024</v>
      </c>
      <c r="AV1234">
        <v>84</v>
      </c>
      <c r="AW1234">
        <v>4</v>
      </c>
      <c r="AX1234" t="s">
        <v>74</v>
      </c>
      <c r="AY1234" t="s">
        <v>74</v>
      </c>
      <c r="AZ1234" t="s">
        <v>74</v>
      </c>
      <c r="BA1234" t="s">
        <v>74</v>
      </c>
      <c r="BB1234">
        <v>601</v>
      </c>
      <c r="BC1234">
        <v>613</v>
      </c>
      <c r="BD1234" t="s">
        <v>74</v>
      </c>
      <c r="BE1234" t="s">
        <v>22753</v>
      </c>
      <c r="BF1234" t="str">
        <f>HYPERLINK("http://dx.doi.org/10.1111/his.15100","http://dx.doi.org/10.1111/his.15100")</f>
        <v>http://dx.doi.org/10.1111/his.15100</v>
      </c>
      <c r="BG1234" t="s">
        <v>74</v>
      </c>
      <c r="BH1234" t="s">
        <v>157</v>
      </c>
      <c r="BI1234">
        <v>13</v>
      </c>
      <c r="BJ1234" t="s">
        <v>22754</v>
      </c>
      <c r="BK1234" t="s">
        <v>130</v>
      </c>
      <c r="BL1234" t="s">
        <v>22754</v>
      </c>
      <c r="BM1234" t="s">
        <v>22755</v>
      </c>
      <c r="BN1234">
        <v>38032062</v>
      </c>
      <c r="BO1234" t="s">
        <v>161</v>
      </c>
      <c r="BP1234" t="s">
        <v>74</v>
      </c>
      <c r="BQ1234" t="s">
        <v>74</v>
      </c>
      <c r="BR1234" t="s">
        <v>101</v>
      </c>
      <c r="BS1234" t="s">
        <v>22756</v>
      </c>
      <c r="BT1234" t="str">
        <f>HYPERLINK("https%3A%2F%2Fwww.webofscience.com%2Fwos%2Fwoscc%2Ffull-record%2FWOS:001110930200001","View Full Record in Web of Science")</f>
        <v>View Full Record in Web of Science</v>
      </c>
    </row>
    <row r="1235" spans="1:72" x14ac:dyDescent="0.2">
      <c r="A1235" t="s">
        <v>103</v>
      </c>
      <c r="B1235" t="s">
        <v>22757</v>
      </c>
      <c r="C1235" t="s">
        <v>74</v>
      </c>
      <c r="D1235" t="s">
        <v>74</v>
      </c>
      <c r="E1235" t="s">
        <v>74</v>
      </c>
      <c r="F1235" t="s">
        <v>22758</v>
      </c>
      <c r="G1235" t="s">
        <v>74</v>
      </c>
      <c r="H1235" t="s">
        <v>74</v>
      </c>
      <c r="I1235" t="s">
        <v>22759</v>
      </c>
      <c r="J1235" t="s">
        <v>22760</v>
      </c>
      <c r="K1235" t="s">
        <v>74</v>
      </c>
      <c r="L1235" t="s">
        <v>74</v>
      </c>
      <c r="M1235" t="s">
        <v>79</v>
      </c>
      <c r="N1235" t="s">
        <v>138</v>
      </c>
      <c r="O1235" t="s">
        <v>74</v>
      </c>
      <c r="P1235" t="s">
        <v>74</v>
      </c>
      <c r="Q1235" t="s">
        <v>74</v>
      </c>
      <c r="R1235" t="s">
        <v>74</v>
      </c>
      <c r="S1235" t="s">
        <v>74</v>
      </c>
      <c r="T1235" t="s">
        <v>22761</v>
      </c>
      <c r="U1235" t="s">
        <v>22762</v>
      </c>
      <c r="V1235" t="s">
        <v>22763</v>
      </c>
      <c r="W1235" t="s">
        <v>22764</v>
      </c>
      <c r="X1235" t="s">
        <v>22765</v>
      </c>
      <c r="Y1235" t="s">
        <v>22766</v>
      </c>
      <c r="Z1235" t="s">
        <v>22767</v>
      </c>
      <c r="AA1235" t="s">
        <v>22768</v>
      </c>
      <c r="AB1235" t="s">
        <v>22769</v>
      </c>
      <c r="AC1235" t="s">
        <v>74</v>
      </c>
      <c r="AD1235" t="s">
        <v>74</v>
      </c>
      <c r="AE1235" t="s">
        <v>74</v>
      </c>
      <c r="AF1235" t="s">
        <v>74</v>
      </c>
      <c r="AG1235">
        <v>30</v>
      </c>
      <c r="AH1235">
        <v>0</v>
      </c>
      <c r="AI1235">
        <v>0</v>
      </c>
      <c r="AJ1235">
        <v>9</v>
      </c>
      <c r="AK1235">
        <v>9</v>
      </c>
      <c r="AL1235" t="s">
        <v>2148</v>
      </c>
      <c r="AM1235" t="s">
        <v>2149</v>
      </c>
      <c r="AN1235" t="s">
        <v>2150</v>
      </c>
      <c r="AO1235" t="s">
        <v>22770</v>
      </c>
      <c r="AP1235" t="s">
        <v>22771</v>
      </c>
      <c r="AQ1235" t="s">
        <v>74</v>
      </c>
      <c r="AR1235" t="s">
        <v>22772</v>
      </c>
      <c r="AS1235" t="s">
        <v>22773</v>
      </c>
      <c r="AT1235" t="s">
        <v>2038</v>
      </c>
      <c r="AU1235">
        <v>2023</v>
      </c>
      <c r="AV1235" t="s">
        <v>74</v>
      </c>
      <c r="AW1235" t="s">
        <v>74</v>
      </c>
      <c r="AX1235" t="s">
        <v>74</v>
      </c>
      <c r="AY1235" t="s">
        <v>74</v>
      </c>
      <c r="AZ1235" t="s">
        <v>74</v>
      </c>
      <c r="BA1235" t="s">
        <v>74</v>
      </c>
      <c r="BB1235" t="s">
        <v>74</v>
      </c>
      <c r="BC1235" t="s">
        <v>74</v>
      </c>
      <c r="BD1235" t="s">
        <v>74</v>
      </c>
      <c r="BE1235" t="s">
        <v>22774</v>
      </c>
      <c r="BF1235" t="str">
        <f>HYPERLINK("http://dx.doi.org/10.1093/cid/ciad632","http://dx.doi.org/10.1093/cid/ciad632")</f>
        <v>http://dx.doi.org/10.1093/cid/ciad632</v>
      </c>
      <c r="BG1235" t="s">
        <v>74</v>
      </c>
      <c r="BH1235" t="s">
        <v>1886</v>
      </c>
      <c r="BI1235">
        <v>8</v>
      </c>
      <c r="BJ1235" t="s">
        <v>22775</v>
      </c>
      <c r="BK1235" t="s">
        <v>130</v>
      </c>
      <c r="BL1235" t="s">
        <v>22775</v>
      </c>
      <c r="BM1235" t="s">
        <v>22776</v>
      </c>
      <c r="BN1235">
        <v>37823416</v>
      </c>
      <c r="BO1235" t="s">
        <v>74</v>
      </c>
      <c r="BP1235" t="s">
        <v>74</v>
      </c>
      <c r="BQ1235" t="s">
        <v>74</v>
      </c>
      <c r="BR1235" t="s">
        <v>101</v>
      </c>
      <c r="BS1235" t="s">
        <v>22777</v>
      </c>
      <c r="BT1235" t="str">
        <f>HYPERLINK("https%3A%2F%2Fwww.webofscience.com%2Fwos%2Fwoscc%2Ffull-record%2FWOS:001098084600001","View Full Record in Web of Science")</f>
        <v>View Full Record in Web of Science</v>
      </c>
    </row>
    <row r="1236" spans="1:72" x14ac:dyDescent="0.2">
      <c r="A1236" t="s">
        <v>103</v>
      </c>
      <c r="B1236" t="s">
        <v>22778</v>
      </c>
      <c r="C1236" t="s">
        <v>74</v>
      </c>
      <c r="D1236" t="s">
        <v>74</v>
      </c>
      <c r="E1236" t="s">
        <v>74</v>
      </c>
      <c r="F1236" t="s">
        <v>22779</v>
      </c>
      <c r="G1236" t="s">
        <v>74</v>
      </c>
      <c r="H1236" t="s">
        <v>74</v>
      </c>
      <c r="I1236" t="s">
        <v>22780</v>
      </c>
      <c r="J1236" t="s">
        <v>22781</v>
      </c>
      <c r="K1236" t="s">
        <v>74</v>
      </c>
      <c r="L1236" t="s">
        <v>74</v>
      </c>
      <c r="M1236" t="s">
        <v>79</v>
      </c>
      <c r="N1236" t="s">
        <v>138</v>
      </c>
      <c r="O1236" t="s">
        <v>74</v>
      </c>
      <c r="P1236" t="s">
        <v>74</v>
      </c>
      <c r="Q1236" t="s">
        <v>74</v>
      </c>
      <c r="R1236" t="s">
        <v>74</v>
      </c>
      <c r="S1236" t="s">
        <v>74</v>
      </c>
      <c r="T1236" t="s">
        <v>22782</v>
      </c>
      <c r="U1236" t="s">
        <v>74</v>
      </c>
      <c r="V1236" t="s">
        <v>22783</v>
      </c>
      <c r="W1236" t="s">
        <v>22784</v>
      </c>
      <c r="X1236" t="s">
        <v>22785</v>
      </c>
      <c r="Y1236" t="s">
        <v>22786</v>
      </c>
      <c r="Z1236" t="s">
        <v>22787</v>
      </c>
      <c r="AA1236" t="s">
        <v>22788</v>
      </c>
      <c r="AB1236" t="s">
        <v>22789</v>
      </c>
      <c r="AC1236" t="s">
        <v>22790</v>
      </c>
      <c r="AD1236" t="s">
        <v>22791</v>
      </c>
      <c r="AE1236" t="s">
        <v>22792</v>
      </c>
      <c r="AF1236" t="s">
        <v>74</v>
      </c>
      <c r="AG1236">
        <v>23</v>
      </c>
      <c r="AH1236">
        <v>0</v>
      </c>
      <c r="AI1236">
        <v>0</v>
      </c>
      <c r="AJ1236">
        <v>4</v>
      </c>
      <c r="AK1236">
        <v>4</v>
      </c>
      <c r="AL1236" t="s">
        <v>809</v>
      </c>
      <c r="AM1236" t="s">
        <v>810</v>
      </c>
      <c r="AN1236" t="s">
        <v>811</v>
      </c>
      <c r="AO1236" t="s">
        <v>22793</v>
      </c>
      <c r="AP1236" t="s">
        <v>22794</v>
      </c>
      <c r="AQ1236" t="s">
        <v>74</v>
      </c>
      <c r="AR1236" t="s">
        <v>22795</v>
      </c>
      <c r="AS1236" t="s">
        <v>22796</v>
      </c>
      <c r="AT1236" t="s">
        <v>22797</v>
      </c>
      <c r="AU1236">
        <v>2023</v>
      </c>
      <c r="AV1236" t="s">
        <v>74</v>
      </c>
      <c r="AW1236" t="s">
        <v>74</v>
      </c>
      <c r="AX1236" t="s">
        <v>74</v>
      </c>
      <c r="AY1236" t="s">
        <v>74</v>
      </c>
      <c r="AZ1236" t="s">
        <v>74</v>
      </c>
      <c r="BA1236" t="s">
        <v>74</v>
      </c>
      <c r="BB1236" t="s">
        <v>74</v>
      </c>
      <c r="BC1236" t="s">
        <v>74</v>
      </c>
      <c r="BD1236" t="s">
        <v>74</v>
      </c>
      <c r="BE1236" t="s">
        <v>22798</v>
      </c>
      <c r="BF1236" t="str">
        <f>HYPERLINK("http://dx.doi.org/10.2478/jdis-2023-0014","http://dx.doi.org/10.2478/jdis-2023-0014")</f>
        <v>http://dx.doi.org/10.2478/jdis-2023-0014</v>
      </c>
      <c r="BG1236" t="s">
        <v>74</v>
      </c>
      <c r="BH1236" t="s">
        <v>1910</v>
      </c>
      <c r="BI1236">
        <v>10</v>
      </c>
      <c r="BJ1236" t="s">
        <v>1016</v>
      </c>
      <c r="BK1236" t="s">
        <v>352</v>
      </c>
      <c r="BL1236" t="s">
        <v>1016</v>
      </c>
      <c r="BM1236" t="s">
        <v>22799</v>
      </c>
      <c r="BN1236" t="s">
        <v>74</v>
      </c>
      <c r="BO1236" t="s">
        <v>425</v>
      </c>
      <c r="BP1236" t="s">
        <v>74</v>
      </c>
      <c r="BQ1236" t="s">
        <v>74</v>
      </c>
      <c r="BR1236" t="s">
        <v>101</v>
      </c>
      <c r="BS1236" t="s">
        <v>22800</v>
      </c>
      <c r="BT1236" t="str">
        <f>HYPERLINK("https%3A%2F%2Fwww.webofscience.com%2Fwos%2Fwoscc%2Ffull-record%2FWOS:001002837900001","View Full Record in Web of Science")</f>
        <v>View Full Record in Web of Science</v>
      </c>
    </row>
    <row r="1237" spans="1:72" x14ac:dyDescent="0.2">
      <c r="A1237" t="s">
        <v>103</v>
      </c>
      <c r="B1237" t="s">
        <v>22801</v>
      </c>
      <c r="C1237" t="s">
        <v>74</v>
      </c>
      <c r="D1237" t="s">
        <v>74</v>
      </c>
      <c r="E1237" t="s">
        <v>74</v>
      </c>
      <c r="F1237" t="s">
        <v>22802</v>
      </c>
      <c r="G1237" t="s">
        <v>74</v>
      </c>
      <c r="H1237" t="s">
        <v>74</v>
      </c>
      <c r="I1237" t="s">
        <v>22803</v>
      </c>
      <c r="J1237" t="s">
        <v>22804</v>
      </c>
      <c r="K1237" t="s">
        <v>74</v>
      </c>
      <c r="L1237" t="s">
        <v>74</v>
      </c>
      <c r="M1237" t="s">
        <v>79</v>
      </c>
      <c r="N1237" t="s">
        <v>138</v>
      </c>
      <c r="O1237" t="s">
        <v>74</v>
      </c>
      <c r="P1237" t="s">
        <v>74</v>
      </c>
      <c r="Q1237" t="s">
        <v>74</v>
      </c>
      <c r="R1237" t="s">
        <v>74</v>
      </c>
      <c r="S1237" t="s">
        <v>74</v>
      </c>
      <c r="T1237" t="s">
        <v>22805</v>
      </c>
      <c r="U1237" t="s">
        <v>74</v>
      </c>
      <c r="V1237" t="s">
        <v>22806</v>
      </c>
      <c r="W1237" t="s">
        <v>22807</v>
      </c>
      <c r="X1237" t="s">
        <v>22808</v>
      </c>
      <c r="Y1237" t="s">
        <v>22809</v>
      </c>
      <c r="Z1237" t="s">
        <v>22810</v>
      </c>
      <c r="AA1237" t="s">
        <v>22811</v>
      </c>
      <c r="AB1237" t="s">
        <v>22812</v>
      </c>
      <c r="AC1237" t="s">
        <v>22813</v>
      </c>
      <c r="AD1237" t="s">
        <v>22813</v>
      </c>
      <c r="AE1237" t="s">
        <v>3401</v>
      </c>
      <c r="AF1237" t="s">
        <v>74</v>
      </c>
      <c r="AG1237">
        <v>20</v>
      </c>
      <c r="AH1237">
        <v>0</v>
      </c>
      <c r="AI1237">
        <v>0</v>
      </c>
      <c r="AJ1237">
        <v>1</v>
      </c>
      <c r="AK1237">
        <v>1</v>
      </c>
      <c r="AL1237" t="s">
        <v>22814</v>
      </c>
      <c r="AM1237" t="s">
        <v>5012</v>
      </c>
      <c r="AN1237" t="s">
        <v>22815</v>
      </c>
      <c r="AO1237" t="s">
        <v>22816</v>
      </c>
      <c r="AP1237" t="s">
        <v>22817</v>
      </c>
      <c r="AQ1237" t="s">
        <v>74</v>
      </c>
      <c r="AR1237" t="s">
        <v>22818</v>
      </c>
      <c r="AS1237" t="s">
        <v>22819</v>
      </c>
      <c r="AT1237" t="s">
        <v>4303</v>
      </c>
      <c r="AU1237">
        <v>2023</v>
      </c>
      <c r="AV1237" t="s">
        <v>74</v>
      </c>
      <c r="AW1237" t="s">
        <v>74</v>
      </c>
      <c r="AX1237" t="s">
        <v>74</v>
      </c>
      <c r="AY1237" t="s">
        <v>74</v>
      </c>
      <c r="AZ1237" t="s">
        <v>74</v>
      </c>
      <c r="BA1237" t="s">
        <v>74</v>
      </c>
      <c r="BB1237" t="s">
        <v>74</v>
      </c>
      <c r="BC1237" t="s">
        <v>74</v>
      </c>
      <c r="BD1237" t="s">
        <v>74</v>
      </c>
      <c r="BE1237" t="s">
        <v>22820</v>
      </c>
      <c r="BF1237" t="str">
        <f>HYPERLINK("http://dx.doi.org/10.1007/s41324-023-00567-5","http://dx.doi.org/10.1007/s41324-023-00567-5")</f>
        <v>http://dx.doi.org/10.1007/s41324-023-00567-5</v>
      </c>
      <c r="BG1237" t="s">
        <v>74</v>
      </c>
      <c r="BH1237" t="s">
        <v>128</v>
      </c>
      <c r="BI1237">
        <v>8</v>
      </c>
      <c r="BJ1237" t="s">
        <v>15679</v>
      </c>
      <c r="BK1237" t="s">
        <v>352</v>
      </c>
      <c r="BL1237" t="s">
        <v>15679</v>
      </c>
      <c r="BM1237" t="s">
        <v>22821</v>
      </c>
      <c r="BN1237" t="s">
        <v>74</v>
      </c>
      <c r="BO1237" t="s">
        <v>161</v>
      </c>
      <c r="BP1237" t="s">
        <v>74</v>
      </c>
      <c r="BQ1237" t="s">
        <v>74</v>
      </c>
      <c r="BR1237" t="s">
        <v>101</v>
      </c>
      <c r="BS1237" t="s">
        <v>22822</v>
      </c>
      <c r="BT1237" t="str">
        <f>HYPERLINK("https%3A%2F%2Fwww.webofscience.com%2Fwos%2Fwoscc%2Ffull-record%2FWOS:001122222400001","View Full Record in Web of Science")</f>
        <v>View Full Record in Web of Science</v>
      </c>
    </row>
    <row r="1238" spans="1:72" x14ac:dyDescent="0.2">
      <c r="A1238" t="s">
        <v>72</v>
      </c>
      <c r="B1238" t="s">
        <v>22823</v>
      </c>
      <c r="C1238" t="s">
        <v>74</v>
      </c>
      <c r="D1238" t="s">
        <v>74</v>
      </c>
      <c r="E1238" t="s">
        <v>284</v>
      </c>
      <c r="F1238" t="s">
        <v>22824</v>
      </c>
      <c r="G1238" t="s">
        <v>74</v>
      </c>
      <c r="H1238" t="s">
        <v>74</v>
      </c>
      <c r="I1238" t="s">
        <v>22825</v>
      </c>
      <c r="J1238" t="s">
        <v>8245</v>
      </c>
      <c r="K1238" t="s">
        <v>8246</v>
      </c>
      <c r="L1238" t="s">
        <v>74</v>
      </c>
      <c r="M1238" t="s">
        <v>79</v>
      </c>
      <c r="N1238" t="s">
        <v>80</v>
      </c>
      <c r="O1238" t="s">
        <v>8247</v>
      </c>
      <c r="P1238" t="s">
        <v>8248</v>
      </c>
      <c r="Q1238" t="s">
        <v>6017</v>
      </c>
      <c r="R1238" t="s">
        <v>8249</v>
      </c>
      <c r="S1238" t="s">
        <v>74</v>
      </c>
      <c r="T1238" t="s">
        <v>74</v>
      </c>
      <c r="U1238" t="s">
        <v>4206</v>
      </c>
      <c r="V1238" t="s">
        <v>22826</v>
      </c>
      <c r="W1238" t="s">
        <v>22827</v>
      </c>
      <c r="X1238" t="s">
        <v>22828</v>
      </c>
      <c r="Y1238" t="s">
        <v>22829</v>
      </c>
      <c r="Z1238" t="s">
        <v>22830</v>
      </c>
      <c r="AA1238" t="s">
        <v>74</v>
      </c>
      <c r="AB1238" t="s">
        <v>74</v>
      </c>
      <c r="AC1238" t="s">
        <v>74</v>
      </c>
      <c r="AD1238" t="s">
        <v>74</v>
      </c>
      <c r="AE1238" t="s">
        <v>74</v>
      </c>
      <c r="AF1238" t="s">
        <v>74</v>
      </c>
      <c r="AG1238">
        <v>86</v>
      </c>
      <c r="AH1238">
        <v>0</v>
      </c>
      <c r="AI1238">
        <v>0</v>
      </c>
      <c r="AJ1238">
        <v>3</v>
      </c>
      <c r="AK1238">
        <v>3</v>
      </c>
      <c r="AL1238" t="s">
        <v>638</v>
      </c>
      <c r="AM1238" t="s">
        <v>639</v>
      </c>
      <c r="AN1238" t="s">
        <v>640</v>
      </c>
      <c r="AO1238" t="s">
        <v>8260</v>
      </c>
      <c r="AP1238" t="s">
        <v>74</v>
      </c>
      <c r="AQ1238" t="s">
        <v>8261</v>
      </c>
      <c r="AR1238" t="s">
        <v>8262</v>
      </c>
      <c r="AS1238" t="s">
        <v>74</v>
      </c>
      <c r="AT1238" t="s">
        <v>74</v>
      </c>
      <c r="AU1238">
        <v>2023</v>
      </c>
      <c r="AV1238" t="s">
        <v>74</v>
      </c>
      <c r="AW1238" t="s">
        <v>74</v>
      </c>
      <c r="AX1238" t="s">
        <v>74</v>
      </c>
      <c r="AY1238" t="s">
        <v>74</v>
      </c>
      <c r="AZ1238" t="s">
        <v>74</v>
      </c>
      <c r="BA1238" t="s">
        <v>74</v>
      </c>
      <c r="BB1238">
        <v>12032</v>
      </c>
      <c r="BC1238">
        <v>12043</v>
      </c>
      <c r="BD1238" t="s">
        <v>74</v>
      </c>
      <c r="BE1238" t="s">
        <v>22831</v>
      </c>
      <c r="BF1238" t="str">
        <f>HYPERLINK("http://dx.doi.org/10.1109/CVPR52729.2023.01158","http://dx.doi.org/10.1109/CVPR52729.2023.01158")</f>
        <v>http://dx.doi.org/10.1109/CVPR52729.2023.01158</v>
      </c>
      <c r="BG1238" t="s">
        <v>74</v>
      </c>
      <c r="BH1238" t="s">
        <v>74</v>
      </c>
      <c r="BI1238">
        <v>12</v>
      </c>
      <c r="BJ1238" t="s">
        <v>304</v>
      </c>
      <c r="BK1238" t="s">
        <v>98</v>
      </c>
      <c r="BL1238" t="s">
        <v>99</v>
      </c>
      <c r="BM1238" t="s">
        <v>8264</v>
      </c>
      <c r="BN1238" t="s">
        <v>74</v>
      </c>
      <c r="BO1238" t="s">
        <v>646</v>
      </c>
      <c r="BP1238" t="s">
        <v>74</v>
      </c>
      <c r="BQ1238" t="s">
        <v>74</v>
      </c>
      <c r="BR1238" t="s">
        <v>101</v>
      </c>
      <c r="BS1238" t="s">
        <v>22832</v>
      </c>
      <c r="BT1238" t="str">
        <f>HYPERLINK("https%3A%2F%2Fwww.webofscience.com%2Fwos%2Fwoscc%2Ffull-record%2FWOS:001062522104034","View Full Record in Web of Science")</f>
        <v>View Full Record in Web of Science</v>
      </c>
    </row>
    <row r="1239" spans="1:72" x14ac:dyDescent="0.2">
      <c r="A1239" t="s">
        <v>72</v>
      </c>
      <c r="B1239" t="s">
        <v>22833</v>
      </c>
      <c r="C1239" t="s">
        <v>74</v>
      </c>
      <c r="D1239" t="s">
        <v>74</v>
      </c>
      <c r="E1239" t="s">
        <v>284</v>
      </c>
      <c r="F1239" t="s">
        <v>22834</v>
      </c>
      <c r="G1239" t="s">
        <v>74</v>
      </c>
      <c r="H1239" t="s">
        <v>74</v>
      </c>
      <c r="I1239" t="s">
        <v>22835</v>
      </c>
      <c r="J1239" t="s">
        <v>8245</v>
      </c>
      <c r="K1239" t="s">
        <v>8246</v>
      </c>
      <c r="L1239" t="s">
        <v>74</v>
      </c>
      <c r="M1239" t="s">
        <v>79</v>
      </c>
      <c r="N1239" t="s">
        <v>80</v>
      </c>
      <c r="O1239" t="s">
        <v>8247</v>
      </c>
      <c r="P1239" t="s">
        <v>8248</v>
      </c>
      <c r="Q1239" t="s">
        <v>6017</v>
      </c>
      <c r="R1239" t="s">
        <v>8249</v>
      </c>
      <c r="S1239" t="s">
        <v>74</v>
      </c>
      <c r="T1239" t="s">
        <v>74</v>
      </c>
      <c r="U1239" t="s">
        <v>74</v>
      </c>
      <c r="V1239" t="s">
        <v>22836</v>
      </c>
      <c r="W1239" t="s">
        <v>22837</v>
      </c>
      <c r="X1239" t="s">
        <v>22838</v>
      </c>
      <c r="Y1239" t="s">
        <v>22839</v>
      </c>
      <c r="Z1239" t="s">
        <v>22840</v>
      </c>
      <c r="AA1239" t="s">
        <v>74</v>
      </c>
      <c r="AB1239" t="s">
        <v>74</v>
      </c>
      <c r="AC1239" t="s">
        <v>22841</v>
      </c>
      <c r="AD1239" t="s">
        <v>22842</v>
      </c>
      <c r="AE1239" t="s">
        <v>22843</v>
      </c>
      <c r="AF1239" t="s">
        <v>74</v>
      </c>
      <c r="AG1239">
        <v>87</v>
      </c>
      <c r="AH1239">
        <v>0</v>
      </c>
      <c r="AI1239">
        <v>0</v>
      </c>
      <c r="AJ1239">
        <v>3</v>
      </c>
      <c r="AK1239">
        <v>3</v>
      </c>
      <c r="AL1239" t="s">
        <v>638</v>
      </c>
      <c r="AM1239" t="s">
        <v>639</v>
      </c>
      <c r="AN1239" t="s">
        <v>640</v>
      </c>
      <c r="AO1239" t="s">
        <v>8260</v>
      </c>
      <c r="AP1239" t="s">
        <v>74</v>
      </c>
      <c r="AQ1239" t="s">
        <v>8261</v>
      </c>
      <c r="AR1239" t="s">
        <v>8262</v>
      </c>
      <c r="AS1239" t="s">
        <v>74</v>
      </c>
      <c r="AT1239" t="s">
        <v>74</v>
      </c>
      <c r="AU1239">
        <v>2023</v>
      </c>
      <c r="AV1239" t="s">
        <v>74</v>
      </c>
      <c r="AW1239" t="s">
        <v>74</v>
      </c>
      <c r="AX1239" t="s">
        <v>74</v>
      </c>
      <c r="AY1239" t="s">
        <v>74</v>
      </c>
      <c r="AZ1239" t="s">
        <v>74</v>
      </c>
      <c r="BA1239" t="s">
        <v>74</v>
      </c>
      <c r="BB1239">
        <v>20887</v>
      </c>
      <c r="BC1239">
        <v>20897</v>
      </c>
      <c r="BD1239" t="s">
        <v>74</v>
      </c>
      <c r="BE1239" t="s">
        <v>22844</v>
      </c>
      <c r="BF1239" t="str">
        <f>HYPERLINK("http://dx.doi.org/10.1109/CVPR52729.2023.02001","http://dx.doi.org/10.1109/CVPR52729.2023.02001")</f>
        <v>http://dx.doi.org/10.1109/CVPR52729.2023.02001</v>
      </c>
      <c r="BG1239" t="s">
        <v>74</v>
      </c>
      <c r="BH1239" t="s">
        <v>74</v>
      </c>
      <c r="BI1239">
        <v>11</v>
      </c>
      <c r="BJ1239" t="s">
        <v>304</v>
      </c>
      <c r="BK1239" t="s">
        <v>98</v>
      </c>
      <c r="BL1239" t="s">
        <v>99</v>
      </c>
      <c r="BM1239" t="s">
        <v>9731</v>
      </c>
      <c r="BN1239" t="s">
        <v>74</v>
      </c>
      <c r="BO1239" t="s">
        <v>646</v>
      </c>
      <c r="BP1239" t="s">
        <v>74</v>
      </c>
      <c r="BQ1239" t="s">
        <v>74</v>
      </c>
      <c r="BR1239" t="s">
        <v>101</v>
      </c>
      <c r="BS1239" t="s">
        <v>22845</v>
      </c>
      <c r="BT1239" t="str">
        <f>HYPERLINK("https%3A%2F%2Fwww.webofscience.com%2Fwos%2Fwoscc%2Ffull-record%2FWOS:001062531305022","View Full Record in Web of Science")</f>
        <v>View Full Record in Web of Science</v>
      </c>
    </row>
    <row r="1240" spans="1:72" x14ac:dyDescent="0.2">
      <c r="A1240" t="s">
        <v>103</v>
      </c>
      <c r="B1240" t="s">
        <v>22846</v>
      </c>
      <c r="C1240" t="s">
        <v>74</v>
      </c>
      <c r="D1240" t="s">
        <v>74</v>
      </c>
      <c r="E1240" t="s">
        <v>74</v>
      </c>
      <c r="F1240" t="s">
        <v>22847</v>
      </c>
      <c r="G1240" t="s">
        <v>74</v>
      </c>
      <c r="H1240" t="s">
        <v>74</v>
      </c>
      <c r="I1240" t="s">
        <v>22848</v>
      </c>
      <c r="J1240" t="s">
        <v>22849</v>
      </c>
      <c r="K1240" t="s">
        <v>74</v>
      </c>
      <c r="L1240" t="s">
        <v>74</v>
      </c>
      <c r="M1240" t="s">
        <v>79</v>
      </c>
      <c r="N1240" t="s">
        <v>108</v>
      </c>
      <c r="O1240" t="s">
        <v>74</v>
      </c>
      <c r="P1240" t="s">
        <v>74</v>
      </c>
      <c r="Q1240" t="s">
        <v>74</v>
      </c>
      <c r="R1240" t="s">
        <v>74</v>
      </c>
      <c r="S1240" t="s">
        <v>74</v>
      </c>
      <c r="T1240" t="s">
        <v>22850</v>
      </c>
      <c r="U1240" t="s">
        <v>22851</v>
      </c>
      <c r="V1240" t="s">
        <v>22852</v>
      </c>
      <c r="W1240" t="s">
        <v>22853</v>
      </c>
      <c r="X1240" t="s">
        <v>22854</v>
      </c>
      <c r="Y1240" t="s">
        <v>22855</v>
      </c>
      <c r="Z1240" t="s">
        <v>74</v>
      </c>
      <c r="AA1240" t="s">
        <v>22856</v>
      </c>
      <c r="AB1240" t="s">
        <v>22857</v>
      </c>
      <c r="AC1240" t="s">
        <v>74</v>
      </c>
      <c r="AD1240" t="s">
        <v>74</v>
      </c>
      <c r="AE1240" t="s">
        <v>74</v>
      </c>
      <c r="AF1240" t="s">
        <v>74</v>
      </c>
      <c r="AG1240">
        <v>104</v>
      </c>
      <c r="AH1240">
        <v>1</v>
      </c>
      <c r="AI1240">
        <v>1</v>
      </c>
      <c r="AJ1240">
        <v>14</v>
      </c>
      <c r="AK1240">
        <v>14</v>
      </c>
      <c r="AL1240" t="s">
        <v>22858</v>
      </c>
      <c r="AM1240" t="s">
        <v>22859</v>
      </c>
      <c r="AN1240" t="s">
        <v>22860</v>
      </c>
      <c r="AO1240" t="s">
        <v>22861</v>
      </c>
      <c r="AP1240" t="s">
        <v>74</v>
      </c>
      <c r="AQ1240" t="s">
        <v>74</v>
      </c>
      <c r="AR1240" t="s">
        <v>22862</v>
      </c>
      <c r="AS1240" t="s">
        <v>22863</v>
      </c>
      <c r="AT1240" t="s">
        <v>467</v>
      </c>
      <c r="AU1240">
        <v>2023</v>
      </c>
      <c r="AV1240">
        <v>27</v>
      </c>
      <c r="AW1240">
        <v>3</v>
      </c>
      <c r="AX1240" t="s">
        <v>74</v>
      </c>
      <c r="AY1240" t="s">
        <v>74</v>
      </c>
      <c r="AZ1240" t="s">
        <v>74</v>
      </c>
      <c r="BA1240" t="s">
        <v>74</v>
      </c>
      <c r="BB1240">
        <v>6</v>
      </c>
      <c r="BC1240">
        <v>26</v>
      </c>
      <c r="BD1240" t="s">
        <v>74</v>
      </c>
      <c r="BE1240" t="s">
        <v>74</v>
      </c>
      <c r="BF1240" t="s">
        <v>74</v>
      </c>
      <c r="BG1240" t="s">
        <v>74</v>
      </c>
      <c r="BH1240" t="s">
        <v>74</v>
      </c>
      <c r="BI1240">
        <v>21</v>
      </c>
      <c r="BJ1240" t="s">
        <v>2862</v>
      </c>
      <c r="BK1240" t="s">
        <v>159</v>
      </c>
      <c r="BL1240" t="s">
        <v>2862</v>
      </c>
      <c r="BM1240" t="s">
        <v>22864</v>
      </c>
      <c r="BN1240" t="s">
        <v>74</v>
      </c>
      <c r="BO1240" t="s">
        <v>74</v>
      </c>
      <c r="BP1240" t="s">
        <v>74</v>
      </c>
      <c r="BQ1240" t="s">
        <v>74</v>
      </c>
      <c r="BR1240" t="s">
        <v>101</v>
      </c>
      <c r="BS1240" t="s">
        <v>22865</v>
      </c>
      <c r="BT1240" t="str">
        <f>HYPERLINK("https%3A%2F%2Fwww.webofscience.com%2Fwos%2Fwoscc%2Ffull-record%2FWOS:001083711700002","View Full Record in Web of Science")</f>
        <v>View Full Record in Web of Science</v>
      </c>
    </row>
    <row r="1241" spans="1:72" x14ac:dyDescent="0.2">
      <c r="A1241" t="s">
        <v>72</v>
      </c>
      <c r="B1241" t="s">
        <v>22866</v>
      </c>
      <c r="C1241" t="s">
        <v>74</v>
      </c>
      <c r="D1241" t="s">
        <v>74</v>
      </c>
      <c r="E1241" t="s">
        <v>75</v>
      </c>
      <c r="F1241" t="s">
        <v>22867</v>
      </c>
      <c r="G1241" t="s">
        <v>74</v>
      </c>
      <c r="H1241" t="s">
        <v>74</v>
      </c>
      <c r="I1241" t="s">
        <v>22868</v>
      </c>
      <c r="J1241" t="s">
        <v>1264</v>
      </c>
      <c r="K1241" t="s">
        <v>74</v>
      </c>
      <c r="L1241" t="s">
        <v>74</v>
      </c>
      <c r="M1241" t="s">
        <v>79</v>
      </c>
      <c r="N1241" t="s">
        <v>80</v>
      </c>
      <c r="O1241" t="s">
        <v>1265</v>
      </c>
      <c r="P1241" t="s">
        <v>290</v>
      </c>
      <c r="Q1241" t="s">
        <v>1266</v>
      </c>
      <c r="R1241" t="s">
        <v>1267</v>
      </c>
      <c r="S1241" t="s">
        <v>74</v>
      </c>
      <c r="T1241" t="s">
        <v>74</v>
      </c>
      <c r="U1241" t="s">
        <v>22869</v>
      </c>
      <c r="V1241" t="s">
        <v>22870</v>
      </c>
      <c r="W1241" t="s">
        <v>22871</v>
      </c>
      <c r="X1241" t="s">
        <v>22838</v>
      </c>
      <c r="Y1241" t="s">
        <v>22872</v>
      </c>
      <c r="Z1241" t="s">
        <v>22873</v>
      </c>
      <c r="AA1241" t="s">
        <v>22874</v>
      </c>
      <c r="AB1241" t="s">
        <v>22875</v>
      </c>
      <c r="AC1241" t="s">
        <v>22876</v>
      </c>
      <c r="AD1241" t="s">
        <v>22877</v>
      </c>
      <c r="AE1241" t="s">
        <v>22878</v>
      </c>
      <c r="AF1241" t="s">
        <v>74</v>
      </c>
      <c r="AG1241">
        <v>64</v>
      </c>
      <c r="AH1241">
        <v>0</v>
      </c>
      <c r="AI1241">
        <v>0</v>
      </c>
      <c r="AJ1241">
        <v>0</v>
      </c>
      <c r="AK1241">
        <v>0</v>
      </c>
      <c r="AL1241" t="s">
        <v>92</v>
      </c>
      <c r="AM1241" t="s">
        <v>93</v>
      </c>
      <c r="AN1241" t="s">
        <v>94</v>
      </c>
      <c r="AO1241" t="s">
        <v>74</v>
      </c>
      <c r="AP1241" t="s">
        <v>74</v>
      </c>
      <c r="AQ1241" t="s">
        <v>1278</v>
      </c>
      <c r="AR1241" t="s">
        <v>74</v>
      </c>
      <c r="AS1241" t="s">
        <v>74</v>
      </c>
      <c r="AT1241" t="s">
        <v>74</v>
      </c>
      <c r="AU1241">
        <v>2023</v>
      </c>
      <c r="AV1241" t="s">
        <v>74</v>
      </c>
      <c r="AW1241" t="s">
        <v>74</v>
      </c>
      <c r="AX1241" t="s">
        <v>74</v>
      </c>
      <c r="AY1241" t="s">
        <v>74</v>
      </c>
      <c r="AZ1241" t="s">
        <v>74</v>
      </c>
      <c r="BA1241" t="s">
        <v>74</v>
      </c>
      <c r="BB1241">
        <v>1</v>
      </c>
      <c r="BC1241">
        <v>9</v>
      </c>
      <c r="BD1241" t="s">
        <v>74</v>
      </c>
      <c r="BE1241" t="s">
        <v>22879</v>
      </c>
      <c r="BF1241" t="str">
        <f>HYPERLINK("http://dx.doi.org/10.1145/3604237.3626892","http://dx.doi.org/10.1145/3604237.3626892")</f>
        <v>http://dx.doi.org/10.1145/3604237.3626892</v>
      </c>
      <c r="BG1241" t="s">
        <v>74</v>
      </c>
      <c r="BH1241" t="s">
        <v>74</v>
      </c>
      <c r="BI1241">
        <v>9</v>
      </c>
      <c r="BJ1241" t="s">
        <v>1280</v>
      </c>
      <c r="BK1241" t="s">
        <v>180</v>
      </c>
      <c r="BL1241" t="s">
        <v>1281</v>
      </c>
      <c r="BM1241" t="s">
        <v>1282</v>
      </c>
      <c r="BN1241" t="s">
        <v>74</v>
      </c>
      <c r="BO1241" t="s">
        <v>74</v>
      </c>
      <c r="BP1241" t="s">
        <v>74</v>
      </c>
      <c r="BQ1241" t="s">
        <v>74</v>
      </c>
      <c r="BR1241" t="s">
        <v>101</v>
      </c>
      <c r="BS1241" t="s">
        <v>22880</v>
      </c>
      <c r="BT1241" t="str">
        <f>HYPERLINK("https%3A%2F%2Fwww.webofscience.com%2Fwos%2Fwoscc%2Ffull-record%2FWOS:001124982700001","View Full Record in Web of Science")</f>
        <v>View Full Record in Web of Science</v>
      </c>
    </row>
    <row r="1242" spans="1:72" x14ac:dyDescent="0.2">
      <c r="A1242" t="s">
        <v>72</v>
      </c>
      <c r="B1242" t="s">
        <v>22881</v>
      </c>
      <c r="C1242" t="s">
        <v>74</v>
      </c>
      <c r="D1242" t="s">
        <v>74</v>
      </c>
      <c r="E1242" t="s">
        <v>284</v>
      </c>
      <c r="F1242" t="s">
        <v>22882</v>
      </c>
      <c r="G1242" t="s">
        <v>74</v>
      </c>
      <c r="H1242" t="s">
        <v>74</v>
      </c>
      <c r="I1242" t="s">
        <v>22883</v>
      </c>
      <c r="J1242" t="s">
        <v>8245</v>
      </c>
      <c r="K1242" t="s">
        <v>8246</v>
      </c>
      <c r="L1242" t="s">
        <v>74</v>
      </c>
      <c r="M1242" t="s">
        <v>79</v>
      </c>
      <c r="N1242" t="s">
        <v>80</v>
      </c>
      <c r="O1242" t="s">
        <v>8247</v>
      </c>
      <c r="P1242" t="s">
        <v>8248</v>
      </c>
      <c r="Q1242" t="s">
        <v>6017</v>
      </c>
      <c r="R1242" t="s">
        <v>8249</v>
      </c>
      <c r="S1242" t="s">
        <v>74</v>
      </c>
      <c r="T1242" t="s">
        <v>74</v>
      </c>
      <c r="U1242" t="s">
        <v>74</v>
      </c>
      <c r="V1242" t="s">
        <v>22884</v>
      </c>
      <c r="W1242" t="s">
        <v>22885</v>
      </c>
      <c r="X1242" t="s">
        <v>74</v>
      </c>
      <c r="Y1242" t="s">
        <v>22886</v>
      </c>
      <c r="Z1242" t="s">
        <v>22887</v>
      </c>
      <c r="AA1242" t="s">
        <v>74</v>
      </c>
      <c r="AB1242" t="s">
        <v>74</v>
      </c>
      <c r="AC1242" t="s">
        <v>74</v>
      </c>
      <c r="AD1242" t="s">
        <v>74</v>
      </c>
      <c r="AE1242" t="s">
        <v>74</v>
      </c>
      <c r="AF1242" t="s">
        <v>74</v>
      </c>
      <c r="AG1242">
        <v>79</v>
      </c>
      <c r="AH1242">
        <v>1</v>
      </c>
      <c r="AI1242">
        <v>1</v>
      </c>
      <c r="AJ1242">
        <v>2</v>
      </c>
      <c r="AK1242">
        <v>2</v>
      </c>
      <c r="AL1242" t="s">
        <v>638</v>
      </c>
      <c r="AM1242" t="s">
        <v>639</v>
      </c>
      <c r="AN1242" t="s">
        <v>640</v>
      </c>
      <c r="AO1242" t="s">
        <v>8260</v>
      </c>
      <c r="AP1242" t="s">
        <v>74</v>
      </c>
      <c r="AQ1242" t="s">
        <v>8261</v>
      </c>
      <c r="AR1242" t="s">
        <v>8262</v>
      </c>
      <c r="AS1242" t="s">
        <v>74</v>
      </c>
      <c r="AT1242" t="s">
        <v>74</v>
      </c>
      <c r="AU1242">
        <v>2023</v>
      </c>
      <c r="AV1242" t="s">
        <v>74</v>
      </c>
      <c r="AW1242" t="s">
        <v>74</v>
      </c>
      <c r="AX1242" t="s">
        <v>74</v>
      </c>
      <c r="AY1242" t="s">
        <v>74</v>
      </c>
      <c r="AZ1242" t="s">
        <v>74</v>
      </c>
      <c r="BA1242" t="s">
        <v>74</v>
      </c>
      <c r="BB1242">
        <v>20595</v>
      </c>
      <c r="BC1242">
        <v>20605</v>
      </c>
      <c r="BD1242" t="s">
        <v>74</v>
      </c>
      <c r="BE1242" t="s">
        <v>22888</v>
      </c>
      <c r="BF1242" t="str">
        <f>HYPERLINK("http://dx.doi.org/10.1109/CVPR52729.2023.01973","http://dx.doi.org/10.1109/CVPR52729.2023.01973")</f>
        <v>http://dx.doi.org/10.1109/CVPR52729.2023.01973</v>
      </c>
      <c r="BG1242" t="s">
        <v>74</v>
      </c>
      <c r="BH1242" t="s">
        <v>74</v>
      </c>
      <c r="BI1242">
        <v>11</v>
      </c>
      <c r="BJ1242" t="s">
        <v>304</v>
      </c>
      <c r="BK1242" t="s">
        <v>98</v>
      </c>
      <c r="BL1242" t="s">
        <v>99</v>
      </c>
      <c r="BM1242" t="s">
        <v>9731</v>
      </c>
      <c r="BN1242" t="s">
        <v>74</v>
      </c>
      <c r="BO1242" t="s">
        <v>646</v>
      </c>
      <c r="BP1242" t="s">
        <v>74</v>
      </c>
      <c r="BQ1242" t="s">
        <v>74</v>
      </c>
      <c r="BR1242" t="s">
        <v>101</v>
      </c>
      <c r="BS1242" t="s">
        <v>22889</v>
      </c>
      <c r="BT1242" t="str">
        <f>HYPERLINK("https%3A%2F%2Fwww.webofscience.com%2Fwos%2Fwoscc%2Ffull-record%2FWOS:001062531304089","View Full Record in Web of Science")</f>
        <v>View Full Record in Web of Science</v>
      </c>
    </row>
    <row r="1243" spans="1:72" x14ac:dyDescent="0.2">
      <c r="A1243" t="s">
        <v>103</v>
      </c>
      <c r="B1243" t="s">
        <v>22890</v>
      </c>
      <c r="C1243" t="s">
        <v>74</v>
      </c>
      <c r="D1243" t="s">
        <v>74</v>
      </c>
      <c r="E1243" t="s">
        <v>74</v>
      </c>
      <c r="F1243" t="s">
        <v>22891</v>
      </c>
      <c r="G1243" t="s">
        <v>74</v>
      </c>
      <c r="H1243" t="s">
        <v>74</v>
      </c>
      <c r="I1243" t="s">
        <v>22892</v>
      </c>
      <c r="J1243" t="s">
        <v>22893</v>
      </c>
      <c r="K1243" t="s">
        <v>74</v>
      </c>
      <c r="L1243" t="s">
        <v>74</v>
      </c>
      <c r="M1243" t="s">
        <v>79</v>
      </c>
      <c r="N1243" t="s">
        <v>108</v>
      </c>
      <c r="O1243" t="s">
        <v>74</v>
      </c>
      <c r="P1243" t="s">
        <v>74</v>
      </c>
      <c r="Q1243" t="s">
        <v>74</v>
      </c>
      <c r="R1243" t="s">
        <v>74</v>
      </c>
      <c r="S1243" t="s">
        <v>74</v>
      </c>
      <c r="T1243" t="s">
        <v>22894</v>
      </c>
      <c r="U1243" t="s">
        <v>22895</v>
      </c>
      <c r="V1243" t="s">
        <v>22896</v>
      </c>
      <c r="W1243" t="s">
        <v>22897</v>
      </c>
      <c r="X1243" t="s">
        <v>22898</v>
      </c>
      <c r="Y1243" t="s">
        <v>7198</v>
      </c>
      <c r="Z1243" t="s">
        <v>22899</v>
      </c>
      <c r="AA1243" t="s">
        <v>22900</v>
      </c>
      <c r="AB1243" t="s">
        <v>22901</v>
      </c>
      <c r="AC1243" t="s">
        <v>22902</v>
      </c>
      <c r="AD1243" t="s">
        <v>22903</v>
      </c>
      <c r="AE1243" t="s">
        <v>22904</v>
      </c>
      <c r="AF1243" t="s">
        <v>74</v>
      </c>
      <c r="AG1243">
        <v>91</v>
      </c>
      <c r="AH1243">
        <v>0</v>
      </c>
      <c r="AI1243">
        <v>0</v>
      </c>
      <c r="AJ1243">
        <v>4</v>
      </c>
      <c r="AK1243">
        <v>4</v>
      </c>
      <c r="AL1243" t="s">
        <v>764</v>
      </c>
      <c r="AM1243" t="s">
        <v>765</v>
      </c>
      <c r="AN1243" t="s">
        <v>766</v>
      </c>
      <c r="AO1243" t="s">
        <v>22905</v>
      </c>
      <c r="AP1243" t="s">
        <v>74</v>
      </c>
      <c r="AQ1243" t="s">
        <v>74</v>
      </c>
      <c r="AR1243" t="s">
        <v>22906</v>
      </c>
      <c r="AS1243" t="s">
        <v>22907</v>
      </c>
      <c r="AT1243" t="s">
        <v>12891</v>
      </c>
      <c r="AU1243">
        <v>2023</v>
      </c>
      <c r="AV1243">
        <v>96</v>
      </c>
      <c r="AW1243" t="s">
        <v>74</v>
      </c>
      <c r="AX1243" t="s">
        <v>74</v>
      </c>
      <c r="AY1243" t="s">
        <v>74</v>
      </c>
      <c r="AZ1243" t="s">
        <v>74</v>
      </c>
      <c r="BA1243" t="s">
        <v>74</v>
      </c>
      <c r="BB1243" t="s">
        <v>74</v>
      </c>
      <c r="BC1243" t="s">
        <v>74</v>
      </c>
      <c r="BD1243">
        <v>103972</v>
      </c>
      <c r="BE1243" t="s">
        <v>22908</v>
      </c>
      <c r="BF1243" t="str">
        <f>HYPERLINK("http://dx.doi.org/10.1016/j.ijdrr.2023.103972","http://dx.doi.org/10.1016/j.ijdrr.2023.103972")</f>
        <v>http://dx.doi.org/10.1016/j.ijdrr.2023.103972</v>
      </c>
      <c r="BG1243" t="s">
        <v>74</v>
      </c>
      <c r="BH1243" t="s">
        <v>278</v>
      </c>
      <c r="BI1243">
        <v>14</v>
      </c>
      <c r="BJ1243" t="s">
        <v>22909</v>
      </c>
      <c r="BK1243" t="s">
        <v>130</v>
      </c>
      <c r="BL1243" t="s">
        <v>22910</v>
      </c>
      <c r="BM1243" t="s">
        <v>22911</v>
      </c>
      <c r="BN1243" t="s">
        <v>74</v>
      </c>
      <c r="BO1243" t="s">
        <v>161</v>
      </c>
      <c r="BP1243" t="s">
        <v>74</v>
      </c>
      <c r="BQ1243" t="s">
        <v>74</v>
      </c>
      <c r="BR1243" t="s">
        <v>101</v>
      </c>
      <c r="BS1243" t="s">
        <v>22912</v>
      </c>
      <c r="BT1243" t="str">
        <f>HYPERLINK("https%3A%2F%2Fwww.webofscience.com%2Fwos%2Fwoscc%2Ffull-record%2FWOS:001095603500001","View Full Record in Web of Science")</f>
        <v>View Full Record in Web of Science</v>
      </c>
    </row>
    <row r="1244" spans="1:72" x14ac:dyDescent="0.2">
      <c r="A1244" t="s">
        <v>72</v>
      </c>
      <c r="B1244" t="s">
        <v>22913</v>
      </c>
      <c r="C1244" t="s">
        <v>74</v>
      </c>
      <c r="D1244" t="s">
        <v>74</v>
      </c>
      <c r="E1244" t="s">
        <v>75</v>
      </c>
      <c r="F1244" t="s">
        <v>22914</v>
      </c>
      <c r="G1244" t="s">
        <v>74</v>
      </c>
      <c r="H1244" t="s">
        <v>74</v>
      </c>
      <c r="I1244" t="s">
        <v>22915</v>
      </c>
      <c r="J1244" t="s">
        <v>2961</v>
      </c>
      <c r="K1244" t="s">
        <v>74</v>
      </c>
      <c r="L1244" t="s">
        <v>74</v>
      </c>
      <c r="M1244" t="s">
        <v>79</v>
      </c>
      <c r="N1244" t="s">
        <v>80</v>
      </c>
      <c r="O1244" t="s">
        <v>2962</v>
      </c>
      <c r="P1244" t="s">
        <v>2963</v>
      </c>
      <c r="Q1244" t="s">
        <v>2964</v>
      </c>
      <c r="R1244" t="s">
        <v>2965</v>
      </c>
      <c r="S1244" t="s">
        <v>74</v>
      </c>
      <c r="T1244" t="s">
        <v>22916</v>
      </c>
      <c r="U1244" t="s">
        <v>74</v>
      </c>
      <c r="V1244" t="s">
        <v>22917</v>
      </c>
      <c r="W1244" t="s">
        <v>22918</v>
      </c>
      <c r="X1244" t="s">
        <v>22919</v>
      </c>
      <c r="Y1244" t="s">
        <v>22920</v>
      </c>
      <c r="Z1244" t="s">
        <v>22921</v>
      </c>
      <c r="AA1244" t="s">
        <v>74</v>
      </c>
      <c r="AB1244" t="s">
        <v>22922</v>
      </c>
      <c r="AC1244" t="s">
        <v>22923</v>
      </c>
      <c r="AD1244" t="s">
        <v>6006</v>
      </c>
      <c r="AE1244" t="s">
        <v>22924</v>
      </c>
      <c r="AF1244" t="s">
        <v>74</v>
      </c>
      <c r="AG1244">
        <v>51</v>
      </c>
      <c r="AH1244">
        <v>0</v>
      </c>
      <c r="AI1244">
        <v>0</v>
      </c>
      <c r="AJ1244">
        <v>1</v>
      </c>
      <c r="AK1244">
        <v>1</v>
      </c>
      <c r="AL1244" t="s">
        <v>92</v>
      </c>
      <c r="AM1244" t="s">
        <v>93</v>
      </c>
      <c r="AN1244" t="s">
        <v>94</v>
      </c>
      <c r="AO1244" t="s">
        <v>74</v>
      </c>
      <c r="AP1244" t="s">
        <v>74</v>
      </c>
      <c r="AQ1244" t="s">
        <v>2972</v>
      </c>
      <c r="AR1244" t="s">
        <v>74</v>
      </c>
      <c r="AS1244" t="s">
        <v>74</v>
      </c>
      <c r="AT1244" t="s">
        <v>74</v>
      </c>
      <c r="AU1244">
        <v>2023</v>
      </c>
      <c r="AV1244" t="s">
        <v>74</v>
      </c>
      <c r="AW1244" t="s">
        <v>74</v>
      </c>
      <c r="AX1244" t="s">
        <v>74</v>
      </c>
      <c r="AY1244" t="s">
        <v>74</v>
      </c>
      <c r="AZ1244" t="s">
        <v>74</v>
      </c>
      <c r="BA1244" t="s">
        <v>74</v>
      </c>
      <c r="BB1244">
        <v>1324</v>
      </c>
      <c r="BC1244">
        <v>1334</v>
      </c>
      <c r="BD1244" t="s">
        <v>74</v>
      </c>
      <c r="BE1244" t="s">
        <v>22925</v>
      </c>
      <c r="BF1244" t="str">
        <f>HYPERLINK("http://dx.doi.org/10.1145/3543873.3587581","http://dx.doi.org/10.1145/3543873.3587581")</f>
        <v>http://dx.doi.org/10.1145/3543873.3587581</v>
      </c>
      <c r="BG1244" t="s">
        <v>74</v>
      </c>
      <c r="BH1244" t="s">
        <v>74</v>
      </c>
      <c r="BI1244">
        <v>11</v>
      </c>
      <c r="BJ1244" t="s">
        <v>1069</v>
      </c>
      <c r="BK1244" t="s">
        <v>98</v>
      </c>
      <c r="BL1244" t="s">
        <v>99</v>
      </c>
      <c r="BM1244" t="s">
        <v>2974</v>
      </c>
      <c r="BN1244" t="s">
        <v>74</v>
      </c>
      <c r="BO1244" t="s">
        <v>646</v>
      </c>
      <c r="BP1244" t="s">
        <v>74</v>
      </c>
      <c r="BQ1244" t="s">
        <v>74</v>
      </c>
      <c r="BR1244" t="s">
        <v>101</v>
      </c>
      <c r="BS1244" t="s">
        <v>22926</v>
      </c>
      <c r="BT1244" t="str">
        <f>HYPERLINK("https%3A%2F%2Fwww.webofscience.com%2Fwos%2Fwoscc%2Ffull-record%2FWOS:001124276300243","View Full Record in Web of Science")</f>
        <v>View Full Record in Web of Science</v>
      </c>
    </row>
    <row r="1245" spans="1:72" x14ac:dyDescent="0.2">
      <c r="A1245" t="s">
        <v>72</v>
      </c>
      <c r="B1245" t="s">
        <v>22927</v>
      </c>
      <c r="C1245" t="s">
        <v>74</v>
      </c>
      <c r="D1245" t="s">
        <v>74</v>
      </c>
      <c r="E1245" t="s">
        <v>284</v>
      </c>
      <c r="F1245" t="s">
        <v>22928</v>
      </c>
      <c r="G1245" t="s">
        <v>74</v>
      </c>
      <c r="H1245" t="s">
        <v>74</v>
      </c>
      <c r="I1245" t="s">
        <v>22929</v>
      </c>
      <c r="J1245" t="s">
        <v>22930</v>
      </c>
      <c r="K1245" t="s">
        <v>22931</v>
      </c>
      <c r="L1245" t="s">
        <v>74</v>
      </c>
      <c r="M1245" t="s">
        <v>79</v>
      </c>
      <c r="N1245" t="s">
        <v>80</v>
      </c>
      <c r="O1245" t="s">
        <v>22932</v>
      </c>
      <c r="P1245" t="s">
        <v>22933</v>
      </c>
      <c r="Q1245" t="s">
        <v>22934</v>
      </c>
      <c r="R1245" t="s">
        <v>22935</v>
      </c>
      <c r="S1245" t="s">
        <v>74</v>
      </c>
      <c r="T1245" t="s">
        <v>74</v>
      </c>
      <c r="U1245" t="s">
        <v>74</v>
      </c>
      <c r="V1245" t="s">
        <v>22936</v>
      </c>
      <c r="W1245" t="s">
        <v>22937</v>
      </c>
      <c r="X1245" t="s">
        <v>22938</v>
      </c>
      <c r="Y1245" t="s">
        <v>22939</v>
      </c>
      <c r="Z1245" t="s">
        <v>74</v>
      </c>
      <c r="AA1245" t="s">
        <v>74</v>
      </c>
      <c r="AB1245" t="s">
        <v>74</v>
      </c>
      <c r="AC1245" t="s">
        <v>22940</v>
      </c>
      <c r="AD1245" t="s">
        <v>22941</v>
      </c>
      <c r="AE1245" t="s">
        <v>22942</v>
      </c>
      <c r="AF1245" t="s">
        <v>74</v>
      </c>
      <c r="AG1245">
        <v>54</v>
      </c>
      <c r="AH1245">
        <v>0</v>
      </c>
      <c r="AI1245">
        <v>0</v>
      </c>
      <c r="AJ1245">
        <v>4</v>
      </c>
      <c r="AK1245">
        <v>4</v>
      </c>
      <c r="AL1245" t="s">
        <v>284</v>
      </c>
      <c r="AM1245" t="s">
        <v>93</v>
      </c>
      <c r="AN1245" t="s">
        <v>299</v>
      </c>
      <c r="AO1245" t="s">
        <v>22943</v>
      </c>
      <c r="AP1245" t="s">
        <v>74</v>
      </c>
      <c r="AQ1245" t="s">
        <v>22944</v>
      </c>
      <c r="AR1245" t="s">
        <v>22945</v>
      </c>
      <c r="AS1245" t="s">
        <v>74</v>
      </c>
      <c r="AT1245" t="s">
        <v>74</v>
      </c>
      <c r="AU1245">
        <v>2023</v>
      </c>
      <c r="AV1245" t="s">
        <v>74</v>
      </c>
      <c r="AW1245" t="s">
        <v>74</v>
      </c>
      <c r="AX1245" t="s">
        <v>74</v>
      </c>
      <c r="AY1245" t="s">
        <v>74</v>
      </c>
      <c r="AZ1245" t="s">
        <v>74</v>
      </c>
      <c r="BA1245" t="s">
        <v>74</v>
      </c>
      <c r="BB1245">
        <v>1916</v>
      </c>
      <c r="BC1245">
        <v>1923</v>
      </c>
      <c r="BD1245" t="s">
        <v>74</v>
      </c>
      <c r="BE1245" t="s">
        <v>22946</v>
      </c>
      <c r="BF1245" t="str">
        <f>HYPERLINK("http://dx.doi.org/10.1109/IROS55552.2023.10342382","http://dx.doi.org/10.1109/IROS55552.2023.10342382")</f>
        <v>http://dx.doi.org/10.1109/IROS55552.2023.10342382</v>
      </c>
      <c r="BG1245" t="s">
        <v>74</v>
      </c>
      <c r="BH1245" t="s">
        <v>74</v>
      </c>
      <c r="BI1245">
        <v>8</v>
      </c>
      <c r="BJ1245" t="s">
        <v>22947</v>
      </c>
      <c r="BK1245" t="s">
        <v>98</v>
      </c>
      <c r="BL1245" t="s">
        <v>1654</v>
      </c>
      <c r="BM1245" t="s">
        <v>22948</v>
      </c>
      <c r="BN1245" t="s">
        <v>74</v>
      </c>
      <c r="BO1245" t="s">
        <v>646</v>
      </c>
      <c r="BP1245" t="s">
        <v>74</v>
      </c>
      <c r="BQ1245" t="s">
        <v>74</v>
      </c>
      <c r="BR1245" t="s">
        <v>101</v>
      </c>
      <c r="BS1245" t="s">
        <v>22949</v>
      </c>
      <c r="BT1245" t="str">
        <f>HYPERLINK("https%3A%2F%2Fwww.webofscience.com%2Fwos%2Fwoscc%2Ffull-record%2FWOS:001133658801065","View Full Record in Web of Science")</f>
        <v>View Full Record in Web of Science</v>
      </c>
    </row>
    <row r="1246" spans="1:72" x14ac:dyDescent="0.2">
      <c r="A1246" t="s">
        <v>103</v>
      </c>
      <c r="B1246" t="s">
        <v>22950</v>
      </c>
      <c r="C1246" t="s">
        <v>74</v>
      </c>
      <c r="D1246" t="s">
        <v>74</v>
      </c>
      <c r="E1246" t="s">
        <v>74</v>
      </c>
      <c r="F1246" t="s">
        <v>22951</v>
      </c>
      <c r="G1246" t="s">
        <v>74</v>
      </c>
      <c r="H1246" t="s">
        <v>74</v>
      </c>
      <c r="I1246" t="s">
        <v>22952</v>
      </c>
      <c r="J1246" t="s">
        <v>12176</v>
      </c>
      <c r="K1246" t="s">
        <v>74</v>
      </c>
      <c r="L1246" t="s">
        <v>74</v>
      </c>
      <c r="M1246" t="s">
        <v>79</v>
      </c>
      <c r="N1246" t="s">
        <v>108</v>
      </c>
      <c r="O1246" t="s">
        <v>74</v>
      </c>
      <c r="P1246" t="s">
        <v>74</v>
      </c>
      <c r="Q1246" t="s">
        <v>74</v>
      </c>
      <c r="R1246" t="s">
        <v>74</v>
      </c>
      <c r="S1246" t="s">
        <v>74</v>
      </c>
      <c r="T1246" t="s">
        <v>22953</v>
      </c>
      <c r="U1246" t="s">
        <v>74</v>
      </c>
      <c r="V1246" t="s">
        <v>22954</v>
      </c>
      <c r="W1246" t="s">
        <v>22955</v>
      </c>
      <c r="X1246" t="s">
        <v>22956</v>
      </c>
      <c r="Y1246" t="s">
        <v>22957</v>
      </c>
      <c r="Z1246" t="s">
        <v>22958</v>
      </c>
      <c r="AA1246" t="s">
        <v>22959</v>
      </c>
      <c r="AB1246" t="s">
        <v>22960</v>
      </c>
      <c r="AC1246" t="s">
        <v>22961</v>
      </c>
      <c r="AD1246" t="s">
        <v>22962</v>
      </c>
      <c r="AE1246" t="s">
        <v>22963</v>
      </c>
      <c r="AF1246" t="s">
        <v>74</v>
      </c>
      <c r="AG1246">
        <v>52</v>
      </c>
      <c r="AH1246">
        <v>2</v>
      </c>
      <c r="AI1246">
        <v>2</v>
      </c>
      <c r="AJ1246">
        <v>63</v>
      </c>
      <c r="AK1246">
        <v>63</v>
      </c>
      <c r="AL1246" t="s">
        <v>764</v>
      </c>
      <c r="AM1246" t="s">
        <v>765</v>
      </c>
      <c r="AN1246" t="s">
        <v>766</v>
      </c>
      <c r="AO1246" t="s">
        <v>12189</v>
      </c>
      <c r="AP1246" t="s">
        <v>12190</v>
      </c>
      <c r="AQ1246" t="s">
        <v>74</v>
      </c>
      <c r="AR1246" t="s">
        <v>12176</v>
      </c>
      <c r="AS1246" t="s">
        <v>12191</v>
      </c>
      <c r="AT1246" t="s">
        <v>2779</v>
      </c>
      <c r="AU1246">
        <v>2023</v>
      </c>
      <c r="AV1246">
        <v>557</v>
      </c>
      <c r="AW1246" t="s">
        <v>74</v>
      </c>
      <c r="AX1246" t="s">
        <v>74</v>
      </c>
      <c r="AY1246" t="s">
        <v>74</v>
      </c>
      <c r="AZ1246" t="s">
        <v>74</v>
      </c>
      <c r="BA1246" t="s">
        <v>74</v>
      </c>
      <c r="BB1246" t="s">
        <v>74</v>
      </c>
      <c r="BC1246" t="s">
        <v>74</v>
      </c>
      <c r="BD1246">
        <v>126708</v>
      </c>
      <c r="BE1246" t="s">
        <v>22964</v>
      </c>
      <c r="BF1246" t="str">
        <f>HYPERLINK("http://dx.doi.org/10.1016/j.neucom.2023.126708","http://dx.doi.org/10.1016/j.neucom.2023.126708")</f>
        <v>http://dx.doi.org/10.1016/j.neucom.2023.126708</v>
      </c>
      <c r="BG1246" t="s">
        <v>74</v>
      </c>
      <c r="BH1246" t="s">
        <v>278</v>
      </c>
      <c r="BI1246">
        <v>17</v>
      </c>
      <c r="BJ1246" t="s">
        <v>304</v>
      </c>
      <c r="BK1246" t="s">
        <v>130</v>
      </c>
      <c r="BL1246" t="s">
        <v>99</v>
      </c>
      <c r="BM1246" t="s">
        <v>22965</v>
      </c>
      <c r="BN1246" t="s">
        <v>74</v>
      </c>
      <c r="BO1246" t="s">
        <v>2310</v>
      </c>
      <c r="BP1246" t="s">
        <v>74</v>
      </c>
      <c r="BQ1246" t="s">
        <v>74</v>
      </c>
      <c r="BR1246" t="s">
        <v>101</v>
      </c>
      <c r="BS1246" t="s">
        <v>22966</v>
      </c>
      <c r="BT1246" t="str">
        <f>HYPERLINK("https%3A%2F%2Fwww.webofscience.com%2Fwos%2Fwoscc%2Ffull-record%2FWOS:001074351000001","View Full Record in Web of Science")</f>
        <v>View Full Record in Web of Science</v>
      </c>
    </row>
    <row r="1247" spans="1:72" x14ac:dyDescent="0.2">
      <c r="A1247" t="s">
        <v>103</v>
      </c>
      <c r="B1247" t="s">
        <v>22967</v>
      </c>
      <c r="C1247" t="s">
        <v>74</v>
      </c>
      <c r="D1247" t="s">
        <v>74</v>
      </c>
      <c r="E1247" t="s">
        <v>74</v>
      </c>
      <c r="F1247" t="s">
        <v>22968</v>
      </c>
      <c r="G1247" t="s">
        <v>74</v>
      </c>
      <c r="H1247" t="s">
        <v>74</v>
      </c>
      <c r="I1247" t="s">
        <v>22969</v>
      </c>
      <c r="J1247" t="s">
        <v>19319</v>
      </c>
      <c r="K1247" t="s">
        <v>74</v>
      </c>
      <c r="L1247" t="s">
        <v>74</v>
      </c>
      <c r="M1247" t="s">
        <v>79</v>
      </c>
      <c r="N1247" t="s">
        <v>138</v>
      </c>
      <c r="O1247" t="s">
        <v>74</v>
      </c>
      <c r="P1247" t="s">
        <v>74</v>
      </c>
      <c r="Q1247" t="s">
        <v>74</v>
      </c>
      <c r="R1247" t="s">
        <v>74</v>
      </c>
      <c r="S1247" t="s">
        <v>74</v>
      </c>
      <c r="T1247" t="s">
        <v>22970</v>
      </c>
      <c r="U1247" t="s">
        <v>22971</v>
      </c>
      <c r="V1247" t="s">
        <v>22972</v>
      </c>
      <c r="W1247" t="s">
        <v>22973</v>
      </c>
      <c r="X1247" t="s">
        <v>22974</v>
      </c>
      <c r="Y1247" t="s">
        <v>22975</v>
      </c>
      <c r="Z1247" t="s">
        <v>22976</v>
      </c>
      <c r="AA1247" t="s">
        <v>22977</v>
      </c>
      <c r="AB1247" t="s">
        <v>22978</v>
      </c>
      <c r="AC1247" t="s">
        <v>74</v>
      </c>
      <c r="AD1247" t="s">
        <v>74</v>
      </c>
      <c r="AE1247" t="s">
        <v>74</v>
      </c>
      <c r="AF1247" t="s">
        <v>74</v>
      </c>
      <c r="AG1247">
        <v>68</v>
      </c>
      <c r="AH1247">
        <v>2</v>
      </c>
      <c r="AI1247">
        <v>2</v>
      </c>
      <c r="AJ1247">
        <v>67</v>
      </c>
      <c r="AK1247">
        <v>92</v>
      </c>
      <c r="AL1247" t="s">
        <v>19328</v>
      </c>
      <c r="AM1247" t="s">
        <v>19329</v>
      </c>
      <c r="AN1247" t="s">
        <v>19330</v>
      </c>
      <c r="AO1247" t="s">
        <v>19331</v>
      </c>
      <c r="AP1247" t="s">
        <v>19332</v>
      </c>
      <c r="AQ1247" t="s">
        <v>74</v>
      </c>
      <c r="AR1247" t="s">
        <v>19333</v>
      </c>
      <c r="AS1247" t="s">
        <v>19334</v>
      </c>
      <c r="AT1247" t="s">
        <v>20995</v>
      </c>
      <c r="AU1247">
        <v>2023</v>
      </c>
      <c r="AV1247" t="s">
        <v>74</v>
      </c>
      <c r="AW1247" t="s">
        <v>74</v>
      </c>
      <c r="AX1247" t="s">
        <v>74</v>
      </c>
      <c r="AY1247" t="s">
        <v>74</v>
      </c>
      <c r="AZ1247" t="s">
        <v>74</v>
      </c>
      <c r="BA1247" t="s">
        <v>74</v>
      </c>
      <c r="BB1247" t="s">
        <v>74</v>
      </c>
      <c r="BC1247" t="s">
        <v>74</v>
      </c>
      <c r="BD1247" t="s">
        <v>74</v>
      </c>
      <c r="BE1247" t="s">
        <v>22979</v>
      </c>
      <c r="BF1247" t="str">
        <f>HYPERLINK("http://dx.doi.org/10.1287/isre.2021.0599","http://dx.doi.org/10.1287/isre.2021.0599")</f>
        <v>http://dx.doi.org/10.1287/isre.2021.0599</v>
      </c>
      <c r="BG1247" t="s">
        <v>74</v>
      </c>
      <c r="BH1247" t="s">
        <v>229</v>
      </c>
      <c r="BI1247">
        <v>24</v>
      </c>
      <c r="BJ1247" t="s">
        <v>19336</v>
      </c>
      <c r="BK1247" t="s">
        <v>159</v>
      </c>
      <c r="BL1247" t="s">
        <v>19337</v>
      </c>
      <c r="BM1247" t="s">
        <v>22980</v>
      </c>
      <c r="BN1247" t="s">
        <v>74</v>
      </c>
      <c r="BO1247" t="s">
        <v>74</v>
      </c>
      <c r="BP1247" t="s">
        <v>74</v>
      </c>
      <c r="BQ1247" t="s">
        <v>74</v>
      </c>
      <c r="BR1247" t="s">
        <v>101</v>
      </c>
      <c r="BS1247" t="s">
        <v>22981</v>
      </c>
      <c r="BT1247" t="str">
        <f>HYPERLINK("https%3A%2F%2Fwww.webofscience.com%2Fwos%2Fwoscc%2Ffull-record%2FWOS:001035762300001","View Full Record in Web of Science")</f>
        <v>View Full Record in Web of Science</v>
      </c>
    </row>
    <row r="1248" spans="1:72" x14ac:dyDescent="0.2">
      <c r="A1248" t="s">
        <v>72</v>
      </c>
      <c r="B1248" t="s">
        <v>22982</v>
      </c>
      <c r="C1248" t="s">
        <v>74</v>
      </c>
      <c r="D1248" t="s">
        <v>74</v>
      </c>
      <c r="E1248" t="s">
        <v>75</v>
      </c>
      <c r="F1248" t="s">
        <v>22983</v>
      </c>
      <c r="G1248" t="s">
        <v>74</v>
      </c>
      <c r="H1248" t="s">
        <v>74</v>
      </c>
      <c r="I1248" t="s">
        <v>22984</v>
      </c>
      <c r="J1248" t="s">
        <v>22985</v>
      </c>
      <c r="K1248" t="s">
        <v>74</v>
      </c>
      <c r="L1248" t="s">
        <v>74</v>
      </c>
      <c r="M1248" t="s">
        <v>79</v>
      </c>
      <c r="N1248" t="s">
        <v>80</v>
      </c>
      <c r="O1248" t="s">
        <v>22986</v>
      </c>
      <c r="P1248" t="s">
        <v>22987</v>
      </c>
      <c r="Q1248" t="s">
        <v>22988</v>
      </c>
      <c r="R1248" t="s">
        <v>22989</v>
      </c>
      <c r="S1248" t="s">
        <v>74</v>
      </c>
      <c r="T1248" t="s">
        <v>22990</v>
      </c>
      <c r="U1248" t="s">
        <v>74</v>
      </c>
      <c r="V1248" t="s">
        <v>22991</v>
      </c>
      <c r="W1248" t="s">
        <v>22992</v>
      </c>
      <c r="X1248" t="s">
        <v>9082</v>
      </c>
      <c r="Y1248" t="s">
        <v>22993</v>
      </c>
      <c r="Z1248" t="s">
        <v>22994</v>
      </c>
      <c r="AA1248" t="s">
        <v>22995</v>
      </c>
      <c r="AB1248" t="s">
        <v>22996</v>
      </c>
      <c r="AC1248" t="s">
        <v>22997</v>
      </c>
      <c r="AD1248" t="s">
        <v>22998</v>
      </c>
      <c r="AE1248" t="s">
        <v>22999</v>
      </c>
      <c r="AF1248" t="s">
        <v>74</v>
      </c>
      <c r="AG1248">
        <v>40</v>
      </c>
      <c r="AH1248">
        <v>0</v>
      </c>
      <c r="AI1248">
        <v>0</v>
      </c>
      <c r="AJ1248">
        <v>0</v>
      </c>
      <c r="AK1248">
        <v>0</v>
      </c>
      <c r="AL1248" t="s">
        <v>92</v>
      </c>
      <c r="AM1248" t="s">
        <v>93</v>
      </c>
      <c r="AN1248" t="s">
        <v>94</v>
      </c>
      <c r="AO1248" t="s">
        <v>74</v>
      </c>
      <c r="AP1248" t="s">
        <v>74</v>
      </c>
      <c r="AQ1248" t="s">
        <v>23000</v>
      </c>
      <c r="AR1248" t="s">
        <v>74</v>
      </c>
      <c r="AS1248" t="s">
        <v>74</v>
      </c>
      <c r="AT1248" t="s">
        <v>74</v>
      </c>
      <c r="AU1248">
        <v>2023</v>
      </c>
      <c r="AV1248" t="s">
        <v>74</v>
      </c>
      <c r="AW1248" t="s">
        <v>74</v>
      </c>
      <c r="AX1248" t="s">
        <v>74</v>
      </c>
      <c r="AY1248" t="s">
        <v>74</v>
      </c>
      <c r="AZ1248" t="s">
        <v>74</v>
      </c>
      <c r="BA1248" t="s">
        <v>74</v>
      </c>
      <c r="BB1248">
        <v>67</v>
      </c>
      <c r="BC1248">
        <v>76</v>
      </c>
      <c r="BD1248" t="s">
        <v>74</v>
      </c>
      <c r="BE1248" t="s">
        <v>23001</v>
      </c>
      <c r="BF1248" t="str">
        <f>HYPERLINK("http://dx.doi.org/10.1145/3579987.3586567","http://dx.doi.org/10.1145/3579987.3586567")</f>
        <v>http://dx.doi.org/10.1145/3579987.3586567</v>
      </c>
      <c r="BG1248" t="s">
        <v>74</v>
      </c>
      <c r="BH1248" t="s">
        <v>74</v>
      </c>
      <c r="BI1248">
        <v>10</v>
      </c>
      <c r="BJ1248" t="s">
        <v>6374</v>
      </c>
      <c r="BK1248" t="s">
        <v>98</v>
      </c>
      <c r="BL1248" t="s">
        <v>99</v>
      </c>
      <c r="BM1248" t="s">
        <v>23002</v>
      </c>
      <c r="BN1248" t="s">
        <v>74</v>
      </c>
      <c r="BO1248" t="s">
        <v>74</v>
      </c>
      <c r="BP1248" t="s">
        <v>74</v>
      </c>
      <c r="BQ1248" t="s">
        <v>74</v>
      </c>
      <c r="BR1248" t="s">
        <v>101</v>
      </c>
      <c r="BS1248" t="s">
        <v>23003</v>
      </c>
      <c r="BT1248" t="str">
        <f>HYPERLINK("https%3A%2F%2Fwww.webofscience.com%2Fwos%2Fwoscc%2Ffull-record%2FWOS:001108967900009","View Full Record in Web of Science")</f>
        <v>View Full Record in Web of Science</v>
      </c>
    </row>
    <row r="1249" spans="1:72" x14ac:dyDescent="0.2">
      <c r="A1249" t="s">
        <v>103</v>
      </c>
      <c r="B1249" t="s">
        <v>23004</v>
      </c>
      <c r="C1249" t="s">
        <v>74</v>
      </c>
      <c r="D1249" t="s">
        <v>74</v>
      </c>
      <c r="E1249" t="s">
        <v>74</v>
      </c>
      <c r="F1249" t="s">
        <v>23005</v>
      </c>
      <c r="G1249" t="s">
        <v>74</v>
      </c>
      <c r="H1249" t="s">
        <v>74</v>
      </c>
      <c r="I1249" t="s">
        <v>23006</v>
      </c>
      <c r="J1249" t="s">
        <v>23007</v>
      </c>
      <c r="K1249" t="s">
        <v>74</v>
      </c>
      <c r="L1249" t="s">
        <v>74</v>
      </c>
      <c r="M1249" t="s">
        <v>79</v>
      </c>
      <c r="N1249" t="s">
        <v>108</v>
      </c>
      <c r="O1249" t="s">
        <v>74</v>
      </c>
      <c r="P1249" t="s">
        <v>74</v>
      </c>
      <c r="Q1249" t="s">
        <v>74</v>
      </c>
      <c r="R1249" t="s">
        <v>74</v>
      </c>
      <c r="S1249" t="s">
        <v>74</v>
      </c>
      <c r="T1249" t="s">
        <v>23008</v>
      </c>
      <c r="U1249" t="s">
        <v>23009</v>
      </c>
      <c r="V1249" t="s">
        <v>23010</v>
      </c>
      <c r="W1249" t="s">
        <v>23011</v>
      </c>
      <c r="X1249" t="s">
        <v>23012</v>
      </c>
      <c r="Y1249" t="s">
        <v>23013</v>
      </c>
      <c r="Z1249" t="s">
        <v>23014</v>
      </c>
      <c r="AA1249" t="s">
        <v>23015</v>
      </c>
      <c r="AB1249" t="s">
        <v>23016</v>
      </c>
      <c r="AC1249" t="s">
        <v>23017</v>
      </c>
      <c r="AD1249" t="s">
        <v>23018</v>
      </c>
      <c r="AE1249" t="s">
        <v>23019</v>
      </c>
      <c r="AF1249" t="s">
        <v>74</v>
      </c>
      <c r="AG1249">
        <v>51</v>
      </c>
      <c r="AH1249">
        <v>3</v>
      </c>
      <c r="AI1249">
        <v>3</v>
      </c>
      <c r="AJ1249">
        <v>3</v>
      </c>
      <c r="AK1249">
        <v>17</v>
      </c>
      <c r="AL1249" t="s">
        <v>343</v>
      </c>
      <c r="AM1249" t="s">
        <v>93</v>
      </c>
      <c r="AN1249" t="s">
        <v>344</v>
      </c>
      <c r="AO1249" t="s">
        <v>23020</v>
      </c>
      <c r="AP1249" t="s">
        <v>23021</v>
      </c>
      <c r="AQ1249" t="s">
        <v>74</v>
      </c>
      <c r="AR1249" t="s">
        <v>23022</v>
      </c>
      <c r="AS1249" t="s">
        <v>23023</v>
      </c>
      <c r="AT1249" t="s">
        <v>445</v>
      </c>
      <c r="AU1249">
        <v>2023</v>
      </c>
      <c r="AV1249">
        <v>50</v>
      </c>
      <c r="AW1249">
        <v>5</v>
      </c>
      <c r="AX1249" t="s">
        <v>74</v>
      </c>
      <c r="AY1249" t="s">
        <v>74</v>
      </c>
      <c r="AZ1249" t="s">
        <v>74</v>
      </c>
      <c r="BA1249" t="s">
        <v>74</v>
      </c>
      <c r="BB1249">
        <v>1337</v>
      </c>
      <c r="BC1249">
        <v>1350</v>
      </c>
      <c r="BD1249" t="s">
        <v>74</v>
      </c>
      <c r="BE1249" t="s">
        <v>23024</v>
      </c>
      <c r="BF1249" t="str">
        <f>HYPERLINK("http://dx.doi.org/10.1007/s00259-022-06097-w","http://dx.doi.org/10.1007/s00259-022-06097-w")</f>
        <v>http://dx.doi.org/10.1007/s00259-022-06097-w</v>
      </c>
      <c r="BG1249" t="s">
        <v>74</v>
      </c>
      <c r="BH1249" t="s">
        <v>7345</v>
      </c>
      <c r="BI1249">
        <v>14</v>
      </c>
      <c r="BJ1249" t="s">
        <v>5360</v>
      </c>
      <c r="BK1249" t="s">
        <v>130</v>
      </c>
      <c r="BL1249" t="s">
        <v>5360</v>
      </c>
      <c r="BM1249" t="s">
        <v>23025</v>
      </c>
      <c r="BN1249">
        <v>36633614</v>
      </c>
      <c r="BO1249" t="s">
        <v>74</v>
      </c>
      <c r="BP1249" t="s">
        <v>74</v>
      </c>
      <c r="BQ1249" t="s">
        <v>74</v>
      </c>
      <c r="BR1249" t="s">
        <v>101</v>
      </c>
      <c r="BS1249" t="s">
        <v>23026</v>
      </c>
      <c r="BT1249" t="str">
        <f>HYPERLINK("https%3A%2F%2Fwww.webofscience.com%2Fwos%2Fwoscc%2Ffull-record%2FWOS:000913086400001","View Full Record in Web of Science")</f>
        <v>View Full Record in Web of Science</v>
      </c>
    </row>
    <row r="1250" spans="1:72" x14ac:dyDescent="0.2">
      <c r="A1250" t="s">
        <v>103</v>
      </c>
      <c r="B1250" t="s">
        <v>23027</v>
      </c>
      <c r="C1250" t="s">
        <v>74</v>
      </c>
      <c r="D1250" t="s">
        <v>74</v>
      </c>
      <c r="E1250" t="s">
        <v>74</v>
      </c>
      <c r="F1250" t="s">
        <v>23028</v>
      </c>
      <c r="G1250" t="s">
        <v>74</v>
      </c>
      <c r="H1250" t="s">
        <v>74</v>
      </c>
      <c r="I1250" t="s">
        <v>23029</v>
      </c>
      <c r="J1250" t="s">
        <v>23030</v>
      </c>
      <c r="K1250" t="s">
        <v>74</v>
      </c>
      <c r="L1250" t="s">
        <v>74</v>
      </c>
      <c r="M1250" t="s">
        <v>79</v>
      </c>
      <c r="N1250" t="s">
        <v>108</v>
      </c>
      <c r="O1250" t="s">
        <v>74</v>
      </c>
      <c r="P1250" t="s">
        <v>74</v>
      </c>
      <c r="Q1250" t="s">
        <v>74</v>
      </c>
      <c r="R1250" t="s">
        <v>74</v>
      </c>
      <c r="S1250" t="s">
        <v>74</v>
      </c>
      <c r="T1250" t="s">
        <v>74</v>
      </c>
      <c r="U1250" t="s">
        <v>23031</v>
      </c>
      <c r="V1250" t="s">
        <v>23032</v>
      </c>
      <c r="W1250" t="s">
        <v>23033</v>
      </c>
      <c r="X1250" t="s">
        <v>23034</v>
      </c>
      <c r="Y1250" t="s">
        <v>23035</v>
      </c>
      <c r="Z1250" t="s">
        <v>23036</v>
      </c>
      <c r="AA1250" t="s">
        <v>23037</v>
      </c>
      <c r="AB1250" t="s">
        <v>23038</v>
      </c>
      <c r="AC1250" t="s">
        <v>23039</v>
      </c>
      <c r="AD1250" t="s">
        <v>23040</v>
      </c>
      <c r="AE1250" t="s">
        <v>23041</v>
      </c>
      <c r="AF1250" t="s">
        <v>74</v>
      </c>
      <c r="AG1250">
        <v>72</v>
      </c>
      <c r="AH1250">
        <v>0</v>
      </c>
      <c r="AI1250">
        <v>0</v>
      </c>
      <c r="AJ1250">
        <v>1</v>
      </c>
      <c r="AK1250">
        <v>3</v>
      </c>
      <c r="AL1250" t="s">
        <v>23042</v>
      </c>
      <c r="AM1250" t="s">
        <v>23043</v>
      </c>
      <c r="AN1250" t="s">
        <v>23044</v>
      </c>
      <c r="AO1250" t="s">
        <v>23045</v>
      </c>
      <c r="AP1250" t="s">
        <v>23046</v>
      </c>
      <c r="AQ1250" t="s">
        <v>74</v>
      </c>
      <c r="AR1250" t="s">
        <v>23047</v>
      </c>
      <c r="AS1250" t="s">
        <v>23048</v>
      </c>
      <c r="AT1250" t="s">
        <v>74</v>
      </c>
      <c r="AU1250">
        <v>2023</v>
      </c>
      <c r="AV1250">
        <v>77</v>
      </c>
      <c r="AW1250" t="s">
        <v>74</v>
      </c>
      <c r="AX1250" t="s">
        <v>74</v>
      </c>
      <c r="AY1250" t="s">
        <v>74</v>
      </c>
      <c r="AZ1250" t="s">
        <v>74</v>
      </c>
      <c r="BA1250" t="s">
        <v>74</v>
      </c>
      <c r="BB1250">
        <v>683</v>
      </c>
      <c r="BC1250">
        <v>735</v>
      </c>
      <c r="BD1250" t="s">
        <v>74</v>
      </c>
      <c r="BE1250" t="s">
        <v>74</v>
      </c>
      <c r="BF1250" t="s">
        <v>74</v>
      </c>
      <c r="BG1250" t="s">
        <v>74</v>
      </c>
      <c r="BH1250" t="s">
        <v>74</v>
      </c>
      <c r="BI1250">
        <v>53</v>
      </c>
      <c r="BJ1250" t="s">
        <v>304</v>
      </c>
      <c r="BK1250" t="s">
        <v>130</v>
      </c>
      <c r="BL1250" t="s">
        <v>99</v>
      </c>
      <c r="BM1250" t="s">
        <v>23049</v>
      </c>
      <c r="BN1250" t="s">
        <v>74</v>
      </c>
      <c r="BO1250" t="s">
        <v>74</v>
      </c>
      <c r="BP1250" t="s">
        <v>74</v>
      </c>
      <c r="BQ1250" t="s">
        <v>74</v>
      </c>
      <c r="BR1250" t="s">
        <v>101</v>
      </c>
      <c r="BS1250" t="s">
        <v>23050</v>
      </c>
      <c r="BT1250" t="str">
        <f>HYPERLINK("https%3A%2F%2Fwww.webofscience.com%2Fwos%2Fwoscc%2Ffull-record%2FWOS:001025753500002","View Full Record in Web of Science")</f>
        <v>View Full Record in Web of Science</v>
      </c>
    </row>
    <row r="1251" spans="1:72" x14ac:dyDescent="0.2">
      <c r="A1251" t="s">
        <v>103</v>
      </c>
      <c r="B1251" t="s">
        <v>23051</v>
      </c>
      <c r="C1251" t="s">
        <v>74</v>
      </c>
      <c r="D1251" t="s">
        <v>74</v>
      </c>
      <c r="E1251" t="s">
        <v>74</v>
      </c>
      <c r="F1251" t="s">
        <v>23052</v>
      </c>
      <c r="G1251" t="s">
        <v>74</v>
      </c>
      <c r="H1251" t="s">
        <v>74</v>
      </c>
      <c r="I1251" t="s">
        <v>23053</v>
      </c>
      <c r="J1251" t="s">
        <v>2433</v>
      </c>
      <c r="K1251" t="s">
        <v>74</v>
      </c>
      <c r="L1251" t="s">
        <v>74</v>
      </c>
      <c r="M1251" t="s">
        <v>79</v>
      </c>
      <c r="N1251" t="s">
        <v>108</v>
      </c>
      <c r="O1251" t="s">
        <v>74</v>
      </c>
      <c r="P1251" t="s">
        <v>74</v>
      </c>
      <c r="Q1251" t="s">
        <v>74</v>
      </c>
      <c r="R1251" t="s">
        <v>74</v>
      </c>
      <c r="S1251" t="s">
        <v>74</v>
      </c>
      <c r="T1251" t="s">
        <v>23054</v>
      </c>
      <c r="U1251" t="s">
        <v>74</v>
      </c>
      <c r="V1251" t="s">
        <v>23055</v>
      </c>
      <c r="W1251" t="s">
        <v>23056</v>
      </c>
      <c r="X1251" t="s">
        <v>23057</v>
      </c>
      <c r="Y1251" t="s">
        <v>23058</v>
      </c>
      <c r="Z1251" t="s">
        <v>23059</v>
      </c>
      <c r="AA1251" t="s">
        <v>74</v>
      </c>
      <c r="AB1251" t="s">
        <v>23060</v>
      </c>
      <c r="AC1251" t="s">
        <v>23061</v>
      </c>
      <c r="AD1251" t="s">
        <v>23062</v>
      </c>
      <c r="AE1251" t="s">
        <v>23063</v>
      </c>
      <c r="AF1251" t="s">
        <v>74</v>
      </c>
      <c r="AG1251">
        <v>44</v>
      </c>
      <c r="AH1251">
        <v>0</v>
      </c>
      <c r="AI1251">
        <v>0</v>
      </c>
      <c r="AJ1251">
        <v>1</v>
      </c>
      <c r="AK1251">
        <v>2</v>
      </c>
      <c r="AL1251" t="s">
        <v>939</v>
      </c>
      <c r="AM1251" t="s">
        <v>940</v>
      </c>
      <c r="AN1251" t="s">
        <v>941</v>
      </c>
      <c r="AO1251" t="s">
        <v>74</v>
      </c>
      <c r="AP1251" t="s">
        <v>2444</v>
      </c>
      <c r="AQ1251" t="s">
        <v>74</v>
      </c>
      <c r="AR1251" t="s">
        <v>2445</v>
      </c>
      <c r="AS1251" t="s">
        <v>2446</v>
      </c>
      <c r="AT1251" t="s">
        <v>615</v>
      </c>
      <c r="AU1251">
        <v>2023</v>
      </c>
      <c r="AV1251">
        <v>13</v>
      </c>
      <c r="AW1251">
        <v>14</v>
      </c>
      <c r="AX1251" t="s">
        <v>74</v>
      </c>
      <c r="AY1251" t="s">
        <v>74</v>
      </c>
      <c r="AZ1251" t="s">
        <v>74</v>
      </c>
      <c r="BA1251" t="s">
        <v>74</v>
      </c>
      <c r="BB1251" t="s">
        <v>74</v>
      </c>
      <c r="BC1251" t="s">
        <v>74</v>
      </c>
      <c r="BD1251">
        <v>8041</v>
      </c>
      <c r="BE1251" t="s">
        <v>23064</v>
      </c>
      <c r="BF1251" t="str">
        <f>HYPERLINK("http://dx.doi.org/10.3390/app13148041","http://dx.doi.org/10.3390/app13148041")</f>
        <v>http://dx.doi.org/10.3390/app13148041</v>
      </c>
      <c r="BG1251" t="s">
        <v>74</v>
      </c>
      <c r="BH1251" t="s">
        <v>74</v>
      </c>
      <c r="BI1251">
        <v>14</v>
      </c>
      <c r="BJ1251" t="s">
        <v>2448</v>
      </c>
      <c r="BK1251" t="s">
        <v>130</v>
      </c>
      <c r="BL1251" t="s">
        <v>2449</v>
      </c>
      <c r="BM1251" t="s">
        <v>23065</v>
      </c>
      <c r="BN1251" t="s">
        <v>74</v>
      </c>
      <c r="BO1251" t="s">
        <v>425</v>
      </c>
      <c r="BP1251" t="s">
        <v>74</v>
      </c>
      <c r="BQ1251" t="s">
        <v>74</v>
      </c>
      <c r="BR1251" t="s">
        <v>101</v>
      </c>
      <c r="BS1251" t="s">
        <v>23066</v>
      </c>
      <c r="BT1251" t="str">
        <f>HYPERLINK("https%3A%2F%2Fwww.webofscience.com%2Fwos%2Fwoscc%2Ffull-record%2FWOS:001034901600001","View Full Record in Web of Science")</f>
        <v>View Full Record in Web of Science</v>
      </c>
    </row>
    <row r="1252" spans="1:72" x14ac:dyDescent="0.2">
      <c r="A1252" t="s">
        <v>103</v>
      </c>
      <c r="B1252" t="s">
        <v>23067</v>
      </c>
      <c r="C1252" t="s">
        <v>74</v>
      </c>
      <c r="D1252" t="s">
        <v>74</v>
      </c>
      <c r="E1252" t="s">
        <v>74</v>
      </c>
      <c r="F1252" t="s">
        <v>23068</v>
      </c>
      <c r="G1252" t="s">
        <v>74</v>
      </c>
      <c r="H1252" t="s">
        <v>74</v>
      </c>
      <c r="I1252" t="s">
        <v>23069</v>
      </c>
      <c r="J1252" t="s">
        <v>18749</v>
      </c>
      <c r="K1252" t="s">
        <v>74</v>
      </c>
      <c r="L1252" t="s">
        <v>74</v>
      </c>
      <c r="M1252" t="s">
        <v>79</v>
      </c>
      <c r="N1252" t="s">
        <v>108</v>
      </c>
      <c r="O1252" t="s">
        <v>74</v>
      </c>
      <c r="P1252" t="s">
        <v>74</v>
      </c>
      <c r="Q1252" t="s">
        <v>74</v>
      </c>
      <c r="R1252" t="s">
        <v>74</v>
      </c>
      <c r="S1252" t="s">
        <v>74</v>
      </c>
      <c r="T1252" t="s">
        <v>23070</v>
      </c>
      <c r="U1252" t="s">
        <v>74</v>
      </c>
      <c r="V1252" t="s">
        <v>23071</v>
      </c>
      <c r="W1252" t="s">
        <v>23072</v>
      </c>
      <c r="X1252" t="s">
        <v>23073</v>
      </c>
      <c r="Y1252" t="s">
        <v>23074</v>
      </c>
      <c r="Z1252" t="s">
        <v>23075</v>
      </c>
      <c r="AA1252" t="s">
        <v>23076</v>
      </c>
      <c r="AB1252" t="s">
        <v>23077</v>
      </c>
      <c r="AC1252" t="s">
        <v>23078</v>
      </c>
      <c r="AD1252" t="s">
        <v>23079</v>
      </c>
      <c r="AE1252" t="s">
        <v>23080</v>
      </c>
      <c r="AF1252" t="s">
        <v>74</v>
      </c>
      <c r="AG1252">
        <v>28</v>
      </c>
      <c r="AH1252">
        <v>0</v>
      </c>
      <c r="AI1252">
        <v>0</v>
      </c>
      <c r="AJ1252">
        <v>0</v>
      </c>
      <c r="AK1252">
        <v>0</v>
      </c>
      <c r="AL1252" t="s">
        <v>5985</v>
      </c>
      <c r="AM1252" t="s">
        <v>1451</v>
      </c>
      <c r="AN1252" t="s">
        <v>5986</v>
      </c>
      <c r="AO1252" t="s">
        <v>74</v>
      </c>
      <c r="AP1252" t="s">
        <v>18761</v>
      </c>
      <c r="AQ1252" t="s">
        <v>74</v>
      </c>
      <c r="AR1252" t="s">
        <v>18762</v>
      </c>
      <c r="AS1252" t="s">
        <v>18763</v>
      </c>
      <c r="AT1252" t="s">
        <v>2497</v>
      </c>
      <c r="AU1252">
        <v>2023</v>
      </c>
      <c r="AV1252">
        <v>4</v>
      </c>
      <c r="AW1252">
        <v>4</v>
      </c>
      <c r="AX1252" t="s">
        <v>74</v>
      </c>
      <c r="AY1252" t="s">
        <v>74</v>
      </c>
      <c r="AZ1252" t="s">
        <v>74</v>
      </c>
      <c r="BA1252" t="s">
        <v>74</v>
      </c>
      <c r="BB1252" t="s">
        <v>74</v>
      </c>
      <c r="BC1252" t="s">
        <v>74</v>
      </c>
      <c r="BD1252">
        <v>45036</v>
      </c>
      <c r="BE1252" t="s">
        <v>23081</v>
      </c>
      <c r="BF1252" t="str">
        <f>HYPERLINK("http://dx.doi.org/10.1088/2632-2153/ad035b","http://dx.doi.org/10.1088/2632-2153/ad035b")</f>
        <v>http://dx.doi.org/10.1088/2632-2153/ad035b</v>
      </c>
      <c r="BG1252" t="s">
        <v>74</v>
      </c>
      <c r="BH1252" t="s">
        <v>74</v>
      </c>
      <c r="BI1252">
        <v>9</v>
      </c>
      <c r="BJ1252" t="s">
        <v>18765</v>
      </c>
      <c r="BK1252" t="s">
        <v>130</v>
      </c>
      <c r="BL1252" t="s">
        <v>1320</v>
      </c>
      <c r="BM1252" t="s">
        <v>23082</v>
      </c>
      <c r="BN1252" t="s">
        <v>74</v>
      </c>
      <c r="BO1252" t="s">
        <v>1711</v>
      </c>
      <c r="BP1252" t="s">
        <v>74</v>
      </c>
      <c r="BQ1252" t="s">
        <v>74</v>
      </c>
      <c r="BR1252" t="s">
        <v>101</v>
      </c>
      <c r="BS1252" t="s">
        <v>23083</v>
      </c>
      <c r="BT1252" t="str">
        <f>HYPERLINK("https%3A%2F%2Fwww.webofscience.com%2Fwos%2Fwoscc%2Ffull-record%2FWOS:001107754200001","View Full Record in Web of Science")</f>
        <v>View Full Record in Web of Science</v>
      </c>
    </row>
    <row r="1253" spans="1:72" x14ac:dyDescent="0.2">
      <c r="A1253" t="s">
        <v>72</v>
      </c>
      <c r="B1253" t="s">
        <v>23084</v>
      </c>
      <c r="C1253" t="s">
        <v>74</v>
      </c>
      <c r="D1253" t="s">
        <v>74</v>
      </c>
      <c r="E1253" t="s">
        <v>284</v>
      </c>
      <c r="F1253" t="s">
        <v>23085</v>
      </c>
      <c r="G1253" t="s">
        <v>74</v>
      </c>
      <c r="H1253" t="s">
        <v>74</v>
      </c>
      <c r="I1253" t="s">
        <v>23086</v>
      </c>
      <c r="J1253" t="s">
        <v>15558</v>
      </c>
      <c r="K1253" t="s">
        <v>15559</v>
      </c>
      <c r="L1253" t="s">
        <v>74</v>
      </c>
      <c r="M1253" t="s">
        <v>79</v>
      </c>
      <c r="N1253" t="s">
        <v>80</v>
      </c>
      <c r="O1253" t="s">
        <v>15560</v>
      </c>
      <c r="P1253" t="s">
        <v>15561</v>
      </c>
      <c r="Q1253" t="s">
        <v>15562</v>
      </c>
      <c r="R1253" t="s">
        <v>15563</v>
      </c>
      <c r="S1253" t="s">
        <v>74</v>
      </c>
      <c r="T1253" t="s">
        <v>23087</v>
      </c>
      <c r="U1253" t="s">
        <v>23088</v>
      </c>
      <c r="V1253" t="s">
        <v>23089</v>
      </c>
      <c r="W1253" t="s">
        <v>23090</v>
      </c>
      <c r="X1253" t="s">
        <v>23091</v>
      </c>
      <c r="Y1253" t="s">
        <v>23092</v>
      </c>
      <c r="Z1253" t="s">
        <v>23093</v>
      </c>
      <c r="AA1253" t="s">
        <v>74</v>
      </c>
      <c r="AB1253" t="s">
        <v>74</v>
      </c>
      <c r="AC1253" t="s">
        <v>23094</v>
      </c>
      <c r="AD1253" t="s">
        <v>23095</v>
      </c>
      <c r="AE1253" t="s">
        <v>23096</v>
      </c>
      <c r="AF1253" t="s">
        <v>74</v>
      </c>
      <c r="AG1253">
        <v>29</v>
      </c>
      <c r="AH1253">
        <v>0</v>
      </c>
      <c r="AI1253">
        <v>0</v>
      </c>
      <c r="AJ1253">
        <v>0</v>
      </c>
      <c r="AK1253">
        <v>0</v>
      </c>
      <c r="AL1253" t="s">
        <v>284</v>
      </c>
      <c r="AM1253" t="s">
        <v>93</v>
      </c>
      <c r="AN1253" t="s">
        <v>299</v>
      </c>
      <c r="AO1253" t="s">
        <v>15572</v>
      </c>
      <c r="AP1253" t="s">
        <v>74</v>
      </c>
      <c r="AQ1253" t="s">
        <v>15573</v>
      </c>
      <c r="AR1253" t="s">
        <v>15574</v>
      </c>
      <c r="AS1253" t="s">
        <v>74</v>
      </c>
      <c r="AT1253" t="s">
        <v>74</v>
      </c>
      <c r="AU1253">
        <v>2023</v>
      </c>
      <c r="AV1253" t="s">
        <v>74</v>
      </c>
      <c r="AW1253" t="s">
        <v>74</v>
      </c>
      <c r="AX1253" t="s">
        <v>74</v>
      </c>
      <c r="AY1253" t="s">
        <v>74</v>
      </c>
      <c r="AZ1253" t="s">
        <v>74</v>
      </c>
      <c r="BA1253" t="s">
        <v>74</v>
      </c>
      <c r="BB1253" t="s">
        <v>74</v>
      </c>
      <c r="BC1253" t="s">
        <v>74</v>
      </c>
      <c r="BD1253" t="s">
        <v>74</v>
      </c>
      <c r="BE1253" t="s">
        <v>23097</v>
      </c>
      <c r="BF1253" t="str">
        <f>HYPERLINK("http://dx.doi.org/10.1109/WIFS58808.2023.10374968","http://dx.doi.org/10.1109/WIFS58808.2023.10374968")</f>
        <v>http://dx.doi.org/10.1109/WIFS58808.2023.10374968</v>
      </c>
      <c r="BG1253" t="s">
        <v>74</v>
      </c>
      <c r="BH1253" t="s">
        <v>74</v>
      </c>
      <c r="BI1253">
        <v>6</v>
      </c>
      <c r="BJ1253" t="s">
        <v>15576</v>
      </c>
      <c r="BK1253" t="s">
        <v>98</v>
      </c>
      <c r="BL1253" t="s">
        <v>906</v>
      </c>
      <c r="BM1253" t="s">
        <v>15577</v>
      </c>
      <c r="BN1253" t="s">
        <v>74</v>
      </c>
      <c r="BO1253" t="s">
        <v>74</v>
      </c>
      <c r="BP1253" t="s">
        <v>74</v>
      </c>
      <c r="BQ1253" t="s">
        <v>74</v>
      </c>
      <c r="BR1253" t="s">
        <v>101</v>
      </c>
      <c r="BS1253" t="s">
        <v>23098</v>
      </c>
      <c r="BT1253" t="str">
        <f>HYPERLINK("https%3A%2F%2Fwww.webofscience.com%2Fwos%2Fwoscc%2Ffull-record%2FWOS:001156967300027","View Full Record in Web of Science")</f>
        <v>View Full Record in Web of Science</v>
      </c>
    </row>
    <row r="1254" spans="1:72" x14ac:dyDescent="0.2">
      <c r="A1254" t="s">
        <v>72</v>
      </c>
      <c r="B1254" t="s">
        <v>23099</v>
      </c>
      <c r="C1254" t="s">
        <v>74</v>
      </c>
      <c r="D1254" t="s">
        <v>74</v>
      </c>
      <c r="E1254" t="s">
        <v>284</v>
      </c>
      <c r="F1254" t="s">
        <v>23100</v>
      </c>
      <c r="G1254" t="s">
        <v>74</v>
      </c>
      <c r="H1254" t="s">
        <v>74</v>
      </c>
      <c r="I1254" t="s">
        <v>23101</v>
      </c>
      <c r="J1254" t="s">
        <v>11058</v>
      </c>
      <c r="K1254" t="s">
        <v>11059</v>
      </c>
      <c r="L1254" t="s">
        <v>74</v>
      </c>
      <c r="M1254" t="s">
        <v>79</v>
      </c>
      <c r="N1254" t="s">
        <v>80</v>
      </c>
      <c r="O1254" t="s">
        <v>11060</v>
      </c>
      <c r="P1254" t="s">
        <v>11061</v>
      </c>
      <c r="Q1254" t="s">
        <v>11062</v>
      </c>
      <c r="R1254" t="s">
        <v>8249</v>
      </c>
      <c r="S1254" t="s">
        <v>74</v>
      </c>
      <c r="T1254" t="s">
        <v>74</v>
      </c>
      <c r="U1254" t="s">
        <v>74</v>
      </c>
      <c r="V1254" t="s">
        <v>23102</v>
      </c>
      <c r="W1254" t="s">
        <v>23103</v>
      </c>
      <c r="X1254" t="s">
        <v>22083</v>
      </c>
      <c r="Y1254" t="s">
        <v>23104</v>
      </c>
      <c r="Z1254" t="s">
        <v>23105</v>
      </c>
      <c r="AA1254" t="s">
        <v>74</v>
      </c>
      <c r="AB1254" t="s">
        <v>74</v>
      </c>
      <c r="AC1254" t="s">
        <v>23106</v>
      </c>
      <c r="AD1254" t="s">
        <v>23107</v>
      </c>
      <c r="AE1254" t="s">
        <v>23108</v>
      </c>
      <c r="AF1254" t="s">
        <v>74</v>
      </c>
      <c r="AG1254">
        <v>38</v>
      </c>
      <c r="AH1254">
        <v>0</v>
      </c>
      <c r="AI1254">
        <v>0</v>
      </c>
      <c r="AJ1254">
        <v>1</v>
      </c>
      <c r="AK1254">
        <v>1</v>
      </c>
      <c r="AL1254" t="s">
        <v>638</v>
      </c>
      <c r="AM1254" t="s">
        <v>639</v>
      </c>
      <c r="AN1254" t="s">
        <v>640</v>
      </c>
      <c r="AO1254" t="s">
        <v>11070</v>
      </c>
      <c r="AP1254" t="s">
        <v>74</v>
      </c>
      <c r="AQ1254" t="s">
        <v>11071</v>
      </c>
      <c r="AR1254" t="s">
        <v>11072</v>
      </c>
      <c r="AS1254" t="s">
        <v>74</v>
      </c>
      <c r="AT1254" t="s">
        <v>74</v>
      </c>
      <c r="AU1254">
        <v>2023</v>
      </c>
      <c r="AV1254" t="s">
        <v>74</v>
      </c>
      <c r="AW1254" t="s">
        <v>74</v>
      </c>
      <c r="AX1254" t="s">
        <v>74</v>
      </c>
      <c r="AY1254" t="s">
        <v>74</v>
      </c>
      <c r="AZ1254" t="s">
        <v>74</v>
      </c>
      <c r="BA1254" t="s">
        <v>74</v>
      </c>
      <c r="BB1254">
        <v>4641</v>
      </c>
      <c r="BC1254">
        <v>4650</v>
      </c>
      <c r="BD1254" t="s">
        <v>74</v>
      </c>
      <c r="BE1254" t="s">
        <v>23109</v>
      </c>
      <c r="BF1254" t="str">
        <f>HYPERLINK("http://dx.doi.org/10.1109/WACV56688.2023.00463","http://dx.doi.org/10.1109/WACV56688.2023.00463")</f>
        <v>http://dx.doi.org/10.1109/WACV56688.2023.00463</v>
      </c>
      <c r="BG1254" t="s">
        <v>74</v>
      </c>
      <c r="BH1254" t="s">
        <v>74</v>
      </c>
      <c r="BI1254">
        <v>10</v>
      </c>
      <c r="BJ1254" t="s">
        <v>11074</v>
      </c>
      <c r="BK1254" t="s">
        <v>98</v>
      </c>
      <c r="BL1254" t="s">
        <v>11075</v>
      </c>
      <c r="BM1254" t="s">
        <v>11076</v>
      </c>
      <c r="BN1254" t="s">
        <v>74</v>
      </c>
      <c r="BO1254" t="s">
        <v>74</v>
      </c>
      <c r="BP1254" t="s">
        <v>74</v>
      </c>
      <c r="BQ1254" t="s">
        <v>74</v>
      </c>
      <c r="BR1254" t="s">
        <v>101</v>
      </c>
      <c r="BS1254" t="s">
        <v>23110</v>
      </c>
      <c r="BT1254" t="str">
        <f>HYPERLINK("https%3A%2F%2Fwww.webofscience.com%2Fwos%2Fwoscc%2Ffull-record%2FWOS:000971500204074","View Full Record in Web of Science")</f>
        <v>View Full Record in Web of Science</v>
      </c>
    </row>
    <row r="1255" spans="1:72" x14ac:dyDescent="0.2">
      <c r="A1255" t="s">
        <v>103</v>
      </c>
      <c r="B1255" t="s">
        <v>23111</v>
      </c>
      <c r="C1255" t="s">
        <v>74</v>
      </c>
      <c r="D1255" t="s">
        <v>74</v>
      </c>
      <c r="E1255" t="s">
        <v>74</v>
      </c>
      <c r="F1255" t="s">
        <v>23112</v>
      </c>
      <c r="G1255" t="s">
        <v>74</v>
      </c>
      <c r="H1255" t="s">
        <v>74</v>
      </c>
      <c r="I1255" t="s">
        <v>23113</v>
      </c>
      <c r="J1255" t="s">
        <v>17546</v>
      </c>
      <c r="K1255" t="s">
        <v>74</v>
      </c>
      <c r="L1255" t="s">
        <v>74</v>
      </c>
      <c r="M1255" t="s">
        <v>79</v>
      </c>
      <c r="N1255" t="s">
        <v>108</v>
      </c>
      <c r="O1255" t="s">
        <v>74</v>
      </c>
      <c r="P1255" t="s">
        <v>74</v>
      </c>
      <c r="Q1255" t="s">
        <v>74</v>
      </c>
      <c r="R1255" t="s">
        <v>74</v>
      </c>
      <c r="S1255" t="s">
        <v>74</v>
      </c>
      <c r="T1255" t="s">
        <v>23114</v>
      </c>
      <c r="U1255" t="s">
        <v>23115</v>
      </c>
      <c r="V1255" t="s">
        <v>23116</v>
      </c>
      <c r="W1255" t="s">
        <v>23117</v>
      </c>
      <c r="X1255" t="s">
        <v>23118</v>
      </c>
      <c r="Y1255" t="s">
        <v>23119</v>
      </c>
      <c r="Z1255" t="s">
        <v>23120</v>
      </c>
      <c r="AA1255" t="s">
        <v>74</v>
      </c>
      <c r="AB1255" t="s">
        <v>74</v>
      </c>
      <c r="AC1255" t="s">
        <v>23121</v>
      </c>
      <c r="AD1255" t="s">
        <v>23122</v>
      </c>
      <c r="AE1255" t="s">
        <v>23123</v>
      </c>
      <c r="AF1255" t="s">
        <v>74</v>
      </c>
      <c r="AG1255">
        <v>52</v>
      </c>
      <c r="AH1255">
        <v>0</v>
      </c>
      <c r="AI1255">
        <v>0</v>
      </c>
      <c r="AJ1255">
        <v>2</v>
      </c>
      <c r="AK1255">
        <v>2</v>
      </c>
      <c r="AL1255" t="s">
        <v>2492</v>
      </c>
      <c r="AM1255" t="s">
        <v>461</v>
      </c>
      <c r="AN1255" t="s">
        <v>2493</v>
      </c>
      <c r="AO1255" t="s">
        <v>17557</v>
      </c>
      <c r="AP1255" t="s">
        <v>74</v>
      </c>
      <c r="AQ1255" t="s">
        <v>74</v>
      </c>
      <c r="AR1255" t="s">
        <v>17558</v>
      </c>
      <c r="AS1255" t="s">
        <v>17559</v>
      </c>
      <c r="AT1255" t="s">
        <v>23124</v>
      </c>
      <c r="AU1255">
        <v>2023</v>
      </c>
      <c r="AV1255">
        <v>17</v>
      </c>
      <c r="AW1255" t="s">
        <v>74</v>
      </c>
      <c r="AX1255" t="s">
        <v>74</v>
      </c>
      <c r="AY1255" t="s">
        <v>74</v>
      </c>
      <c r="AZ1255" t="s">
        <v>74</v>
      </c>
      <c r="BA1255" t="s">
        <v>74</v>
      </c>
      <c r="BB1255" t="s">
        <v>74</v>
      </c>
      <c r="BC1255" t="s">
        <v>74</v>
      </c>
      <c r="BD1255">
        <v>1218977</v>
      </c>
      <c r="BE1255" t="s">
        <v>23125</v>
      </c>
      <c r="BF1255" t="str">
        <f>HYPERLINK("http://dx.doi.org/10.3389/fnbot.2023.1218977","http://dx.doi.org/10.3389/fnbot.2023.1218977")</f>
        <v>http://dx.doi.org/10.3389/fnbot.2023.1218977</v>
      </c>
      <c r="BG1255" t="s">
        <v>74</v>
      </c>
      <c r="BH1255" t="s">
        <v>74</v>
      </c>
      <c r="BI1255">
        <v>15</v>
      </c>
      <c r="BJ1255" t="s">
        <v>17561</v>
      </c>
      <c r="BK1255" t="s">
        <v>130</v>
      </c>
      <c r="BL1255" t="s">
        <v>17562</v>
      </c>
      <c r="BM1255" t="s">
        <v>23126</v>
      </c>
      <c r="BN1255">
        <v>37692886</v>
      </c>
      <c r="BO1255" t="s">
        <v>4337</v>
      </c>
      <c r="BP1255" t="s">
        <v>74</v>
      </c>
      <c r="BQ1255" t="s">
        <v>74</v>
      </c>
      <c r="BR1255" t="s">
        <v>101</v>
      </c>
      <c r="BS1255" t="s">
        <v>23127</v>
      </c>
      <c r="BT1255" t="str">
        <f>HYPERLINK("https%3A%2F%2Fwww.webofscience.com%2Fwos%2Fwoscc%2Ffull-record%2FWOS:001060994200001","View Full Record in Web of Science")</f>
        <v>View Full Record in Web of Science</v>
      </c>
    </row>
    <row r="1256" spans="1:72" x14ac:dyDescent="0.2">
      <c r="A1256" t="s">
        <v>72</v>
      </c>
      <c r="B1256" t="s">
        <v>23128</v>
      </c>
      <c r="C1256" t="s">
        <v>74</v>
      </c>
      <c r="D1256" t="s">
        <v>74</v>
      </c>
      <c r="E1256" t="s">
        <v>284</v>
      </c>
      <c r="F1256" t="s">
        <v>23129</v>
      </c>
      <c r="G1256" t="s">
        <v>74</v>
      </c>
      <c r="H1256" t="s">
        <v>74</v>
      </c>
      <c r="I1256" t="s">
        <v>23130</v>
      </c>
      <c r="J1256" t="s">
        <v>22930</v>
      </c>
      <c r="K1256" t="s">
        <v>22931</v>
      </c>
      <c r="L1256" t="s">
        <v>74</v>
      </c>
      <c r="M1256" t="s">
        <v>79</v>
      </c>
      <c r="N1256" t="s">
        <v>80</v>
      </c>
      <c r="O1256" t="s">
        <v>22932</v>
      </c>
      <c r="P1256" t="s">
        <v>22933</v>
      </c>
      <c r="Q1256" t="s">
        <v>22934</v>
      </c>
      <c r="R1256" t="s">
        <v>22935</v>
      </c>
      <c r="S1256" t="s">
        <v>74</v>
      </c>
      <c r="T1256" t="s">
        <v>74</v>
      </c>
      <c r="U1256" t="s">
        <v>74</v>
      </c>
      <c r="V1256" t="s">
        <v>23131</v>
      </c>
      <c r="W1256" t="s">
        <v>23132</v>
      </c>
      <c r="X1256" t="s">
        <v>23133</v>
      </c>
      <c r="Y1256" t="s">
        <v>23134</v>
      </c>
      <c r="Z1256" t="s">
        <v>23135</v>
      </c>
      <c r="AA1256" t="s">
        <v>74</v>
      </c>
      <c r="AB1256" t="s">
        <v>74</v>
      </c>
      <c r="AC1256" t="s">
        <v>23136</v>
      </c>
      <c r="AD1256" t="s">
        <v>23136</v>
      </c>
      <c r="AE1256" t="s">
        <v>23137</v>
      </c>
      <c r="AF1256" t="s">
        <v>74</v>
      </c>
      <c r="AG1256">
        <v>41</v>
      </c>
      <c r="AH1256">
        <v>0</v>
      </c>
      <c r="AI1256">
        <v>0</v>
      </c>
      <c r="AJ1256">
        <v>0</v>
      </c>
      <c r="AK1256">
        <v>0</v>
      </c>
      <c r="AL1256" t="s">
        <v>284</v>
      </c>
      <c r="AM1256" t="s">
        <v>93</v>
      </c>
      <c r="AN1256" t="s">
        <v>299</v>
      </c>
      <c r="AO1256" t="s">
        <v>22943</v>
      </c>
      <c r="AP1256" t="s">
        <v>74</v>
      </c>
      <c r="AQ1256" t="s">
        <v>22944</v>
      </c>
      <c r="AR1256" t="s">
        <v>22945</v>
      </c>
      <c r="AS1256" t="s">
        <v>74</v>
      </c>
      <c r="AT1256" t="s">
        <v>74</v>
      </c>
      <c r="AU1256">
        <v>2023</v>
      </c>
      <c r="AV1256" t="s">
        <v>74</v>
      </c>
      <c r="AW1256" t="s">
        <v>74</v>
      </c>
      <c r="AX1256" t="s">
        <v>74</v>
      </c>
      <c r="AY1256" t="s">
        <v>74</v>
      </c>
      <c r="AZ1256" t="s">
        <v>74</v>
      </c>
      <c r="BA1256" t="s">
        <v>74</v>
      </c>
      <c r="BB1256">
        <v>3648</v>
      </c>
      <c r="BC1256">
        <v>3655</v>
      </c>
      <c r="BD1256" t="s">
        <v>74</v>
      </c>
      <c r="BE1256" t="s">
        <v>23138</v>
      </c>
      <c r="BF1256" t="str">
        <f>HYPERLINK("http://dx.doi.org/10.1109/IROS55552.2023.10342170","http://dx.doi.org/10.1109/IROS55552.2023.10342170")</f>
        <v>http://dx.doi.org/10.1109/IROS55552.2023.10342170</v>
      </c>
      <c r="BG1256" t="s">
        <v>74</v>
      </c>
      <c r="BH1256" t="s">
        <v>74</v>
      </c>
      <c r="BI1256">
        <v>8</v>
      </c>
      <c r="BJ1256" t="s">
        <v>22947</v>
      </c>
      <c r="BK1256" t="s">
        <v>98</v>
      </c>
      <c r="BL1256" t="s">
        <v>1654</v>
      </c>
      <c r="BM1256" t="s">
        <v>22948</v>
      </c>
      <c r="BN1256" t="s">
        <v>74</v>
      </c>
      <c r="BO1256" t="s">
        <v>646</v>
      </c>
      <c r="BP1256" t="s">
        <v>74</v>
      </c>
      <c r="BQ1256" t="s">
        <v>74</v>
      </c>
      <c r="BR1256" t="s">
        <v>101</v>
      </c>
      <c r="BS1256" t="s">
        <v>23139</v>
      </c>
      <c r="BT1256" t="str">
        <f>HYPERLINK("https%3A%2F%2Fwww.webofscience.com%2Fwos%2Fwoscc%2Ffull-record%2FWOS:001133658802100","View Full Record in Web of Science")</f>
        <v>View Full Record in Web of Science</v>
      </c>
    </row>
    <row r="1257" spans="1:72" x14ac:dyDescent="0.2">
      <c r="A1257" t="s">
        <v>72</v>
      </c>
      <c r="B1257" t="s">
        <v>23140</v>
      </c>
      <c r="C1257" t="s">
        <v>74</v>
      </c>
      <c r="D1257" t="s">
        <v>16986</v>
      </c>
      <c r="E1257" t="s">
        <v>74</v>
      </c>
      <c r="F1257" t="s">
        <v>23141</v>
      </c>
      <c r="G1257" t="s">
        <v>74</v>
      </c>
      <c r="H1257" t="s">
        <v>74</v>
      </c>
      <c r="I1257" t="s">
        <v>23142</v>
      </c>
      <c r="J1257" t="s">
        <v>16989</v>
      </c>
      <c r="K1257" t="s">
        <v>16990</v>
      </c>
      <c r="L1257" t="s">
        <v>74</v>
      </c>
      <c r="M1257" t="s">
        <v>79</v>
      </c>
      <c r="N1257" t="s">
        <v>80</v>
      </c>
      <c r="O1257" t="s">
        <v>13149</v>
      </c>
      <c r="P1257" t="s">
        <v>13150</v>
      </c>
      <c r="Q1257" t="s">
        <v>13151</v>
      </c>
      <c r="R1257" t="s">
        <v>13152</v>
      </c>
      <c r="S1257" t="s">
        <v>74</v>
      </c>
      <c r="T1257" t="s">
        <v>74</v>
      </c>
      <c r="U1257" t="s">
        <v>74</v>
      </c>
      <c r="V1257" t="s">
        <v>23143</v>
      </c>
      <c r="W1257" t="s">
        <v>23144</v>
      </c>
      <c r="X1257" t="s">
        <v>23145</v>
      </c>
      <c r="Y1257" t="s">
        <v>23146</v>
      </c>
      <c r="Z1257" t="s">
        <v>23147</v>
      </c>
      <c r="AA1257" t="s">
        <v>74</v>
      </c>
      <c r="AB1257" t="s">
        <v>23148</v>
      </c>
      <c r="AC1257" t="s">
        <v>23149</v>
      </c>
      <c r="AD1257" t="s">
        <v>23150</v>
      </c>
      <c r="AE1257" t="s">
        <v>23151</v>
      </c>
      <c r="AF1257" t="s">
        <v>74</v>
      </c>
      <c r="AG1257">
        <v>27</v>
      </c>
      <c r="AH1257">
        <v>0</v>
      </c>
      <c r="AI1257">
        <v>0</v>
      </c>
      <c r="AJ1257">
        <v>0</v>
      </c>
      <c r="AK1257">
        <v>0</v>
      </c>
      <c r="AL1257" t="s">
        <v>638</v>
      </c>
      <c r="AM1257" t="s">
        <v>639</v>
      </c>
      <c r="AN1257" t="s">
        <v>640</v>
      </c>
      <c r="AO1257" t="s">
        <v>17001</v>
      </c>
      <c r="AP1257" t="s">
        <v>74</v>
      </c>
      <c r="AQ1257" t="s">
        <v>17002</v>
      </c>
      <c r="AR1257" t="s">
        <v>17003</v>
      </c>
      <c r="AS1257" t="s">
        <v>74</v>
      </c>
      <c r="AT1257" t="s">
        <v>74</v>
      </c>
      <c r="AU1257">
        <v>2023</v>
      </c>
      <c r="AV1257" t="s">
        <v>74</v>
      </c>
      <c r="AW1257" t="s">
        <v>74</v>
      </c>
      <c r="AX1257" t="s">
        <v>74</v>
      </c>
      <c r="AY1257" t="s">
        <v>74</v>
      </c>
      <c r="AZ1257" t="s">
        <v>74</v>
      </c>
      <c r="BA1257" t="s">
        <v>74</v>
      </c>
      <c r="BB1257">
        <v>1349</v>
      </c>
      <c r="BC1257">
        <v>1354</v>
      </c>
      <c r="BD1257" t="s">
        <v>74</v>
      </c>
      <c r="BE1257" t="s">
        <v>74</v>
      </c>
      <c r="BF1257" t="s">
        <v>74</v>
      </c>
      <c r="BG1257" t="s">
        <v>74</v>
      </c>
      <c r="BH1257" t="s">
        <v>74</v>
      </c>
      <c r="BI1257">
        <v>6</v>
      </c>
      <c r="BJ1257" t="s">
        <v>6374</v>
      </c>
      <c r="BK1257" t="s">
        <v>98</v>
      </c>
      <c r="BL1257" t="s">
        <v>99</v>
      </c>
      <c r="BM1257" t="s">
        <v>17005</v>
      </c>
      <c r="BN1257">
        <v>38361526</v>
      </c>
      <c r="BO1257" t="s">
        <v>74</v>
      </c>
      <c r="BP1257" t="s">
        <v>74</v>
      </c>
      <c r="BQ1257" t="s">
        <v>74</v>
      </c>
      <c r="BR1257" t="s">
        <v>101</v>
      </c>
      <c r="BS1257" t="s">
        <v>23152</v>
      </c>
      <c r="BT1257" t="str">
        <f>HYPERLINK("https%3A%2F%2Fwww.webofscience.com%2Fwos%2Fwoscc%2Ffull-record%2FWOS:001165180100164","View Full Record in Web of Science")</f>
        <v>View Full Record in Web of Science</v>
      </c>
    </row>
    <row r="1258" spans="1:72" x14ac:dyDescent="0.2">
      <c r="A1258" t="s">
        <v>72</v>
      </c>
      <c r="B1258" t="s">
        <v>23153</v>
      </c>
      <c r="C1258" t="s">
        <v>74</v>
      </c>
      <c r="D1258" t="s">
        <v>74</v>
      </c>
      <c r="E1258" t="s">
        <v>284</v>
      </c>
      <c r="F1258" t="s">
        <v>23154</v>
      </c>
      <c r="G1258" t="s">
        <v>74</v>
      </c>
      <c r="H1258" t="s">
        <v>74</v>
      </c>
      <c r="I1258" t="s">
        <v>23155</v>
      </c>
      <c r="J1258" t="s">
        <v>23156</v>
      </c>
      <c r="K1258" t="s">
        <v>23157</v>
      </c>
      <c r="L1258" t="s">
        <v>74</v>
      </c>
      <c r="M1258" t="s">
        <v>79</v>
      </c>
      <c r="N1258" t="s">
        <v>80</v>
      </c>
      <c r="O1258" t="s">
        <v>23158</v>
      </c>
      <c r="P1258" t="s">
        <v>23159</v>
      </c>
      <c r="Q1258" t="s">
        <v>21966</v>
      </c>
      <c r="R1258" t="s">
        <v>23160</v>
      </c>
      <c r="S1258" t="s">
        <v>74</v>
      </c>
      <c r="T1258" t="s">
        <v>74</v>
      </c>
      <c r="U1258" t="s">
        <v>74</v>
      </c>
      <c r="V1258" t="s">
        <v>23161</v>
      </c>
      <c r="W1258" t="s">
        <v>23162</v>
      </c>
      <c r="X1258" t="s">
        <v>23163</v>
      </c>
      <c r="Y1258" t="s">
        <v>23164</v>
      </c>
      <c r="Z1258" t="s">
        <v>23165</v>
      </c>
      <c r="AA1258" t="s">
        <v>74</v>
      </c>
      <c r="AB1258" t="s">
        <v>74</v>
      </c>
      <c r="AC1258" t="s">
        <v>23166</v>
      </c>
      <c r="AD1258" t="s">
        <v>23167</v>
      </c>
      <c r="AE1258" t="s">
        <v>23168</v>
      </c>
      <c r="AF1258" t="s">
        <v>74</v>
      </c>
      <c r="AG1258">
        <v>25</v>
      </c>
      <c r="AH1258">
        <v>0</v>
      </c>
      <c r="AI1258">
        <v>0</v>
      </c>
      <c r="AJ1258">
        <v>0</v>
      </c>
      <c r="AK1258">
        <v>0</v>
      </c>
      <c r="AL1258" t="s">
        <v>284</v>
      </c>
      <c r="AM1258" t="s">
        <v>93</v>
      </c>
      <c r="AN1258" t="s">
        <v>299</v>
      </c>
      <c r="AO1258" t="s">
        <v>23169</v>
      </c>
      <c r="AP1258" t="s">
        <v>74</v>
      </c>
      <c r="AQ1258" t="s">
        <v>23170</v>
      </c>
      <c r="AR1258" t="s">
        <v>23171</v>
      </c>
      <c r="AS1258" t="s">
        <v>74</v>
      </c>
      <c r="AT1258" t="s">
        <v>74</v>
      </c>
      <c r="AU1258">
        <v>2023</v>
      </c>
      <c r="AV1258" t="s">
        <v>74</v>
      </c>
      <c r="AW1258" t="s">
        <v>74</v>
      </c>
      <c r="AX1258" t="s">
        <v>74</v>
      </c>
      <c r="AY1258" t="s">
        <v>74</v>
      </c>
      <c r="AZ1258" t="s">
        <v>74</v>
      </c>
      <c r="BA1258" t="s">
        <v>74</v>
      </c>
      <c r="BB1258">
        <v>833</v>
      </c>
      <c r="BC1258">
        <v>838</v>
      </c>
      <c r="BD1258" t="s">
        <v>74</v>
      </c>
      <c r="BE1258" t="s">
        <v>23172</v>
      </c>
      <c r="BF1258" t="str">
        <f>HYPERLINK("http://dx.doi.org/10.1109/APSIPAASC58517.2023.10317456","http://dx.doi.org/10.1109/APSIPAASC58517.2023.10317456")</f>
        <v>http://dx.doi.org/10.1109/APSIPAASC58517.2023.10317456</v>
      </c>
      <c r="BG1258" t="s">
        <v>74</v>
      </c>
      <c r="BH1258" t="s">
        <v>74</v>
      </c>
      <c r="BI1258">
        <v>6</v>
      </c>
      <c r="BJ1258" t="s">
        <v>6374</v>
      </c>
      <c r="BK1258" t="s">
        <v>98</v>
      </c>
      <c r="BL1258" t="s">
        <v>99</v>
      </c>
      <c r="BM1258" t="s">
        <v>23173</v>
      </c>
      <c r="BN1258" t="s">
        <v>74</v>
      </c>
      <c r="BO1258" t="s">
        <v>74</v>
      </c>
      <c r="BP1258" t="s">
        <v>74</v>
      </c>
      <c r="BQ1258" t="s">
        <v>74</v>
      </c>
      <c r="BR1258" t="s">
        <v>101</v>
      </c>
      <c r="BS1258" t="s">
        <v>23174</v>
      </c>
      <c r="BT1258" t="str">
        <f>HYPERLINK("https%3A%2F%2Fwww.webofscience.com%2Fwos%2Fwoscc%2Ffull-record%2FWOS:001108741800129","View Full Record in Web of Science")</f>
        <v>View Full Record in Web of Science</v>
      </c>
    </row>
    <row r="1259" spans="1:72" x14ac:dyDescent="0.2">
      <c r="A1259" t="s">
        <v>103</v>
      </c>
      <c r="B1259" t="s">
        <v>23175</v>
      </c>
      <c r="C1259" t="s">
        <v>74</v>
      </c>
      <c r="D1259" t="s">
        <v>74</v>
      </c>
      <c r="E1259" t="s">
        <v>74</v>
      </c>
      <c r="F1259" t="s">
        <v>23176</v>
      </c>
      <c r="G1259" t="s">
        <v>74</v>
      </c>
      <c r="H1259" t="s">
        <v>74</v>
      </c>
      <c r="I1259" t="s">
        <v>23177</v>
      </c>
      <c r="J1259" t="s">
        <v>23178</v>
      </c>
      <c r="K1259" t="s">
        <v>74</v>
      </c>
      <c r="L1259" t="s">
        <v>74</v>
      </c>
      <c r="M1259" t="s">
        <v>79</v>
      </c>
      <c r="N1259" t="s">
        <v>138</v>
      </c>
      <c r="O1259" t="s">
        <v>74</v>
      </c>
      <c r="P1259" t="s">
        <v>74</v>
      </c>
      <c r="Q1259" t="s">
        <v>74</v>
      </c>
      <c r="R1259" t="s">
        <v>74</v>
      </c>
      <c r="S1259" t="s">
        <v>74</v>
      </c>
      <c r="T1259" t="s">
        <v>23179</v>
      </c>
      <c r="U1259" t="s">
        <v>74</v>
      </c>
      <c r="V1259" t="s">
        <v>23180</v>
      </c>
      <c r="W1259" t="s">
        <v>23181</v>
      </c>
      <c r="X1259" t="s">
        <v>23182</v>
      </c>
      <c r="Y1259" t="s">
        <v>23183</v>
      </c>
      <c r="Z1259" t="s">
        <v>23184</v>
      </c>
      <c r="AA1259" t="s">
        <v>74</v>
      </c>
      <c r="AB1259" t="s">
        <v>23185</v>
      </c>
      <c r="AC1259" t="s">
        <v>23186</v>
      </c>
      <c r="AD1259" t="s">
        <v>23187</v>
      </c>
      <c r="AE1259" t="s">
        <v>23188</v>
      </c>
      <c r="AF1259" t="s">
        <v>74</v>
      </c>
      <c r="AG1259">
        <v>9</v>
      </c>
      <c r="AH1259">
        <v>1</v>
      </c>
      <c r="AI1259">
        <v>1</v>
      </c>
      <c r="AJ1259">
        <v>10</v>
      </c>
      <c r="AK1259">
        <v>10</v>
      </c>
      <c r="AL1259" t="s">
        <v>3165</v>
      </c>
      <c r="AM1259" t="s">
        <v>3166</v>
      </c>
      <c r="AN1259" t="s">
        <v>3167</v>
      </c>
      <c r="AO1259" t="s">
        <v>23189</v>
      </c>
      <c r="AP1259" t="s">
        <v>23190</v>
      </c>
      <c r="AQ1259" t="s">
        <v>74</v>
      </c>
      <c r="AR1259" t="s">
        <v>23191</v>
      </c>
      <c r="AS1259" t="s">
        <v>23192</v>
      </c>
      <c r="AT1259" t="s">
        <v>23193</v>
      </c>
      <c r="AU1259">
        <v>2023</v>
      </c>
      <c r="AV1259" t="s">
        <v>74</v>
      </c>
      <c r="AW1259" t="s">
        <v>74</v>
      </c>
      <c r="AX1259" t="s">
        <v>74</v>
      </c>
      <c r="AY1259" t="s">
        <v>74</v>
      </c>
      <c r="AZ1259" t="s">
        <v>74</v>
      </c>
      <c r="BA1259" t="s">
        <v>74</v>
      </c>
      <c r="BB1259" t="s">
        <v>74</v>
      </c>
      <c r="BC1259" t="s">
        <v>74</v>
      </c>
      <c r="BD1259" t="s">
        <v>74</v>
      </c>
      <c r="BE1259" t="s">
        <v>23194</v>
      </c>
      <c r="BF1259" t="str">
        <f>HYPERLINK("http://dx.doi.org/10.1111/bdi.13379","http://dx.doi.org/10.1111/bdi.13379")</f>
        <v>http://dx.doi.org/10.1111/bdi.13379</v>
      </c>
      <c r="BG1259" t="s">
        <v>74</v>
      </c>
      <c r="BH1259" t="s">
        <v>278</v>
      </c>
      <c r="BI1259">
        <v>6</v>
      </c>
      <c r="BJ1259" t="s">
        <v>23195</v>
      </c>
      <c r="BK1259" t="s">
        <v>130</v>
      </c>
      <c r="BL1259" t="s">
        <v>23196</v>
      </c>
      <c r="BM1259" t="s">
        <v>23197</v>
      </c>
      <c r="BN1259">
        <v>37771250</v>
      </c>
      <c r="BO1259" t="s">
        <v>161</v>
      </c>
      <c r="BP1259" t="s">
        <v>74</v>
      </c>
      <c r="BQ1259" t="s">
        <v>74</v>
      </c>
      <c r="BR1259" t="s">
        <v>101</v>
      </c>
      <c r="BS1259" t="s">
        <v>23198</v>
      </c>
      <c r="BT1259" t="str">
        <f>HYPERLINK("https%3A%2F%2Fwww.webofscience.com%2Fwos%2Fwoscc%2Ffull-record%2FWOS:001072758400001","View Full Record in Web of Science")</f>
        <v>View Full Record in Web of Science</v>
      </c>
    </row>
    <row r="1260" spans="1:72" x14ac:dyDescent="0.2">
      <c r="A1260" t="s">
        <v>103</v>
      </c>
      <c r="B1260" t="s">
        <v>23199</v>
      </c>
      <c r="C1260" t="s">
        <v>74</v>
      </c>
      <c r="D1260" t="s">
        <v>74</v>
      </c>
      <c r="E1260" t="s">
        <v>74</v>
      </c>
      <c r="F1260" t="s">
        <v>23200</v>
      </c>
      <c r="G1260" t="s">
        <v>74</v>
      </c>
      <c r="H1260" t="s">
        <v>74</v>
      </c>
      <c r="I1260" t="s">
        <v>23201</v>
      </c>
      <c r="J1260" t="s">
        <v>23202</v>
      </c>
      <c r="K1260" t="s">
        <v>74</v>
      </c>
      <c r="L1260" t="s">
        <v>74</v>
      </c>
      <c r="M1260" t="s">
        <v>79</v>
      </c>
      <c r="N1260" t="s">
        <v>138</v>
      </c>
      <c r="O1260" t="s">
        <v>74</v>
      </c>
      <c r="P1260" t="s">
        <v>74</v>
      </c>
      <c r="Q1260" t="s">
        <v>74</v>
      </c>
      <c r="R1260" t="s">
        <v>74</v>
      </c>
      <c r="S1260" t="s">
        <v>74</v>
      </c>
      <c r="T1260" t="s">
        <v>74</v>
      </c>
      <c r="U1260" t="s">
        <v>23203</v>
      </c>
      <c r="V1260" t="s">
        <v>23204</v>
      </c>
      <c r="W1260" t="s">
        <v>23205</v>
      </c>
      <c r="X1260" t="s">
        <v>2773</v>
      </c>
      <c r="Y1260" t="s">
        <v>23206</v>
      </c>
      <c r="Z1260" t="s">
        <v>23207</v>
      </c>
      <c r="AA1260" t="s">
        <v>23208</v>
      </c>
      <c r="AB1260" t="s">
        <v>23209</v>
      </c>
      <c r="AC1260" t="s">
        <v>23210</v>
      </c>
      <c r="AD1260" t="s">
        <v>23210</v>
      </c>
      <c r="AE1260" t="s">
        <v>23211</v>
      </c>
      <c r="AF1260" t="s">
        <v>74</v>
      </c>
      <c r="AG1260">
        <v>66</v>
      </c>
      <c r="AH1260">
        <v>1</v>
      </c>
      <c r="AI1260">
        <v>1</v>
      </c>
      <c r="AJ1260">
        <v>17</v>
      </c>
      <c r="AK1260">
        <v>17</v>
      </c>
      <c r="AL1260" t="s">
        <v>3202</v>
      </c>
      <c r="AM1260" t="s">
        <v>120</v>
      </c>
      <c r="AN1260" t="s">
        <v>3203</v>
      </c>
      <c r="AO1260" t="s">
        <v>23212</v>
      </c>
      <c r="AP1260" t="s">
        <v>23213</v>
      </c>
      <c r="AQ1260" t="s">
        <v>74</v>
      </c>
      <c r="AR1260" t="s">
        <v>23214</v>
      </c>
      <c r="AS1260" t="s">
        <v>23215</v>
      </c>
      <c r="AT1260" t="s">
        <v>23216</v>
      </c>
      <c r="AU1260">
        <v>2023</v>
      </c>
      <c r="AV1260" t="s">
        <v>74</v>
      </c>
      <c r="AW1260" t="s">
        <v>74</v>
      </c>
      <c r="AX1260" t="s">
        <v>74</v>
      </c>
      <c r="AY1260" t="s">
        <v>74</v>
      </c>
      <c r="AZ1260" t="s">
        <v>74</v>
      </c>
      <c r="BA1260" t="s">
        <v>74</v>
      </c>
      <c r="BB1260" t="s">
        <v>74</v>
      </c>
      <c r="BC1260" t="s">
        <v>74</v>
      </c>
      <c r="BD1260" t="s">
        <v>74</v>
      </c>
      <c r="BE1260" t="s">
        <v>23217</v>
      </c>
      <c r="BF1260" t="str">
        <f>HYPERLINK("http://dx.doi.org/10.1093/applin/amad062","http://dx.doi.org/10.1093/applin/amad062")</f>
        <v>http://dx.doi.org/10.1093/applin/amad062</v>
      </c>
      <c r="BG1260" t="s">
        <v>74</v>
      </c>
      <c r="BH1260" t="s">
        <v>278</v>
      </c>
      <c r="BI1260">
        <v>21</v>
      </c>
      <c r="BJ1260" t="s">
        <v>377</v>
      </c>
      <c r="BK1260" t="s">
        <v>159</v>
      </c>
      <c r="BL1260" t="s">
        <v>377</v>
      </c>
      <c r="BM1260" t="s">
        <v>23218</v>
      </c>
      <c r="BN1260" t="s">
        <v>74</v>
      </c>
      <c r="BO1260" t="s">
        <v>74</v>
      </c>
      <c r="BP1260" t="s">
        <v>74</v>
      </c>
      <c r="BQ1260" t="s">
        <v>74</v>
      </c>
      <c r="BR1260" t="s">
        <v>101</v>
      </c>
      <c r="BS1260" t="s">
        <v>23219</v>
      </c>
      <c r="BT1260" t="str">
        <f>HYPERLINK("https%3A%2F%2Fwww.webofscience.com%2Fwos%2Fwoscc%2Ffull-record%2FWOS:001068456900001","View Full Record in Web of Science")</f>
        <v>View Full Record in Web of Science</v>
      </c>
    </row>
    <row r="1261" spans="1:72" x14ac:dyDescent="0.2">
      <c r="A1261" t="s">
        <v>103</v>
      </c>
      <c r="B1261" t="s">
        <v>23220</v>
      </c>
      <c r="C1261" t="s">
        <v>74</v>
      </c>
      <c r="D1261" t="s">
        <v>74</v>
      </c>
      <c r="E1261" t="s">
        <v>74</v>
      </c>
      <c r="F1261" t="s">
        <v>23221</v>
      </c>
      <c r="G1261" t="s">
        <v>74</v>
      </c>
      <c r="H1261" t="s">
        <v>74</v>
      </c>
      <c r="I1261" t="s">
        <v>23222</v>
      </c>
      <c r="J1261" t="s">
        <v>23223</v>
      </c>
      <c r="K1261" t="s">
        <v>74</v>
      </c>
      <c r="L1261" t="s">
        <v>74</v>
      </c>
      <c r="M1261" t="s">
        <v>79</v>
      </c>
      <c r="N1261" t="s">
        <v>108</v>
      </c>
      <c r="O1261" t="s">
        <v>74</v>
      </c>
      <c r="P1261" t="s">
        <v>74</v>
      </c>
      <c r="Q1261" t="s">
        <v>74</v>
      </c>
      <c r="R1261" t="s">
        <v>74</v>
      </c>
      <c r="S1261" t="s">
        <v>74</v>
      </c>
      <c r="T1261" t="s">
        <v>23224</v>
      </c>
      <c r="U1261" t="s">
        <v>74</v>
      </c>
      <c r="V1261" t="s">
        <v>23225</v>
      </c>
      <c r="W1261" t="s">
        <v>23226</v>
      </c>
      <c r="X1261" t="s">
        <v>23227</v>
      </c>
      <c r="Y1261" t="s">
        <v>23228</v>
      </c>
      <c r="Z1261" t="s">
        <v>74</v>
      </c>
      <c r="AA1261" t="s">
        <v>74</v>
      </c>
      <c r="AB1261" t="s">
        <v>74</v>
      </c>
      <c r="AC1261" t="s">
        <v>74</v>
      </c>
      <c r="AD1261" t="s">
        <v>74</v>
      </c>
      <c r="AE1261" t="s">
        <v>74</v>
      </c>
      <c r="AF1261" t="s">
        <v>74</v>
      </c>
      <c r="AG1261">
        <v>32</v>
      </c>
      <c r="AH1261">
        <v>1</v>
      </c>
      <c r="AI1261">
        <v>1</v>
      </c>
      <c r="AJ1261">
        <v>2</v>
      </c>
      <c r="AK1261">
        <v>2</v>
      </c>
      <c r="AL1261" t="s">
        <v>23229</v>
      </c>
      <c r="AM1261" t="s">
        <v>23230</v>
      </c>
      <c r="AN1261" t="s">
        <v>23231</v>
      </c>
      <c r="AO1261" t="s">
        <v>23232</v>
      </c>
      <c r="AP1261" t="s">
        <v>23233</v>
      </c>
      <c r="AQ1261" t="s">
        <v>74</v>
      </c>
      <c r="AR1261" t="s">
        <v>23223</v>
      </c>
      <c r="AS1261" t="s">
        <v>23234</v>
      </c>
      <c r="AT1261" t="s">
        <v>11200</v>
      </c>
      <c r="AU1261">
        <v>2023</v>
      </c>
      <c r="AV1261">
        <v>56</v>
      </c>
      <c r="AW1261">
        <v>3</v>
      </c>
      <c r="AX1261" t="s">
        <v>74</v>
      </c>
      <c r="AY1261" t="s">
        <v>74</v>
      </c>
      <c r="AZ1261" t="s">
        <v>74</v>
      </c>
      <c r="BA1261" t="s">
        <v>74</v>
      </c>
      <c r="BB1261">
        <v>201</v>
      </c>
      <c r="BC1261">
        <v>216</v>
      </c>
      <c r="BD1261" t="s">
        <v>74</v>
      </c>
      <c r="BE1261" t="s">
        <v>74</v>
      </c>
      <c r="BF1261" t="s">
        <v>74</v>
      </c>
      <c r="BG1261" t="s">
        <v>74</v>
      </c>
      <c r="BH1261" t="s">
        <v>74</v>
      </c>
      <c r="BI1261">
        <v>16</v>
      </c>
      <c r="BJ1261" t="s">
        <v>23235</v>
      </c>
      <c r="BK1261" t="s">
        <v>130</v>
      </c>
      <c r="BL1261" t="s">
        <v>23235</v>
      </c>
      <c r="BM1261" t="s">
        <v>23236</v>
      </c>
      <c r="BN1261" t="s">
        <v>74</v>
      </c>
      <c r="BO1261" t="s">
        <v>74</v>
      </c>
      <c r="BP1261" t="s">
        <v>74</v>
      </c>
      <c r="BQ1261" t="s">
        <v>74</v>
      </c>
      <c r="BR1261" t="s">
        <v>101</v>
      </c>
      <c r="BS1261" t="s">
        <v>23237</v>
      </c>
      <c r="BT1261" t="str">
        <f>HYPERLINK("https%3A%2F%2Fwww.webofscience.com%2Fwos%2Fwoscc%2Ffull-record%2FWOS:001126592700003","View Full Record in Web of Science")</f>
        <v>View Full Record in Web of Science</v>
      </c>
    </row>
    <row r="1262" spans="1:72" x14ac:dyDescent="0.2">
      <c r="A1262" t="s">
        <v>72</v>
      </c>
      <c r="B1262" t="s">
        <v>23238</v>
      </c>
      <c r="C1262" t="s">
        <v>74</v>
      </c>
      <c r="D1262" t="s">
        <v>4124</v>
      </c>
      <c r="E1262" t="s">
        <v>74</v>
      </c>
      <c r="F1262" t="s">
        <v>23239</v>
      </c>
      <c r="G1262" t="s">
        <v>74</v>
      </c>
      <c r="H1262" t="s">
        <v>74</v>
      </c>
      <c r="I1262" t="s">
        <v>23240</v>
      </c>
      <c r="J1262" t="s">
        <v>4127</v>
      </c>
      <c r="K1262" t="s">
        <v>4128</v>
      </c>
      <c r="L1262" t="s">
        <v>74</v>
      </c>
      <c r="M1262" t="s">
        <v>79</v>
      </c>
      <c r="N1262" t="s">
        <v>80</v>
      </c>
      <c r="O1262" t="s">
        <v>4129</v>
      </c>
      <c r="P1262" t="s">
        <v>4130</v>
      </c>
      <c r="Q1262" t="s">
        <v>4131</v>
      </c>
      <c r="R1262" t="s">
        <v>4132</v>
      </c>
      <c r="S1262" t="s">
        <v>74</v>
      </c>
      <c r="T1262" t="s">
        <v>23241</v>
      </c>
      <c r="U1262" t="s">
        <v>74</v>
      </c>
      <c r="V1262" t="s">
        <v>23242</v>
      </c>
      <c r="W1262" t="s">
        <v>23243</v>
      </c>
      <c r="X1262" t="s">
        <v>4137</v>
      </c>
      <c r="Y1262" t="s">
        <v>23244</v>
      </c>
      <c r="Z1262" t="s">
        <v>23245</v>
      </c>
      <c r="AA1262" t="s">
        <v>4140</v>
      </c>
      <c r="AB1262" t="s">
        <v>74</v>
      </c>
      <c r="AC1262" t="s">
        <v>23246</v>
      </c>
      <c r="AD1262" t="s">
        <v>23247</v>
      </c>
      <c r="AE1262" t="s">
        <v>23248</v>
      </c>
      <c r="AF1262" t="s">
        <v>74</v>
      </c>
      <c r="AG1262">
        <v>22</v>
      </c>
      <c r="AH1262">
        <v>0</v>
      </c>
      <c r="AI1262">
        <v>0</v>
      </c>
      <c r="AJ1262">
        <v>0</v>
      </c>
      <c r="AK1262">
        <v>0</v>
      </c>
      <c r="AL1262" t="s">
        <v>284</v>
      </c>
      <c r="AM1262" t="s">
        <v>93</v>
      </c>
      <c r="AN1262" t="s">
        <v>299</v>
      </c>
      <c r="AO1262" t="s">
        <v>4144</v>
      </c>
      <c r="AP1262" t="s">
        <v>74</v>
      </c>
      <c r="AQ1262" t="s">
        <v>4145</v>
      </c>
      <c r="AR1262" t="s">
        <v>4146</v>
      </c>
      <c r="AS1262" t="s">
        <v>74</v>
      </c>
      <c r="AT1262" t="s">
        <v>74</v>
      </c>
      <c r="AU1262">
        <v>2023</v>
      </c>
      <c r="AV1262" t="s">
        <v>74</v>
      </c>
      <c r="AW1262" t="s">
        <v>74</v>
      </c>
      <c r="AX1262" t="s">
        <v>74</v>
      </c>
      <c r="AY1262" t="s">
        <v>74</v>
      </c>
      <c r="AZ1262" t="s">
        <v>74</v>
      </c>
      <c r="BA1262" t="s">
        <v>74</v>
      </c>
      <c r="BB1262" t="s">
        <v>74</v>
      </c>
      <c r="BC1262" t="s">
        <v>74</v>
      </c>
      <c r="BD1262" t="s">
        <v>74</v>
      </c>
      <c r="BE1262" t="s">
        <v>74</v>
      </c>
      <c r="BF1262" t="s">
        <v>74</v>
      </c>
      <c r="BG1262" t="s">
        <v>74</v>
      </c>
      <c r="BH1262" t="s">
        <v>74</v>
      </c>
      <c r="BI1262">
        <v>5</v>
      </c>
      <c r="BJ1262" t="s">
        <v>1385</v>
      </c>
      <c r="BK1262" t="s">
        <v>98</v>
      </c>
      <c r="BL1262" t="s">
        <v>1386</v>
      </c>
      <c r="BM1262" t="s">
        <v>4147</v>
      </c>
      <c r="BN1262" t="s">
        <v>74</v>
      </c>
      <c r="BO1262" t="s">
        <v>74</v>
      </c>
      <c r="BP1262" t="s">
        <v>74</v>
      </c>
      <c r="BQ1262" t="s">
        <v>74</v>
      </c>
      <c r="BR1262" t="s">
        <v>101</v>
      </c>
      <c r="BS1262" t="s">
        <v>23249</v>
      </c>
      <c r="BT1262" t="str">
        <f>HYPERLINK("https%3A%2F%2Fwww.webofscience.com%2Fwos%2Fwoscc%2Ffull-record%2FWOS:001117985100037","View Full Record in Web of Science")</f>
        <v>View Full Record in Web of Science</v>
      </c>
    </row>
    <row r="1263" spans="1:72" x14ac:dyDescent="0.2">
      <c r="A1263" t="s">
        <v>103</v>
      </c>
      <c r="B1263" t="s">
        <v>23250</v>
      </c>
      <c r="C1263" t="s">
        <v>74</v>
      </c>
      <c r="D1263" t="s">
        <v>74</v>
      </c>
      <c r="E1263" t="s">
        <v>74</v>
      </c>
      <c r="F1263" t="s">
        <v>23251</v>
      </c>
      <c r="G1263" t="s">
        <v>74</v>
      </c>
      <c r="H1263" t="s">
        <v>74</v>
      </c>
      <c r="I1263" t="s">
        <v>23252</v>
      </c>
      <c r="J1263" t="s">
        <v>23253</v>
      </c>
      <c r="K1263" t="s">
        <v>74</v>
      </c>
      <c r="L1263" t="s">
        <v>74</v>
      </c>
      <c r="M1263" t="s">
        <v>79</v>
      </c>
      <c r="N1263" t="s">
        <v>108</v>
      </c>
      <c r="O1263" t="s">
        <v>74</v>
      </c>
      <c r="P1263" t="s">
        <v>74</v>
      </c>
      <c r="Q1263" t="s">
        <v>74</v>
      </c>
      <c r="R1263" t="s">
        <v>74</v>
      </c>
      <c r="S1263" t="s">
        <v>74</v>
      </c>
      <c r="T1263" t="s">
        <v>74</v>
      </c>
      <c r="U1263" t="s">
        <v>23254</v>
      </c>
      <c r="V1263" t="s">
        <v>23255</v>
      </c>
      <c r="W1263" t="s">
        <v>23256</v>
      </c>
      <c r="X1263" t="s">
        <v>23257</v>
      </c>
      <c r="Y1263" t="s">
        <v>23258</v>
      </c>
      <c r="Z1263" t="s">
        <v>23259</v>
      </c>
      <c r="AA1263" t="s">
        <v>74</v>
      </c>
      <c r="AB1263" t="s">
        <v>23260</v>
      </c>
      <c r="AC1263" t="s">
        <v>23261</v>
      </c>
      <c r="AD1263" t="s">
        <v>23262</v>
      </c>
      <c r="AE1263" t="s">
        <v>23263</v>
      </c>
      <c r="AF1263" t="s">
        <v>74</v>
      </c>
      <c r="AG1263">
        <v>55</v>
      </c>
      <c r="AH1263">
        <v>2</v>
      </c>
      <c r="AI1263">
        <v>2</v>
      </c>
      <c r="AJ1263">
        <v>9</v>
      </c>
      <c r="AK1263">
        <v>9</v>
      </c>
      <c r="AL1263" t="s">
        <v>2032</v>
      </c>
      <c r="AM1263" t="s">
        <v>149</v>
      </c>
      <c r="AN1263" t="s">
        <v>2033</v>
      </c>
      <c r="AO1263" t="s">
        <v>74</v>
      </c>
      <c r="AP1263" t="s">
        <v>23264</v>
      </c>
      <c r="AQ1263" t="s">
        <v>74</v>
      </c>
      <c r="AR1263" t="s">
        <v>23265</v>
      </c>
      <c r="AS1263" t="s">
        <v>23266</v>
      </c>
      <c r="AT1263" t="s">
        <v>527</v>
      </c>
      <c r="AU1263">
        <v>2023</v>
      </c>
      <c r="AV1263">
        <v>3</v>
      </c>
      <c r="AW1263">
        <v>12</v>
      </c>
      <c r="AX1263" t="s">
        <v>74</v>
      </c>
      <c r="AY1263" t="s">
        <v>74</v>
      </c>
      <c r="AZ1263" t="s">
        <v>74</v>
      </c>
      <c r="BA1263" t="s">
        <v>74</v>
      </c>
      <c r="BB1263">
        <v>1045</v>
      </c>
      <c r="BC1263">
        <v>1055</v>
      </c>
      <c r="BD1263" t="s">
        <v>74</v>
      </c>
      <c r="BE1263" t="s">
        <v>23267</v>
      </c>
      <c r="BF1263" t="str">
        <f>HYPERLINK("http://dx.doi.org/10.1038/s43588-023-00563-7","http://dx.doi.org/10.1038/s43588-023-00563-7")</f>
        <v>http://dx.doi.org/10.1038/s43588-023-00563-7</v>
      </c>
      <c r="BG1263" t="s">
        <v>74</v>
      </c>
      <c r="BH1263" t="s">
        <v>128</v>
      </c>
      <c r="BI1263">
        <v>11</v>
      </c>
      <c r="BJ1263" t="s">
        <v>23268</v>
      </c>
      <c r="BK1263" t="s">
        <v>352</v>
      </c>
      <c r="BL1263" t="s">
        <v>1320</v>
      </c>
      <c r="BM1263" t="s">
        <v>23269</v>
      </c>
      <c r="BN1263">
        <v>38177724</v>
      </c>
      <c r="BO1263" t="s">
        <v>646</v>
      </c>
      <c r="BP1263" t="s">
        <v>74</v>
      </c>
      <c r="BQ1263" t="s">
        <v>74</v>
      </c>
      <c r="BR1263" t="s">
        <v>101</v>
      </c>
      <c r="BS1263" t="s">
        <v>23270</v>
      </c>
      <c r="BT1263" t="str">
        <f>HYPERLINK("https%3A%2F%2Fwww.webofscience.com%2Fwos%2Fwoscc%2Ffull-record%2FWOS:001125956100001","View Full Record in Web of Science")</f>
        <v>View Full Record in Web of Science</v>
      </c>
    </row>
    <row r="1264" spans="1:72" x14ac:dyDescent="0.2">
      <c r="A1264" t="s">
        <v>103</v>
      </c>
      <c r="B1264" t="s">
        <v>23271</v>
      </c>
      <c r="C1264" t="s">
        <v>74</v>
      </c>
      <c r="D1264" t="s">
        <v>74</v>
      </c>
      <c r="E1264" t="s">
        <v>74</v>
      </c>
      <c r="F1264" t="s">
        <v>23272</v>
      </c>
      <c r="G1264" t="s">
        <v>74</v>
      </c>
      <c r="H1264" t="s">
        <v>74</v>
      </c>
      <c r="I1264" t="s">
        <v>23273</v>
      </c>
      <c r="J1264" t="s">
        <v>3969</v>
      </c>
      <c r="K1264" t="s">
        <v>74</v>
      </c>
      <c r="L1264" t="s">
        <v>74</v>
      </c>
      <c r="M1264" t="s">
        <v>79</v>
      </c>
      <c r="N1264" t="s">
        <v>108</v>
      </c>
      <c r="O1264" t="s">
        <v>74</v>
      </c>
      <c r="P1264" t="s">
        <v>74</v>
      </c>
      <c r="Q1264" t="s">
        <v>74</v>
      </c>
      <c r="R1264" t="s">
        <v>74</v>
      </c>
      <c r="S1264" t="s">
        <v>74</v>
      </c>
      <c r="T1264" t="s">
        <v>74</v>
      </c>
      <c r="U1264" t="s">
        <v>23274</v>
      </c>
      <c r="V1264" t="s">
        <v>23275</v>
      </c>
      <c r="W1264" t="s">
        <v>23276</v>
      </c>
      <c r="X1264" t="s">
        <v>23277</v>
      </c>
      <c r="Y1264" t="s">
        <v>23278</v>
      </c>
      <c r="Z1264" t="s">
        <v>23279</v>
      </c>
      <c r="AA1264" t="s">
        <v>74</v>
      </c>
      <c r="AB1264" t="s">
        <v>23280</v>
      </c>
      <c r="AC1264" t="s">
        <v>23281</v>
      </c>
      <c r="AD1264" t="s">
        <v>23282</v>
      </c>
      <c r="AE1264" t="s">
        <v>23283</v>
      </c>
      <c r="AF1264" t="s">
        <v>74</v>
      </c>
      <c r="AG1264">
        <v>102</v>
      </c>
      <c r="AH1264">
        <v>0</v>
      </c>
      <c r="AI1264">
        <v>0</v>
      </c>
      <c r="AJ1264">
        <v>1</v>
      </c>
      <c r="AK1264">
        <v>1</v>
      </c>
      <c r="AL1264" t="s">
        <v>3980</v>
      </c>
      <c r="AM1264" t="s">
        <v>1153</v>
      </c>
      <c r="AN1264" t="s">
        <v>3981</v>
      </c>
      <c r="AO1264" t="s">
        <v>74</v>
      </c>
      <c r="AP1264" t="s">
        <v>3982</v>
      </c>
      <c r="AQ1264" t="s">
        <v>74</v>
      </c>
      <c r="AR1264" t="s">
        <v>3983</v>
      </c>
      <c r="AS1264" t="s">
        <v>3984</v>
      </c>
      <c r="AT1264" t="s">
        <v>23284</v>
      </c>
      <c r="AU1264">
        <v>2024</v>
      </c>
      <c r="AV1264">
        <v>3</v>
      </c>
      <c r="AW1264">
        <v>2</v>
      </c>
      <c r="AX1264" t="s">
        <v>74</v>
      </c>
      <c r="AY1264" t="s">
        <v>74</v>
      </c>
      <c r="AZ1264" t="s">
        <v>74</v>
      </c>
      <c r="BA1264" t="s">
        <v>74</v>
      </c>
      <c r="BB1264">
        <v>264</v>
      </c>
      <c r="BC1264">
        <v>280</v>
      </c>
      <c r="BD1264" t="s">
        <v>74</v>
      </c>
      <c r="BE1264" t="s">
        <v>23285</v>
      </c>
      <c r="BF1264" t="str">
        <f>HYPERLINK("http://dx.doi.org/10.1039/d3dd00077j","http://dx.doi.org/10.1039/d3dd00077j")</f>
        <v>http://dx.doi.org/10.1039/d3dd00077j</v>
      </c>
      <c r="BG1264" t="s">
        <v>74</v>
      </c>
      <c r="BH1264" t="s">
        <v>157</v>
      </c>
      <c r="BI1264">
        <v>17</v>
      </c>
      <c r="BJ1264" t="s">
        <v>3987</v>
      </c>
      <c r="BK1264" t="s">
        <v>352</v>
      </c>
      <c r="BL1264" t="s">
        <v>1995</v>
      </c>
      <c r="BM1264" t="s">
        <v>23286</v>
      </c>
      <c r="BN1264" t="s">
        <v>74</v>
      </c>
      <c r="BO1264" t="s">
        <v>1711</v>
      </c>
      <c r="BP1264" t="s">
        <v>74</v>
      </c>
      <c r="BQ1264" t="s">
        <v>74</v>
      </c>
      <c r="BR1264" t="s">
        <v>101</v>
      </c>
      <c r="BS1264" t="s">
        <v>23287</v>
      </c>
      <c r="BT1264" t="str">
        <f>HYPERLINK("https%3A%2F%2Fwww.webofscience.com%2Fwos%2Fwoscc%2Ffull-record%2FWOS:001143534100001","View Full Record in Web of Science")</f>
        <v>View Full Record in Web of Science</v>
      </c>
    </row>
    <row r="1265" spans="1:72" x14ac:dyDescent="0.2">
      <c r="A1265" t="s">
        <v>103</v>
      </c>
      <c r="B1265" t="s">
        <v>23288</v>
      </c>
      <c r="C1265" t="s">
        <v>74</v>
      </c>
      <c r="D1265" t="s">
        <v>74</v>
      </c>
      <c r="E1265" t="s">
        <v>74</v>
      </c>
      <c r="F1265" t="s">
        <v>23289</v>
      </c>
      <c r="G1265" t="s">
        <v>74</v>
      </c>
      <c r="H1265" t="s">
        <v>74</v>
      </c>
      <c r="I1265" t="s">
        <v>23290</v>
      </c>
      <c r="J1265" t="s">
        <v>23291</v>
      </c>
      <c r="K1265" t="s">
        <v>74</v>
      </c>
      <c r="L1265" t="s">
        <v>74</v>
      </c>
      <c r="M1265" t="s">
        <v>79</v>
      </c>
      <c r="N1265" t="s">
        <v>108</v>
      </c>
      <c r="O1265" t="s">
        <v>74</v>
      </c>
      <c r="P1265" t="s">
        <v>74</v>
      </c>
      <c r="Q1265" t="s">
        <v>74</v>
      </c>
      <c r="R1265" t="s">
        <v>74</v>
      </c>
      <c r="S1265" t="s">
        <v>74</v>
      </c>
      <c r="T1265" t="s">
        <v>23292</v>
      </c>
      <c r="U1265" t="s">
        <v>23293</v>
      </c>
      <c r="V1265" t="s">
        <v>23294</v>
      </c>
      <c r="W1265" t="s">
        <v>23295</v>
      </c>
      <c r="X1265" t="s">
        <v>23296</v>
      </c>
      <c r="Y1265" t="s">
        <v>23297</v>
      </c>
      <c r="Z1265" t="s">
        <v>23298</v>
      </c>
      <c r="AA1265" t="s">
        <v>23299</v>
      </c>
      <c r="AB1265" t="s">
        <v>74</v>
      </c>
      <c r="AC1265" t="s">
        <v>74</v>
      </c>
      <c r="AD1265" t="s">
        <v>74</v>
      </c>
      <c r="AE1265" t="s">
        <v>74</v>
      </c>
      <c r="AF1265" t="s">
        <v>74</v>
      </c>
      <c r="AG1265">
        <v>46</v>
      </c>
      <c r="AH1265">
        <v>0</v>
      </c>
      <c r="AI1265">
        <v>0</v>
      </c>
      <c r="AJ1265">
        <v>8</v>
      </c>
      <c r="AK1265">
        <v>8</v>
      </c>
      <c r="AL1265" t="s">
        <v>343</v>
      </c>
      <c r="AM1265" t="s">
        <v>521</v>
      </c>
      <c r="AN1265" t="s">
        <v>522</v>
      </c>
      <c r="AO1265" t="s">
        <v>23300</v>
      </c>
      <c r="AP1265" t="s">
        <v>23301</v>
      </c>
      <c r="AQ1265" t="s">
        <v>74</v>
      </c>
      <c r="AR1265" t="s">
        <v>23302</v>
      </c>
      <c r="AS1265" t="s">
        <v>23303</v>
      </c>
      <c r="AT1265" t="s">
        <v>527</v>
      </c>
      <c r="AU1265">
        <v>2023</v>
      </c>
      <c r="AV1265">
        <v>55</v>
      </c>
      <c r="AW1265">
        <v>9</v>
      </c>
      <c r="AX1265" t="s">
        <v>74</v>
      </c>
      <c r="AY1265" t="s">
        <v>74</v>
      </c>
      <c r="AZ1265" t="s">
        <v>74</v>
      </c>
      <c r="BA1265" t="s">
        <v>74</v>
      </c>
      <c r="BB1265">
        <v>11863</v>
      </c>
      <c r="BC1265">
        <v>11883</v>
      </c>
      <c r="BD1265" t="s">
        <v>74</v>
      </c>
      <c r="BE1265" t="s">
        <v>23304</v>
      </c>
      <c r="BF1265" t="str">
        <f>HYPERLINK("http://dx.doi.org/10.1007/s11063-023-11400-3","http://dx.doi.org/10.1007/s11063-023-11400-3")</f>
        <v>http://dx.doi.org/10.1007/s11063-023-11400-3</v>
      </c>
      <c r="BG1265" t="s">
        <v>74</v>
      </c>
      <c r="BH1265" t="s">
        <v>278</v>
      </c>
      <c r="BI1265">
        <v>21</v>
      </c>
      <c r="BJ1265" t="s">
        <v>304</v>
      </c>
      <c r="BK1265" t="s">
        <v>130</v>
      </c>
      <c r="BL1265" t="s">
        <v>99</v>
      </c>
      <c r="BM1265" t="s">
        <v>23305</v>
      </c>
      <c r="BN1265" t="s">
        <v>74</v>
      </c>
      <c r="BO1265" t="s">
        <v>74</v>
      </c>
      <c r="BP1265" t="s">
        <v>74</v>
      </c>
      <c r="BQ1265" t="s">
        <v>74</v>
      </c>
      <c r="BR1265" t="s">
        <v>101</v>
      </c>
      <c r="BS1265" t="s">
        <v>23306</v>
      </c>
      <c r="BT1265" t="str">
        <f>HYPERLINK("https%3A%2F%2Fwww.webofscience.com%2Fwos%2Fwoscc%2Ffull-record%2FWOS:001069616500002","View Full Record in Web of Science")</f>
        <v>View Full Record in Web of Science</v>
      </c>
    </row>
    <row r="1266" spans="1:72" x14ac:dyDescent="0.2">
      <c r="A1266" t="s">
        <v>103</v>
      </c>
      <c r="B1266" t="s">
        <v>23307</v>
      </c>
      <c r="C1266" t="s">
        <v>74</v>
      </c>
      <c r="D1266" t="s">
        <v>74</v>
      </c>
      <c r="E1266" t="s">
        <v>74</v>
      </c>
      <c r="F1266" t="s">
        <v>23308</v>
      </c>
      <c r="G1266" t="s">
        <v>74</v>
      </c>
      <c r="H1266" t="s">
        <v>74</v>
      </c>
      <c r="I1266" t="s">
        <v>23309</v>
      </c>
      <c r="J1266" t="s">
        <v>23310</v>
      </c>
      <c r="K1266" t="s">
        <v>74</v>
      </c>
      <c r="L1266" t="s">
        <v>74</v>
      </c>
      <c r="M1266" t="s">
        <v>79</v>
      </c>
      <c r="N1266" t="s">
        <v>138</v>
      </c>
      <c r="O1266" t="s">
        <v>74</v>
      </c>
      <c r="P1266" t="s">
        <v>74</v>
      </c>
      <c r="Q1266" t="s">
        <v>74</v>
      </c>
      <c r="R1266" t="s">
        <v>74</v>
      </c>
      <c r="S1266" t="s">
        <v>74</v>
      </c>
      <c r="T1266" t="s">
        <v>23311</v>
      </c>
      <c r="U1266" t="s">
        <v>23312</v>
      </c>
      <c r="V1266" t="s">
        <v>23313</v>
      </c>
      <c r="W1266" t="s">
        <v>23314</v>
      </c>
      <c r="X1266" t="s">
        <v>23315</v>
      </c>
      <c r="Y1266" t="s">
        <v>23316</v>
      </c>
      <c r="Z1266" t="s">
        <v>23317</v>
      </c>
      <c r="AA1266" t="s">
        <v>74</v>
      </c>
      <c r="AB1266" t="s">
        <v>74</v>
      </c>
      <c r="AC1266" t="s">
        <v>23318</v>
      </c>
      <c r="AD1266" t="s">
        <v>23318</v>
      </c>
      <c r="AE1266" t="s">
        <v>23319</v>
      </c>
      <c r="AF1266" t="s">
        <v>74</v>
      </c>
      <c r="AG1266">
        <v>196</v>
      </c>
      <c r="AH1266">
        <v>0</v>
      </c>
      <c r="AI1266">
        <v>0</v>
      </c>
      <c r="AJ1266">
        <v>40</v>
      </c>
      <c r="AK1266">
        <v>40</v>
      </c>
      <c r="AL1266" t="s">
        <v>343</v>
      </c>
      <c r="AM1266" t="s">
        <v>93</v>
      </c>
      <c r="AN1266" t="s">
        <v>344</v>
      </c>
      <c r="AO1266" t="s">
        <v>23320</v>
      </c>
      <c r="AP1266" t="s">
        <v>23321</v>
      </c>
      <c r="AQ1266" t="s">
        <v>74</v>
      </c>
      <c r="AR1266" t="s">
        <v>23322</v>
      </c>
      <c r="AS1266" t="s">
        <v>23323</v>
      </c>
      <c r="AT1266" t="s">
        <v>23324</v>
      </c>
      <c r="AU1266">
        <v>2023</v>
      </c>
      <c r="AV1266" t="s">
        <v>74</v>
      </c>
      <c r="AW1266" t="s">
        <v>74</v>
      </c>
      <c r="AX1266" t="s">
        <v>74</v>
      </c>
      <c r="AY1266" t="s">
        <v>74</v>
      </c>
      <c r="AZ1266" t="s">
        <v>74</v>
      </c>
      <c r="BA1266" t="s">
        <v>74</v>
      </c>
      <c r="BB1266" t="s">
        <v>74</v>
      </c>
      <c r="BC1266" t="s">
        <v>74</v>
      </c>
      <c r="BD1266" t="s">
        <v>74</v>
      </c>
      <c r="BE1266" t="s">
        <v>23325</v>
      </c>
      <c r="BF1266" t="str">
        <f>HYPERLINK("http://dx.doi.org/10.1007/s11747-023-00994-8","http://dx.doi.org/10.1007/s11747-023-00994-8")</f>
        <v>http://dx.doi.org/10.1007/s11747-023-00994-8</v>
      </c>
      <c r="BG1266" t="s">
        <v>74</v>
      </c>
      <c r="BH1266" t="s">
        <v>128</v>
      </c>
      <c r="BI1266">
        <v>29</v>
      </c>
      <c r="BJ1266" t="s">
        <v>492</v>
      </c>
      <c r="BK1266" t="s">
        <v>159</v>
      </c>
      <c r="BL1266" t="s">
        <v>470</v>
      </c>
      <c r="BM1266" t="s">
        <v>23326</v>
      </c>
      <c r="BN1266" t="s">
        <v>74</v>
      </c>
      <c r="BO1266" t="s">
        <v>161</v>
      </c>
      <c r="BP1266" t="s">
        <v>74</v>
      </c>
      <c r="BQ1266" t="s">
        <v>74</v>
      </c>
      <c r="BR1266" t="s">
        <v>101</v>
      </c>
      <c r="BS1266" t="s">
        <v>23327</v>
      </c>
      <c r="BT1266" t="str">
        <f>HYPERLINK("https%3A%2F%2Fwww.webofscience.com%2Fwos%2Fwoscc%2Ffull-record%2FWOS:001134161600001","View Full Record in Web of Science")</f>
        <v>View Full Record in Web of Science</v>
      </c>
    </row>
    <row r="1267" spans="1:72" x14ac:dyDescent="0.2">
      <c r="A1267" t="s">
        <v>103</v>
      </c>
      <c r="B1267" t="s">
        <v>23328</v>
      </c>
      <c r="C1267" t="s">
        <v>74</v>
      </c>
      <c r="D1267" t="s">
        <v>74</v>
      </c>
      <c r="E1267" t="s">
        <v>74</v>
      </c>
      <c r="F1267" t="s">
        <v>23329</v>
      </c>
      <c r="G1267" t="s">
        <v>74</v>
      </c>
      <c r="H1267" t="s">
        <v>74</v>
      </c>
      <c r="I1267" t="s">
        <v>23330</v>
      </c>
      <c r="J1267" t="s">
        <v>23331</v>
      </c>
      <c r="K1267" t="s">
        <v>74</v>
      </c>
      <c r="L1267" t="s">
        <v>74</v>
      </c>
      <c r="M1267" t="s">
        <v>79</v>
      </c>
      <c r="N1267" t="s">
        <v>108</v>
      </c>
      <c r="O1267" t="s">
        <v>74</v>
      </c>
      <c r="P1267" t="s">
        <v>74</v>
      </c>
      <c r="Q1267" t="s">
        <v>74</v>
      </c>
      <c r="R1267" t="s">
        <v>74</v>
      </c>
      <c r="S1267" t="s">
        <v>74</v>
      </c>
      <c r="T1267" t="s">
        <v>23332</v>
      </c>
      <c r="U1267" t="s">
        <v>21024</v>
      </c>
      <c r="V1267" t="s">
        <v>23333</v>
      </c>
      <c r="W1267" t="s">
        <v>23334</v>
      </c>
      <c r="X1267" t="s">
        <v>23335</v>
      </c>
      <c r="Y1267" t="s">
        <v>23336</v>
      </c>
      <c r="Z1267" t="s">
        <v>23337</v>
      </c>
      <c r="AA1267" t="s">
        <v>74</v>
      </c>
      <c r="AB1267" t="s">
        <v>74</v>
      </c>
      <c r="AC1267" t="s">
        <v>74</v>
      </c>
      <c r="AD1267" t="s">
        <v>74</v>
      </c>
      <c r="AE1267" t="s">
        <v>74</v>
      </c>
      <c r="AF1267" t="s">
        <v>74</v>
      </c>
      <c r="AG1267">
        <v>26</v>
      </c>
      <c r="AH1267">
        <v>0</v>
      </c>
      <c r="AI1267">
        <v>0</v>
      </c>
      <c r="AJ1267">
        <v>0</v>
      </c>
      <c r="AK1267">
        <v>0</v>
      </c>
      <c r="AL1267" t="s">
        <v>23338</v>
      </c>
      <c r="AM1267" t="s">
        <v>23339</v>
      </c>
      <c r="AN1267" t="s">
        <v>23340</v>
      </c>
      <c r="AO1267" t="s">
        <v>23341</v>
      </c>
      <c r="AP1267" t="s">
        <v>23342</v>
      </c>
      <c r="AQ1267" t="s">
        <v>74</v>
      </c>
      <c r="AR1267" t="s">
        <v>23343</v>
      </c>
      <c r="AS1267" t="s">
        <v>23344</v>
      </c>
      <c r="AT1267" t="s">
        <v>2582</v>
      </c>
      <c r="AU1267">
        <v>2023</v>
      </c>
      <c r="AV1267">
        <v>13</v>
      </c>
      <c r="AW1267">
        <v>3</v>
      </c>
      <c r="AX1267" t="s">
        <v>74</v>
      </c>
      <c r="AY1267" t="s">
        <v>74</v>
      </c>
      <c r="AZ1267" t="s">
        <v>74</v>
      </c>
      <c r="BA1267" t="s">
        <v>74</v>
      </c>
      <c r="BB1267">
        <v>10895</v>
      </c>
      <c r="BC1267">
        <v>10900</v>
      </c>
      <c r="BD1267" t="s">
        <v>74</v>
      </c>
      <c r="BE1267" t="s">
        <v>23345</v>
      </c>
      <c r="BF1267" t="str">
        <f>HYPERLINK("http://dx.doi.org/10.48084/etasr.5852","http://dx.doi.org/10.48084/etasr.5852")</f>
        <v>http://dx.doi.org/10.48084/etasr.5852</v>
      </c>
      <c r="BG1267" t="s">
        <v>74</v>
      </c>
      <c r="BH1267" t="s">
        <v>74</v>
      </c>
      <c r="BI1267">
        <v>6</v>
      </c>
      <c r="BJ1267" t="s">
        <v>5242</v>
      </c>
      <c r="BK1267" t="s">
        <v>352</v>
      </c>
      <c r="BL1267" t="s">
        <v>2823</v>
      </c>
      <c r="BM1267" t="s">
        <v>23346</v>
      </c>
      <c r="BN1267" t="s">
        <v>74</v>
      </c>
      <c r="BO1267" t="s">
        <v>425</v>
      </c>
      <c r="BP1267" t="s">
        <v>74</v>
      </c>
      <c r="BQ1267" t="s">
        <v>74</v>
      </c>
      <c r="BR1267" t="s">
        <v>101</v>
      </c>
      <c r="BS1267" t="s">
        <v>23347</v>
      </c>
      <c r="BT1267" t="str">
        <f>HYPERLINK("https%3A%2F%2Fwww.webofscience.com%2Fwos%2Fwoscc%2Ffull-record%2FWOS:001052946400045","View Full Record in Web of Science")</f>
        <v>View Full Record in Web of Science</v>
      </c>
    </row>
    <row r="1268" spans="1:72" x14ac:dyDescent="0.2">
      <c r="A1268" t="s">
        <v>103</v>
      </c>
      <c r="B1268" t="s">
        <v>23348</v>
      </c>
      <c r="C1268" t="s">
        <v>74</v>
      </c>
      <c r="D1268" t="s">
        <v>74</v>
      </c>
      <c r="E1268" t="s">
        <v>74</v>
      </c>
      <c r="F1268" t="s">
        <v>23349</v>
      </c>
      <c r="G1268" t="s">
        <v>74</v>
      </c>
      <c r="H1268" t="s">
        <v>74</v>
      </c>
      <c r="I1268" t="s">
        <v>23350</v>
      </c>
      <c r="J1268" t="s">
        <v>15897</v>
      </c>
      <c r="K1268" t="s">
        <v>74</v>
      </c>
      <c r="L1268" t="s">
        <v>74</v>
      </c>
      <c r="M1268" t="s">
        <v>79</v>
      </c>
      <c r="N1268" t="s">
        <v>108</v>
      </c>
      <c r="O1268" t="s">
        <v>74</v>
      </c>
      <c r="P1268" t="s">
        <v>74</v>
      </c>
      <c r="Q1268" t="s">
        <v>74</v>
      </c>
      <c r="R1268" t="s">
        <v>74</v>
      </c>
      <c r="S1268" t="s">
        <v>74</v>
      </c>
      <c r="T1268" t="s">
        <v>23351</v>
      </c>
      <c r="U1268" t="s">
        <v>74</v>
      </c>
      <c r="V1268" t="s">
        <v>23352</v>
      </c>
      <c r="W1268" t="s">
        <v>23353</v>
      </c>
      <c r="X1268" t="s">
        <v>23354</v>
      </c>
      <c r="Y1268" t="s">
        <v>23355</v>
      </c>
      <c r="Z1268" t="s">
        <v>23356</v>
      </c>
      <c r="AA1268" t="s">
        <v>23357</v>
      </c>
      <c r="AB1268" t="s">
        <v>23358</v>
      </c>
      <c r="AC1268" t="s">
        <v>23359</v>
      </c>
      <c r="AD1268" t="s">
        <v>23360</v>
      </c>
      <c r="AE1268" t="s">
        <v>23361</v>
      </c>
      <c r="AF1268" t="s">
        <v>74</v>
      </c>
      <c r="AG1268">
        <v>46</v>
      </c>
      <c r="AH1268">
        <v>1</v>
      </c>
      <c r="AI1268">
        <v>1</v>
      </c>
      <c r="AJ1268">
        <v>3</v>
      </c>
      <c r="AK1268">
        <v>8</v>
      </c>
      <c r="AL1268" t="s">
        <v>2010</v>
      </c>
      <c r="AM1268" t="s">
        <v>93</v>
      </c>
      <c r="AN1268" t="s">
        <v>2011</v>
      </c>
      <c r="AO1268" t="s">
        <v>15909</v>
      </c>
      <c r="AP1268" t="s">
        <v>15910</v>
      </c>
      <c r="AQ1268" t="s">
        <v>74</v>
      </c>
      <c r="AR1268" t="s">
        <v>15911</v>
      </c>
      <c r="AS1268" t="s">
        <v>15912</v>
      </c>
      <c r="AT1268" t="s">
        <v>4461</v>
      </c>
      <c r="AU1268">
        <v>2023</v>
      </c>
      <c r="AV1268">
        <v>624</v>
      </c>
      <c r="AW1268" t="s">
        <v>74</v>
      </c>
      <c r="AX1268" t="s">
        <v>74</v>
      </c>
      <c r="AY1268" t="s">
        <v>74</v>
      </c>
      <c r="AZ1268" t="s">
        <v>74</v>
      </c>
      <c r="BA1268" t="s">
        <v>74</v>
      </c>
      <c r="BB1268">
        <v>624</v>
      </c>
      <c r="BC1268">
        <v>638</v>
      </c>
      <c r="BD1268" t="s">
        <v>74</v>
      </c>
      <c r="BE1268" t="s">
        <v>23362</v>
      </c>
      <c r="BF1268" t="str">
        <f>HYPERLINK("http://dx.doi.org/10.1016/j.ins.2023.01.019","http://dx.doi.org/10.1016/j.ins.2023.01.019")</f>
        <v>http://dx.doi.org/10.1016/j.ins.2023.01.019</v>
      </c>
      <c r="BG1268" t="s">
        <v>74</v>
      </c>
      <c r="BH1268" t="s">
        <v>7345</v>
      </c>
      <c r="BI1268">
        <v>15</v>
      </c>
      <c r="BJ1268" t="s">
        <v>230</v>
      </c>
      <c r="BK1268" t="s">
        <v>130</v>
      </c>
      <c r="BL1268" t="s">
        <v>99</v>
      </c>
      <c r="BM1268" t="s">
        <v>23363</v>
      </c>
      <c r="BN1268" t="s">
        <v>74</v>
      </c>
      <c r="BO1268" t="s">
        <v>74</v>
      </c>
      <c r="BP1268" t="s">
        <v>74</v>
      </c>
      <c r="BQ1268" t="s">
        <v>74</v>
      </c>
      <c r="BR1268" t="s">
        <v>101</v>
      </c>
      <c r="BS1268" t="s">
        <v>23364</v>
      </c>
      <c r="BT1268" t="str">
        <f>HYPERLINK("https%3A%2F%2Fwww.webofscience.com%2Fwos%2Fwoscc%2Ffull-record%2FWOS:000923717100001","View Full Record in Web of Science")</f>
        <v>View Full Record in Web of Science</v>
      </c>
    </row>
    <row r="1269" spans="1:72" x14ac:dyDescent="0.2">
      <c r="A1269" t="s">
        <v>72</v>
      </c>
      <c r="B1269" t="s">
        <v>23365</v>
      </c>
      <c r="C1269" t="s">
        <v>74</v>
      </c>
      <c r="D1269" t="s">
        <v>74</v>
      </c>
      <c r="E1269" t="s">
        <v>284</v>
      </c>
      <c r="F1269" t="s">
        <v>23366</v>
      </c>
      <c r="G1269" t="s">
        <v>74</v>
      </c>
      <c r="H1269" t="s">
        <v>74</v>
      </c>
      <c r="I1269" t="s">
        <v>23367</v>
      </c>
      <c r="J1269" t="s">
        <v>23368</v>
      </c>
      <c r="K1269" t="s">
        <v>23369</v>
      </c>
      <c r="L1269" t="s">
        <v>74</v>
      </c>
      <c r="M1269" t="s">
        <v>79</v>
      </c>
      <c r="N1269" t="s">
        <v>80</v>
      </c>
      <c r="O1269" t="s">
        <v>23370</v>
      </c>
      <c r="P1269" t="s">
        <v>23371</v>
      </c>
      <c r="Q1269" t="s">
        <v>23372</v>
      </c>
      <c r="R1269" t="s">
        <v>284</v>
      </c>
      <c r="S1269" t="s">
        <v>74</v>
      </c>
      <c r="T1269" t="s">
        <v>74</v>
      </c>
      <c r="U1269" t="s">
        <v>74</v>
      </c>
      <c r="V1269" t="s">
        <v>23373</v>
      </c>
      <c r="W1269" t="s">
        <v>23374</v>
      </c>
      <c r="X1269" t="s">
        <v>23375</v>
      </c>
      <c r="Y1269" t="s">
        <v>23376</v>
      </c>
      <c r="Z1269" t="s">
        <v>23377</v>
      </c>
      <c r="AA1269" t="s">
        <v>74</v>
      </c>
      <c r="AB1269" t="s">
        <v>74</v>
      </c>
      <c r="AC1269" t="s">
        <v>23378</v>
      </c>
      <c r="AD1269" t="s">
        <v>11144</v>
      </c>
      <c r="AE1269" t="s">
        <v>23379</v>
      </c>
      <c r="AF1269" t="s">
        <v>74</v>
      </c>
      <c r="AG1269">
        <v>51</v>
      </c>
      <c r="AH1269">
        <v>0</v>
      </c>
      <c r="AI1269">
        <v>0</v>
      </c>
      <c r="AJ1269">
        <v>3</v>
      </c>
      <c r="AK1269">
        <v>3</v>
      </c>
      <c r="AL1269" t="s">
        <v>284</v>
      </c>
      <c r="AM1269" t="s">
        <v>93</v>
      </c>
      <c r="AN1269" t="s">
        <v>299</v>
      </c>
      <c r="AO1269" t="s">
        <v>23380</v>
      </c>
      <c r="AP1269" t="s">
        <v>74</v>
      </c>
      <c r="AQ1269" t="s">
        <v>23381</v>
      </c>
      <c r="AR1269" t="s">
        <v>23382</v>
      </c>
      <c r="AS1269" t="s">
        <v>74</v>
      </c>
      <c r="AT1269" t="s">
        <v>74</v>
      </c>
      <c r="AU1269">
        <v>2023</v>
      </c>
      <c r="AV1269" t="s">
        <v>74</v>
      </c>
      <c r="AW1269" t="s">
        <v>74</v>
      </c>
      <c r="AX1269" t="s">
        <v>74</v>
      </c>
      <c r="AY1269" t="s">
        <v>74</v>
      </c>
      <c r="AZ1269" t="s">
        <v>74</v>
      </c>
      <c r="BA1269" t="s">
        <v>74</v>
      </c>
      <c r="BB1269">
        <v>988</v>
      </c>
      <c r="BC1269">
        <v>995</v>
      </c>
      <c r="BD1269" t="s">
        <v>74</v>
      </c>
      <c r="BE1269" t="s">
        <v>23383</v>
      </c>
      <c r="BF1269" t="str">
        <f>HYPERLINK("http://dx.doi.org/10.1109/RO-MAN57019.2023.10309458","http://dx.doi.org/10.1109/RO-MAN57019.2023.10309458")</f>
        <v>http://dx.doi.org/10.1109/RO-MAN57019.2023.10309458</v>
      </c>
      <c r="BG1269" t="s">
        <v>74</v>
      </c>
      <c r="BH1269" t="s">
        <v>74</v>
      </c>
      <c r="BI1269">
        <v>8</v>
      </c>
      <c r="BJ1269" t="s">
        <v>23384</v>
      </c>
      <c r="BK1269" t="s">
        <v>180</v>
      </c>
      <c r="BL1269" t="s">
        <v>23385</v>
      </c>
      <c r="BM1269" t="s">
        <v>23386</v>
      </c>
      <c r="BN1269" t="s">
        <v>74</v>
      </c>
      <c r="BO1269" t="s">
        <v>646</v>
      </c>
      <c r="BP1269" t="s">
        <v>74</v>
      </c>
      <c r="BQ1269" t="s">
        <v>74</v>
      </c>
      <c r="BR1269" t="s">
        <v>101</v>
      </c>
      <c r="BS1269" t="s">
        <v>23387</v>
      </c>
      <c r="BT1269" t="str">
        <f>HYPERLINK("https%3A%2F%2Fwww.webofscience.com%2Fwos%2Fwoscc%2Ffull-record%2FWOS:001108678600115","View Full Record in Web of Science")</f>
        <v>View Full Record in Web of Science</v>
      </c>
    </row>
    <row r="1270" spans="1:72" x14ac:dyDescent="0.2">
      <c r="A1270" t="s">
        <v>103</v>
      </c>
      <c r="B1270" t="s">
        <v>23388</v>
      </c>
      <c r="C1270" t="s">
        <v>74</v>
      </c>
      <c r="D1270" t="s">
        <v>74</v>
      </c>
      <c r="E1270" t="s">
        <v>74</v>
      </c>
      <c r="F1270" t="s">
        <v>23389</v>
      </c>
      <c r="G1270" t="s">
        <v>74</v>
      </c>
      <c r="H1270" t="s">
        <v>74</v>
      </c>
      <c r="I1270" t="s">
        <v>23390</v>
      </c>
      <c r="J1270" t="s">
        <v>4686</v>
      </c>
      <c r="K1270" t="s">
        <v>74</v>
      </c>
      <c r="L1270" t="s">
        <v>74</v>
      </c>
      <c r="M1270" t="s">
        <v>79</v>
      </c>
      <c r="N1270" t="s">
        <v>108</v>
      </c>
      <c r="O1270" t="s">
        <v>74</v>
      </c>
      <c r="P1270" t="s">
        <v>74</v>
      </c>
      <c r="Q1270" t="s">
        <v>74</v>
      </c>
      <c r="R1270" t="s">
        <v>74</v>
      </c>
      <c r="S1270" t="s">
        <v>74</v>
      </c>
      <c r="T1270" t="s">
        <v>23391</v>
      </c>
      <c r="U1270" t="s">
        <v>74</v>
      </c>
      <c r="V1270" t="s">
        <v>23392</v>
      </c>
      <c r="W1270" t="s">
        <v>23393</v>
      </c>
      <c r="X1270" t="s">
        <v>23394</v>
      </c>
      <c r="Y1270" t="s">
        <v>23395</v>
      </c>
      <c r="Z1270" t="s">
        <v>23396</v>
      </c>
      <c r="AA1270" t="s">
        <v>23397</v>
      </c>
      <c r="AB1270" t="s">
        <v>23398</v>
      </c>
      <c r="AC1270" t="s">
        <v>74</v>
      </c>
      <c r="AD1270" t="s">
        <v>74</v>
      </c>
      <c r="AE1270" t="s">
        <v>74</v>
      </c>
      <c r="AF1270" t="s">
        <v>74</v>
      </c>
      <c r="AG1270">
        <v>23</v>
      </c>
      <c r="AH1270">
        <v>12</v>
      </c>
      <c r="AI1270">
        <v>11</v>
      </c>
      <c r="AJ1270">
        <v>25</v>
      </c>
      <c r="AK1270">
        <v>28</v>
      </c>
      <c r="AL1270" t="s">
        <v>2032</v>
      </c>
      <c r="AM1270" t="s">
        <v>149</v>
      </c>
      <c r="AN1270" t="s">
        <v>2033</v>
      </c>
      <c r="AO1270" t="s">
        <v>74</v>
      </c>
      <c r="AP1270" t="s">
        <v>4694</v>
      </c>
      <c r="AQ1270" t="s">
        <v>74</v>
      </c>
      <c r="AR1270" t="s">
        <v>4695</v>
      </c>
      <c r="AS1270" t="s">
        <v>4696</v>
      </c>
      <c r="AT1270" t="s">
        <v>21619</v>
      </c>
      <c r="AU1270">
        <v>2023</v>
      </c>
      <c r="AV1270">
        <v>15</v>
      </c>
      <c r="AW1270">
        <v>5</v>
      </c>
      <c r="AX1270" t="s">
        <v>74</v>
      </c>
      <c r="AY1270" t="s">
        <v>74</v>
      </c>
      <c r="AZ1270" t="s">
        <v>74</v>
      </c>
      <c r="BA1270" t="s">
        <v>74</v>
      </c>
      <c r="BB1270" t="s">
        <v>74</v>
      </c>
      <c r="BC1270" t="s">
        <v>74</v>
      </c>
      <c r="BD1270" t="s">
        <v>23399</v>
      </c>
      <c r="BE1270" t="s">
        <v>23400</v>
      </c>
      <c r="BF1270" t="str">
        <f>HYPERLINK("http://dx.doi.org/10.7759/cureus.39305","http://dx.doi.org/10.7759/cureus.39305")</f>
        <v>http://dx.doi.org/10.7759/cureus.39305</v>
      </c>
      <c r="BG1270" t="s">
        <v>74</v>
      </c>
      <c r="BH1270" t="s">
        <v>74</v>
      </c>
      <c r="BI1270">
        <v>5</v>
      </c>
      <c r="BJ1270" t="s">
        <v>3440</v>
      </c>
      <c r="BK1270" t="s">
        <v>352</v>
      </c>
      <c r="BL1270" t="s">
        <v>3441</v>
      </c>
      <c r="BM1270" t="s">
        <v>21622</v>
      </c>
      <c r="BN1270">
        <v>37378099</v>
      </c>
      <c r="BO1270" t="s">
        <v>4185</v>
      </c>
      <c r="BP1270" t="s">
        <v>74</v>
      </c>
      <c r="BQ1270" t="s">
        <v>74</v>
      </c>
      <c r="BR1270" t="s">
        <v>101</v>
      </c>
      <c r="BS1270" t="s">
        <v>23401</v>
      </c>
      <c r="BT1270" t="str">
        <f>HYPERLINK("https%3A%2F%2Fwww.webofscience.com%2Fwos%2Fwoscc%2Ffull-record%2FWOS:001021631400031","View Full Record in Web of Science")</f>
        <v>View Full Record in Web of Science</v>
      </c>
    </row>
    <row r="1271" spans="1:72" x14ac:dyDescent="0.2">
      <c r="A1271" t="s">
        <v>72</v>
      </c>
      <c r="B1271" t="s">
        <v>23402</v>
      </c>
      <c r="C1271" t="s">
        <v>74</v>
      </c>
      <c r="D1271" t="s">
        <v>74</v>
      </c>
      <c r="E1271" t="s">
        <v>284</v>
      </c>
      <c r="F1271" t="s">
        <v>23403</v>
      </c>
      <c r="G1271" t="s">
        <v>74</v>
      </c>
      <c r="H1271" t="s">
        <v>74</v>
      </c>
      <c r="I1271" t="s">
        <v>23404</v>
      </c>
      <c r="J1271" t="s">
        <v>16442</v>
      </c>
      <c r="K1271" t="s">
        <v>74</v>
      </c>
      <c r="L1271" t="s">
        <v>74</v>
      </c>
      <c r="M1271" t="s">
        <v>79</v>
      </c>
      <c r="N1271" t="s">
        <v>80</v>
      </c>
      <c r="O1271" t="s">
        <v>16443</v>
      </c>
      <c r="P1271" t="s">
        <v>16444</v>
      </c>
      <c r="Q1271" t="s">
        <v>16445</v>
      </c>
      <c r="R1271" t="s">
        <v>16446</v>
      </c>
      <c r="S1271" t="s">
        <v>74</v>
      </c>
      <c r="T1271" t="s">
        <v>23405</v>
      </c>
      <c r="U1271" t="s">
        <v>74</v>
      </c>
      <c r="V1271" t="s">
        <v>23406</v>
      </c>
      <c r="W1271" t="s">
        <v>23407</v>
      </c>
      <c r="X1271" t="s">
        <v>23408</v>
      </c>
      <c r="Y1271" t="s">
        <v>23409</v>
      </c>
      <c r="Z1271" t="s">
        <v>74</v>
      </c>
      <c r="AA1271" t="s">
        <v>74</v>
      </c>
      <c r="AB1271" t="s">
        <v>74</v>
      </c>
      <c r="AC1271" t="s">
        <v>23410</v>
      </c>
      <c r="AD1271" t="s">
        <v>23411</v>
      </c>
      <c r="AE1271" t="s">
        <v>23412</v>
      </c>
      <c r="AF1271" t="s">
        <v>74</v>
      </c>
      <c r="AG1271">
        <v>34</v>
      </c>
      <c r="AH1271">
        <v>0</v>
      </c>
      <c r="AI1271">
        <v>0</v>
      </c>
      <c r="AJ1271">
        <v>0</v>
      </c>
      <c r="AK1271">
        <v>0</v>
      </c>
      <c r="AL1271" t="s">
        <v>284</v>
      </c>
      <c r="AM1271" t="s">
        <v>93</v>
      </c>
      <c r="AN1271" t="s">
        <v>299</v>
      </c>
      <c r="AO1271" t="s">
        <v>74</v>
      </c>
      <c r="AP1271" t="s">
        <v>74</v>
      </c>
      <c r="AQ1271" t="s">
        <v>16455</v>
      </c>
      <c r="AR1271" t="s">
        <v>74</v>
      </c>
      <c r="AS1271" t="s">
        <v>74</v>
      </c>
      <c r="AT1271" t="s">
        <v>74</v>
      </c>
      <c r="AU1271">
        <v>2023</v>
      </c>
      <c r="AV1271" t="s">
        <v>74</v>
      </c>
      <c r="AW1271" t="s">
        <v>74</v>
      </c>
      <c r="AX1271" t="s">
        <v>74</v>
      </c>
      <c r="AY1271" t="s">
        <v>74</v>
      </c>
      <c r="AZ1271" t="s">
        <v>74</v>
      </c>
      <c r="BA1271" t="s">
        <v>74</v>
      </c>
      <c r="BB1271">
        <v>2540</v>
      </c>
      <c r="BC1271">
        <v>2544</v>
      </c>
      <c r="BD1271" t="s">
        <v>74</v>
      </c>
      <c r="BE1271" t="s">
        <v>23413</v>
      </c>
      <c r="BF1271" t="str">
        <f>HYPERLINK("http://dx.doi.org/10.1109/ICIP49359.2023.10222594","http://dx.doi.org/10.1109/ICIP49359.2023.10222594")</f>
        <v>http://dx.doi.org/10.1109/ICIP49359.2023.10222594</v>
      </c>
      <c r="BG1271" t="s">
        <v>74</v>
      </c>
      <c r="BH1271" t="s">
        <v>74</v>
      </c>
      <c r="BI1271">
        <v>5</v>
      </c>
      <c r="BJ1271" t="s">
        <v>331</v>
      </c>
      <c r="BK1271" t="s">
        <v>98</v>
      </c>
      <c r="BL1271" t="s">
        <v>99</v>
      </c>
      <c r="BM1271" t="s">
        <v>16457</v>
      </c>
      <c r="BN1271" t="s">
        <v>74</v>
      </c>
      <c r="BO1271" t="s">
        <v>646</v>
      </c>
      <c r="BP1271" t="s">
        <v>74</v>
      </c>
      <c r="BQ1271" t="s">
        <v>74</v>
      </c>
      <c r="BR1271" t="s">
        <v>101</v>
      </c>
      <c r="BS1271" t="s">
        <v>23414</v>
      </c>
      <c r="BT1271" t="str">
        <f>HYPERLINK("https%3A%2F%2Fwww.webofscience.com%2Fwos%2Fwoscc%2Ffull-record%2FWOS:001106821002126","View Full Record in Web of Science")</f>
        <v>View Full Record in Web of Science</v>
      </c>
    </row>
    <row r="1272" spans="1:72" x14ac:dyDescent="0.2">
      <c r="A1272" t="s">
        <v>72</v>
      </c>
      <c r="B1272" t="s">
        <v>23415</v>
      </c>
      <c r="C1272" t="s">
        <v>74</v>
      </c>
      <c r="D1272" t="s">
        <v>74</v>
      </c>
      <c r="E1272" t="s">
        <v>284</v>
      </c>
      <c r="F1272" t="s">
        <v>23416</v>
      </c>
      <c r="G1272" t="s">
        <v>74</v>
      </c>
      <c r="H1272" t="s">
        <v>74</v>
      </c>
      <c r="I1272" t="s">
        <v>23417</v>
      </c>
      <c r="J1272" t="s">
        <v>10100</v>
      </c>
      <c r="K1272" t="s">
        <v>8246</v>
      </c>
      <c r="L1272" t="s">
        <v>74</v>
      </c>
      <c r="M1272" t="s">
        <v>79</v>
      </c>
      <c r="N1272" t="s">
        <v>80</v>
      </c>
      <c r="O1272" t="s">
        <v>8247</v>
      </c>
      <c r="P1272" t="s">
        <v>8248</v>
      </c>
      <c r="Q1272" t="s">
        <v>6017</v>
      </c>
      <c r="R1272" t="s">
        <v>8249</v>
      </c>
      <c r="S1272" t="s">
        <v>74</v>
      </c>
      <c r="T1272" t="s">
        <v>74</v>
      </c>
      <c r="U1272" t="s">
        <v>74</v>
      </c>
      <c r="V1272" t="s">
        <v>23418</v>
      </c>
      <c r="W1272" t="s">
        <v>23419</v>
      </c>
      <c r="X1272" t="s">
        <v>1228</v>
      </c>
      <c r="Y1272" t="s">
        <v>23420</v>
      </c>
      <c r="Z1272" t="s">
        <v>74</v>
      </c>
      <c r="AA1272" t="s">
        <v>23421</v>
      </c>
      <c r="AB1272" t="s">
        <v>74</v>
      </c>
      <c r="AC1272" t="s">
        <v>23422</v>
      </c>
      <c r="AD1272" t="s">
        <v>23422</v>
      </c>
      <c r="AE1272" t="s">
        <v>23423</v>
      </c>
      <c r="AF1272" t="s">
        <v>74</v>
      </c>
      <c r="AG1272">
        <v>86</v>
      </c>
      <c r="AH1272">
        <v>1</v>
      </c>
      <c r="AI1272">
        <v>2</v>
      </c>
      <c r="AJ1272">
        <v>3</v>
      </c>
      <c r="AK1272">
        <v>3</v>
      </c>
      <c r="AL1272" t="s">
        <v>638</v>
      </c>
      <c r="AM1272" t="s">
        <v>639</v>
      </c>
      <c r="AN1272" t="s">
        <v>640</v>
      </c>
      <c r="AO1272" t="s">
        <v>8260</v>
      </c>
      <c r="AP1272" t="s">
        <v>74</v>
      </c>
      <c r="AQ1272" t="s">
        <v>8261</v>
      </c>
      <c r="AR1272" t="s">
        <v>8262</v>
      </c>
      <c r="AS1272" t="s">
        <v>74</v>
      </c>
      <c r="AT1272" t="s">
        <v>74</v>
      </c>
      <c r="AU1272">
        <v>2023</v>
      </c>
      <c r="AV1272" t="s">
        <v>74</v>
      </c>
      <c r="AW1272" t="s">
        <v>74</v>
      </c>
      <c r="AX1272" t="s">
        <v>74</v>
      </c>
      <c r="AY1272" t="s">
        <v>74</v>
      </c>
      <c r="AZ1272" t="s">
        <v>74</v>
      </c>
      <c r="BA1272" t="s">
        <v>74</v>
      </c>
      <c r="BB1272">
        <v>4434</v>
      </c>
      <c r="BC1272">
        <v>4445</v>
      </c>
      <c r="BD1272" t="s">
        <v>74</v>
      </c>
      <c r="BE1272" t="s">
        <v>23424</v>
      </c>
      <c r="BF1272" t="str">
        <f>HYPERLINK("http://dx.doi.org/10.1109/CVPR52729.2023.00431","http://dx.doi.org/10.1109/CVPR52729.2023.00431")</f>
        <v>http://dx.doi.org/10.1109/CVPR52729.2023.00431</v>
      </c>
      <c r="BG1272" t="s">
        <v>74</v>
      </c>
      <c r="BH1272" t="s">
        <v>74</v>
      </c>
      <c r="BI1272">
        <v>12</v>
      </c>
      <c r="BJ1272" t="s">
        <v>10109</v>
      </c>
      <c r="BK1272" t="s">
        <v>98</v>
      </c>
      <c r="BL1272" t="s">
        <v>99</v>
      </c>
      <c r="BM1272" t="s">
        <v>10110</v>
      </c>
      <c r="BN1272" t="s">
        <v>74</v>
      </c>
      <c r="BO1272" t="s">
        <v>646</v>
      </c>
      <c r="BP1272" t="s">
        <v>74</v>
      </c>
      <c r="BQ1272" t="s">
        <v>74</v>
      </c>
      <c r="BR1272" t="s">
        <v>101</v>
      </c>
      <c r="BS1272" t="s">
        <v>23425</v>
      </c>
      <c r="BT1272" t="str">
        <f>HYPERLINK("https%3A%2F%2Fwww.webofscience.com%2Fwos%2Fwoscc%2Ffull-record%2FWOS:001058542604074","View Full Record in Web of Science")</f>
        <v>View Full Record in Web of Science</v>
      </c>
    </row>
    <row r="1273" spans="1:72" x14ac:dyDescent="0.2">
      <c r="A1273" t="s">
        <v>103</v>
      </c>
      <c r="B1273" t="s">
        <v>23426</v>
      </c>
      <c r="C1273" t="s">
        <v>74</v>
      </c>
      <c r="D1273" t="s">
        <v>74</v>
      </c>
      <c r="E1273" t="s">
        <v>74</v>
      </c>
      <c r="F1273" t="s">
        <v>23427</v>
      </c>
      <c r="G1273" t="s">
        <v>74</v>
      </c>
      <c r="H1273" t="s">
        <v>74</v>
      </c>
      <c r="I1273" t="s">
        <v>23428</v>
      </c>
      <c r="J1273" t="s">
        <v>19031</v>
      </c>
      <c r="K1273" t="s">
        <v>74</v>
      </c>
      <c r="L1273" t="s">
        <v>74</v>
      </c>
      <c r="M1273" t="s">
        <v>79</v>
      </c>
      <c r="N1273" t="s">
        <v>108</v>
      </c>
      <c r="O1273" t="s">
        <v>74</v>
      </c>
      <c r="P1273" t="s">
        <v>74</v>
      </c>
      <c r="Q1273" t="s">
        <v>74</v>
      </c>
      <c r="R1273" t="s">
        <v>74</v>
      </c>
      <c r="S1273" t="s">
        <v>74</v>
      </c>
      <c r="T1273" t="s">
        <v>23429</v>
      </c>
      <c r="U1273" t="s">
        <v>23430</v>
      </c>
      <c r="V1273" t="s">
        <v>23431</v>
      </c>
      <c r="W1273" t="s">
        <v>23432</v>
      </c>
      <c r="X1273" t="s">
        <v>23433</v>
      </c>
      <c r="Y1273" t="s">
        <v>23434</v>
      </c>
      <c r="Z1273" t="s">
        <v>23435</v>
      </c>
      <c r="AA1273" t="s">
        <v>23436</v>
      </c>
      <c r="AB1273" t="s">
        <v>23437</v>
      </c>
      <c r="AC1273" t="s">
        <v>23438</v>
      </c>
      <c r="AD1273" t="s">
        <v>23438</v>
      </c>
      <c r="AE1273" t="s">
        <v>23439</v>
      </c>
      <c r="AF1273" t="s">
        <v>74</v>
      </c>
      <c r="AG1273">
        <v>129</v>
      </c>
      <c r="AH1273">
        <v>0</v>
      </c>
      <c r="AI1273">
        <v>0</v>
      </c>
      <c r="AJ1273">
        <v>2</v>
      </c>
      <c r="AK1273">
        <v>2</v>
      </c>
      <c r="AL1273" t="s">
        <v>939</v>
      </c>
      <c r="AM1273" t="s">
        <v>940</v>
      </c>
      <c r="AN1273" t="s">
        <v>941</v>
      </c>
      <c r="AO1273" t="s">
        <v>74</v>
      </c>
      <c r="AP1273" t="s">
        <v>19041</v>
      </c>
      <c r="AQ1273" t="s">
        <v>74</v>
      </c>
      <c r="AR1273" t="s">
        <v>19031</v>
      </c>
      <c r="AS1273" t="s">
        <v>19042</v>
      </c>
      <c r="AT1273" t="s">
        <v>527</v>
      </c>
      <c r="AU1273">
        <v>2023</v>
      </c>
      <c r="AV1273">
        <v>10</v>
      </c>
      <c r="AW1273">
        <v>4</v>
      </c>
      <c r="AX1273" t="s">
        <v>74</v>
      </c>
      <c r="AY1273" t="s">
        <v>74</v>
      </c>
      <c r="AZ1273" t="s">
        <v>74</v>
      </c>
      <c r="BA1273" t="s">
        <v>74</v>
      </c>
      <c r="BB1273" t="s">
        <v>74</v>
      </c>
      <c r="BC1273" t="s">
        <v>74</v>
      </c>
      <c r="BD1273">
        <v>84</v>
      </c>
      <c r="BE1273" t="s">
        <v>23440</v>
      </c>
      <c r="BF1273" t="str">
        <f>HYPERLINK("http://dx.doi.org/10.3390/informatics10040084","http://dx.doi.org/10.3390/informatics10040084")</f>
        <v>http://dx.doi.org/10.3390/informatics10040084</v>
      </c>
      <c r="BG1273" t="s">
        <v>74</v>
      </c>
      <c r="BH1273" t="s">
        <v>74</v>
      </c>
      <c r="BI1273">
        <v>24</v>
      </c>
      <c r="BJ1273" t="s">
        <v>351</v>
      </c>
      <c r="BK1273" t="s">
        <v>352</v>
      </c>
      <c r="BL1273" t="s">
        <v>99</v>
      </c>
      <c r="BM1273" t="s">
        <v>23441</v>
      </c>
      <c r="BN1273" t="s">
        <v>74</v>
      </c>
      <c r="BO1273" t="s">
        <v>425</v>
      </c>
      <c r="BP1273" t="s">
        <v>74</v>
      </c>
      <c r="BQ1273" t="s">
        <v>74</v>
      </c>
      <c r="BR1273" t="s">
        <v>101</v>
      </c>
      <c r="BS1273" t="s">
        <v>23442</v>
      </c>
      <c r="BT1273" t="str">
        <f>HYPERLINK("https%3A%2F%2Fwww.webofscience.com%2Fwos%2Fwoscc%2Ffull-record%2FWOS:001130595500001","View Full Record in Web of Science")</f>
        <v>View Full Record in Web of Science</v>
      </c>
    </row>
    <row r="1274" spans="1:72" x14ac:dyDescent="0.2">
      <c r="A1274" t="s">
        <v>103</v>
      </c>
      <c r="B1274" t="s">
        <v>23443</v>
      </c>
      <c r="C1274" t="s">
        <v>74</v>
      </c>
      <c r="D1274" t="s">
        <v>74</v>
      </c>
      <c r="E1274" t="s">
        <v>74</v>
      </c>
      <c r="F1274" t="s">
        <v>23444</v>
      </c>
      <c r="G1274" t="s">
        <v>74</v>
      </c>
      <c r="H1274" t="s">
        <v>74</v>
      </c>
      <c r="I1274" t="s">
        <v>23445</v>
      </c>
      <c r="J1274" t="s">
        <v>23446</v>
      </c>
      <c r="K1274" t="s">
        <v>74</v>
      </c>
      <c r="L1274" t="s">
        <v>74</v>
      </c>
      <c r="M1274" t="s">
        <v>79</v>
      </c>
      <c r="N1274" t="s">
        <v>108</v>
      </c>
      <c r="O1274" t="s">
        <v>74</v>
      </c>
      <c r="P1274" t="s">
        <v>74</v>
      </c>
      <c r="Q1274" t="s">
        <v>74</v>
      </c>
      <c r="R1274" t="s">
        <v>74</v>
      </c>
      <c r="S1274" t="s">
        <v>74</v>
      </c>
      <c r="T1274" t="s">
        <v>74</v>
      </c>
      <c r="U1274" t="s">
        <v>74</v>
      </c>
      <c r="V1274" t="s">
        <v>23447</v>
      </c>
      <c r="W1274" t="s">
        <v>23448</v>
      </c>
      <c r="X1274" t="s">
        <v>23449</v>
      </c>
      <c r="Y1274" t="s">
        <v>23450</v>
      </c>
      <c r="Z1274" t="s">
        <v>23451</v>
      </c>
      <c r="AA1274" t="s">
        <v>74</v>
      </c>
      <c r="AB1274" t="s">
        <v>23452</v>
      </c>
      <c r="AC1274" t="s">
        <v>74</v>
      </c>
      <c r="AD1274" t="s">
        <v>74</v>
      </c>
      <c r="AE1274" t="s">
        <v>74</v>
      </c>
      <c r="AF1274" t="s">
        <v>74</v>
      </c>
      <c r="AG1274">
        <v>15</v>
      </c>
      <c r="AH1274">
        <v>15</v>
      </c>
      <c r="AI1274">
        <v>15</v>
      </c>
      <c r="AJ1274">
        <v>10</v>
      </c>
      <c r="AK1274">
        <v>18</v>
      </c>
      <c r="AL1274" t="s">
        <v>13201</v>
      </c>
      <c r="AM1274" t="s">
        <v>221</v>
      </c>
      <c r="AN1274" t="s">
        <v>13202</v>
      </c>
      <c r="AO1274" t="s">
        <v>23453</v>
      </c>
      <c r="AP1274" t="s">
        <v>23454</v>
      </c>
      <c r="AQ1274" t="s">
        <v>74</v>
      </c>
      <c r="AR1274" t="s">
        <v>23455</v>
      </c>
      <c r="AS1274" t="s">
        <v>23456</v>
      </c>
      <c r="AT1274" t="s">
        <v>791</v>
      </c>
      <c r="AU1274">
        <v>2023</v>
      </c>
      <c r="AV1274">
        <v>481</v>
      </c>
      <c r="AW1274">
        <v>8</v>
      </c>
      <c r="AX1274" t="s">
        <v>74</v>
      </c>
      <c r="AY1274" t="s">
        <v>74</v>
      </c>
      <c r="AZ1274" t="s">
        <v>74</v>
      </c>
      <c r="BA1274" t="s">
        <v>74</v>
      </c>
      <c r="BB1274">
        <v>1623</v>
      </c>
      <c r="BC1274">
        <v>1630</v>
      </c>
      <c r="BD1274" t="s">
        <v>74</v>
      </c>
      <c r="BE1274" t="s">
        <v>23457</v>
      </c>
      <c r="BF1274" t="str">
        <f>HYPERLINK("http://dx.doi.org/10.1097/CORR.0000000000002704","http://dx.doi.org/10.1097/CORR.0000000000002704")</f>
        <v>http://dx.doi.org/10.1097/CORR.0000000000002704</v>
      </c>
      <c r="BG1274" t="s">
        <v>74</v>
      </c>
      <c r="BH1274" t="s">
        <v>74</v>
      </c>
      <c r="BI1274">
        <v>8</v>
      </c>
      <c r="BJ1274" t="s">
        <v>5057</v>
      </c>
      <c r="BK1274" t="s">
        <v>130</v>
      </c>
      <c r="BL1274" t="s">
        <v>5057</v>
      </c>
      <c r="BM1274" t="s">
        <v>23458</v>
      </c>
      <c r="BN1274">
        <v>37220190</v>
      </c>
      <c r="BO1274" t="s">
        <v>74</v>
      </c>
      <c r="BP1274" t="s">
        <v>74</v>
      </c>
      <c r="BQ1274" t="s">
        <v>74</v>
      </c>
      <c r="BR1274" t="s">
        <v>101</v>
      </c>
      <c r="BS1274" t="s">
        <v>23459</v>
      </c>
      <c r="BT1274" t="str">
        <f>HYPERLINK("https%3A%2F%2Fwww.webofscience.com%2Fwos%2Fwoscc%2Ffull-record%2FWOS:001034028800031","View Full Record in Web of Science")</f>
        <v>View Full Record in Web of Science</v>
      </c>
    </row>
    <row r="1275" spans="1:72" x14ac:dyDescent="0.2">
      <c r="A1275" t="s">
        <v>103</v>
      </c>
      <c r="B1275" t="s">
        <v>23460</v>
      </c>
      <c r="C1275" t="s">
        <v>74</v>
      </c>
      <c r="D1275" t="s">
        <v>74</v>
      </c>
      <c r="E1275" t="s">
        <v>74</v>
      </c>
      <c r="F1275" t="s">
        <v>23461</v>
      </c>
      <c r="G1275" t="s">
        <v>74</v>
      </c>
      <c r="H1275" t="s">
        <v>74</v>
      </c>
      <c r="I1275" t="s">
        <v>23462</v>
      </c>
      <c r="J1275" t="s">
        <v>11393</v>
      </c>
      <c r="K1275" t="s">
        <v>74</v>
      </c>
      <c r="L1275" t="s">
        <v>74</v>
      </c>
      <c r="M1275" t="s">
        <v>79</v>
      </c>
      <c r="N1275" t="s">
        <v>108</v>
      </c>
      <c r="O1275" t="s">
        <v>74</v>
      </c>
      <c r="P1275" t="s">
        <v>74</v>
      </c>
      <c r="Q1275" t="s">
        <v>74</v>
      </c>
      <c r="R1275" t="s">
        <v>74</v>
      </c>
      <c r="S1275" t="s">
        <v>74</v>
      </c>
      <c r="T1275" t="s">
        <v>23463</v>
      </c>
      <c r="U1275" t="s">
        <v>74</v>
      </c>
      <c r="V1275" t="s">
        <v>23464</v>
      </c>
      <c r="W1275" t="s">
        <v>23465</v>
      </c>
      <c r="X1275" t="s">
        <v>20075</v>
      </c>
      <c r="Y1275" t="s">
        <v>23466</v>
      </c>
      <c r="Z1275" t="s">
        <v>23467</v>
      </c>
      <c r="AA1275" t="s">
        <v>23468</v>
      </c>
      <c r="AB1275" t="s">
        <v>23469</v>
      </c>
      <c r="AC1275" t="s">
        <v>23470</v>
      </c>
      <c r="AD1275" t="s">
        <v>23471</v>
      </c>
      <c r="AE1275" t="s">
        <v>23472</v>
      </c>
      <c r="AF1275" t="s">
        <v>74</v>
      </c>
      <c r="AG1275">
        <v>74</v>
      </c>
      <c r="AH1275">
        <v>7</v>
      </c>
      <c r="AI1275">
        <v>7</v>
      </c>
      <c r="AJ1275">
        <v>19</v>
      </c>
      <c r="AK1275">
        <v>36</v>
      </c>
      <c r="AL1275" t="s">
        <v>638</v>
      </c>
      <c r="AM1275" t="s">
        <v>639</v>
      </c>
      <c r="AN1275" t="s">
        <v>1557</v>
      </c>
      <c r="AO1275" t="s">
        <v>11403</v>
      </c>
      <c r="AP1275" t="s">
        <v>11404</v>
      </c>
      <c r="AQ1275" t="s">
        <v>74</v>
      </c>
      <c r="AR1275" t="s">
        <v>11405</v>
      </c>
      <c r="AS1275" t="s">
        <v>11406</v>
      </c>
      <c r="AT1275" t="s">
        <v>9007</v>
      </c>
      <c r="AU1275">
        <v>2023</v>
      </c>
      <c r="AV1275">
        <v>35</v>
      </c>
      <c r="AW1275">
        <v>6</v>
      </c>
      <c r="AX1275" t="s">
        <v>74</v>
      </c>
      <c r="AY1275" t="s">
        <v>74</v>
      </c>
      <c r="AZ1275" t="s">
        <v>74</v>
      </c>
      <c r="BA1275" t="s">
        <v>74</v>
      </c>
      <c r="BB1275">
        <v>6058</v>
      </c>
      <c r="BC1275">
        <v>6072</v>
      </c>
      <c r="BD1275" t="s">
        <v>74</v>
      </c>
      <c r="BE1275" t="s">
        <v>23473</v>
      </c>
      <c r="BF1275" t="str">
        <f>HYPERLINK("http://dx.doi.org/10.1109/TKDE.2022.3171562","http://dx.doi.org/10.1109/TKDE.2022.3171562")</f>
        <v>http://dx.doi.org/10.1109/TKDE.2022.3171562</v>
      </c>
      <c r="BG1275" t="s">
        <v>74</v>
      </c>
      <c r="BH1275" t="s">
        <v>74</v>
      </c>
      <c r="BI1275">
        <v>15</v>
      </c>
      <c r="BJ1275" t="s">
        <v>11408</v>
      </c>
      <c r="BK1275" t="s">
        <v>130</v>
      </c>
      <c r="BL1275" t="s">
        <v>906</v>
      </c>
      <c r="BM1275" t="s">
        <v>23474</v>
      </c>
      <c r="BN1275" t="s">
        <v>74</v>
      </c>
      <c r="BO1275" t="s">
        <v>74</v>
      </c>
      <c r="BP1275" t="s">
        <v>74</v>
      </c>
      <c r="BQ1275" t="s">
        <v>74</v>
      </c>
      <c r="BR1275" t="s">
        <v>101</v>
      </c>
      <c r="BS1275" t="s">
        <v>23475</v>
      </c>
      <c r="BT1275" t="str">
        <f>HYPERLINK("https%3A%2F%2Fwww.webofscience.com%2Fwos%2Fwoscc%2Ffull-record%2FWOS:000981944600043","View Full Record in Web of Science")</f>
        <v>View Full Record in Web of Science</v>
      </c>
    </row>
    <row r="1276" spans="1:72" x14ac:dyDescent="0.2">
      <c r="A1276" t="s">
        <v>103</v>
      </c>
      <c r="B1276" t="s">
        <v>23476</v>
      </c>
      <c r="C1276" t="s">
        <v>74</v>
      </c>
      <c r="D1276" t="s">
        <v>74</v>
      </c>
      <c r="E1276" t="s">
        <v>74</v>
      </c>
      <c r="F1276" t="s">
        <v>23477</v>
      </c>
      <c r="G1276" t="s">
        <v>74</v>
      </c>
      <c r="H1276" t="s">
        <v>74</v>
      </c>
      <c r="I1276" t="s">
        <v>23478</v>
      </c>
      <c r="J1276" t="s">
        <v>23479</v>
      </c>
      <c r="K1276" t="s">
        <v>74</v>
      </c>
      <c r="L1276" t="s">
        <v>74</v>
      </c>
      <c r="M1276" t="s">
        <v>79</v>
      </c>
      <c r="N1276" t="s">
        <v>108</v>
      </c>
      <c r="O1276" t="s">
        <v>74</v>
      </c>
      <c r="P1276" t="s">
        <v>74</v>
      </c>
      <c r="Q1276" t="s">
        <v>74</v>
      </c>
      <c r="R1276" t="s">
        <v>74</v>
      </c>
      <c r="S1276" t="s">
        <v>74</v>
      </c>
      <c r="T1276" t="s">
        <v>74</v>
      </c>
      <c r="U1276" t="s">
        <v>23480</v>
      </c>
      <c r="V1276" t="s">
        <v>23481</v>
      </c>
      <c r="W1276" t="s">
        <v>23482</v>
      </c>
      <c r="X1276" t="s">
        <v>23483</v>
      </c>
      <c r="Y1276" t="s">
        <v>23484</v>
      </c>
      <c r="Z1276" t="s">
        <v>23485</v>
      </c>
      <c r="AA1276" t="s">
        <v>23486</v>
      </c>
      <c r="AB1276" t="s">
        <v>23487</v>
      </c>
      <c r="AC1276" t="s">
        <v>74</v>
      </c>
      <c r="AD1276" t="s">
        <v>74</v>
      </c>
      <c r="AE1276" t="s">
        <v>74</v>
      </c>
      <c r="AF1276" t="s">
        <v>74</v>
      </c>
      <c r="AG1276">
        <v>36</v>
      </c>
      <c r="AH1276">
        <v>2</v>
      </c>
      <c r="AI1276">
        <v>2</v>
      </c>
      <c r="AJ1276">
        <v>5</v>
      </c>
      <c r="AK1276">
        <v>5</v>
      </c>
      <c r="AL1276" t="s">
        <v>764</v>
      </c>
      <c r="AM1276" t="s">
        <v>765</v>
      </c>
      <c r="AN1276" t="s">
        <v>766</v>
      </c>
      <c r="AO1276" t="s">
        <v>23488</v>
      </c>
      <c r="AP1276" t="s">
        <v>23489</v>
      </c>
      <c r="AQ1276" t="s">
        <v>74</v>
      </c>
      <c r="AR1276" t="s">
        <v>23490</v>
      </c>
      <c r="AS1276" t="s">
        <v>23491</v>
      </c>
      <c r="AT1276" t="s">
        <v>276</v>
      </c>
      <c r="AU1276">
        <v>2023</v>
      </c>
      <c r="AV1276">
        <v>63</v>
      </c>
      <c r="AW1276">
        <v>6</v>
      </c>
      <c r="AX1276" t="s">
        <v>74</v>
      </c>
      <c r="AY1276" t="s">
        <v>74</v>
      </c>
      <c r="AZ1276" t="s">
        <v>74</v>
      </c>
      <c r="BA1276" t="s">
        <v>74</v>
      </c>
      <c r="BB1276" t="s">
        <v>74</v>
      </c>
      <c r="BC1276" t="s">
        <v>74</v>
      </c>
      <c r="BD1276" t="s">
        <v>74</v>
      </c>
      <c r="BE1276" t="s">
        <v>23492</v>
      </c>
      <c r="BF1276" t="str">
        <f>HYPERLINK("http://dx.doi.org/10.1016/j.japh.2023.08.020","http://dx.doi.org/10.1016/j.japh.2023.08.020")</f>
        <v>http://dx.doi.org/10.1016/j.japh.2023.08.020</v>
      </c>
      <c r="BG1276" t="s">
        <v>74</v>
      </c>
      <c r="BH1276" t="s">
        <v>157</v>
      </c>
      <c r="BI1276">
        <v>9</v>
      </c>
      <c r="BJ1276" t="s">
        <v>1726</v>
      </c>
      <c r="BK1276" t="s">
        <v>130</v>
      </c>
      <c r="BL1276" t="s">
        <v>1726</v>
      </c>
      <c r="BM1276" t="s">
        <v>23493</v>
      </c>
      <c r="BN1276">
        <v>37648157</v>
      </c>
      <c r="BO1276" t="s">
        <v>74</v>
      </c>
      <c r="BP1276" t="s">
        <v>74</v>
      </c>
      <c r="BQ1276" t="s">
        <v>74</v>
      </c>
      <c r="BR1276" t="s">
        <v>101</v>
      </c>
      <c r="BS1276" t="s">
        <v>23494</v>
      </c>
      <c r="BT1276" t="str">
        <f>HYPERLINK("https%3A%2F%2Fwww.webofscience.com%2Fwos%2Fwoscc%2Ffull-record%2FWOS:001121639500001","View Full Record in Web of Science")</f>
        <v>View Full Record in Web of Science</v>
      </c>
    </row>
    <row r="1277" spans="1:72" x14ac:dyDescent="0.2">
      <c r="A1277" t="s">
        <v>72</v>
      </c>
      <c r="B1277" t="s">
        <v>23495</v>
      </c>
      <c r="C1277" t="s">
        <v>74</v>
      </c>
      <c r="D1277" t="s">
        <v>74</v>
      </c>
      <c r="E1277" t="s">
        <v>284</v>
      </c>
      <c r="F1277" t="s">
        <v>23496</v>
      </c>
      <c r="G1277" t="s">
        <v>74</v>
      </c>
      <c r="H1277" t="s">
        <v>74</v>
      </c>
      <c r="I1277" t="s">
        <v>23497</v>
      </c>
      <c r="J1277" t="s">
        <v>10100</v>
      </c>
      <c r="K1277" t="s">
        <v>8246</v>
      </c>
      <c r="L1277" t="s">
        <v>74</v>
      </c>
      <c r="M1277" t="s">
        <v>79</v>
      </c>
      <c r="N1277" t="s">
        <v>80</v>
      </c>
      <c r="O1277" t="s">
        <v>8247</v>
      </c>
      <c r="P1277" t="s">
        <v>8248</v>
      </c>
      <c r="Q1277" t="s">
        <v>6017</v>
      </c>
      <c r="R1277" t="s">
        <v>8249</v>
      </c>
      <c r="S1277" t="s">
        <v>74</v>
      </c>
      <c r="T1277" t="s">
        <v>74</v>
      </c>
      <c r="U1277" t="s">
        <v>74</v>
      </c>
      <c r="V1277" t="s">
        <v>23498</v>
      </c>
      <c r="W1277" t="s">
        <v>23499</v>
      </c>
      <c r="X1277" t="s">
        <v>23500</v>
      </c>
      <c r="Y1277" t="s">
        <v>23501</v>
      </c>
      <c r="Z1277" t="s">
        <v>23502</v>
      </c>
      <c r="AA1277" t="s">
        <v>74</v>
      </c>
      <c r="AB1277" t="s">
        <v>74</v>
      </c>
      <c r="AC1277" t="s">
        <v>74</v>
      </c>
      <c r="AD1277" t="s">
        <v>74</v>
      </c>
      <c r="AE1277" t="s">
        <v>74</v>
      </c>
      <c r="AF1277" t="s">
        <v>74</v>
      </c>
      <c r="AG1277">
        <v>77</v>
      </c>
      <c r="AH1277">
        <v>2</v>
      </c>
      <c r="AI1277">
        <v>2</v>
      </c>
      <c r="AJ1277">
        <v>4</v>
      </c>
      <c r="AK1277">
        <v>4</v>
      </c>
      <c r="AL1277" t="s">
        <v>638</v>
      </c>
      <c r="AM1277" t="s">
        <v>639</v>
      </c>
      <c r="AN1277" t="s">
        <v>640</v>
      </c>
      <c r="AO1277" t="s">
        <v>8260</v>
      </c>
      <c r="AP1277" t="s">
        <v>74</v>
      </c>
      <c r="AQ1277" t="s">
        <v>8261</v>
      </c>
      <c r="AR1277" t="s">
        <v>8262</v>
      </c>
      <c r="AS1277" t="s">
        <v>74</v>
      </c>
      <c r="AT1277" t="s">
        <v>74</v>
      </c>
      <c r="AU1277">
        <v>2023</v>
      </c>
      <c r="AV1277" t="s">
        <v>74</v>
      </c>
      <c r="AW1277" t="s">
        <v>74</v>
      </c>
      <c r="AX1277" t="s">
        <v>74</v>
      </c>
      <c r="AY1277" t="s">
        <v>74</v>
      </c>
      <c r="AZ1277" t="s">
        <v>74</v>
      </c>
      <c r="BA1277" t="s">
        <v>74</v>
      </c>
      <c r="BB1277">
        <v>1900</v>
      </c>
      <c r="BC1277">
        <v>1910</v>
      </c>
      <c r="BD1277" t="s">
        <v>74</v>
      </c>
      <c r="BE1277" t="s">
        <v>23503</v>
      </c>
      <c r="BF1277" t="str">
        <f>HYPERLINK("http://dx.doi.org/10.1109/CVPR52729.2023.00189","http://dx.doi.org/10.1109/CVPR52729.2023.00189")</f>
        <v>http://dx.doi.org/10.1109/CVPR52729.2023.00189</v>
      </c>
      <c r="BG1277" t="s">
        <v>74</v>
      </c>
      <c r="BH1277" t="s">
        <v>74</v>
      </c>
      <c r="BI1277">
        <v>11</v>
      </c>
      <c r="BJ1277" t="s">
        <v>10109</v>
      </c>
      <c r="BK1277" t="s">
        <v>98</v>
      </c>
      <c r="BL1277" t="s">
        <v>99</v>
      </c>
      <c r="BM1277" t="s">
        <v>10110</v>
      </c>
      <c r="BN1277" t="s">
        <v>74</v>
      </c>
      <c r="BO1277" t="s">
        <v>646</v>
      </c>
      <c r="BP1277" t="s">
        <v>74</v>
      </c>
      <c r="BQ1277" t="s">
        <v>74</v>
      </c>
      <c r="BR1277" t="s">
        <v>101</v>
      </c>
      <c r="BS1277" t="s">
        <v>23504</v>
      </c>
      <c r="BT1277" t="str">
        <f>HYPERLINK("https%3A%2F%2Fwww.webofscience.com%2Fwos%2Fwoscc%2Ffull-record%2FWOS:001058542602022","View Full Record in Web of Science")</f>
        <v>View Full Record in Web of Science</v>
      </c>
    </row>
    <row r="1278" spans="1:72" x14ac:dyDescent="0.2">
      <c r="A1278" t="s">
        <v>72</v>
      </c>
      <c r="B1278" t="s">
        <v>23505</v>
      </c>
      <c r="C1278" t="s">
        <v>74</v>
      </c>
      <c r="D1278" t="s">
        <v>74</v>
      </c>
      <c r="E1278" t="s">
        <v>75</v>
      </c>
      <c r="F1278" t="s">
        <v>23506</v>
      </c>
      <c r="G1278" t="s">
        <v>74</v>
      </c>
      <c r="H1278" t="s">
        <v>74</v>
      </c>
      <c r="I1278" t="s">
        <v>23507</v>
      </c>
      <c r="J1278" t="s">
        <v>1264</v>
      </c>
      <c r="K1278" t="s">
        <v>74</v>
      </c>
      <c r="L1278" t="s">
        <v>74</v>
      </c>
      <c r="M1278" t="s">
        <v>79</v>
      </c>
      <c r="N1278" t="s">
        <v>80</v>
      </c>
      <c r="O1278" t="s">
        <v>1265</v>
      </c>
      <c r="P1278" t="s">
        <v>290</v>
      </c>
      <c r="Q1278" t="s">
        <v>1266</v>
      </c>
      <c r="R1278" t="s">
        <v>1267</v>
      </c>
      <c r="S1278" t="s">
        <v>74</v>
      </c>
      <c r="T1278" t="s">
        <v>23508</v>
      </c>
      <c r="U1278" t="s">
        <v>74</v>
      </c>
      <c r="V1278" t="s">
        <v>23509</v>
      </c>
      <c r="W1278" t="s">
        <v>23510</v>
      </c>
      <c r="X1278" t="s">
        <v>23511</v>
      </c>
      <c r="Y1278" t="s">
        <v>23512</v>
      </c>
      <c r="Z1278" t="s">
        <v>23513</v>
      </c>
      <c r="AA1278" t="s">
        <v>74</v>
      </c>
      <c r="AB1278" t="s">
        <v>74</v>
      </c>
      <c r="AC1278" t="s">
        <v>74</v>
      </c>
      <c r="AD1278" t="s">
        <v>74</v>
      </c>
      <c r="AE1278" t="s">
        <v>74</v>
      </c>
      <c r="AF1278" t="s">
        <v>74</v>
      </c>
      <c r="AG1278">
        <v>40</v>
      </c>
      <c r="AH1278">
        <v>0</v>
      </c>
      <c r="AI1278">
        <v>0</v>
      </c>
      <c r="AJ1278">
        <v>1</v>
      </c>
      <c r="AK1278">
        <v>1</v>
      </c>
      <c r="AL1278" t="s">
        <v>92</v>
      </c>
      <c r="AM1278" t="s">
        <v>93</v>
      </c>
      <c r="AN1278" t="s">
        <v>94</v>
      </c>
      <c r="AO1278" t="s">
        <v>74</v>
      </c>
      <c r="AP1278" t="s">
        <v>74</v>
      </c>
      <c r="AQ1278" t="s">
        <v>1278</v>
      </c>
      <c r="AR1278" t="s">
        <v>74</v>
      </c>
      <c r="AS1278" t="s">
        <v>74</v>
      </c>
      <c r="AT1278" t="s">
        <v>74</v>
      </c>
      <c r="AU1278">
        <v>2023</v>
      </c>
      <c r="AV1278" t="s">
        <v>74</v>
      </c>
      <c r="AW1278" t="s">
        <v>74</v>
      </c>
      <c r="AX1278" t="s">
        <v>74</v>
      </c>
      <c r="AY1278" t="s">
        <v>74</v>
      </c>
      <c r="AZ1278" t="s">
        <v>74</v>
      </c>
      <c r="BA1278" t="s">
        <v>74</v>
      </c>
      <c r="BB1278">
        <v>64</v>
      </c>
      <c r="BC1278">
        <v>72</v>
      </c>
      <c r="BD1278" t="s">
        <v>74</v>
      </c>
      <c r="BE1278" t="s">
        <v>23514</v>
      </c>
      <c r="BF1278" t="str">
        <f>HYPERLINK("http://dx.doi.org/10.1145/3604237.3626876","http://dx.doi.org/10.1145/3604237.3626876")</f>
        <v>http://dx.doi.org/10.1145/3604237.3626876</v>
      </c>
      <c r="BG1278" t="s">
        <v>74</v>
      </c>
      <c r="BH1278" t="s">
        <v>74</v>
      </c>
      <c r="BI1278">
        <v>9</v>
      </c>
      <c r="BJ1278" t="s">
        <v>1280</v>
      </c>
      <c r="BK1278" t="s">
        <v>180</v>
      </c>
      <c r="BL1278" t="s">
        <v>1281</v>
      </c>
      <c r="BM1278" t="s">
        <v>1282</v>
      </c>
      <c r="BN1278" t="s">
        <v>74</v>
      </c>
      <c r="BO1278" t="s">
        <v>2310</v>
      </c>
      <c r="BP1278" t="s">
        <v>74</v>
      </c>
      <c r="BQ1278" t="s">
        <v>74</v>
      </c>
      <c r="BR1278" t="s">
        <v>101</v>
      </c>
      <c r="BS1278" t="s">
        <v>23515</v>
      </c>
      <c r="BT1278" t="str">
        <f>HYPERLINK("https%3A%2F%2Fwww.webofscience.com%2Fwos%2Fwoscc%2Ffull-record%2FWOS:001124982700008","View Full Record in Web of Science")</f>
        <v>View Full Record in Web of Science</v>
      </c>
    </row>
    <row r="1279" spans="1:72" x14ac:dyDescent="0.2">
      <c r="A1279" t="s">
        <v>72</v>
      </c>
      <c r="B1279" t="s">
        <v>23516</v>
      </c>
      <c r="C1279" t="s">
        <v>74</v>
      </c>
      <c r="D1279" t="s">
        <v>13422</v>
      </c>
      <c r="E1279" t="s">
        <v>74</v>
      </c>
      <c r="F1279" t="s">
        <v>23517</v>
      </c>
      <c r="G1279" t="s">
        <v>74</v>
      </c>
      <c r="H1279" t="s">
        <v>74</v>
      </c>
      <c r="I1279" t="s">
        <v>23518</v>
      </c>
      <c r="J1279" t="s">
        <v>13425</v>
      </c>
      <c r="K1279" t="s">
        <v>13426</v>
      </c>
      <c r="L1279" t="s">
        <v>74</v>
      </c>
      <c r="M1279" t="s">
        <v>79</v>
      </c>
      <c r="N1279" t="s">
        <v>80</v>
      </c>
      <c r="O1279" t="s">
        <v>13427</v>
      </c>
      <c r="P1279" t="s">
        <v>13428</v>
      </c>
      <c r="Q1279" t="s">
        <v>13429</v>
      </c>
      <c r="R1279" t="s">
        <v>959</v>
      </c>
      <c r="S1279" t="s">
        <v>74</v>
      </c>
      <c r="T1279" t="s">
        <v>23519</v>
      </c>
      <c r="U1279" t="s">
        <v>74</v>
      </c>
      <c r="V1279" t="s">
        <v>23520</v>
      </c>
      <c r="W1279" t="s">
        <v>23521</v>
      </c>
      <c r="X1279" t="s">
        <v>23522</v>
      </c>
      <c r="Y1279" t="s">
        <v>23523</v>
      </c>
      <c r="Z1279" t="s">
        <v>74</v>
      </c>
      <c r="AA1279" t="s">
        <v>23524</v>
      </c>
      <c r="AB1279" t="s">
        <v>23525</v>
      </c>
      <c r="AC1279" t="s">
        <v>23526</v>
      </c>
      <c r="AD1279" t="s">
        <v>23526</v>
      </c>
      <c r="AE1279" t="s">
        <v>23527</v>
      </c>
      <c r="AF1279" t="s">
        <v>74</v>
      </c>
      <c r="AG1279">
        <v>26</v>
      </c>
      <c r="AH1279">
        <v>0</v>
      </c>
      <c r="AI1279">
        <v>0</v>
      </c>
      <c r="AJ1279">
        <v>0</v>
      </c>
      <c r="AK1279">
        <v>0</v>
      </c>
      <c r="AL1279" t="s">
        <v>638</v>
      </c>
      <c r="AM1279" t="s">
        <v>639</v>
      </c>
      <c r="AN1279" t="s">
        <v>640</v>
      </c>
      <c r="AO1279" t="s">
        <v>13441</v>
      </c>
      <c r="AP1279" t="s">
        <v>74</v>
      </c>
      <c r="AQ1279" t="s">
        <v>13442</v>
      </c>
      <c r="AR1279" t="s">
        <v>13443</v>
      </c>
      <c r="AS1279" t="s">
        <v>74</v>
      </c>
      <c r="AT1279" t="s">
        <v>74</v>
      </c>
      <c r="AU1279">
        <v>2023</v>
      </c>
      <c r="AV1279" t="s">
        <v>74</v>
      </c>
      <c r="AW1279" t="s">
        <v>74</v>
      </c>
      <c r="AX1279" t="s">
        <v>74</v>
      </c>
      <c r="AY1279" t="s">
        <v>74</v>
      </c>
      <c r="AZ1279" t="s">
        <v>74</v>
      </c>
      <c r="BA1279" t="s">
        <v>74</v>
      </c>
      <c r="BB1279">
        <v>567</v>
      </c>
      <c r="BC1279">
        <v>572</v>
      </c>
      <c r="BD1279" t="s">
        <v>74</v>
      </c>
      <c r="BE1279" t="s">
        <v>23528</v>
      </c>
      <c r="BF1279" t="str">
        <f>HYPERLINK("http://dx.doi.org/10.1109/CBMS58004.2023.00280","http://dx.doi.org/10.1109/CBMS58004.2023.00280")</f>
        <v>http://dx.doi.org/10.1109/CBMS58004.2023.00280</v>
      </c>
      <c r="BG1279" t="s">
        <v>74</v>
      </c>
      <c r="BH1279" t="s">
        <v>74</v>
      </c>
      <c r="BI1279">
        <v>6</v>
      </c>
      <c r="BJ1279" t="s">
        <v>13445</v>
      </c>
      <c r="BK1279" t="s">
        <v>98</v>
      </c>
      <c r="BL1279" t="s">
        <v>906</v>
      </c>
      <c r="BM1279" t="s">
        <v>13446</v>
      </c>
      <c r="BN1279" t="s">
        <v>74</v>
      </c>
      <c r="BO1279" t="s">
        <v>646</v>
      </c>
      <c r="BP1279" t="s">
        <v>74</v>
      </c>
      <c r="BQ1279" t="s">
        <v>74</v>
      </c>
      <c r="BR1279" t="s">
        <v>101</v>
      </c>
      <c r="BS1279" t="s">
        <v>23529</v>
      </c>
      <c r="BT1279" t="str">
        <f>HYPERLINK("https%3A%2F%2Fwww.webofscience.com%2Fwos%2Fwoscc%2Ffull-record%2FWOS:001037777900099","View Full Record in Web of Science")</f>
        <v>View Full Record in Web of Science</v>
      </c>
    </row>
    <row r="1280" spans="1:72" x14ac:dyDescent="0.2">
      <c r="A1280" t="s">
        <v>103</v>
      </c>
      <c r="B1280" t="s">
        <v>23530</v>
      </c>
      <c r="C1280" t="s">
        <v>74</v>
      </c>
      <c r="D1280" t="s">
        <v>74</v>
      </c>
      <c r="E1280" t="s">
        <v>74</v>
      </c>
      <c r="F1280" t="s">
        <v>23531</v>
      </c>
      <c r="G1280" t="s">
        <v>74</v>
      </c>
      <c r="H1280" t="s">
        <v>74</v>
      </c>
      <c r="I1280" t="s">
        <v>23532</v>
      </c>
      <c r="J1280" t="s">
        <v>18925</v>
      </c>
      <c r="K1280" t="s">
        <v>74</v>
      </c>
      <c r="L1280" t="s">
        <v>74</v>
      </c>
      <c r="M1280" t="s">
        <v>79</v>
      </c>
      <c r="N1280" t="s">
        <v>108</v>
      </c>
      <c r="O1280" t="s">
        <v>74</v>
      </c>
      <c r="P1280" t="s">
        <v>74</v>
      </c>
      <c r="Q1280" t="s">
        <v>74</v>
      </c>
      <c r="R1280" t="s">
        <v>74</v>
      </c>
      <c r="S1280" t="s">
        <v>74</v>
      </c>
      <c r="T1280" t="s">
        <v>23533</v>
      </c>
      <c r="U1280" t="s">
        <v>74</v>
      </c>
      <c r="V1280" t="s">
        <v>23534</v>
      </c>
      <c r="W1280" t="s">
        <v>23535</v>
      </c>
      <c r="X1280" t="s">
        <v>23536</v>
      </c>
      <c r="Y1280" t="s">
        <v>23537</v>
      </c>
      <c r="Z1280" t="s">
        <v>23538</v>
      </c>
      <c r="AA1280" t="s">
        <v>23539</v>
      </c>
      <c r="AB1280" t="s">
        <v>23540</v>
      </c>
      <c r="AC1280" t="s">
        <v>23541</v>
      </c>
      <c r="AD1280" t="s">
        <v>23542</v>
      </c>
      <c r="AE1280" t="s">
        <v>23543</v>
      </c>
      <c r="AF1280" t="s">
        <v>74</v>
      </c>
      <c r="AG1280">
        <v>43</v>
      </c>
      <c r="AH1280">
        <v>2</v>
      </c>
      <c r="AI1280">
        <v>2</v>
      </c>
      <c r="AJ1280">
        <v>12</v>
      </c>
      <c r="AK1280">
        <v>31</v>
      </c>
      <c r="AL1280" t="s">
        <v>119</v>
      </c>
      <c r="AM1280" t="s">
        <v>120</v>
      </c>
      <c r="AN1280" t="s">
        <v>121</v>
      </c>
      <c r="AO1280" t="s">
        <v>18937</v>
      </c>
      <c r="AP1280" t="s">
        <v>18938</v>
      </c>
      <c r="AQ1280" t="s">
        <v>74</v>
      </c>
      <c r="AR1280" t="s">
        <v>18939</v>
      </c>
      <c r="AS1280" t="s">
        <v>18940</v>
      </c>
      <c r="AT1280" t="s">
        <v>23544</v>
      </c>
      <c r="AU1280">
        <v>2023</v>
      </c>
      <c r="AV1280">
        <v>231</v>
      </c>
      <c r="AW1280" t="s">
        <v>74</v>
      </c>
      <c r="AX1280" t="s">
        <v>74</v>
      </c>
      <c r="AY1280" t="s">
        <v>74</v>
      </c>
      <c r="AZ1280" t="s">
        <v>74</v>
      </c>
      <c r="BA1280" t="s">
        <v>74</v>
      </c>
      <c r="BB1280" t="s">
        <v>74</v>
      </c>
      <c r="BC1280" t="s">
        <v>74</v>
      </c>
      <c r="BD1280">
        <v>120722</v>
      </c>
      <c r="BE1280" t="s">
        <v>23545</v>
      </c>
      <c r="BF1280" t="str">
        <f>HYPERLINK("http://dx.doi.org/10.1016/j.eswa.2023.120722","http://dx.doi.org/10.1016/j.eswa.2023.120722")</f>
        <v>http://dx.doi.org/10.1016/j.eswa.2023.120722</v>
      </c>
      <c r="BG1280" t="s">
        <v>74</v>
      </c>
      <c r="BH1280" t="s">
        <v>1910</v>
      </c>
      <c r="BI1280">
        <v>14</v>
      </c>
      <c r="BJ1280" t="s">
        <v>18942</v>
      </c>
      <c r="BK1280" t="s">
        <v>130</v>
      </c>
      <c r="BL1280" t="s">
        <v>18943</v>
      </c>
      <c r="BM1280" t="s">
        <v>23546</v>
      </c>
      <c r="BN1280" t="s">
        <v>74</v>
      </c>
      <c r="BO1280" t="s">
        <v>74</v>
      </c>
      <c r="BP1280" t="s">
        <v>74</v>
      </c>
      <c r="BQ1280" t="s">
        <v>74</v>
      </c>
      <c r="BR1280" t="s">
        <v>101</v>
      </c>
      <c r="BS1280" t="s">
        <v>23547</v>
      </c>
      <c r="BT1280" t="str">
        <f>HYPERLINK("https%3A%2F%2Fwww.webofscience.com%2Fwos%2Fwoscc%2Ffull-record%2FWOS:001023143200001","View Full Record in Web of Science")</f>
        <v>View Full Record in Web of Science</v>
      </c>
    </row>
    <row r="1281" spans="1:72" x14ac:dyDescent="0.2">
      <c r="A1281" t="s">
        <v>103</v>
      </c>
      <c r="B1281" t="s">
        <v>23548</v>
      </c>
      <c r="C1281" t="s">
        <v>74</v>
      </c>
      <c r="D1281" t="s">
        <v>74</v>
      </c>
      <c r="E1281" t="s">
        <v>74</v>
      </c>
      <c r="F1281" t="s">
        <v>23549</v>
      </c>
      <c r="G1281" t="s">
        <v>74</v>
      </c>
      <c r="H1281" t="s">
        <v>74</v>
      </c>
      <c r="I1281" t="s">
        <v>23550</v>
      </c>
      <c r="J1281" t="s">
        <v>1370</v>
      </c>
      <c r="K1281" t="s">
        <v>74</v>
      </c>
      <c r="L1281" t="s">
        <v>74</v>
      </c>
      <c r="M1281" t="s">
        <v>79</v>
      </c>
      <c r="N1281" t="s">
        <v>108</v>
      </c>
      <c r="O1281" t="s">
        <v>74</v>
      </c>
      <c r="P1281" t="s">
        <v>74</v>
      </c>
      <c r="Q1281" t="s">
        <v>74</v>
      </c>
      <c r="R1281" t="s">
        <v>74</v>
      </c>
      <c r="S1281" t="s">
        <v>74</v>
      </c>
      <c r="T1281" t="s">
        <v>23551</v>
      </c>
      <c r="U1281" t="s">
        <v>74</v>
      </c>
      <c r="V1281" t="s">
        <v>23552</v>
      </c>
      <c r="W1281" t="s">
        <v>23553</v>
      </c>
      <c r="X1281" t="s">
        <v>23554</v>
      </c>
      <c r="Y1281" t="s">
        <v>23555</v>
      </c>
      <c r="Z1281" t="s">
        <v>23556</v>
      </c>
      <c r="AA1281" t="s">
        <v>74</v>
      </c>
      <c r="AB1281" t="s">
        <v>23557</v>
      </c>
      <c r="AC1281" t="s">
        <v>23558</v>
      </c>
      <c r="AD1281" t="s">
        <v>23559</v>
      </c>
      <c r="AE1281" t="s">
        <v>23560</v>
      </c>
      <c r="AF1281" t="s">
        <v>74</v>
      </c>
      <c r="AG1281">
        <v>40</v>
      </c>
      <c r="AH1281">
        <v>2</v>
      </c>
      <c r="AI1281">
        <v>2</v>
      </c>
      <c r="AJ1281">
        <v>11</v>
      </c>
      <c r="AK1281">
        <v>14</v>
      </c>
      <c r="AL1281" t="s">
        <v>1379</v>
      </c>
      <c r="AM1281" t="s">
        <v>1380</v>
      </c>
      <c r="AN1281" t="s">
        <v>1381</v>
      </c>
      <c r="AO1281" t="s">
        <v>1382</v>
      </c>
      <c r="AP1281" t="s">
        <v>74</v>
      </c>
      <c r="AQ1281" t="s">
        <v>74</v>
      </c>
      <c r="AR1281" t="s">
        <v>1370</v>
      </c>
      <c r="AS1281" t="s">
        <v>1383</v>
      </c>
      <c r="AT1281" t="s">
        <v>74</v>
      </c>
      <c r="AU1281">
        <v>2023</v>
      </c>
      <c r="AV1281">
        <v>11</v>
      </c>
      <c r="AW1281" t="s">
        <v>74</v>
      </c>
      <c r="AX1281" t="s">
        <v>74</v>
      </c>
      <c r="AY1281" t="s">
        <v>74</v>
      </c>
      <c r="AZ1281" t="s">
        <v>74</v>
      </c>
      <c r="BA1281" t="s">
        <v>74</v>
      </c>
      <c r="BB1281">
        <v>69750</v>
      </c>
      <c r="BC1281">
        <v>69761</v>
      </c>
      <c r="BD1281" t="s">
        <v>74</v>
      </c>
      <c r="BE1281" t="s">
        <v>23561</v>
      </c>
      <c r="BF1281" t="str">
        <f>HYPERLINK("http://dx.doi.org/10.1109/ACCESS.2023.3293108","http://dx.doi.org/10.1109/ACCESS.2023.3293108")</f>
        <v>http://dx.doi.org/10.1109/ACCESS.2023.3293108</v>
      </c>
      <c r="BG1281" t="s">
        <v>74</v>
      </c>
      <c r="BH1281" t="s">
        <v>74</v>
      </c>
      <c r="BI1281">
        <v>12</v>
      </c>
      <c r="BJ1281" t="s">
        <v>1385</v>
      </c>
      <c r="BK1281" t="s">
        <v>130</v>
      </c>
      <c r="BL1281" t="s">
        <v>1386</v>
      </c>
      <c r="BM1281" t="s">
        <v>23562</v>
      </c>
      <c r="BN1281" t="s">
        <v>74</v>
      </c>
      <c r="BO1281" t="s">
        <v>425</v>
      </c>
      <c r="BP1281" t="s">
        <v>74</v>
      </c>
      <c r="BQ1281" t="s">
        <v>74</v>
      </c>
      <c r="BR1281" t="s">
        <v>101</v>
      </c>
      <c r="BS1281" t="s">
        <v>23563</v>
      </c>
      <c r="BT1281" t="str">
        <f>HYPERLINK("https%3A%2F%2Fwww.webofscience.com%2Fwos%2Fwoscc%2Ffull-record%2FWOS:001030568800001","View Full Record in Web of Science")</f>
        <v>View Full Record in Web of Science</v>
      </c>
    </row>
    <row r="1282" spans="1:72" x14ac:dyDescent="0.2">
      <c r="A1282" t="s">
        <v>72</v>
      </c>
      <c r="B1282" t="s">
        <v>23564</v>
      </c>
      <c r="C1282" t="s">
        <v>74</v>
      </c>
      <c r="D1282" t="s">
        <v>74</v>
      </c>
      <c r="E1282" t="s">
        <v>284</v>
      </c>
      <c r="F1282" t="s">
        <v>23565</v>
      </c>
      <c r="G1282" t="s">
        <v>74</v>
      </c>
      <c r="H1282" t="s">
        <v>74</v>
      </c>
      <c r="I1282" t="s">
        <v>23566</v>
      </c>
      <c r="J1282" t="s">
        <v>16442</v>
      </c>
      <c r="K1282" t="s">
        <v>74</v>
      </c>
      <c r="L1282" t="s">
        <v>74</v>
      </c>
      <c r="M1282" t="s">
        <v>79</v>
      </c>
      <c r="N1282" t="s">
        <v>80</v>
      </c>
      <c r="O1282" t="s">
        <v>16443</v>
      </c>
      <c r="P1282" t="s">
        <v>16444</v>
      </c>
      <c r="Q1282" t="s">
        <v>16445</v>
      </c>
      <c r="R1282" t="s">
        <v>16446</v>
      </c>
      <c r="S1282" t="s">
        <v>74</v>
      </c>
      <c r="T1282" t="s">
        <v>23567</v>
      </c>
      <c r="U1282" t="s">
        <v>74</v>
      </c>
      <c r="V1282" t="s">
        <v>23568</v>
      </c>
      <c r="W1282" t="s">
        <v>23569</v>
      </c>
      <c r="X1282" t="s">
        <v>16450</v>
      </c>
      <c r="Y1282" t="s">
        <v>23570</v>
      </c>
      <c r="Z1282" t="s">
        <v>74</v>
      </c>
      <c r="AA1282" t="s">
        <v>74</v>
      </c>
      <c r="AB1282" t="s">
        <v>74</v>
      </c>
      <c r="AC1282" t="s">
        <v>23571</v>
      </c>
      <c r="AD1282" t="s">
        <v>16453</v>
      </c>
      <c r="AE1282" t="s">
        <v>23572</v>
      </c>
      <c r="AF1282" t="s">
        <v>74</v>
      </c>
      <c r="AG1282">
        <v>20</v>
      </c>
      <c r="AH1282">
        <v>0</v>
      </c>
      <c r="AI1282">
        <v>0</v>
      </c>
      <c r="AJ1282">
        <v>0</v>
      </c>
      <c r="AK1282">
        <v>0</v>
      </c>
      <c r="AL1282" t="s">
        <v>284</v>
      </c>
      <c r="AM1282" t="s">
        <v>93</v>
      </c>
      <c r="AN1282" t="s">
        <v>299</v>
      </c>
      <c r="AO1282" t="s">
        <v>74</v>
      </c>
      <c r="AP1282" t="s">
        <v>74</v>
      </c>
      <c r="AQ1282" t="s">
        <v>16455</v>
      </c>
      <c r="AR1282" t="s">
        <v>74</v>
      </c>
      <c r="AS1282" t="s">
        <v>74</v>
      </c>
      <c r="AT1282" t="s">
        <v>74</v>
      </c>
      <c r="AU1282">
        <v>2023</v>
      </c>
      <c r="AV1282" t="s">
        <v>74</v>
      </c>
      <c r="AW1282" t="s">
        <v>74</v>
      </c>
      <c r="AX1282" t="s">
        <v>74</v>
      </c>
      <c r="AY1282" t="s">
        <v>74</v>
      </c>
      <c r="AZ1282" t="s">
        <v>74</v>
      </c>
      <c r="BA1282" t="s">
        <v>74</v>
      </c>
      <c r="BB1282">
        <v>2300</v>
      </c>
      <c r="BC1282">
        <v>2304</v>
      </c>
      <c r="BD1282" t="s">
        <v>74</v>
      </c>
      <c r="BE1282" t="s">
        <v>23573</v>
      </c>
      <c r="BF1282" t="str">
        <f>HYPERLINK("http://dx.doi.org/10.1109/ICIP49359.2023.10222893","http://dx.doi.org/10.1109/ICIP49359.2023.10222893")</f>
        <v>http://dx.doi.org/10.1109/ICIP49359.2023.10222893</v>
      </c>
      <c r="BG1282" t="s">
        <v>74</v>
      </c>
      <c r="BH1282" t="s">
        <v>74</v>
      </c>
      <c r="BI1282">
        <v>5</v>
      </c>
      <c r="BJ1282" t="s">
        <v>331</v>
      </c>
      <c r="BK1282" t="s">
        <v>98</v>
      </c>
      <c r="BL1282" t="s">
        <v>99</v>
      </c>
      <c r="BM1282" t="s">
        <v>16457</v>
      </c>
      <c r="BN1282" t="s">
        <v>74</v>
      </c>
      <c r="BO1282" t="s">
        <v>74</v>
      </c>
      <c r="BP1282" t="s">
        <v>74</v>
      </c>
      <c r="BQ1282" t="s">
        <v>74</v>
      </c>
      <c r="BR1282" t="s">
        <v>101</v>
      </c>
      <c r="BS1282" t="s">
        <v>23574</v>
      </c>
      <c r="BT1282" t="str">
        <f>HYPERLINK("https%3A%2F%2Fwww.webofscience.com%2Fwos%2Fwoscc%2Ffull-record%2FWOS:001106821002078","View Full Record in Web of Science")</f>
        <v>View Full Record in Web of Science</v>
      </c>
    </row>
    <row r="1283" spans="1:72" x14ac:dyDescent="0.2">
      <c r="A1283" t="s">
        <v>103</v>
      </c>
      <c r="B1283" t="s">
        <v>23575</v>
      </c>
      <c r="C1283" t="s">
        <v>74</v>
      </c>
      <c r="D1283" t="s">
        <v>74</v>
      </c>
      <c r="E1283" t="s">
        <v>74</v>
      </c>
      <c r="F1283" t="s">
        <v>23576</v>
      </c>
      <c r="G1283" t="s">
        <v>74</v>
      </c>
      <c r="H1283" t="s">
        <v>74</v>
      </c>
      <c r="I1283" t="s">
        <v>23577</v>
      </c>
      <c r="J1283" t="s">
        <v>4890</v>
      </c>
      <c r="K1283" t="s">
        <v>74</v>
      </c>
      <c r="L1283" t="s">
        <v>74</v>
      </c>
      <c r="M1283" t="s">
        <v>79</v>
      </c>
      <c r="N1283" t="s">
        <v>108</v>
      </c>
      <c r="O1283" t="s">
        <v>74</v>
      </c>
      <c r="P1283" t="s">
        <v>74</v>
      </c>
      <c r="Q1283" t="s">
        <v>74</v>
      </c>
      <c r="R1283" t="s">
        <v>74</v>
      </c>
      <c r="S1283" t="s">
        <v>74</v>
      </c>
      <c r="T1283" t="s">
        <v>23578</v>
      </c>
      <c r="U1283" t="s">
        <v>23579</v>
      </c>
      <c r="V1283" t="s">
        <v>23580</v>
      </c>
      <c r="W1283" t="s">
        <v>23581</v>
      </c>
      <c r="X1283" t="s">
        <v>23582</v>
      </c>
      <c r="Y1283" t="s">
        <v>23583</v>
      </c>
      <c r="Z1283" t="s">
        <v>23584</v>
      </c>
      <c r="AA1283" t="s">
        <v>74</v>
      </c>
      <c r="AB1283" t="s">
        <v>74</v>
      </c>
      <c r="AC1283" t="s">
        <v>74</v>
      </c>
      <c r="AD1283" t="s">
        <v>74</v>
      </c>
      <c r="AE1283" t="s">
        <v>74</v>
      </c>
      <c r="AF1283" t="s">
        <v>74</v>
      </c>
      <c r="AG1283">
        <v>41</v>
      </c>
      <c r="AH1283">
        <v>1</v>
      </c>
      <c r="AI1283">
        <v>1</v>
      </c>
      <c r="AJ1283">
        <v>2</v>
      </c>
      <c r="AK1283">
        <v>4</v>
      </c>
      <c r="AL1283" t="s">
        <v>4897</v>
      </c>
      <c r="AM1283" t="s">
        <v>4898</v>
      </c>
      <c r="AN1283" t="s">
        <v>4899</v>
      </c>
      <c r="AO1283" t="s">
        <v>4900</v>
      </c>
      <c r="AP1283" t="s">
        <v>74</v>
      </c>
      <c r="AQ1283" t="s">
        <v>74</v>
      </c>
      <c r="AR1283" t="s">
        <v>4890</v>
      </c>
      <c r="AS1283" t="s">
        <v>4901</v>
      </c>
      <c r="AT1283" t="s">
        <v>2016</v>
      </c>
      <c r="AU1283">
        <v>2023</v>
      </c>
      <c r="AV1283" t="s">
        <v>74</v>
      </c>
      <c r="AW1283">
        <v>31</v>
      </c>
      <c r="AX1283" t="s">
        <v>74</v>
      </c>
      <c r="AY1283" t="s">
        <v>74</v>
      </c>
      <c r="AZ1283" t="s">
        <v>74</v>
      </c>
      <c r="BA1283" t="s">
        <v>74</v>
      </c>
      <c r="BB1283" t="s">
        <v>74</v>
      </c>
      <c r="BC1283" t="s">
        <v>74</v>
      </c>
      <c r="BD1283">
        <v>45249</v>
      </c>
      <c r="BE1283" t="s">
        <v>23585</v>
      </c>
      <c r="BF1283" t="str">
        <f>HYPERLINK("http://dx.doi.org/10.7238/artnodes.v0i31.45249","http://dx.doi.org/10.7238/artnodes.v0i31.45249")</f>
        <v>http://dx.doi.org/10.7238/artnodes.v0i31.45249</v>
      </c>
      <c r="BG1283" t="s">
        <v>74</v>
      </c>
      <c r="BH1283" t="s">
        <v>74</v>
      </c>
      <c r="BI1283">
        <v>12</v>
      </c>
      <c r="BJ1283" t="s">
        <v>4903</v>
      </c>
      <c r="BK1283" t="s">
        <v>352</v>
      </c>
      <c r="BL1283" t="s">
        <v>4904</v>
      </c>
      <c r="BM1283" t="s">
        <v>23586</v>
      </c>
      <c r="BN1283" t="s">
        <v>74</v>
      </c>
      <c r="BO1283" t="s">
        <v>74</v>
      </c>
      <c r="BP1283" t="s">
        <v>74</v>
      </c>
      <c r="BQ1283" t="s">
        <v>74</v>
      </c>
      <c r="BR1283" t="s">
        <v>101</v>
      </c>
      <c r="BS1283" t="s">
        <v>23587</v>
      </c>
      <c r="BT1283" t="str">
        <f>HYPERLINK("https%3A%2F%2Fwww.webofscience.com%2Fwos%2Fwoscc%2Ffull-record%2FWOS:000945472100001","View Full Record in Web of Science")</f>
        <v>View Full Record in Web of Science</v>
      </c>
    </row>
    <row r="1284" spans="1:72" x14ac:dyDescent="0.2">
      <c r="A1284" t="s">
        <v>103</v>
      </c>
      <c r="B1284" t="s">
        <v>23588</v>
      </c>
      <c r="C1284" t="s">
        <v>74</v>
      </c>
      <c r="D1284" t="s">
        <v>74</v>
      </c>
      <c r="E1284" t="s">
        <v>74</v>
      </c>
      <c r="F1284" t="s">
        <v>23589</v>
      </c>
      <c r="G1284" t="s">
        <v>74</v>
      </c>
      <c r="H1284" t="s">
        <v>74</v>
      </c>
      <c r="I1284" t="s">
        <v>23590</v>
      </c>
      <c r="J1284" t="s">
        <v>23591</v>
      </c>
      <c r="K1284" t="s">
        <v>74</v>
      </c>
      <c r="L1284" t="s">
        <v>74</v>
      </c>
      <c r="M1284" t="s">
        <v>79</v>
      </c>
      <c r="N1284" t="s">
        <v>108</v>
      </c>
      <c r="O1284" t="s">
        <v>74</v>
      </c>
      <c r="P1284" t="s">
        <v>74</v>
      </c>
      <c r="Q1284" t="s">
        <v>74</v>
      </c>
      <c r="R1284" t="s">
        <v>74</v>
      </c>
      <c r="S1284" t="s">
        <v>74</v>
      </c>
      <c r="T1284" t="s">
        <v>23592</v>
      </c>
      <c r="U1284" t="s">
        <v>74</v>
      </c>
      <c r="V1284" t="s">
        <v>23593</v>
      </c>
      <c r="W1284" t="s">
        <v>23594</v>
      </c>
      <c r="X1284" t="s">
        <v>23595</v>
      </c>
      <c r="Y1284" t="s">
        <v>23596</v>
      </c>
      <c r="Z1284" t="s">
        <v>23597</v>
      </c>
      <c r="AA1284" t="s">
        <v>74</v>
      </c>
      <c r="AB1284" t="s">
        <v>74</v>
      </c>
      <c r="AC1284" t="s">
        <v>23598</v>
      </c>
      <c r="AD1284" t="s">
        <v>23599</v>
      </c>
      <c r="AE1284" t="s">
        <v>23600</v>
      </c>
      <c r="AF1284" t="s">
        <v>74</v>
      </c>
      <c r="AG1284">
        <v>59</v>
      </c>
      <c r="AH1284">
        <v>0</v>
      </c>
      <c r="AI1284">
        <v>0</v>
      </c>
      <c r="AJ1284">
        <v>1</v>
      </c>
      <c r="AK1284">
        <v>1</v>
      </c>
      <c r="AL1284" t="s">
        <v>2492</v>
      </c>
      <c r="AM1284" t="s">
        <v>461</v>
      </c>
      <c r="AN1284" t="s">
        <v>2493</v>
      </c>
      <c r="AO1284" t="s">
        <v>74</v>
      </c>
      <c r="AP1284" t="s">
        <v>23601</v>
      </c>
      <c r="AQ1284" t="s">
        <v>74</v>
      </c>
      <c r="AR1284" t="s">
        <v>23602</v>
      </c>
      <c r="AS1284" t="s">
        <v>23603</v>
      </c>
      <c r="AT1284" t="s">
        <v>9921</v>
      </c>
      <c r="AU1284">
        <v>2023</v>
      </c>
      <c r="AV1284">
        <v>5</v>
      </c>
      <c r="AW1284" t="s">
        <v>74</v>
      </c>
      <c r="AX1284" t="s">
        <v>74</v>
      </c>
      <c r="AY1284" t="s">
        <v>74</v>
      </c>
      <c r="AZ1284" t="s">
        <v>74</v>
      </c>
      <c r="BA1284" t="s">
        <v>74</v>
      </c>
      <c r="BB1284" t="s">
        <v>74</v>
      </c>
      <c r="BC1284" t="s">
        <v>74</v>
      </c>
      <c r="BD1284">
        <v>1253682</v>
      </c>
      <c r="BE1284" t="s">
        <v>23604</v>
      </c>
      <c r="BF1284" t="str">
        <f>HYPERLINK("http://dx.doi.org/10.3389/fcomp.2023.1253682","http://dx.doi.org/10.3389/fcomp.2023.1253682")</f>
        <v>http://dx.doi.org/10.3389/fcomp.2023.1253682</v>
      </c>
      <c r="BG1284" t="s">
        <v>74</v>
      </c>
      <c r="BH1284" t="s">
        <v>74</v>
      </c>
      <c r="BI1284">
        <v>17</v>
      </c>
      <c r="BJ1284" t="s">
        <v>351</v>
      </c>
      <c r="BK1284" t="s">
        <v>352</v>
      </c>
      <c r="BL1284" t="s">
        <v>99</v>
      </c>
      <c r="BM1284" t="s">
        <v>23605</v>
      </c>
      <c r="BN1284" t="s">
        <v>74</v>
      </c>
      <c r="BO1284" t="s">
        <v>1071</v>
      </c>
      <c r="BP1284" t="s">
        <v>74</v>
      </c>
      <c r="BQ1284" t="s">
        <v>74</v>
      </c>
      <c r="BR1284" t="s">
        <v>101</v>
      </c>
      <c r="BS1284" t="s">
        <v>23606</v>
      </c>
      <c r="BT1284" t="str">
        <f>HYPERLINK("https%3A%2F%2Fwww.webofscience.com%2Fwos%2Fwoscc%2Ffull-record%2FWOS:001102606400001","View Full Record in Web of Science")</f>
        <v>View Full Record in Web of Science</v>
      </c>
    </row>
    <row r="1285" spans="1:72" x14ac:dyDescent="0.2">
      <c r="A1285" t="s">
        <v>103</v>
      </c>
      <c r="B1285" t="s">
        <v>23607</v>
      </c>
      <c r="C1285" t="s">
        <v>74</v>
      </c>
      <c r="D1285" t="s">
        <v>74</v>
      </c>
      <c r="E1285" t="s">
        <v>74</v>
      </c>
      <c r="F1285" t="s">
        <v>23608</v>
      </c>
      <c r="G1285" t="s">
        <v>74</v>
      </c>
      <c r="H1285" t="s">
        <v>74</v>
      </c>
      <c r="I1285" t="s">
        <v>23609</v>
      </c>
      <c r="J1285" t="s">
        <v>15582</v>
      </c>
      <c r="K1285" t="s">
        <v>74</v>
      </c>
      <c r="L1285" t="s">
        <v>74</v>
      </c>
      <c r="M1285" t="s">
        <v>79</v>
      </c>
      <c r="N1285" t="s">
        <v>108</v>
      </c>
      <c r="O1285" t="s">
        <v>74</v>
      </c>
      <c r="P1285" t="s">
        <v>74</v>
      </c>
      <c r="Q1285" t="s">
        <v>74</v>
      </c>
      <c r="R1285" t="s">
        <v>74</v>
      </c>
      <c r="S1285" t="s">
        <v>74</v>
      </c>
      <c r="T1285" t="s">
        <v>23610</v>
      </c>
      <c r="U1285" t="s">
        <v>74</v>
      </c>
      <c r="V1285" t="s">
        <v>23611</v>
      </c>
      <c r="W1285" t="s">
        <v>23612</v>
      </c>
      <c r="X1285" t="s">
        <v>23613</v>
      </c>
      <c r="Y1285" t="s">
        <v>23614</v>
      </c>
      <c r="Z1285" t="s">
        <v>23615</v>
      </c>
      <c r="AA1285" t="s">
        <v>23616</v>
      </c>
      <c r="AB1285" t="s">
        <v>23617</v>
      </c>
      <c r="AC1285" t="s">
        <v>74</v>
      </c>
      <c r="AD1285" t="s">
        <v>74</v>
      </c>
      <c r="AE1285" t="s">
        <v>74</v>
      </c>
      <c r="AF1285" t="s">
        <v>74</v>
      </c>
      <c r="AG1285">
        <v>38</v>
      </c>
      <c r="AH1285">
        <v>0</v>
      </c>
      <c r="AI1285">
        <v>0</v>
      </c>
      <c r="AJ1285">
        <v>8</v>
      </c>
      <c r="AK1285">
        <v>8</v>
      </c>
      <c r="AL1285" t="s">
        <v>14835</v>
      </c>
      <c r="AM1285" t="s">
        <v>14836</v>
      </c>
      <c r="AN1285" t="s">
        <v>14837</v>
      </c>
      <c r="AO1285" t="s">
        <v>15591</v>
      </c>
      <c r="AP1285" t="s">
        <v>15592</v>
      </c>
      <c r="AQ1285" t="s">
        <v>74</v>
      </c>
      <c r="AR1285" t="s">
        <v>15593</v>
      </c>
      <c r="AS1285" t="s">
        <v>15594</v>
      </c>
      <c r="AT1285" t="s">
        <v>527</v>
      </c>
      <c r="AU1285">
        <v>2023</v>
      </c>
      <c r="AV1285">
        <v>242</v>
      </c>
      <c r="AW1285" t="s">
        <v>74</v>
      </c>
      <c r="AX1285" t="s">
        <v>74</v>
      </c>
      <c r="AY1285" t="s">
        <v>74</v>
      </c>
      <c r="AZ1285" t="s">
        <v>74</v>
      </c>
      <c r="BA1285" t="s">
        <v>74</v>
      </c>
      <c r="BB1285" t="s">
        <v>74</v>
      </c>
      <c r="BC1285" t="s">
        <v>74</v>
      </c>
      <c r="BD1285">
        <v>107821</v>
      </c>
      <c r="BE1285" t="s">
        <v>23618</v>
      </c>
      <c r="BF1285" t="str">
        <f>HYPERLINK("http://dx.doi.org/10.1016/j.cmpb.2023.107821","http://dx.doi.org/10.1016/j.cmpb.2023.107821")</f>
        <v>http://dx.doi.org/10.1016/j.cmpb.2023.107821</v>
      </c>
      <c r="BG1285" t="s">
        <v>74</v>
      </c>
      <c r="BH1285" t="s">
        <v>278</v>
      </c>
      <c r="BI1285">
        <v>11</v>
      </c>
      <c r="BJ1285" t="s">
        <v>15596</v>
      </c>
      <c r="BK1285" t="s">
        <v>130</v>
      </c>
      <c r="BL1285" t="s">
        <v>6455</v>
      </c>
      <c r="BM1285" t="s">
        <v>23619</v>
      </c>
      <c r="BN1285">
        <v>37776709</v>
      </c>
      <c r="BO1285" t="s">
        <v>74</v>
      </c>
      <c r="BP1285" t="s">
        <v>74</v>
      </c>
      <c r="BQ1285" t="s">
        <v>74</v>
      </c>
      <c r="BR1285" t="s">
        <v>101</v>
      </c>
      <c r="BS1285" t="s">
        <v>23620</v>
      </c>
      <c r="BT1285" t="str">
        <f>HYPERLINK("https%3A%2F%2Fwww.webofscience.com%2Fwos%2Fwoscc%2Ffull-record%2FWOS:001097351900001","View Full Record in Web of Science")</f>
        <v>View Full Record in Web of Science</v>
      </c>
    </row>
    <row r="1286" spans="1:72" x14ac:dyDescent="0.2">
      <c r="A1286" t="s">
        <v>72</v>
      </c>
      <c r="B1286" t="s">
        <v>23621</v>
      </c>
      <c r="C1286" t="s">
        <v>74</v>
      </c>
      <c r="D1286" t="s">
        <v>74</v>
      </c>
      <c r="E1286" t="s">
        <v>284</v>
      </c>
      <c r="F1286" t="s">
        <v>23622</v>
      </c>
      <c r="G1286" t="s">
        <v>74</v>
      </c>
      <c r="H1286" t="s">
        <v>74</v>
      </c>
      <c r="I1286" t="s">
        <v>23623</v>
      </c>
      <c r="J1286" t="s">
        <v>8245</v>
      </c>
      <c r="K1286" t="s">
        <v>8246</v>
      </c>
      <c r="L1286" t="s">
        <v>74</v>
      </c>
      <c r="M1286" t="s">
        <v>79</v>
      </c>
      <c r="N1286" t="s">
        <v>80</v>
      </c>
      <c r="O1286" t="s">
        <v>8247</v>
      </c>
      <c r="P1286" t="s">
        <v>8248</v>
      </c>
      <c r="Q1286" t="s">
        <v>6017</v>
      </c>
      <c r="R1286" t="s">
        <v>8249</v>
      </c>
      <c r="S1286" t="s">
        <v>74</v>
      </c>
      <c r="T1286" t="s">
        <v>74</v>
      </c>
      <c r="U1286" t="s">
        <v>74</v>
      </c>
      <c r="V1286" t="s">
        <v>23624</v>
      </c>
      <c r="W1286" t="s">
        <v>23625</v>
      </c>
      <c r="X1286" t="s">
        <v>74</v>
      </c>
      <c r="Y1286" t="s">
        <v>22886</v>
      </c>
      <c r="Z1286" t="s">
        <v>23626</v>
      </c>
      <c r="AA1286" t="s">
        <v>74</v>
      </c>
      <c r="AB1286" t="s">
        <v>74</v>
      </c>
      <c r="AC1286" t="s">
        <v>74</v>
      </c>
      <c r="AD1286" t="s">
        <v>74</v>
      </c>
      <c r="AE1286" t="s">
        <v>74</v>
      </c>
      <c r="AF1286" t="s">
        <v>74</v>
      </c>
      <c r="AG1286">
        <v>45</v>
      </c>
      <c r="AH1286">
        <v>0</v>
      </c>
      <c r="AI1286">
        <v>0</v>
      </c>
      <c r="AJ1286">
        <v>3</v>
      </c>
      <c r="AK1286">
        <v>3</v>
      </c>
      <c r="AL1286" t="s">
        <v>638</v>
      </c>
      <c r="AM1286" t="s">
        <v>639</v>
      </c>
      <c r="AN1286" t="s">
        <v>640</v>
      </c>
      <c r="AO1286" t="s">
        <v>8260</v>
      </c>
      <c r="AP1286" t="s">
        <v>74</v>
      </c>
      <c r="AQ1286" t="s">
        <v>8261</v>
      </c>
      <c r="AR1286" t="s">
        <v>8262</v>
      </c>
      <c r="AS1286" t="s">
        <v>74</v>
      </c>
      <c r="AT1286" t="s">
        <v>74</v>
      </c>
      <c r="AU1286">
        <v>2023</v>
      </c>
      <c r="AV1286" t="s">
        <v>74</v>
      </c>
      <c r="AW1286" t="s">
        <v>74</v>
      </c>
      <c r="AX1286" t="s">
        <v>74</v>
      </c>
      <c r="AY1286" t="s">
        <v>74</v>
      </c>
      <c r="AZ1286" t="s">
        <v>74</v>
      </c>
      <c r="BA1286" t="s">
        <v>74</v>
      </c>
      <c r="BB1286">
        <v>16469</v>
      </c>
      <c r="BC1286">
        <v>16478</v>
      </c>
      <c r="BD1286" t="s">
        <v>74</v>
      </c>
      <c r="BE1286" t="s">
        <v>23627</v>
      </c>
      <c r="BF1286" t="str">
        <f>HYPERLINK("http://dx.doi.org/10.1109/CVPR52729.2023.01580","http://dx.doi.org/10.1109/CVPR52729.2023.01580")</f>
        <v>http://dx.doi.org/10.1109/CVPR52729.2023.01580</v>
      </c>
      <c r="BG1286" t="s">
        <v>74</v>
      </c>
      <c r="BH1286" t="s">
        <v>74</v>
      </c>
      <c r="BI1286">
        <v>10</v>
      </c>
      <c r="BJ1286" t="s">
        <v>304</v>
      </c>
      <c r="BK1286" t="s">
        <v>98</v>
      </c>
      <c r="BL1286" t="s">
        <v>99</v>
      </c>
      <c r="BM1286" t="s">
        <v>9731</v>
      </c>
      <c r="BN1286" t="s">
        <v>74</v>
      </c>
      <c r="BO1286" t="s">
        <v>646</v>
      </c>
      <c r="BP1286" t="s">
        <v>74</v>
      </c>
      <c r="BQ1286" t="s">
        <v>74</v>
      </c>
      <c r="BR1286" t="s">
        <v>101</v>
      </c>
      <c r="BS1286" t="s">
        <v>23628</v>
      </c>
      <c r="BT1286" t="str">
        <f>HYPERLINK("https%3A%2F%2Fwww.webofscience.com%2Fwos%2Fwoscc%2Ffull-record%2FWOS:001062531300045","View Full Record in Web of Science")</f>
        <v>View Full Record in Web of Science</v>
      </c>
    </row>
    <row r="1287" spans="1:72" x14ac:dyDescent="0.2">
      <c r="A1287" t="s">
        <v>103</v>
      </c>
      <c r="B1287" t="s">
        <v>23629</v>
      </c>
      <c r="C1287" t="s">
        <v>74</v>
      </c>
      <c r="D1287" t="s">
        <v>74</v>
      </c>
      <c r="E1287" t="s">
        <v>74</v>
      </c>
      <c r="F1287" t="s">
        <v>23630</v>
      </c>
      <c r="G1287" t="s">
        <v>74</v>
      </c>
      <c r="H1287" t="s">
        <v>74</v>
      </c>
      <c r="I1287" t="s">
        <v>23631</v>
      </c>
      <c r="J1287" t="s">
        <v>23632</v>
      </c>
      <c r="K1287" t="s">
        <v>74</v>
      </c>
      <c r="L1287" t="s">
        <v>74</v>
      </c>
      <c r="M1287" t="s">
        <v>79</v>
      </c>
      <c r="N1287" t="s">
        <v>108</v>
      </c>
      <c r="O1287" t="s">
        <v>74</v>
      </c>
      <c r="P1287" t="s">
        <v>74</v>
      </c>
      <c r="Q1287" t="s">
        <v>74</v>
      </c>
      <c r="R1287" t="s">
        <v>74</v>
      </c>
      <c r="S1287" t="s">
        <v>74</v>
      </c>
      <c r="T1287" t="s">
        <v>23633</v>
      </c>
      <c r="U1287" t="s">
        <v>23634</v>
      </c>
      <c r="V1287" t="s">
        <v>23635</v>
      </c>
      <c r="W1287" t="s">
        <v>23636</v>
      </c>
      <c r="X1287" t="s">
        <v>23637</v>
      </c>
      <c r="Y1287" t="s">
        <v>23638</v>
      </c>
      <c r="Z1287" t="s">
        <v>23639</v>
      </c>
      <c r="AA1287" t="s">
        <v>23640</v>
      </c>
      <c r="AB1287" t="s">
        <v>23641</v>
      </c>
      <c r="AC1287" t="s">
        <v>23642</v>
      </c>
      <c r="AD1287" t="s">
        <v>23643</v>
      </c>
      <c r="AE1287" t="s">
        <v>23644</v>
      </c>
      <c r="AF1287" t="s">
        <v>74</v>
      </c>
      <c r="AG1287">
        <v>36</v>
      </c>
      <c r="AH1287">
        <v>0</v>
      </c>
      <c r="AI1287">
        <v>0</v>
      </c>
      <c r="AJ1287">
        <v>6</v>
      </c>
      <c r="AK1287">
        <v>6</v>
      </c>
      <c r="AL1287" t="s">
        <v>343</v>
      </c>
      <c r="AM1287" t="s">
        <v>521</v>
      </c>
      <c r="AN1287" t="s">
        <v>522</v>
      </c>
      <c r="AO1287" t="s">
        <v>23645</v>
      </c>
      <c r="AP1287" t="s">
        <v>23646</v>
      </c>
      <c r="AQ1287" t="s">
        <v>74</v>
      </c>
      <c r="AR1287" t="s">
        <v>23647</v>
      </c>
      <c r="AS1287" t="s">
        <v>23648</v>
      </c>
      <c r="AT1287" t="s">
        <v>276</v>
      </c>
      <c r="AU1287">
        <v>2023</v>
      </c>
      <c r="AV1287">
        <v>37</v>
      </c>
      <c r="AW1287">
        <v>6</v>
      </c>
      <c r="AX1287" t="s">
        <v>74</v>
      </c>
      <c r="AY1287" t="s">
        <v>74</v>
      </c>
      <c r="AZ1287" t="s">
        <v>74</v>
      </c>
      <c r="BA1287" t="s">
        <v>74</v>
      </c>
      <c r="BB1287">
        <v>2330</v>
      </c>
      <c r="BC1287">
        <v>2388</v>
      </c>
      <c r="BD1287" t="s">
        <v>74</v>
      </c>
      <c r="BE1287" t="s">
        <v>23649</v>
      </c>
      <c r="BF1287" t="str">
        <f>HYPERLINK("http://dx.doi.org/10.1007/s10618-023-00955-3","http://dx.doi.org/10.1007/s10618-023-00955-3")</f>
        <v>http://dx.doi.org/10.1007/s10618-023-00955-3</v>
      </c>
      <c r="BG1287" t="s">
        <v>74</v>
      </c>
      <c r="BH1287" t="s">
        <v>255</v>
      </c>
      <c r="BI1287">
        <v>59</v>
      </c>
      <c r="BJ1287" t="s">
        <v>883</v>
      </c>
      <c r="BK1287" t="s">
        <v>130</v>
      </c>
      <c r="BL1287" t="s">
        <v>99</v>
      </c>
      <c r="BM1287" t="s">
        <v>23650</v>
      </c>
      <c r="BN1287" t="s">
        <v>74</v>
      </c>
      <c r="BO1287" t="s">
        <v>646</v>
      </c>
      <c r="BP1287" t="s">
        <v>74</v>
      </c>
      <c r="BQ1287" t="s">
        <v>74</v>
      </c>
      <c r="BR1287" t="s">
        <v>101</v>
      </c>
      <c r="BS1287" t="s">
        <v>23651</v>
      </c>
      <c r="BT1287" t="str">
        <f>HYPERLINK("https%3A%2F%2Fwww.webofscience.com%2Fwos%2Fwoscc%2Ffull-record%2FWOS:001044721800002","View Full Record in Web of Science")</f>
        <v>View Full Record in Web of Science</v>
      </c>
    </row>
    <row r="1288" spans="1:72" x14ac:dyDescent="0.2">
      <c r="A1288" t="s">
        <v>103</v>
      </c>
      <c r="B1288" t="s">
        <v>23652</v>
      </c>
      <c r="C1288" t="s">
        <v>74</v>
      </c>
      <c r="D1288" t="s">
        <v>74</v>
      </c>
      <c r="E1288" t="s">
        <v>74</v>
      </c>
      <c r="F1288" t="s">
        <v>23653</v>
      </c>
      <c r="G1288" t="s">
        <v>74</v>
      </c>
      <c r="H1288" t="s">
        <v>74</v>
      </c>
      <c r="I1288" t="s">
        <v>23654</v>
      </c>
      <c r="J1288" t="s">
        <v>23655</v>
      </c>
      <c r="K1288" t="s">
        <v>74</v>
      </c>
      <c r="L1288" t="s">
        <v>74</v>
      </c>
      <c r="M1288" t="s">
        <v>79</v>
      </c>
      <c r="N1288" t="s">
        <v>108</v>
      </c>
      <c r="O1288" t="s">
        <v>74</v>
      </c>
      <c r="P1288" t="s">
        <v>74</v>
      </c>
      <c r="Q1288" t="s">
        <v>74</v>
      </c>
      <c r="R1288" t="s">
        <v>74</v>
      </c>
      <c r="S1288" t="s">
        <v>74</v>
      </c>
      <c r="T1288" t="s">
        <v>23656</v>
      </c>
      <c r="U1288" t="s">
        <v>23657</v>
      </c>
      <c r="V1288" t="s">
        <v>23658</v>
      </c>
      <c r="W1288" t="s">
        <v>23659</v>
      </c>
      <c r="X1288" t="s">
        <v>23660</v>
      </c>
      <c r="Y1288" t="s">
        <v>23661</v>
      </c>
      <c r="Z1288" t="s">
        <v>23662</v>
      </c>
      <c r="AA1288" t="s">
        <v>23663</v>
      </c>
      <c r="AB1288" t="s">
        <v>23664</v>
      </c>
      <c r="AC1288" t="s">
        <v>23665</v>
      </c>
      <c r="AD1288" t="s">
        <v>23666</v>
      </c>
      <c r="AE1288" t="s">
        <v>23667</v>
      </c>
      <c r="AF1288" t="s">
        <v>74</v>
      </c>
      <c r="AG1288">
        <v>53</v>
      </c>
      <c r="AH1288">
        <v>12</v>
      </c>
      <c r="AI1288">
        <v>12</v>
      </c>
      <c r="AJ1288">
        <v>15</v>
      </c>
      <c r="AK1288">
        <v>23</v>
      </c>
      <c r="AL1288" t="s">
        <v>3165</v>
      </c>
      <c r="AM1288" t="s">
        <v>3166</v>
      </c>
      <c r="AN1288" t="s">
        <v>3167</v>
      </c>
      <c r="AO1288" t="s">
        <v>23668</v>
      </c>
      <c r="AP1288" t="s">
        <v>74</v>
      </c>
      <c r="AQ1288" t="s">
        <v>74</v>
      </c>
      <c r="AR1288" t="s">
        <v>23669</v>
      </c>
      <c r="AS1288" t="s">
        <v>23670</v>
      </c>
      <c r="AT1288" t="s">
        <v>18683</v>
      </c>
      <c r="AU1288">
        <v>2023</v>
      </c>
      <c r="AV1288">
        <v>19</v>
      </c>
      <c r="AW1288">
        <v>6</v>
      </c>
      <c r="AX1288" t="s">
        <v>74</v>
      </c>
      <c r="AY1288" t="s">
        <v>74</v>
      </c>
      <c r="AZ1288" t="s">
        <v>74</v>
      </c>
      <c r="BA1288" t="s">
        <v>74</v>
      </c>
      <c r="BB1288" t="s">
        <v>74</v>
      </c>
      <c r="BC1288" t="s">
        <v>74</v>
      </c>
      <c r="BD1288" t="s">
        <v>74</v>
      </c>
      <c r="BE1288" t="s">
        <v>23671</v>
      </c>
      <c r="BF1288" t="str">
        <f>HYPERLINK("http://dx.doi.org/10.15252/msb.202211517","http://dx.doi.org/10.15252/msb.202211517")</f>
        <v>http://dx.doi.org/10.15252/msb.202211517</v>
      </c>
      <c r="BG1288" t="s">
        <v>74</v>
      </c>
      <c r="BH1288" t="s">
        <v>2889</v>
      </c>
      <c r="BI1288">
        <v>19</v>
      </c>
      <c r="BJ1288" t="s">
        <v>12474</v>
      </c>
      <c r="BK1288" t="s">
        <v>130</v>
      </c>
      <c r="BL1288" t="s">
        <v>12474</v>
      </c>
      <c r="BM1288" t="s">
        <v>23672</v>
      </c>
      <c r="BN1288">
        <v>37154091</v>
      </c>
      <c r="BO1288" t="s">
        <v>1728</v>
      </c>
      <c r="BP1288" t="s">
        <v>74</v>
      </c>
      <c r="BQ1288" t="s">
        <v>74</v>
      </c>
      <c r="BR1288" t="s">
        <v>101</v>
      </c>
      <c r="BS1288" t="s">
        <v>23673</v>
      </c>
      <c r="BT1288" t="str">
        <f>HYPERLINK("https%3A%2F%2Fwww.webofscience.com%2Fwos%2Fwoscc%2Ffull-record%2FWOS:000982786500001","View Full Record in Web of Science")</f>
        <v>View Full Record in Web of Science</v>
      </c>
    </row>
    <row r="1289" spans="1:72" x14ac:dyDescent="0.2">
      <c r="A1289" t="s">
        <v>103</v>
      </c>
      <c r="B1289" t="s">
        <v>23674</v>
      </c>
      <c r="C1289" t="s">
        <v>74</v>
      </c>
      <c r="D1289" t="s">
        <v>74</v>
      </c>
      <c r="E1289" t="s">
        <v>74</v>
      </c>
      <c r="F1289" t="s">
        <v>23675</v>
      </c>
      <c r="G1289" t="s">
        <v>74</v>
      </c>
      <c r="H1289" t="s">
        <v>74</v>
      </c>
      <c r="I1289" t="s">
        <v>23676</v>
      </c>
      <c r="J1289" t="s">
        <v>23677</v>
      </c>
      <c r="K1289" t="s">
        <v>74</v>
      </c>
      <c r="L1289" t="s">
        <v>74</v>
      </c>
      <c r="M1289" t="s">
        <v>79</v>
      </c>
      <c r="N1289" t="s">
        <v>108</v>
      </c>
      <c r="O1289" t="s">
        <v>74</v>
      </c>
      <c r="P1289" t="s">
        <v>74</v>
      </c>
      <c r="Q1289" t="s">
        <v>74</v>
      </c>
      <c r="R1289" t="s">
        <v>74</v>
      </c>
      <c r="S1289" t="s">
        <v>74</v>
      </c>
      <c r="T1289" t="s">
        <v>74</v>
      </c>
      <c r="U1289" t="s">
        <v>23678</v>
      </c>
      <c r="V1289" t="s">
        <v>23679</v>
      </c>
      <c r="W1289" t="s">
        <v>23680</v>
      </c>
      <c r="X1289" t="s">
        <v>23681</v>
      </c>
      <c r="Y1289" t="s">
        <v>23682</v>
      </c>
      <c r="Z1289" t="s">
        <v>23683</v>
      </c>
      <c r="AA1289" t="s">
        <v>23684</v>
      </c>
      <c r="AB1289" t="s">
        <v>23685</v>
      </c>
      <c r="AC1289" t="s">
        <v>74</v>
      </c>
      <c r="AD1289" t="s">
        <v>74</v>
      </c>
      <c r="AE1289" t="s">
        <v>74</v>
      </c>
      <c r="AF1289" t="s">
        <v>74</v>
      </c>
      <c r="AG1289">
        <v>98</v>
      </c>
      <c r="AH1289">
        <v>91</v>
      </c>
      <c r="AI1289">
        <v>92</v>
      </c>
      <c r="AJ1289">
        <v>509</v>
      </c>
      <c r="AK1289">
        <v>981</v>
      </c>
      <c r="AL1289" t="s">
        <v>3165</v>
      </c>
      <c r="AM1289" t="s">
        <v>3166</v>
      </c>
      <c r="AN1289" t="s">
        <v>3167</v>
      </c>
      <c r="AO1289" t="s">
        <v>23686</v>
      </c>
      <c r="AP1289" t="s">
        <v>23687</v>
      </c>
      <c r="AQ1289" t="s">
        <v>74</v>
      </c>
      <c r="AR1289" t="s">
        <v>23688</v>
      </c>
      <c r="AS1289" t="s">
        <v>74</v>
      </c>
      <c r="AT1289" t="s">
        <v>4461</v>
      </c>
      <c r="AU1289">
        <v>2023</v>
      </c>
      <c r="AV1289">
        <v>74</v>
      </c>
      <c r="AW1289">
        <v>5</v>
      </c>
      <c r="AX1289" t="s">
        <v>74</v>
      </c>
      <c r="AY1289" t="s">
        <v>74</v>
      </c>
      <c r="AZ1289" t="s">
        <v>74</v>
      </c>
      <c r="BA1289" t="s">
        <v>74</v>
      </c>
      <c r="BB1289">
        <v>570</v>
      </c>
      <c r="BC1289">
        <v>581</v>
      </c>
      <c r="BD1289" t="s">
        <v>74</v>
      </c>
      <c r="BE1289" t="s">
        <v>23689</v>
      </c>
      <c r="BF1289" t="str">
        <f>HYPERLINK("http://dx.doi.org/10.1002/asi.24750","http://dx.doi.org/10.1002/asi.24750")</f>
        <v>http://dx.doi.org/10.1002/asi.24750</v>
      </c>
      <c r="BG1289" t="s">
        <v>74</v>
      </c>
      <c r="BH1289" t="s">
        <v>1431</v>
      </c>
      <c r="BI1289">
        <v>12</v>
      </c>
      <c r="BJ1289" t="s">
        <v>23690</v>
      </c>
      <c r="BK1289" t="s">
        <v>947</v>
      </c>
      <c r="BL1289" t="s">
        <v>22370</v>
      </c>
      <c r="BM1289" t="s">
        <v>23691</v>
      </c>
      <c r="BN1289" t="s">
        <v>74</v>
      </c>
      <c r="BO1289" t="s">
        <v>646</v>
      </c>
      <c r="BP1289" t="s">
        <v>1434</v>
      </c>
      <c r="BQ1289" t="s">
        <v>1434</v>
      </c>
      <c r="BR1289" t="s">
        <v>101</v>
      </c>
      <c r="BS1289" t="s">
        <v>23692</v>
      </c>
      <c r="BT1289" t="str">
        <f>HYPERLINK("https%3A%2F%2Fwww.webofscience.com%2Fwos%2Fwoscc%2Ffull-record%2FWOS:000947863900001","View Full Record in Web of Science")</f>
        <v>View Full Record in Web of Science</v>
      </c>
    </row>
    <row r="1290" spans="1:72" x14ac:dyDescent="0.2">
      <c r="A1290" t="s">
        <v>72</v>
      </c>
      <c r="B1290" t="s">
        <v>23693</v>
      </c>
      <c r="C1290" t="s">
        <v>74</v>
      </c>
      <c r="D1290" t="s">
        <v>4124</v>
      </c>
      <c r="E1290" t="s">
        <v>74</v>
      </c>
      <c r="F1290" t="s">
        <v>23694</v>
      </c>
      <c r="G1290" t="s">
        <v>74</v>
      </c>
      <c r="H1290" t="s">
        <v>74</v>
      </c>
      <c r="I1290" t="s">
        <v>23695</v>
      </c>
      <c r="J1290" t="s">
        <v>4127</v>
      </c>
      <c r="K1290" t="s">
        <v>4128</v>
      </c>
      <c r="L1290" t="s">
        <v>74</v>
      </c>
      <c r="M1290" t="s">
        <v>79</v>
      </c>
      <c r="N1290" t="s">
        <v>80</v>
      </c>
      <c r="O1290" t="s">
        <v>4129</v>
      </c>
      <c r="P1290" t="s">
        <v>4130</v>
      </c>
      <c r="Q1290" t="s">
        <v>4131</v>
      </c>
      <c r="R1290" t="s">
        <v>4132</v>
      </c>
      <c r="S1290" t="s">
        <v>74</v>
      </c>
      <c r="T1290" t="s">
        <v>23696</v>
      </c>
      <c r="U1290" t="s">
        <v>74</v>
      </c>
      <c r="V1290" t="s">
        <v>23697</v>
      </c>
      <c r="W1290" t="s">
        <v>23698</v>
      </c>
      <c r="X1290" t="s">
        <v>23699</v>
      </c>
      <c r="Y1290" t="s">
        <v>23700</v>
      </c>
      <c r="Z1290" t="s">
        <v>23701</v>
      </c>
      <c r="AA1290" t="s">
        <v>23702</v>
      </c>
      <c r="AB1290" t="s">
        <v>23703</v>
      </c>
      <c r="AC1290" t="s">
        <v>23704</v>
      </c>
      <c r="AD1290" t="s">
        <v>23705</v>
      </c>
      <c r="AE1290" t="s">
        <v>23706</v>
      </c>
      <c r="AF1290" t="s">
        <v>74</v>
      </c>
      <c r="AG1290">
        <v>13</v>
      </c>
      <c r="AH1290">
        <v>0</v>
      </c>
      <c r="AI1290">
        <v>0</v>
      </c>
      <c r="AJ1290">
        <v>0</v>
      </c>
      <c r="AK1290">
        <v>0</v>
      </c>
      <c r="AL1290" t="s">
        <v>284</v>
      </c>
      <c r="AM1290" t="s">
        <v>93</v>
      </c>
      <c r="AN1290" t="s">
        <v>299</v>
      </c>
      <c r="AO1290" t="s">
        <v>4144</v>
      </c>
      <c r="AP1290" t="s">
        <v>74</v>
      </c>
      <c r="AQ1290" t="s">
        <v>4145</v>
      </c>
      <c r="AR1290" t="s">
        <v>4146</v>
      </c>
      <c r="AS1290" t="s">
        <v>74</v>
      </c>
      <c r="AT1290" t="s">
        <v>74</v>
      </c>
      <c r="AU1290">
        <v>2023</v>
      </c>
      <c r="AV1290" t="s">
        <v>74</v>
      </c>
      <c r="AW1290" t="s">
        <v>74</v>
      </c>
      <c r="AX1290" t="s">
        <v>74</v>
      </c>
      <c r="AY1290" t="s">
        <v>74</v>
      </c>
      <c r="AZ1290" t="s">
        <v>74</v>
      </c>
      <c r="BA1290" t="s">
        <v>74</v>
      </c>
      <c r="BB1290" t="s">
        <v>74</v>
      </c>
      <c r="BC1290" t="s">
        <v>74</v>
      </c>
      <c r="BD1290" t="s">
        <v>74</v>
      </c>
      <c r="BE1290" t="s">
        <v>74</v>
      </c>
      <c r="BF1290" t="s">
        <v>74</v>
      </c>
      <c r="BG1290" t="s">
        <v>74</v>
      </c>
      <c r="BH1290" t="s">
        <v>74</v>
      </c>
      <c r="BI1290">
        <v>6</v>
      </c>
      <c r="BJ1290" t="s">
        <v>1385</v>
      </c>
      <c r="BK1290" t="s">
        <v>98</v>
      </c>
      <c r="BL1290" t="s">
        <v>1386</v>
      </c>
      <c r="BM1290" t="s">
        <v>4147</v>
      </c>
      <c r="BN1290" t="s">
        <v>74</v>
      </c>
      <c r="BO1290" t="s">
        <v>74</v>
      </c>
      <c r="BP1290" t="s">
        <v>74</v>
      </c>
      <c r="BQ1290" t="s">
        <v>74</v>
      </c>
      <c r="BR1290" t="s">
        <v>101</v>
      </c>
      <c r="BS1290" t="s">
        <v>23707</v>
      </c>
      <c r="BT1290" t="str">
        <f>HYPERLINK("https%3A%2F%2Fwww.webofscience.com%2Fwos%2Fwoscc%2Ffull-record%2FWOS:001117985100026","View Full Record in Web of Science")</f>
        <v>View Full Record in Web of Science</v>
      </c>
    </row>
    <row r="1291" spans="1:72" x14ac:dyDescent="0.2">
      <c r="A1291" t="s">
        <v>103</v>
      </c>
      <c r="B1291" t="s">
        <v>23708</v>
      </c>
      <c r="C1291" t="s">
        <v>74</v>
      </c>
      <c r="D1291" t="s">
        <v>74</v>
      </c>
      <c r="E1291" t="s">
        <v>74</v>
      </c>
      <c r="F1291" t="s">
        <v>23709</v>
      </c>
      <c r="G1291" t="s">
        <v>74</v>
      </c>
      <c r="H1291" t="s">
        <v>74</v>
      </c>
      <c r="I1291" t="s">
        <v>23710</v>
      </c>
      <c r="J1291" t="s">
        <v>23711</v>
      </c>
      <c r="K1291" t="s">
        <v>74</v>
      </c>
      <c r="L1291" t="s">
        <v>74</v>
      </c>
      <c r="M1291" t="s">
        <v>79</v>
      </c>
      <c r="N1291" t="s">
        <v>108</v>
      </c>
      <c r="O1291" t="s">
        <v>74</v>
      </c>
      <c r="P1291" t="s">
        <v>74</v>
      </c>
      <c r="Q1291" t="s">
        <v>74</v>
      </c>
      <c r="R1291" t="s">
        <v>74</v>
      </c>
      <c r="S1291" t="s">
        <v>74</v>
      </c>
      <c r="T1291" t="s">
        <v>23712</v>
      </c>
      <c r="U1291" t="s">
        <v>74</v>
      </c>
      <c r="V1291" t="s">
        <v>23713</v>
      </c>
      <c r="W1291" t="s">
        <v>23714</v>
      </c>
      <c r="X1291" t="s">
        <v>23715</v>
      </c>
      <c r="Y1291" t="s">
        <v>23716</v>
      </c>
      <c r="Z1291" t="s">
        <v>23717</v>
      </c>
      <c r="AA1291" t="s">
        <v>23718</v>
      </c>
      <c r="AB1291" t="s">
        <v>23719</v>
      </c>
      <c r="AC1291" t="s">
        <v>74</v>
      </c>
      <c r="AD1291" t="s">
        <v>74</v>
      </c>
      <c r="AE1291" t="s">
        <v>74</v>
      </c>
      <c r="AF1291" t="s">
        <v>74</v>
      </c>
      <c r="AG1291">
        <v>10</v>
      </c>
      <c r="AH1291">
        <v>10</v>
      </c>
      <c r="AI1291">
        <v>10</v>
      </c>
      <c r="AJ1291">
        <v>30</v>
      </c>
      <c r="AK1291">
        <v>44</v>
      </c>
      <c r="AL1291" t="s">
        <v>23720</v>
      </c>
      <c r="AM1291" t="s">
        <v>23721</v>
      </c>
      <c r="AN1291" t="s">
        <v>23722</v>
      </c>
      <c r="AO1291" t="s">
        <v>23723</v>
      </c>
      <c r="AP1291" t="s">
        <v>23724</v>
      </c>
      <c r="AQ1291" t="s">
        <v>74</v>
      </c>
      <c r="AR1291" t="s">
        <v>23725</v>
      </c>
      <c r="AS1291" t="s">
        <v>23726</v>
      </c>
      <c r="AT1291" t="s">
        <v>615</v>
      </c>
      <c r="AU1291">
        <v>2023</v>
      </c>
      <c r="AV1291">
        <v>128</v>
      </c>
      <c r="AW1291">
        <v>7</v>
      </c>
      <c r="AX1291" t="s">
        <v>74</v>
      </c>
      <c r="AY1291" t="s">
        <v>74</v>
      </c>
      <c r="AZ1291" t="s">
        <v>74</v>
      </c>
      <c r="BA1291" t="s">
        <v>74</v>
      </c>
      <c r="BB1291">
        <v>808</v>
      </c>
      <c r="BC1291">
        <v>812</v>
      </c>
      <c r="BD1291" t="s">
        <v>74</v>
      </c>
      <c r="BE1291" t="s">
        <v>23727</v>
      </c>
      <c r="BF1291" t="str">
        <f>HYPERLINK("http://dx.doi.org/10.1007/s11547-023-01651-4","http://dx.doi.org/10.1007/s11547-023-01651-4")</f>
        <v>http://dx.doi.org/10.1007/s11547-023-01651-4</v>
      </c>
      <c r="BG1291" t="s">
        <v>74</v>
      </c>
      <c r="BH1291" t="s">
        <v>2889</v>
      </c>
      <c r="BI1291">
        <v>5</v>
      </c>
      <c r="BJ1291" t="s">
        <v>5360</v>
      </c>
      <c r="BK1291" t="s">
        <v>130</v>
      </c>
      <c r="BL1291" t="s">
        <v>5360</v>
      </c>
      <c r="BM1291" t="s">
        <v>23728</v>
      </c>
      <c r="BN1291">
        <v>37248403</v>
      </c>
      <c r="BO1291" t="s">
        <v>74</v>
      </c>
      <c r="BP1291" t="s">
        <v>74</v>
      </c>
      <c r="BQ1291" t="s">
        <v>74</v>
      </c>
      <c r="BR1291" t="s">
        <v>101</v>
      </c>
      <c r="BS1291" t="s">
        <v>23729</v>
      </c>
      <c r="BT1291" t="str">
        <f>HYPERLINK("https%3A%2F%2Fwww.webofscience.com%2Fwos%2Fwoscc%2Ffull-record%2FWOS:000996937300001","View Full Record in Web of Science")</f>
        <v>View Full Record in Web of Science</v>
      </c>
    </row>
    <row r="1292" spans="1:72" x14ac:dyDescent="0.2">
      <c r="A1292" t="s">
        <v>103</v>
      </c>
      <c r="B1292" t="s">
        <v>23730</v>
      </c>
      <c r="C1292" t="s">
        <v>74</v>
      </c>
      <c r="D1292" t="s">
        <v>74</v>
      </c>
      <c r="E1292" t="s">
        <v>74</v>
      </c>
      <c r="F1292" t="s">
        <v>23731</v>
      </c>
      <c r="G1292" t="s">
        <v>74</v>
      </c>
      <c r="H1292" t="s">
        <v>74</v>
      </c>
      <c r="I1292" t="s">
        <v>23732</v>
      </c>
      <c r="J1292" t="s">
        <v>16627</v>
      </c>
      <c r="K1292" t="s">
        <v>74</v>
      </c>
      <c r="L1292" t="s">
        <v>74</v>
      </c>
      <c r="M1292" t="s">
        <v>79</v>
      </c>
      <c r="N1292" t="s">
        <v>108</v>
      </c>
      <c r="O1292" t="s">
        <v>74</v>
      </c>
      <c r="P1292" t="s">
        <v>74</v>
      </c>
      <c r="Q1292" t="s">
        <v>74</v>
      </c>
      <c r="R1292" t="s">
        <v>74</v>
      </c>
      <c r="S1292" t="s">
        <v>74</v>
      </c>
      <c r="T1292" t="s">
        <v>23733</v>
      </c>
      <c r="U1292" t="s">
        <v>74</v>
      </c>
      <c r="V1292" t="s">
        <v>23734</v>
      </c>
      <c r="W1292" t="s">
        <v>23735</v>
      </c>
      <c r="X1292" t="s">
        <v>23736</v>
      </c>
      <c r="Y1292" t="s">
        <v>23737</v>
      </c>
      <c r="Z1292" t="s">
        <v>23738</v>
      </c>
      <c r="AA1292" t="s">
        <v>74</v>
      </c>
      <c r="AB1292" t="s">
        <v>23739</v>
      </c>
      <c r="AC1292" t="s">
        <v>23740</v>
      </c>
      <c r="AD1292" t="s">
        <v>23741</v>
      </c>
      <c r="AE1292" t="s">
        <v>23742</v>
      </c>
      <c r="AF1292" t="s">
        <v>74</v>
      </c>
      <c r="AG1292">
        <v>28</v>
      </c>
      <c r="AH1292">
        <v>3</v>
      </c>
      <c r="AI1292">
        <v>3</v>
      </c>
      <c r="AJ1292">
        <v>10</v>
      </c>
      <c r="AK1292">
        <v>13</v>
      </c>
      <c r="AL1292" t="s">
        <v>939</v>
      </c>
      <c r="AM1292" t="s">
        <v>940</v>
      </c>
      <c r="AN1292" t="s">
        <v>941</v>
      </c>
      <c r="AO1292" t="s">
        <v>74</v>
      </c>
      <c r="AP1292" t="s">
        <v>16640</v>
      </c>
      <c r="AQ1292" t="s">
        <v>74</v>
      </c>
      <c r="AR1292" t="s">
        <v>16641</v>
      </c>
      <c r="AS1292" t="s">
        <v>5858</v>
      </c>
      <c r="AT1292" t="s">
        <v>445</v>
      </c>
      <c r="AU1292">
        <v>2023</v>
      </c>
      <c r="AV1292">
        <v>11</v>
      </c>
      <c r="AW1292">
        <v>8</v>
      </c>
      <c r="AX1292" t="s">
        <v>74</v>
      </c>
      <c r="AY1292" t="s">
        <v>74</v>
      </c>
      <c r="AZ1292" t="s">
        <v>74</v>
      </c>
      <c r="BA1292" t="s">
        <v>74</v>
      </c>
      <c r="BB1292" t="s">
        <v>74</v>
      </c>
      <c r="BC1292" t="s">
        <v>74</v>
      </c>
      <c r="BD1292">
        <v>1915</v>
      </c>
      <c r="BE1292" t="s">
        <v>23743</v>
      </c>
      <c r="BF1292" t="str">
        <f>HYPERLINK("http://dx.doi.org/10.3390/math11081915","http://dx.doi.org/10.3390/math11081915")</f>
        <v>http://dx.doi.org/10.3390/math11081915</v>
      </c>
      <c r="BG1292" t="s">
        <v>74</v>
      </c>
      <c r="BH1292" t="s">
        <v>74</v>
      </c>
      <c r="BI1292">
        <v>15</v>
      </c>
      <c r="BJ1292" t="s">
        <v>5858</v>
      </c>
      <c r="BK1292" t="s">
        <v>130</v>
      </c>
      <c r="BL1292" t="s">
        <v>5858</v>
      </c>
      <c r="BM1292" t="s">
        <v>23744</v>
      </c>
      <c r="BN1292" t="s">
        <v>74</v>
      </c>
      <c r="BO1292" t="s">
        <v>425</v>
      </c>
      <c r="BP1292" t="s">
        <v>74</v>
      </c>
      <c r="BQ1292" t="s">
        <v>74</v>
      </c>
      <c r="BR1292" t="s">
        <v>101</v>
      </c>
      <c r="BS1292" t="s">
        <v>23745</v>
      </c>
      <c r="BT1292" t="str">
        <f>HYPERLINK("https%3A%2F%2Fwww.webofscience.com%2Fwos%2Fwoscc%2Ffull-record%2FWOS:000976445800001","View Full Record in Web of Science")</f>
        <v>View Full Record in Web of Science</v>
      </c>
    </row>
    <row r="1293" spans="1:72" x14ac:dyDescent="0.2">
      <c r="A1293" t="s">
        <v>103</v>
      </c>
      <c r="B1293" t="s">
        <v>23746</v>
      </c>
      <c r="C1293" t="s">
        <v>74</v>
      </c>
      <c r="D1293" t="s">
        <v>74</v>
      </c>
      <c r="E1293" t="s">
        <v>74</v>
      </c>
      <c r="F1293" t="s">
        <v>23747</v>
      </c>
      <c r="G1293" t="s">
        <v>74</v>
      </c>
      <c r="H1293" t="s">
        <v>74</v>
      </c>
      <c r="I1293" t="s">
        <v>23748</v>
      </c>
      <c r="J1293" t="s">
        <v>18925</v>
      </c>
      <c r="K1293" t="s">
        <v>74</v>
      </c>
      <c r="L1293" t="s">
        <v>74</v>
      </c>
      <c r="M1293" t="s">
        <v>79</v>
      </c>
      <c r="N1293" t="s">
        <v>108</v>
      </c>
      <c r="O1293" t="s">
        <v>74</v>
      </c>
      <c r="P1293" t="s">
        <v>74</v>
      </c>
      <c r="Q1293" t="s">
        <v>74</v>
      </c>
      <c r="R1293" t="s">
        <v>74</v>
      </c>
      <c r="S1293" t="s">
        <v>74</v>
      </c>
      <c r="T1293" t="s">
        <v>23749</v>
      </c>
      <c r="U1293" t="s">
        <v>4266</v>
      </c>
      <c r="V1293" t="s">
        <v>23750</v>
      </c>
      <c r="W1293" t="s">
        <v>23751</v>
      </c>
      <c r="X1293" t="s">
        <v>23752</v>
      </c>
      <c r="Y1293" t="s">
        <v>23753</v>
      </c>
      <c r="Z1293" t="s">
        <v>23754</v>
      </c>
      <c r="AA1293" t="s">
        <v>23755</v>
      </c>
      <c r="AB1293" t="s">
        <v>23756</v>
      </c>
      <c r="AC1293" t="s">
        <v>23757</v>
      </c>
      <c r="AD1293" t="s">
        <v>23758</v>
      </c>
      <c r="AE1293" t="s">
        <v>23759</v>
      </c>
      <c r="AF1293" t="s">
        <v>74</v>
      </c>
      <c r="AG1293">
        <v>59</v>
      </c>
      <c r="AH1293">
        <v>1</v>
      </c>
      <c r="AI1293">
        <v>1</v>
      </c>
      <c r="AJ1293">
        <v>17</v>
      </c>
      <c r="AK1293">
        <v>17</v>
      </c>
      <c r="AL1293" t="s">
        <v>119</v>
      </c>
      <c r="AM1293" t="s">
        <v>120</v>
      </c>
      <c r="AN1293" t="s">
        <v>121</v>
      </c>
      <c r="AO1293" t="s">
        <v>18937</v>
      </c>
      <c r="AP1293" t="s">
        <v>18938</v>
      </c>
      <c r="AQ1293" t="s">
        <v>74</v>
      </c>
      <c r="AR1293" t="s">
        <v>18939</v>
      </c>
      <c r="AS1293" t="s">
        <v>18940</v>
      </c>
      <c r="AT1293" t="s">
        <v>10061</v>
      </c>
      <c r="AU1293">
        <v>2024</v>
      </c>
      <c r="AV1293">
        <v>238</v>
      </c>
      <c r="AW1293" t="s">
        <v>74</v>
      </c>
      <c r="AX1293" t="s">
        <v>23760</v>
      </c>
      <c r="AY1293" t="s">
        <v>74</v>
      </c>
      <c r="AZ1293" t="s">
        <v>74</v>
      </c>
      <c r="BA1293" t="s">
        <v>74</v>
      </c>
      <c r="BB1293" t="s">
        <v>74</v>
      </c>
      <c r="BC1293" t="s">
        <v>74</v>
      </c>
      <c r="BD1293">
        <v>122191</v>
      </c>
      <c r="BE1293" t="s">
        <v>23761</v>
      </c>
      <c r="BF1293" t="str">
        <f>HYPERLINK("http://dx.doi.org/10.1016/j.eswa.2023.122191","http://dx.doi.org/10.1016/j.eswa.2023.122191")</f>
        <v>http://dx.doi.org/10.1016/j.eswa.2023.122191</v>
      </c>
      <c r="BG1293" t="s">
        <v>74</v>
      </c>
      <c r="BH1293" t="s">
        <v>1886</v>
      </c>
      <c r="BI1293">
        <v>12</v>
      </c>
      <c r="BJ1293" t="s">
        <v>18942</v>
      </c>
      <c r="BK1293" t="s">
        <v>130</v>
      </c>
      <c r="BL1293" t="s">
        <v>18943</v>
      </c>
      <c r="BM1293" t="s">
        <v>23762</v>
      </c>
      <c r="BN1293" t="s">
        <v>74</v>
      </c>
      <c r="BO1293" t="s">
        <v>74</v>
      </c>
      <c r="BP1293" t="s">
        <v>74</v>
      </c>
      <c r="BQ1293" t="s">
        <v>74</v>
      </c>
      <c r="BR1293" t="s">
        <v>101</v>
      </c>
      <c r="BS1293" t="s">
        <v>23763</v>
      </c>
      <c r="BT1293" t="str">
        <f>HYPERLINK("https%3A%2F%2Fwww.webofscience.com%2Fwos%2Fwoscc%2Ffull-record%2FWOS:001098027700001","View Full Record in Web of Science")</f>
        <v>View Full Record in Web of Science</v>
      </c>
    </row>
    <row r="1294" spans="1:72" x14ac:dyDescent="0.2">
      <c r="A1294" t="s">
        <v>103</v>
      </c>
      <c r="B1294" t="s">
        <v>23764</v>
      </c>
      <c r="C1294" t="s">
        <v>74</v>
      </c>
      <c r="D1294" t="s">
        <v>74</v>
      </c>
      <c r="E1294" t="s">
        <v>74</v>
      </c>
      <c r="F1294" t="s">
        <v>23765</v>
      </c>
      <c r="G1294" t="s">
        <v>74</v>
      </c>
      <c r="H1294" t="s">
        <v>74</v>
      </c>
      <c r="I1294" t="s">
        <v>23766</v>
      </c>
      <c r="J1294" t="s">
        <v>23767</v>
      </c>
      <c r="K1294" t="s">
        <v>74</v>
      </c>
      <c r="L1294" t="s">
        <v>74</v>
      </c>
      <c r="M1294" t="s">
        <v>79</v>
      </c>
      <c r="N1294" t="s">
        <v>108</v>
      </c>
      <c r="O1294" t="s">
        <v>74</v>
      </c>
      <c r="P1294" t="s">
        <v>74</v>
      </c>
      <c r="Q1294" t="s">
        <v>74</v>
      </c>
      <c r="R1294" t="s">
        <v>74</v>
      </c>
      <c r="S1294" t="s">
        <v>74</v>
      </c>
      <c r="T1294" t="s">
        <v>23768</v>
      </c>
      <c r="U1294" t="s">
        <v>74</v>
      </c>
      <c r="V1294" t="s">
        <v>23769</v>
      </c>
      <c r="W1294" t="s">
        <v>23770</v>
      </c>
      <c r="X1294" t="s">
        <v>20818</v>
      </c>
      <c r="Y1294" t="s">
        <v>23771</v>
      </c>
      <c r="Z1294" t="s">
        <v>23772</v>
      </c>
      <c r="AA1294" t="s">
        <v>74</v>
      </c>
      <c r="AB1294" t="s">
        <v>23773</v>
      </c>
      <c r="AC1294" t="s">
        <v>23774</v>
      </c>
      <c r="AD1294" t="s">
        <v>23774</v>
      </c>
      <c r="AE1294" t="s">
        <v>23775</v>
      </c>
      <c r="AF1294" t="s">
        <v>74</v>
      </c>
      <c r="AG1294">
        <v>30</v>
      </c>
      <c r="AH1294">
        <v>1</v>
      </c>
      <c r="AI1294">
        <v>1</v>
      </c>
      <c r="AJ1294">
        <v>0</v>
      </c>
      <c r="AK1294">
        <v>1</v>
      </c>
      <c r="AL1294" t="s">
        <v>8663</v>
      </c>
      <c r="AM1294" t="s">
        <v>149</v>
      </c>
      <c r="AN1294" t="s">
        <v>8664</v>
      </c>
      <c r="AO1294" t="s">
        <v>23776</v>
      </c>
      <c r="AP1294" t="s">
        <v>23777</v>
      </c>
      <c r="AQ1294" t="s">
        <v>74</v>
      </c>
      <c r="AR1294" t="s">
        <v>23767</v>
      </c>
      <c r="AS1294" t="s">
        <v>23778</v>
      </c>
      <c r="AT1294" t="s">
        <v>23779</v>
      </c>
      <c r="AU1294">
        <v>2023</v>
      </c>
      <c r="AV1294">
        <v>13</v>
      </c>
      <c r="AW1294">
        <v>3</v>
      </c>
      <c r="AX1294" t="s">
        <v>74</v>
      </c>
      <c r="AY1294" t="s">
        <v>74</v>
      </c>
      <c r="AZ1294" t="s">
        <v>74</v>
      </c>
      <c r="BA1294" t="s">
        <v>74</v>
      </c>
      <c r="BB1294" t="s">
        <v>74</v>
      </c>
      <c r="BC1294" t="s">
        <v>74</v>
      </c>
      <c r="BD1294">
        <v>20220077</v>
      </c>
      <c r="BE1294" t="s">
        <v>23780</v>
      </c>
      <c r="BF1294" t="str">
        <f>HYPERLINK("http://dx.doi.org/10.1098/rsfs.2022.0077","http://dx.doi.org/10.1098/rsfs.2022.0077")</f>
        <v>http://dx.doi.org/10.1098/rsfs.2022.0077</v>
      </c>
      <c r="BG1294" t="s">
        <v>74</v>
      </c>
      <c r="BH1294" t="s">
        <v>74</v>
      </c>
      <c r="BI1294">
        <v>8</v>
      </c>
      <c r="BJ1294" t="s">
        <v>23781</v>
      </c>
      <c r="BK1294" t="s">
        <v>130</v>
      </c>
      <c r="BL1294" t="s">
        <v>23782</v>
      </c>
      <c r="BM1294" t="s">
        <v>23783</v>
      </c>
      <c r="BN1294">
        <v>37065264</v>
      </c>
      <c r="BO1294" t="s">
        <v>23784</v>
      </c>
      <c r="BP1294" t="s">
        <v>74</v>
      </c>
      <c r="BQ1294" t="s">
        <v>74</v>
      </c>
      <c r="BR1294" t="s">
        <v>101</v>
      </c>
      <c r="BS1294" t="s">
        <v>23785</v>
      </c>
      <c r="BT1294" t="str">
        <f>HYPERLINK("https%3A%2F%2Fwww.webofscience.com%2Fwos%2Fwoscc%2Ffull-record%2FWOS:000970929600012","View Full Record in Web of Science")</f>
        <v>View Full Record in Web of Science</v>
      </c>
    </row>
    <row r="1295" spans="1:72" x14ac:dyDescent="0.2">
      <c r="A1295" t="s">
        <v>103</v>
      </c>
      <c r="B1295" t="s">
        <v>23786</v>
      </c>
      <c r="C1295" t="s">
        <v>74</v>
      </c>
      <c r="D1295" t="s">
        <v>74</v>
      </c>
      <c r="E1295" t="s">
        <v>74</v>
      </c>
      <c r="F1295" t="s">
        <v>23787</v>
      </c>
      <c r="G1295" t="s">
        <v>74</v>
      </c>
      <c r="H1295" t="s">
        <v>74</v>
      </c>
      <c r="I1295" t="s">
        <v>23788</v>
      </c>
      <c r="J1295" t="s">
        <v>7520</v>
      </c>
      <c r="K1295" t="s">
        <v>74</v>
      </c>
      <c r="L1295" t="s">
        <v>74</v>
      </c>
      <c r="M1295" t="s">
        <v>79</v>
      </c>
      <c r="N1295" t="s">
        <v>138</v>
      </c>
      <c r="O1295" t="s">
        <v>74</v>
      </c>
      <c r="P1295" t="s">
        <v>74</v>
      </c>
      <c r="Q1295" t="s">
        <v>74</v>
      </c>
      <c r="R1295" t="s">
        <v>74</v>
      </c>
      <c r="S1295" t="s">
        <v>74</v>
      </c>
      <c r="T1295" t="s">
        <v>23789</v>
      </c>
      <c r="U1295" t="s">
        <v>23790</v>
      </c>
      <c r="V1295" t="s">
        <v>23791</v>
      </c>
      <c r="W1295" t="s">
        <v>23792</v>
      </c>
      <c r="X1295" t="s">
        <v>23793</v>
      </c>
      <c r="Y1295" t="s">
        <v>23794</v>
      </c>
      <c r="Z1295" t="s">
        <v>23795</v>
      </c>
      <c r="AA1295" t="s">
        <v>23796</v>
      </c>
      <c r="AB1295" t="s">
        <v>23797</v>
      </c>
      <c r="AC1295" t="s">
        <v>23798</v>
      </c>
      <c r="AD1295" t="s">
        <v>23799</v>
      </c>
      <c r="AE1295" t="s">
        <v>23800</v>
      </c>
      <c r="AF1295" t="s">
        <v>74</v>
      </c>
      <c r="AG1295">
        <v>61</v>
      </c>
      <c r="AH1295">
        <v>4</v>
      </c>
      <c r="AI1295">
        <v>4</v>
      </c>
      <c r="AJ1295">
        <v>7</v>
      </c>
      <c r="AK1295">
        <v>25</v>
      </c>
      <c r="AL1295" t="s">
        <v>1379</v>
      </c>
      <c r="AM1295" t="s">
        <v>1380</v>
      </c>
      <c r="AN1295" t="s">
        <v>1381</v>
      </c>
      <c r="AO1295" t="s">
        <v>7532</v>
      </c>
      <c r="AP1295" t="s">
        <v>7533</v>
      </c>
      <c r="AQ1295" t="s">
        <v>74</v>
      </c>
      <c r="AR1295" t="s">
        <v>7534</v>
      </c>
      <c r="AS1295" t="s">
        <v>7535</v>
      </c>
      <c r="AT1295" t="s">
        <v>23801</v>
      </c>
      <c r="AU1295">
        <v>2023</v>
      </c>
      <c r="AV1295" t="s">
        <v>74</v>
      </c>
      <c r="AW1295" t="s">
        <v>74</v>
      </c>
      <c r="AX1295" t="s">
        <v>74</v>
      </c>
      <c r="AY1295" t="s">
        <v>74</v>
      </c>
      <c r="AZ1295" t="s">
        <v>74</v>
      </c>
      <c r="BA1295" t="s">
        <v>74</v>
      </c>
      <c r="BB1295" t="s">
        <v>74</v>
      </c>
      <c r="BC1295" t="s">
        <v>74</v>
      </c>
      <c r="BD1295" t="s">
        <v>74</v>
      </c>
      <c r="BE1295" t="s">
        <v>23802</v>
      </c>
      <c r="BF1295" t="str">
        <f>HYPERLINK("http://dx.doi.org/10.1109/TNNLS.2023.3234130","http://dx.doi.org/10.1109/TNNLS.2023.3234130")</f>
        <v>http://dx.doi.org/10.1109/TNNLS.2023.3234130</v>
      </c>
      <c r="BG1295" t="s">
        <v>74</v>
      </c>
      <c r="BH1295" t="s">
        <v>7345</v>
      </c>
      <c r="BI1295">
        <v>14</v>
      </c>
      <c r="BJ1295" t="s">
        <v>7537</v>
      </c>
      <c r="BK1295" t="s">
        <v>130</v>
      </c>
      <c r="BL1295" t="s">
        <v>906</v>
      </c>
      <c r="BM1295" t="s">
        <v>23803</v>
      </c>
      <c r="BN1295">
        <v>37018569</v>
      </c>
      <c r="BO1295" t="s">
        <v>74</v>
      </c>
      <c r="BP1295" t="s">
        <v>74</v>
      </c>
      <c r="BQ1295" t="s">
        <v>74</v>
      </c>
      <c r="BR1295" t="s">
        <v>101</v>
      </c>
      <c r="BS1295" t="s">
        <v>23804</v>
      </c>
      <c r="BT1295" t="str">
        <f>HYPERLINK("https%3A%2F%2Fwww.webofscience.com%2Fwos%2Fwoscc%2Ffull-record%2FWOS:000917731300001","View Full Record in Web of Science")</f>
        <v>View Full Record in Web of Science</v>
      </c>
    </row>
    <row r="1296" spans="1:72" x14ac:dyDescent="0.2">
      <c r="A1296" t="s">
        <v>72</v>
      </c>
      <c r="B1296" t="s">
        <v>23805</v>
      </c>
      <c r="C1296" t="s">
        <v>74</v>
      </c>
      <c r="D1296" t="s">
        <v>74</v>
      </c>
      <c r="E1296" t="s">
        <v>284</v>
      </c>
      <c r="F1296" t="s">
        <v>23806</v>
      </c>
      <c r="G1296" t="s">
        <v>74</v>
      </c>
      <c r="H1296" t="s">
        <v>74</v>
      </c>
      <c r="I1296" t="s">
        <v>23807</v>
      </c>
      <c r="J1296" t="s">
        <v>10100</v>
      </c>
      <c r="K1296" t="s">
        <v>8246</v>
      </c>
      <c r="L1296" t="s">
        <v>74</v>
      </c>
      <c r="M1296" t="s">
        <v>79</v>
      </c>
      <c r="N1296" t="s">
        <v>80</v>
      </c>
      <c r="O1296" t="s">
        <v>8247</v>
      </c>
      <c r="P1296" t="s">
        <v>8248</v>
      </c>
      <c r="Q1296" t="s">
        <v>6017</v>
      </c>
      <c r="R1296" t="s">
        <v>8249</v>
      </c>
      <c r="S1296" t="s">
        <v>74</v>
      </c>
      <c r="T1296" t="s">
        <v>74</v>
      </c>
      <c r="U1296" t="s">
        <v>74</v>
      </c>
      <c r="V1296" t="s">
        <v>23808</v>
      </c>
      <c r="W1296" t="s">
        <v>23809</v>
      </c>
      <c r="X1296" t="s">
        <v>23810</v>
      </c>
      <c r="Y1296" t="s">
        <v>23811</v>
      </c>
      <c r="Z1296" t="s">
        <v>74</v>
      </c>
      <c r="AA1296" t="s">
        <v>74</v>
      </c>
      <c r="AB1296" t="s">
        <v>74</v>
      </c>
      <c r="AC1296" t="s">
        <v>74</v>
      </c>
      <c r="AD1296" t="s">
        <v>74</v>
      </c>
      <c r="AE1296" t="s">
        <v>74</v>
      </c>
      <c r="AF1296" t="s">
        <v>74</v>
      </c>
      <c r="AG1296">
        <v>58</v>
      </c>
      <c r="AH1296">
        <v>0</v>
      </c>
      <c r="AI1296">
        <v>0</v>
      </c>
      <c r="AJ1296">
        <v>2</v>
      </c>
      <c r="AK1296">
        <v>2</v>
      </c>
      <c r="AL1296" t="s">
        <v>638</v>
      </c>
      <c r="AM1296" t="s">
        <v>639</v>
      </c>
      <c r="AN1296" t="s">
        <v>640</v>
      </c>
      <c r="AO1296" t="s">
        <v>8260</v>
      </c>
      <c r="AP1296" t="s">
        <v>74</v>
      </c>
      <c r="AQ1296" t="s">
        <v>8261</v>
      </c>
      <c r="AR1296" t="s">
        <v>8262</v>
      </c>
      <c r="AS1296" t="s">
        <v>74</v>
      </c>
      <c r="AT1296" t="s">
        <v>74</v>
      </c>
      <c r="AU1296">
        <v>2023</v>
      </c>
      <c r="AV1296" t="s">
        <v>74</v>
      </c>
      <c r="AW1296" t="s">
        <v>74</v>
      </c>
      <c r="AX1296" t="s">
        <v>74</v>
      </c>
      <c r="AY1296" t="s">
        <v>74</v>
      </c>
      <c r="AZ1296" t="s">
        <v>74</v>
      </c>
      <c r="BA1296" t="s">
        <v>74</v>
      </c>
      <c r="BB1296">
        <v>1879</v>
      </c>
      <c r="BC1296">
        <v>1889</v>
      </c>
      <c r="BD1296" t="s">
        <v>74</v>
      </c>
      <c r="BE1296" t="s">
        <v>23812</v>
      </c>
      <c r="BF1296" t="str">
        <f>HYPERLINK("http://dx.doi.org/10.1109/CVPR52729.2023.00187","http://dx.doi.org/10.1109/CVPR52729.2023.00187")</f>
        <v>http://dx.doi.org/10.1109/CVPR52729.2023.00187</v>
      </c>
      <c r="BG1296" t="s">
        <v>74</v>
      </c>
      <c r="BH1296" t="s">
        <v>74</v>
      </c>
      <c r="BI1296">
        <v>11</v>
      </c>
      <c r="BJ1296" t="s">
        <v>10109</v>
      </c>
      <c r="BK1296" t="s">
        <v>98</v>
      </c>
      <c r="BL1296" t="s">
        <v>99</v>
      </c>
      <c r="BM1296" t="s">
        <v>10110</v>
      </c>
      <c r="BN1296" t="s">
        <v>74</v>
      </c>
      <c r="BO1296" t="s">
        <v>646</v>
      </c>
      <c r="BP1296" t="s">
        <v>74</v>
      </c>
      <c r="BQ1296" t="s">
        <v>74</v>
      </c>
      <c r="BR1296" t="s">
        <v>101</v>
      </c>
      <c r="BS1296" t="s">
        <v>23813</v>
      </c>
      <c r="BT1296" t="str">
        <f>HYPERLINK("https%3A%2F%2Fwww.webofscience.com%2Fwos%2Fwoscc%2Ffull-record%2FWOS:001058542602020","View Full Record in Web of Science")</f>
        <v>View Full Record in Web of Science</v>
      </c>
    </row>
    <row r="1297" spans="1:72" x14ac:dyDescent="0.2">
      <c r="A1297" t="s">
        <v>103</v>
      </c>
      <c r="B1297" t="s">
        <v>23814</v>
      </c>
      <c r="C1297" t="s">
        <v>74</v>
      </c>
      <c r="D1297" t="s">
        <v>74</v>
      </c>
      <c r="E1297" t="s">
        <v>74</v>
      </c>
      <c r="F1297" t="s">
        <v>23815</v>
      </c>
      <c r="G1297" t="s">
        <v>74</v>
      </c>
      <c r="H1297" t="s">
        <v>74</v>
      </c>
      <c r="I1297" t="s">
        <v>23816</v>
      </c>
      <c r="J1297" t="s">
        <v>23817</v>
      </c>
      <c r="K1297" t="s">
        <v>74</v>
      </c>
      <c r="L1297" t="s">
        <v>74</v>
      </c>
      <c r="M1297" t="s">
        <v>79</v>
      </c>
      <c r="N1297" t="s">
        <v>108</v>
      </c>
      <c r="O1297" t="s">
        <v>74</v>
      </c>
      <c r="P1297" t="s">
        <v>74</v>
      </c>
      <c r="Q1297" t="s">
        <v>74</v>
      </c>
      <c r="R1297" t="s">
        <v>74</v>
      </c>
      <c r="S1297" t="s">
        <v>74</v>
      </c>
      <c r="T1297" t="s">
        <v>74</v>
      </c>
      <c r="U1297" t="s">
        <v>74</v>
      </c>
      <c r="V1297" t="s">
        <v>23818</v>
      </c>
      <c r="W1297" t="s">
        <v>23819</v>
      </c>
      <c r="X1297" t="s">
        <v>23820</v>
      </c>
      <c r="Y1297" t="s">
        <v>23821</v>
      </c>
      <c r="Z1297" t="s">
        <v>23822</v>
      </c>
      <c r="AA1297" t="s">
        <v>23823</v>
      </c>
      <c r="AB1297" t="s">
        <v>23824</v>
      </c>
      <c r="AC1297" t="s">
        <v>74</v>
      </c>
      <c r="AD1297" t="s">
        <v>74</v>
      </c>
      <c r="AE1297" t="s">
        <v>74</v>
      </c>
      <c r="AF1297" t="s">
        <v>74</v>
      </c>
      <c r="AG1297">
        <v>21</v>
      </c>
      <c r="AH1297">
        <v>5</v>
      </c>
      <c r="AI1297">
        <v>5</v>
      </c>
      <c r="AJ1297">
        <v>4</v>
      </c>
      <c r="AK1297">
        <v>4</v>
      </c>
      <c r="AL1297" t="s">
        <v>13201</v>
      </c>
      <c r="AM1297" t="s">
        <v>221</v>
      </c>
      <c r="AN1297" t="s">
        <v>13202</v>
      </c>
      <c r="AO1297" t="s">
        <v>23825</v>
      </c>
      <c r="AP1297" t="s">
        <v>23826</v>
      </c>
      <c r="AQ1297" t="s">
        <v>74</v>
      </c>
      <c r="AR1297" t="s">
        <v>23827</v>
      </c>
      <c r="AS1297" t="s">
        <v>23828</v>
      </c>
      <c r="AT1297" t="s">
        <v>2497</v>
      </c>
      <c r="AU1297">
        <v>2023</v>
      </c>
      <c r="AV1297">
        <v>31</v>
      </c>
      <c r="AW1297">
        <v>23</v>
      </c>
      <c r="AX1297" t="s">
        <v>74</v>
      </c>
      <c r="AY1297" t="s">
        <v>74</v>
      </c>
      <c r="AZ1297" t="s">
        <v>74</v>
      </c>
      <c r="BA1297" t="s">
        <v>74</v>
      </c>
      <c r="BB1297">
        <v>1173</v>
      </c>
      <c r="BC1297">
        <v>1179</v>
      </c>
      <c r="BD1297" t="s">
        <v>74</v>
      </c>
      <c r="BE1297" t="s">
        <v>23829</v>
      </c>
      <c r="BF1297" t="str">
        <f>HYPERLINK("http://dx.doi.org/10.5435/JAAOS-D-23-00396","http://dx.doi.org/10.5435/JAAOS-D-23-00396")</f>
        <v>http://dx.doi.org/10.5435/JAAOS-D-23-00396</v>
      </c>
      <c r="BG1297" t="s">
        <v>74</v>
      </c>
      <c r="BH1297" t="s">
        <v>74</v>
      </c>
      <c r="BI1297">
        <v>7</v>
      </c>
      <c r="BJ1297" t="s">
        <v>5057</v>
      </c>
      <c r="BK1297" t="s">
        <v>130</v>
      </c>
      <c r="BL1297" t="s">
        <v>5057</v>
      </c>
      <c r="BM1297" t="s">
        <v>23830</v>
      </c>
      <c r="BN1297">
        <v>37671415</v>
      </c>
      <c r="BO1297" t="s">
        <v>4863</v>
      </c>
      <c r="BP1297" t="s">
        <v>74</v>
      </c>
      <c r="BQ1297" t="s">
        <v>74</v>
      </c>
      <c r="BR1297" t="s">
        <v>101</v>
      </c>
      <c r="BS1297" t="s">
        <v>23831</v>
      </c>
      <c r="BT1297" t="str">
        <f>HYPERLINK("https%3A%2F%2Fwww.webofscience.com%2Fwos%2Fwoscc%2Ffull-record%2FWOS:001106331200003","View Full Record in Web of Science")</f>
        <v>View Full Record in Web of Science</v>
      </c>
    </row>
    <row r="1298" spans="1:72" x14ac:dyDescent="0.2">
      <c r="A1298" t="s">
        <v>72</v>
      </c>
      <c r="B1298" t="s">
        <v>23832</v>
      </c>
      <c r="C1298" t="s">
        <v>74</v>
      </c>
      <c r="D1298" t="s">
        <v>14941</v>
      </c>
      <c r="E1298" t="s">
        <v>74</v>
      </c>
      <c r="F1298" t="s">
        <v>23833</v>
      </c>
      <c r="G1298" t="s">
        <v>74</v>
      </c>
      <c r="H1298" t="s">
        <v>74</v>
      </c>
      <c r="I1298" t="s">
        <v>23834</v>
      </c>
      <c r="J1298" t="s">
        <v>14944</v>
      </c>
      <c r="K1298" t="s">
        <v>1755</v>
      </c>
      <c r="L1298" t="s">
        <v>74</v>
      </c>
      <c r="M1298" t="s">
        <v>79</v>
      </c>
      <c r="N1298" t="s">
        <v>80</v>
      </c>
      <c r="O1298" t="s">
        <v>14945</v>
      </c>
      <c r="P1298" t="s">
        <v>14946</v>
      </c>
      <c r="Q1298" t="s">
        <v>14947</v>
      </c>
      <c r="R1298" t="s">
        <v>14948</v>
      </c>
      <c r="S1298" t="s">
        <v>14949</v>
      </c>
      <c r="T1298" t="s">
        <v>23835</v>
      </c>
      <c r="U1298" t="s">
        <v>74</v>
      </c>
      <c r="V1298" t="s">
        <v>23836</v>
      </c>
      <c r="W1298" t="s">
        <v>23837</v>
      </c>
      <c r="X1298" t="s">
        <v>20970</v>
      </c>
      <c r="Y1298" t="s">
        <v>23838</v>
      </c>
      <c r="Z1298" t="s">
        <v>23839</v>
      </c>
      <c r="AA1298" t="s">
        <v>74</v>
      </c>
      <c r="AB1298" t="s">
        <v>74</v>
      </c>
      <c r="AC1298" t="s">
        <v>23840</v>
      </c>
      <c r="AD1298" t="s">
        <v>23841</v>
      </c>
      <c r="AE1298" t="s">
        <v>23842</v>
      </c>
      <c r="AF1298" t="s">
        <v>74</v>
      </c>
      <c r="AG1298">
        <v>21</v>
      </c>
      <c r="AH1298">
        <v>0</v>
      </c>
      <c r="AI1298">
        <v>0</v>
      </c>
      <c r="AJ1298">
        <v>1</v>
      </c>
      <c r="AK1298">
        <v>1</v>
      </c>
      <c r="AL1298" t="s">
        <v>1766</v>
      </c>
      <c r="AM1298" t="s">
        <v>765</v>
      </c>
      <c r="AN1298" t="s">
        <v>1767</v>
      </c>
      <c r="AO1298" t="s">
        <v>1768</v>
      </c>
      <c r="AP1298" t="s">
        <v>1769</v>
      </c>
      <c r="AQ1298" t="s">
        <v>14958</v>
      </c>
      <c r="AR1298" t="s">
        <v>1771</v>
      </c>
      <c r="AS1298" t="s">
        <v>74</v>
      </c>
      <c r="AT1298" t="s">
        <v>74</v>
      </c>
      <c r="AU1298">
        <v>2023</v>
      </c>
      <c r="AV1298">
        <v>379</v>
      </c>
      <c r="AW1298" t="s">
        <v>74</v>
      </c>
      <c r="AX1298" t="s">
        <v>74</v>
      </c>
      <c r="AY1298" t="s">
        <v>74</v>
      </c>
      <c r="AZ1298" t="s">
        <v>74</v>
      </c>
      <c r="BA1298" t="s">
        <v>74</v>
      </c>
      <c r="BB1298">
        <v>177</v>
      </c>
      <c r="BC1298">
        <v>186</v>
      </c>
      <c r="BD1298" t="s">
        <v>74</v>
      </c>
      <c r="BE1298" t="s">
        <v>23843</v>
      </c>
      <c r="BF1298" t="str">
        <f>HYPERLINK("http://dx.doi.org/10.3233/FAIA230963","http://dx.doi.org/10.3233/FAIA230963")</f>
        <v>http://dx.doi.org/10.3233/FAIA230963</v>
      </c>
      <c r="BG1298" t="s">
        <v>74</v>
      </c>
      <c r="BH1298" t="s">
        <v>74</v>
      </c>
      <c r="BI1298">
        <v>10</v>
      </c>
      <c r="BJ1298" t="s">
        <v>14960</v>
      </c>
      <c r="BK1298" t="s">
        <v>180</v>
      </c>
      <c r="BL1298" t="s">
        <v>14961</v>
      </c>
      <c r="BM1298" t="s">
        <v>14962</v>
      </c>
      <c r="BN1298" t="s">
        <v>74</v>
      </c>
      <c r="BO1298" t="s">
        <v>161</v>
      </c>
      <c r="BP1298" t="s">
        <v>74</v>
      </c>
      <c r="BQ1298" t="s">
        <v>74</v>
      </c>
      <c r="BR1298" t="s">
        <v>101</v>
      </c>
      <c r="BS1298" t="s">
        <v>23844</v>
      </c>
      <c r="BT1298" t="str">
        <f>HYPERLINK("https%3A%2F%2Fwww.webofscience.com%2Fwos%2Fwoscc%2Ffull-record%2FWOS:001175464100023","View Full Record in Web of Science")</f>
        <v>View Full Record in Web of Science</v>
      </c>
    </row>
    <row r="1299" spans="1:72" x14ac:dyDescent="0.2">
      <c r="A1299" t="s">
        <v>103</v>
      </c>
      <c r="B1299" t="s">
        <v>23845</v>
      </c>
      <c r="C1299" t="s">
        <v>74</v>
      </c>
      <c r="D1299" t="s">
        <v>74</v>
      </c>
      <c r="E1299" t="s">
        <v>74</v>
      </c>
      <c r="F1299" t="s">
        <v>23846</v>
      </c>
      <c r="G1299" t="s">
        <v>74</v>
      </c>
      <c r="H1299" t="s">
        <v>74</v>
      </c>
      <c r="I1299" t="s">
        <v>23847</v>
      </c>
      <c r="J1299" t="s">
        <v>23848</v>
      </c>
      <c r="K1299" t="s">
        <v>74</v>
      </c>
      <c r="L1299" t="s">
        <v>74</v>
      </c>
      <c r="M1299" t="s">
        <v>79</v>
      </c>
      <c r="N1299" t="s">
        <v>108</v>
      </c>
      <c r="O1299" t="s">
        <v>74</v>
      </c>
      <c r="P1299" t="s">
        <v>74</v>
      </c>
      <c r="Q1299" t="s">
        <v>74</v>
      </c>
      <c r="R1299" t="s">
        <v>74</v>
      </c>
      <c r="S1299" t="s">
        <v>74</v>
      </c>
      <c r="T1299" t="s">
        <v>23849</v>
      </c>
      <c r="U1299" t="s">
        <v>74</v>
      </c>
      <c r="V1299" t="s">
        <v>23850</v>
      </c>
      <c r="W1299" t="s">
        <v>23851</v>
      </c>
      <c r="X1299" t="s">
        <v>23852</v>
      </c>
      <c r="Y1299" t="s">
        <v>23853</v>
      </c>
      <c r="Z1299" t="s">
        <v>23854</v>
      </c>
      <c r="AA1299" t="s">
        <v>74</v>
      </c>
      <c r="AB1299" t="s">
        <v>23855</v>
      </c>
      <c r="AC1299" t="s">
        <v>74</v>
      </c>
      <c r="AD1299" t="s">
        <v>74</v>
      </c>
      <c r="AE1299" t="s">
        <v>74</v>
      </c>
      <c r="AF1299" t="s">
        <v>74</v>
      </c>
      <c r="AG1299">
        <v>21</v>
      </c>
      <c r="AH1299">
        <v>1</v>
      </c>
      <c r="AI1299">
        <v>1</v>
      </c>
      <c r="AJ1299">
        <v>5</v>
      </c>
      <c r="AK1299">
        <v>5</v>
      </c>
      <c r="AL1299" t="s">
        <v>764</v>
      </c>
      <c r="AM1299" t="s">
        <v>765</v>
      </c>
      <c r="AN1299" t="s">
        <v>766</v>
      </c>
      <c r="AO1299" t="s">
        <v>23856</v>
      </c>
      <c r="AP1299" t="s">
        <v>74</v>
      </c>
      <c r="AQ1299" t="s">
        <v>74</v>
      </c>
      <c r="AR1299" t="s">
        <v>23857</v>
      </c>
      <c r="AS1299" t="s">
        <v>23858</v>
      </c>
      <c r="AT1299" t="s">
        <v>445</v>
      </c>
      <c r="AU1299">
        <v>2024</v>
      </c>
      <c r="AV1299">
        <v>50</v>
      </c>
      <c r="AW1299" t="s">
        <v>74</v>
      </c>
      <c r="AX1299" t="s">
        <v>74</v>
      </c>
      <c r="AY1299" t="s">
        <v>74</v>
      </c>
      <c r="AZ1299" t="s">
        <v>74</v>
      </c>
      <c r="BA1299" t="s">
        <v>74</v>
      </c>
      <c r="BB1299">
        <v>70</v>
      </c>
      <c r="BC1299">
        <v>75</v>
      </c>
      <c r="BD1299" t="s">
        <v>74</v>
      </c>
      <c r="BE1299" t="s">
        <v>23859</v>
      </c>
      <c r="BF1299" t="str">
        <f>HYPERLINK("http://dx.doi.org/10.1016/j.jor.2023.11.056","http://dx.doi.org/10.1016/j.jor.2023.11.056")</f>
        <v>http://dx.doi.org/10.1016/j.jor.2023.11.056</v>
      </c>
      <c r="BG1299" t="s">
        <v>74</v>
      </c>
      <c r="BH1299" t="s">
        <v>128</v>
      </c>
      <c r="BI1299">
        <v>6</v>
      </c>
      <c r="BJ1299" t="s">
        <v>5948</v>
      </c>
      <c r="BK1299" t="s">
        <v>352</v>
      </c>
      <c r="BL1299" t="s">
        <v>5948</v>
      </c>
      <c r="BM1299" t="s">
        <v>23860</v>
      </c>
      <c r="BN1299">
        <v>38173829</v>
      </c>
      <c r="BO1299" t="s">
        <v>74</v>
      </c>
      <c r="BP1299" t="s">
        <v>74</v>
      </c>
      <c r="BQ1299" t="s">
        <v>74</v>
      </c>
      <c r="BR1299" t="s">
        <v>101</v>
      </c>
      <c r="BS1299" t="s">
        <v>23861</v>
      </c>
      <c r="BT1299" t="str">
        <f>HYPERLINK("https%3A%2F%2Fwww.webofscience.com%2Fwos%2Fwoscc%2Ffull-record%2FWOS:001140117900001","View Full Record in Web of Science")</f>
        <v>View Full Record in Web of Science</v>
      </c>
    </row>
    <row r="1300" spans="1:72" x14ac:dyDescent="0.2">
      <c r="A1300" t="s">
        <v>72</v>
      </c>
      <c r="B1300" t="s">
        <v>23862</v>
      </c>
      <c r="C1300" t="s">
        <v>74</v>
      </c>
      <c r="D1300" t="s">
        <v>74</v>
      </c>
      <c r="E1300" t="s">
        <v>75</v>
      </c>
      <c r="F1300" t="s">
        <v>23863</v>
      </c>
      <c r="G1300" t="s">
        <v>74</v>
      </c>
      <c r="H1300" t="s">
        <v>74</v>
      </c>
      <c r="I1300" t="s">
        <v>23864</v>
      </c>
      <c r="J1300" t="s">
        <v>1193</v>
      </c>
      <c r="K1300" t="s">
        <v>74</v>
      </c>
      <c r="L1300" t="s">
        <v>74</v>
      </c>
      <c r="M1300" t="s">
        <v>79</v>
      </c>
      <c r="N1300" t="s">
        <v>80</v>
      </c>
      <c r="O1300" t="s">
        <v>1194</v>
      </c>
      <c r="P1300" t="s">
        <v>1195</v>
      </c>
      <c r="Q1300" t="s">
        <v>1196</v>
      </c>
      <c r="R1300" t="s">
        <v>1197</v>
      </c>
      <c r="S1300" t="s">
        <v>74</v>
      </c>
      <c r="T1300" t="s">
        <v>23865</v>
      </c>
      <c r="U1300" t="s">
        <v>74</v>
      </c>
      <c r="V1300" t="s">
        <v>23866</v>
      </c>
      <c r="W1300" t="s">
        <v>23867</v>
      </c>
      <c r="X1300" t="s">
        <v>23868</v>
      </c>
      <c r="Y1300" t="s">
        <v>23869</v>
      </c>
      <c r="Z1300" t="s">
        <v>74</v>
      </c>
      <c r="AA1300" t="s">
        <v>23870</v>
      </c>
      <c r="AB1300" t="s">
        <v>23871</v>
      </c>
      <c r="AC1300" t="s">
        <v>23872</v>
      </c>
      <c r="AD1300" t="s">
        <v>13228</v>
      </c>
      <c r="AE1300" t="s">
        <v>23873</v>
      </c>
      <c r="AF1300" t="s">
        <v>74</v>
      </c>
      <c r="AG1300">
        <v>83</v>
      </c>
      <c r="AH1300">
        <v>0</v>
      </c>
      <c r="AI1300">
        <v>0</v>
      </c>
      <c r="AJ1300">
        <v>2</v>
      </c>
      <c r="AK1300">
        <v>2</v>
      </c>
      <c r="AL1300" t="s">
        <v>92</v>
      </c>
      <c r="AM1300" t="s">
        <v>93</v>
      </c>
      <c r="AN1300" t="s">
        <v>94</v>
      </c>
      <c r="AO1300" t="s">
        <v>74</v>
      </c>
      <c r="AP1300" t="s">
        <v>74</v>
      </c>
      <c r="AQ1300" t="s">
        <v>1209</v>
      </c>
      <c r="AR1300" t="s">
        <v>74</v>
      </c>
      <c r="AS1300" t="s">
        <v>74</v>
      </c>
      <c r="AT1300" t="s">
        <v>74</v>
      </c>
      <c r="AU1300">
        <v>2023</v>
      </c>
      <c r="AV1300" t="s">
        <v>74</v>
      </c>
      <c r="AW1300" t="s">
        <v>74</v>
      </c>
      <c r="AX1300" t="s">
        <v>74</v>
      </c>
      <c r="AY1300" t="s">
        <v>74</v>
      </c>
      <c r="AZ1300" t="s">
        <v>74</v>
      </c>
      <c r="BA1300" t="s">
        <v>74</v>
      </c>
      <c r="BB1300">
        <v>70</v>
      </c>
      <c r="BC1300">
        <v>83</v>
      </c>
      <c r="BD1300" t="s">
        <v>74</v>
      </c>
      <c r="BE1300" t="s">
        <v>23874</v>
      </c>
      <c r="BF1300" t="str">
        <f>HYPERLINK("http://dx.doi.org/10.1145/3600211.3604685","http://dx.doi.org/10.1145/3600211.3604685")</f>
        <v>http://dx.doi.org/10.1145/3600211.3604685</v>
      </c>
      <c r="BG1300" t="s">
        <v>74</v>
      </c>
      <c r="BH1300" t="s">
        <v>74</v>
      </c>
      <c r="BI1300">
        <v>14</v>
      </c>
      <c r="BJ1300" t="s">
        <v>1211</v>
      </c>
      <c r="BK1300" t="s">
        <v>180</v>
      </c>
      <c r="BL1300" t="s">
        <v>1212</v>
      </c>
      <c r="BM1300" t="s">
        <v>1213</v>
      </c>
      <c r="BN1300" t="s">
        <v>74</v>
      </c>
      <c r="BO1300" t="s">
        <v>2568</v>
      </c>
      <c r="BP1300" t="s">
        <v>74</v>
      </c>
      <c r="BQ1300" t="s">
        <v>74</v>
      </c>
      <c r="BR1300" t="s">
        <v>101</v>
      </c>
      <c r="BS1300" t="s">
        <v>23875</v>
      </c>
      <c r="BT1300" t="str">
        <f>HYPERLINK("https%3A%2F%2Fwww.webofscience.com%2Fwos%2Fwoscc%2Ffull-record%2FWOS:001117838100010","View Full Record in Web of Science")</f>
        <v>View Full Record in Web of Science</v>
      </c>
    </row>
    <row r="1301" spans="1:72" x14ac:dyDescent="0.2">
      <c r="A1301" t="s">
        <v>103</v>
      </c>
      <c r="B1301" t="s">
        <v>23876</v>
      </c>
      <c r="C1301" t="s">
        <v>74</v>
      </c>
      <c r="D1301" t="s">
        <v>74</v>
      </c>
      <c r="E1301" t="s">
        <v>74</v>
      </c>
      <c r="F1301" t="s">
        <v>23877</v>
      </c>
      <c r="G1301" t="s">
        <v>74</v>
      </c>
      <c r="H1301" t="s">
        <v>74</v>
      </c>
      <c r="I1301" t="s">
        <v>23878</v>
      </c>
      <c r="J1301" t="s">
        <v>23879</v>
      </c>
      <c r="K1301" t="s">
        <v>74</v>
      </c>
      <c r="L1301" t="s">
        <v>74</v>
      </c>
      <c r="M1301" t="s">
        <v>79</v>
      </c>
      <c r="N1301" t="s">
        <v>108</v>
      </c>
      <c r="O1301" t="s">
        <v>74</v>
      </c>
      <c r="P1301" t="s">
        <v>74</v>
      </c>
      <c r="Q1301" t="s">
        <v>74</v>
      </c>
      <c r="R1301" t="s">
        <v>74</v>
      </c>
      <c r="S1301" t="s">
        <v>74</v>
      </c>
      <c r="T1301" t="s">
        <v>23880</v>
      </c>
      <c r="U1301" t="s">
        <v>23881</v>
      </c>
      <c r="V1301" t="s">
        <v>23882</v>
      </c>
      <c r="W1301" t="s">
        <v>23883</v>
      </c>
      <c r="X1301" t="s">
        <v>23884</v>
      </c>
      <c r="Y1301" t="s">
        <v>23885</v>
      </c>
      <c r="Z1301" t="s">
        <v>23886</v>
      </c>
      <c r="AA1301" t="s">
        <v>23887</v>
      </c>
      <c r="AB1301" t="s">
        <v>23888</v>
      </c>
      <c r="AC1301" t="s">
        <v>23889</v>
      </c>
      <c r="AD1301" t="s">
        <v>23890</v>
      </c>
      <c r="AE1301" t="s">
        <v>23891</v>
      </c>
      <c r="AF1301" t="s">
        <v>74</v>
      </c>
      <c r="AG1301">
        <v>24</v>
      </c>
      <c r="AH1301">
        <v>0</v>
      </c>
      <c r="AI1301">
        <v>0</v>
      </c>
      <c r="AJ1301">
        <v>1</v>
      </c>
      <c r="AK1301">
        <v>1</v>
      </c>
      <c r="AL1301" t="s">
        <v>23892</v>
      </c>
      <c r="AM1301" t="s">
        <v>23893</v>
      </c>
      <c r="AN1301" t="s">
        <v>23894</v>
      </c>
      <c r="AO1301" t="s">
        <v>23895</v>
      </c>
      <c r="AP1301" t="s">
        <v>23896</v>
      </c>
      <c r="AQ1301" t="s">
        <v>74</v>
      </c>
      <c r="AR1301" t="s">
        <v>23897</v>
      </c>
      <c r="AS1301" t="s">
        <v>23898</v>
      </c>
      <c r="AT1301" t="s">
        <v>467</v>
      </c>
      <c r="AU1301">
        <v>2023</v>
      </c>
      <c r="AV1301">
        <v>14</v>
      </c>
      <c r="AW1301">
        <v>5</v>
      </c>
      <c r="AX1301" t="s">
        <v>74</v>
      </c>
      <c r="AY1301" t="s">
        <v>74</v>
      </c>
      <c r="AZ1301" t="s">
        <v>74</v>
      </c>
      <c r="BA1301" t="s">
        <v>74</v>
      </c>
      <c r="BB1301">
        <v>427</v>
      </c>
      <c r="BC1301">
        <v>432</v>
      </c>
      <c r="BD1301" t="s">
        <v>74</v>
      </c>
      <c r="BE1301" t="s">
        <v>23899</v>
      </c>
      <c r="BF1301" t="str">
        <f>HYPERLINK("http://dx.doi.org/10.24171/j.phrp.2023.0063","http://dx.doi.org/10.24171/j.phrp.2023.0063")</f>
        <v>http://dx.doi.org/10.24171/j.phrp.2023.0063</v>
      </c>
      <c r="BG1301" t="s">
        <v>74</v>
      </c>
      <c r="BH1301" t="s">
        <v>74</v>
      </c>
      <c r="BI1301">
        <v>6</v>
      </c>
      <c r="BJ1301" t="s">
        <v>10919</v>
      </c>
      <c r="BK1301" t="s">
        <v>352</v>
      </c>
      <c r="BL1301" t="s">
        <v>10919</v>
      </c>
      <c r="BM1301" t="s">
        <v>23900</v>
      </c>
      <c r="BN1301">
        <v>37920898</v>
      </c>
      <c r="BO1301" t="s">
        <v>4185</v>
      </c>
      <c r="BP1301" t="s">
        <v>74</v>
      </c>
      <c r="BQ1301" t="s">
        <v>74</v>
      </c>
      <c r="BR1301" t="s">
        <v>101</v>
      </c>
      <c r="BS1301" t="s">
        <v>23901</v>
      </c>
      <c r="BT1301" t="str">
        <f>HYPERLINK("https%3A%2F%2Fwww.webofscience.com%2Fwos%2Fwoscc%2Ffull-record%2FWOS:001094156700009","View Full Record in Web of Science")</f>
        <v>View Full Record in Web of Science</v>
      </c>
    </row>
    <row r="1302" spans="1:72" x14ac:dyDescent="0.2">
      <c r="A1302" t="s">
        <v>72</v>
      </c>
      <c r="B1302" t="s">
        <v>23902</v>
      </c>
      <c r="C1302" t="s">
        <v>74</v>
      </c>
      <c r="D1302" t="s">
        <v>74</v>
      </c>
      <c r="E1302" t="s">
        <v>284</v>
      </c>
      <c r="F1302" t="s">
        <v>23903</v>
      </c>
      <c r="G1302" t="s">
        <v>74</v>
      </c>
      <c r="H1302" t="s">
        <v>74</v>
      </c>
      <c r="I1302" t="s">
        <v>23904</v>
      </c>
      <c r="J1302" t="s">
        <v>11081</v>
      </c>
      <c r="K1302" t="s">
        <v>11082</v>
      </c>
      <c r="L1302" t="s">
        <v>74</v>
      </c>
      <c r="M1302" t="s">
        <v>79</v>
      </c>
      <c r="N1302" t="s">
        <v>80</v>
      </c>
      <c r="O1302" t="s">
        <v>11083</v>
      </c>
      <c r="P1302" t="s">
        <v>11084</v>
      </c>
      <c r="Q1302" t="s">
        <v>11085</v>
      </c>
      <c r="R1302" t="s">
        <v>11086</v>
      </c>
      <c r="S1302" t="s">
        <v>74</v>
      </c>
      <c r="T1302" t="s">
        <v>74</v>
      </c>
      <c r="U1302" t="s">
        <v>74</v>
      </c>
      <c r="V1302" t="s">
        <v>23905</v>
      </c>
      <c r="W1302" t="s">
        <v>23906</v>
      </c>
      <c r="X1302" t="s">
        <v>23907</v>
      </c>
      <c r="Y1302" t="s">
        <v>23908</v>
      </c>
      <c r="Z1302" t="s">
        <v>23909</v>
      </c>
      <c r="AA1302" t="s">
        <v>74</v>
      </c>
      <c r="AB1302" t="s">
        <v>74</v>
      </c>
      <c r="AC1302" t="s">
        <v>23910</v>
      </c>
      <c r="AD1302" t="s">
        <v>23911</v>
      </c>
      <c r="AE1302" t="s">
        <v>23912</v>
      </c>
      <c r="AF1302" t="s">
        <v>74</v>
      </c>
      <c r="AG1302">
        <v>42</v>
      </c>
      <c r="AH1302">
        <v>0</v>
      </c>
      <c r="AI1302">
        <v>0</v>
      </c>
      <c r="AJ1302">
        <v>0</v>
      </c>
      <c r="AK1302">
        <v>0</v>
      </c>
      <c r="AL1302" t="s">
        <v>638</v>
      </c>
      <c r="AM1302" t="s">
        <v>639</v>
      </c>
      <c r="AN1302" t="s">
        <v>640</v>
      </c>
      <c r="AO1302" t="s">
        <v>11091</v>
      </c>
      <c r="AP1302" t="s">
        <v>74</v>
      </c>
      <c r="AQ1302" t="s">
        <v>11092</v>
      </c>
      <c r="AR1302" t="s">
        <v>11093</v>
      </c>
      <c r="AS1302" t="s">
        <v>74</v>
      </c>
      <c r="AT1302" t="s">
        <v>74</v>
      </c>
      <c r="AU1302">
        <v>2023</v>
      </c>
      <c r="AV1302" t="s">
        <v>74</v>
      </c>
      <c r="AW1302" t="s">
        <v>74</v>
      </c>
      <c r="AX1302" t="s">
        <v>74</v>
      </c>
      <c r="AY1302" t="s">
        <v>74</v>
      </c>
      <c r="AZ1302" t="s">
        <v>74</v>
      </c>
      <c r="BA1302" t="s">
        <v>74</v>
      </c>
      <c r="BB1302">
        <v>467</v>
      </c>
      <c r="BC1302">
        <v>474</v>
      </c>
      <c r="BD1302" t="s">
        <v>74</v>
      </c>
      <c r="BE1302" t="s">
        <v>23913</v>
      </c>
      <c r="BF1302" t="str">
        <f>HYPERLINK("http://dx.doi.org/10.1109/ICCVW60793.2023.00053","http://dx.doi.org/10.1109/ICCVW60793.2023.00053")</f>
        <v>http://dx.doi.org/10.1109/ICCVW60793.2023.00053</v>
      </c>
      <c r="BG1302" t="s">
        <v>74</v>
      </c>
      <c r="BH1302" t="s">
        <v>74</v>
      </c>
      <c r="BI1302">
        <v>8</v>
      </c>
      <c r="BJ1302" t="s">
        <v>11095</v>
      </c>
      <c r="BK1302" t="s">
        <v>98</v>
      </c>
      <c r="BL1302" t="s">
        <v>2179</v>
      </c>
      <c r="BM1302" t="s">
        <v>11096</v>
      </c>
      <c r="BN1302" t="s">
        <v>74</v>
      </c>
      <c r="BO1302" t="s">
        <v>74</v>
      </c>
      <c r="BP1302" t="s">
        <v>74</v>
      </c>
      <c r="BQ1302" t="s">
        <v>74</v>
      </c>
      <c r="BR1302" t="s">
        <v>101</v>
      </c>
      <c r="BS1302" t="s">
        <v>23914</v>
      </c>
      <c r="BT1302" t="str">
        <f>HYPERLINK("https%3A%2F%2Fwww.webofscience.com%2Fwos%2Fwoscc%2Ffull-record%2FWOS:001156680300047","View Full Record in Web of Science")</f>
        <v>View Full Record in Web of Science</v>
      </c>
    </row>
    <row r="1303" spans="1:72" x14ac:dyDescent="0.2">
      <c r="A1303" t="s">
        <v>103</v>
      </c>
      <c r="B1303" t="s">
        <v>23915</v>
      </c>
      <c r="C1303" t="s">
        <v>74</v>
      </c>
      <c r="D1303" t="s">
        <v>74</v>
      </c>
      <c r="E1303" t="s">
        <v>74</v>
      </c>
      <c r="F1303" t="s">
        <v>23916</v>
      </c>
      <c r="G1303" t="s">
        <v>74</v>
      </c>
      <c r="H1303" t="s">
        <v>74</v>
      </c>
      <c r="I1303" t="s">
        <v>23917</v>
      </c>
      <c r="J1303" t="s">
        <v>23918</v>
      </c>
      <c r="K1303" t="s">
        <v>74</v>
      </c>
      <c r="L1303" t="s">
        <v>74</v>
      </c>
      <c r="M1303" t="s">
        <v>79</v>
      </c>
      <c r="N1303" t="s">
        <v>108</v>
      </c>
      <c r="O1303" t="s">
        <v>74</v>
      </c>
      <c r="P1303" t="s">
        <v>74</v>
      </c>
      <c r="Q1303" t="s">
        <v>74</v>
      </c>
      <c r="R1303" t="s">
        <v>74</v>
      </c>
      <c r="S1303" t="s">
        <v>74</v>
      </c>
      <c r="T1303" t="s">
        <v>74</v>
      </c>
      <c r="U1303" t="s">
        <v>74</v>
      </c>
      <c r="V1303" t="s">
        <v>23919</v>
      </c>
      <c r="W1303" t="s">
        <v>23920</v>
      </c>
      <c r="X1303" t="s">
        <v>196</v>
      </c>
      <c r="Y1303" t="s">
        <v>23921</v>
      </c>
      <c r="Z1303" t="s">
        <v>23922</v>
      </c>
      <c r="AA1303" t="s">
        <v>74</v>
      </c>
      <c r="AB1303" t="s">
        <v>74</v>
      </c>
      <c r="AC1303" t="s">
        <v>74</v>
      </c>
      <c r="AD1303" t="s">
        <v>74</v>
      </c>
      <c r="AE1303" t="s">
        <v>74</v>
      </c>
      <c r="AF1303" t="s">
        <v>74</v>
      </c>
      <c r="AG1303">
        <v>31</v>
      </c>
      <c r="AH1303">
        <v>0</v>
      </c>
      <c r="AI1303">
        <v>0</v>
      </c>
      <c r="AJ1303">
        <v>0</v>
      </c>
      <c r="AK1303">
        <v>0</v>
      </c>
      <c r="AL1303" t="s">
        <v>92</v>
      </c>
      <c r="AM1303" t="s">
        <v>93</v>
      </c>
      <c r="AN1303" t="s">
        <v>3186</v>
      </c>
      <c r="AO1303" t="s">
        <v>23923</v>
      </c>
      <c r="AP1303" t="s">
        <v>74</v>
      </c>
      <c r="AQ1303" t="s">
        <v>74</v>
      </c>
      <c r="AR1303" t="s">
        <v>23924</v>
      </c>
      <c r="AS1303" t="s">
        <v>23925</v>
      </c>
      <c r="AT1303" t="s">
        <v>791</v>
      </c>
      <c r="AU1303">
        <v>2023</v>
      </c>
      <c r="AV1303">
        <v>16</v>
      </c>
      <c r="AW1303">
        <v>12</v>
      </c>
      <c r="AX1303" t="s">
        <v>74</v>
      </c>
      <c r="AY1303" t="s">
        <v>74</v>
      </c>
      <c r="AZ1303" t="s">
        <v>74</v>
      </c>
      <c r="BA1303" t="s">
        <v>74</v>
      </c>
      <c r="BB1303">
        <v>4152</v>
      </c>
      <c r="BC1303">
        <v>4159</v>
      </c>
      <c r="BD1303" t="s">
        <v>74</v>
      </c>
      <c r="BE1303" t="s">
        <v>23926</v>
      </c>
      <c r="BF1303" t="str">
        <f>HYPERLINK("http://dx.doi.org/10.14778/3611540.3611640","http://dx.doi.org/10.14778/3611540.3611640")</f>
        <v>http://dx.doi.org/10.14778/3611540.3611640</v>
      </c>
      <c r="BG1303" t="s">
        <v>74</v>
      </c>
      <c r="BH1303" t="s">
        <v>74</v>
      </c>
      <c r="BI1303">
        <v>8</v>
      </c>
      <c r="BJ1303" t="s">
        <v>9511</v>
      </c>
      <c r="BK1303" t="s">
        <v>130</v>
      </c>
      <c r="BL1303" t="s">
        <v>99</v>
      </c>
      <c r="BM1303" t="s">
        <v>23927</v>
      </c>
      <c r="BN1303" t="s">
        <v>74</v>
      </c>
      <c r="BO1303" t="s">
        <v>74</v>
      </c>
      <c r="BP1303" t="s">
        <v>74</v>
      </c>
      <c r="BQ1303" t="s">
        <v>74</v>
      </c>
      <c r="BR1303" t="s">
        <v>101</v>
      </c>
      <c r="BS1303" t="s">
        <v>23928</v>
      </c>
      <c r="BT1303" t="str">
        <f>HYPERLINK("https%3A%2F%2Fwww.webofscience.com%2Fwos%2Fwoscc%2Ffull-record%2FWOS:001067701000101","View Full Record in Web of Science")</f>
        <v>View Full Record in Web of Science</v>
      </c>
    </row>
    <row r="1304" spans="1:72" x14ac:dyDescent="0.2">
      <c r="A1304" t="s">
        <v>103</v>
      </c>
      <c r="B1304" t="s">
        <v>23929</v>
      </c>
      <c r="C1304" t="s">
        <v>74</v>
      </c>
      <c r="D1304" t="s">
        <v>74</v>
      </c>
      <c r="E1304" t="s">
        <v>74</v>
      </c>
      <c r="F1304" t="s">
        <v>23930</v>
      </c>
      <c r="G1304" t="s">
        <v>74</v>
      </c>
      <c r="H1304" t="s">
        <v>74</v>
      </c>
      <c r="I1304" t="s">
        <v>23931</v>
      </c>
      <c r="J1304" t="s">
        <v>22570</v>
      </c>
      <c r="K1304" t="s">
        <v>74</v>
      </c>
      <c r="L1304" t="s">
        <v>74</v>
      </c>
      <c r="M1304" t="s">
        <v>79</v>
      </c>
      <c r="N1304" t="s">
        <v>108</v>
      </c>
      <c r="O1304" t="s">
        <v>74</v>
      </c>
      <c r="P1304" t="s">
        <v>74</v>
      </c>
      <c r="Q1304" t="s">
        <v>74</v>
      </c>
      <c r="R1304" t="s">
        <v>74</v>
      </c>
      <c r="S1304" t="s">
        <v>74</v>
      </c>
      <c r="T1304" t="s">
        <v>23932</v>
      </c>
      <c r="U1304" t="s">
        <v>74</v>
      </c>
      <c r="V1304" t="s">
        <v>23933</v>
      </c>
      <c r="W1304" t="s">
        <v>23934</v>
      </c>
      <c r="X1304" t="s">
        <v>23935</v>
      </c>
      <c r="Y1304" t="s">
        <v>23936</v>
      </c>
      <c r="Z1304" t="s">
        <v>23937</v>
      </c>
      <c r="AA1304" t="s">
        <v>23938</v>
      </c>
      <c r="AB1304" t="s">
        <v>23939</v>
      </c>
      <c r="AC1304" t="s">
        <v>23940</v>
      </c>
      <c r="AD1304" t="s">
        <v>23941</v>
      </c>
      <c r="AE1304" t="s">
        <v>23942</v>
      </c>
      <c r="AF1304" t="s">
        <v>74</v>
      </c>
      <c r="AG1304">
        <v>24</v>
      </c>
      <c r="AH1304">
        <v>0</v>
      </c>
      <c r="AI1304">
        <v>0</v>
      </c>
      <c r="AJ1304">
        <v>1</v>
      </c>
      <c r="AK1304">
        <v>1</v>
      </c>
      <c r="AL1304" t="s">
        <v>764</v>
      </c>
      <c r="AM1304" t="s">
        <v>765</v>
      </c>
      <c r="AN1304" t="s">
        <v>766</v>
      </c>
      <c r="AO1304" t="s">
        <v>22579</v>
      </c>
      <c r="AP1304" t="s">
        <v>22580</v>
      </c>
      <c r="AQ1304" t="s">
        <v>74</v>
      </c>
      <c r="AR1304" t="s">
        <v>22581</v>
      </c>
      <c r="AS1304" t="s">
        <v>22582</v>
      </c>
      <c r="AT1304" t="s">
        <v>527</v>
      </c>
      <c r="AU1304">
        <v>2023</v>
      </c>
      <c r="AV1304">
        <v>176</v>
      </c>
      <c r="AW1304" t="s">
        <v>74</v>
      </c>
      <c r="AX1304" t="s">
        <v>74</v>
      </c>
      <c r="AY1304" t="s">
        <v>74</v>
      </c>
      <c r="AZ1304" t="s">
        <v>74</v>
      </c>
      <c r="BA1304" t="s">
        <v>74</v>
      </c>
      <c r="BB1304">
        <v>14</v>
      </c>
      <c r="BC1304">
        <v>20</v>
      </c>
      <c r="BD1304" t="s">
        <v>74</v>
      </c>
      <c r="BE1304" t="s">
        <v>23943</v>
      </c>
      <c r="BF1304" t="str">
        <f>HYPERLINK("http://dx.doi.org/10.1016/j.patrec.2023.10.010","http://dx.doi.org/10.1016/j.patrec.2023.10.010")</f>
        <v>http://dx.doi.org/10.1016/j.patrec.2023.10.010</v>
      </c>
      <c r="BG1304" t="s">
        <v>74</v>
      </c>
      <c r="BH1304" t="s">
        <v>1886</v>
      </c>
      <c r="BI1304">
        <v>7</v>
      </c>
      <c r="BJ1304" t="s">
        <v>304</v>
      </c>
      <c r="BK1304" t="s">
        <v>130</v>
      </c>
      <c r="BL1304" t="s">
        <v>99</v>
      </c>
      <c r="BM1304" t="s">
        <v>23944</v>
      </c>
      <c r="BN1304" t="s">
        <v>74</v>
      </c>
      <c r="BO1304" t="s">
        <v>161</v>
      </c>
      <c r="BP1304" t="s">
        <v>74</v>
      </c>
      <c r="BQ1304" t="s">
        <v>74</v>
      </c>
      <c r="BR1304" t="s">
        <v>101</v>
      </c>
      <c r="BS1304" t="s">
        <v>23945</v>
      </c>
      <c r="BT1304" t="str">
        <f>HYPERLINK("https%3A%2F%2Fwww.webofscience.com%2Fwos%2Fwoscc%2Ffull-record%2FWOS:001102941800001","View Full Record in Web of Science")</f>
        <v>View Full Record in Web of Science</v>
      </c>
    </row>
    <row r="1305" spans="1:72" x14ac:dyDescent="0.2">
      <c r="A1305" t="s">
        <v>103</v>
      </c>
      <c r="B1305" t="s">
        <v>23946</v>
      </c>
      <c r="C1305" t="s">
        <v>74</v>
      </c>
      <c r="D1305" t="s">
        <v>74</v>
      </c>
      <c r="E1305" t="s">
        <v>74</v>
      </c>
      <c r="F1305" t="s">
        <v>23947</v>
      </c>
      <c r="G1305" t="s">
        <v>74</v>
      </c>
      <c r="H1305" t="s">
        <v>74</v>
      </c>
      <c r="I1305" t="s">
        <v>23948</v>
      </c>
      <c r="J1305" t="s">
        <v>4805</v>
      </c>
      <c r="K1305" t="s">
        <v>74</v>
      </c>
      <c r="L1305" t="s">
        <v>74</v>
      </c>
      <c r="M1305" t="s">
        <v>79</v>
      </c>
      <c r="N1305" t="s">
        <v>138</v>
      </c>
      <c r="O1305" t="s">
        <v>74</v>
      </c>
      <c r="P1305" t="s">
        <v>74</v>
      </c>
      <c r="Q1305" t="s">
        <v>74</v>
      </c>
      <c r="R1305" t="s">
        <v>74</v>
      </c>
      <c r="S1305" t="s">
        <v>74</v>
      </c>
      <c r="T1305" t="s">
        <v>23949</v>
      </c>
      <c r="U1305" t="s">
        <v>74</v>
      </c>
      <c r="V1305" t="s">
        <v>23950</v>
      </c>
      <c r="W1305" t="s">
        <v>74</v>
      </c>
      <c r="X1305" t="s">
        <v>74</v>
      </c>
      <c r="Y1305" t="s">
        <v>74</v>
      </c>
      <c r="Z1305" t="s">
        <v>74</v>
      </c>
      <c r="AA1305" t="s">
        <v>74</v>
      </c>
      <c r="AB1305" t="s">
        <v>74</v>
      </c>
      <c r="AC1305" t="s">
        <v>74</v>
      </c>
      <c r="AD1305" t="s">
        <v>74</v>
      </c>
      <c r="AE1305" t="s">
        <v>74</v>
      </c>
      <c r="AF1305" t="s">
        <v>74</v>
      </c>
      <c r="AG1305">
        <v>21</v>
      </c>
      <c r="AH1305">
        <v>0</v>
      </c>
      <c r="AI1305">
        <v>0</v>
      </c>
      <c r="AJ1305">
        <v>5</v>
      </c>
      <c r="AK1305">
        <v>5</v>
      </c>
      <c r="AL1305" t="s">
        <v>343</v>
      </c>
      <c r="AM1305" t="s">
        <v>93</v>
      </c>
      <c r="AN1305" t="s">
        <v>344</v>
      </c>
      <c r="AO1305" t="s">
        <v>4811</v>
      </c>
      <c r="AP1305" t="s">
        <v>4812</v>
      </c>
      <c r="AQ1305" t="s">
        <v>74</v>
      </c>
      <c r="AR1305" t="s">
        <v>4813</v>
      </c>
      <c r="AS1305" t="s">
        <v>4814</v>
      </c>
      <c r="AT1305" t="s">
        <v>23951</v>
      </c>
      <c r="AU1305">
        <v>2023</v>
      </c>
      <c r="AV1305" t="s">
        <v>74</v>
      </c>
      <c r="AW1305" t="s">
        <v>74</v>
      </c>
      <c r="AX1305" t="s">
        <v>74</v>
      </c>
      <c r="AY1305" t="s">
        <v>74</v>
      </c>
      <c r="AZ1305" t="s">
        <v>74</v>
      </c>
      <c r="BA1305" t="s">
        <v>74</v>
      </c>
      <c r="BB1305" t="s">
        <v>74</v>
      </c>
      <c r="BC1305" t="s">
        <v>74</v>
      </c>
      <c r="BD1305" t="s">
        <v>74</v>
      </c>
      <c r="BE1305" t="s">
        <v>23952</v>
      </c>
      <c r="BF1305" t="str">
        <f>HYPERLINK("http://dx.doi.org/10.1007/s00146-023-01795-x","http://dx.doi.org/10.1007/s00146-023-01795-x")</f>
        <v>http://dx.doi.org/10.1007/s00146-023-01795-x</v>
      </c>
      <c r="BG1305" t="s">
        <v>74</v>
      </c>
      <c r="BH1305" t="s">
        <v>1886</v>
      </c>
      <c r="BI1305">
        <v>10</v>
      </c>
      <c r="BJ1305" t="s">
        <v>304</v>
      </c>
      <c r="BK1305" t="s">
        <v>352</v>
      </c>
      <c r="BL1305" t="s">
        <v>99</v>
      </c>
      <c r="BM1305" t="s">
        <v>23953</v>
      </c>
      <c r="BN1305" t="s">
        <v>74</v>
      </c>
      <c r="BO1305" t="s">
        <v>74</v>
      </c>
      <c r="BP1305" t="s">
        <v>74</v>
      </c>
      <c r="BQ1305" t="s">
        <v>74</v>
      </c>
      <c r="BR1305" t="s">
        <v>101</v>
      </c>
      <c r="BS1305" t="s">
        <v>23954</v>
      </c>
      <c r="BT1305" t="str">
        <f>HYPERLINK("https%3A%2F%2Fwww.webofscience.com%2Fwos%2Fwoscc%2Ffull-record%2FWOS:001095046000001","View Full Record in Web of Science")</f>
        <v>View Full Record in Web of Science</v>
      </c>
    </row>
    <row r="1306" spans="1:72" x14ac:dyDescent="0.2">
      <c r="A1306" t="s">
        <v>103</v>
      </c>
      <c r="B1306" t="s">
        <v>23955</v>
      </c>
      <c r="C1306" t="s">
        <v>74</v>
      </c>
      <c r="D1306" t="s">
        <v>74</v>
      </c>
      <c r="E1306" t="s">
        <v>74</v>
      </c>
      <c r="F1306" t="s">
        <v>23956</v>
      </c>
      <c r="G1306" t="s">
        <v>74</v>
      </c>
      <c r="H1306" t="s">
        <v>74</v>
      </c>
      <c r="I1306" t="s">
        <v>23957</v>
      </c>
      <c r="J1306" t="s">
        <v>13467</v>
      </c>
      <c r="K1306" t="s">
        <v>74</v>
      </c>
      <c r="L1306" t="s">
        <v>74</v>
      </c>
      <c r="M1306" t="s">
        <v>79</v>
      </c>
      <c r="N1306" t="s">
        <v>108</v>
      </c>
      <c r="O1306" t="s">
        <v>74</v>
      </c>
      <c r="P1306" t="s">
        <v>74</v>
      </c>
      <c r="Q1306" t="s">
        <v>74</v>
      </c>
      <c r="R1306" t="s">
        <v>74</v>
      </c>
      <c r="S1306" t="s">
        <v>74</v>
      </c>
      <c r="T1306" t="s">
        <v>23958</v>
      </c>
      <c r="U1306" t="s">
        <v>23959</v>
      </c>
      <c r="V1306" t="s">
        <v>23960</v>
      </c>
      <c r="W1306" t="s">
        <v>23961</v>
      </c>
      <c r="X1306" t="s">
        <v>23962</v>
      </c>
      <c r="Y1306" t="s">
        <v>23963</v>
      </c>
      <c r="Z1306" t="s">
        <v>23964</v>
      </c>
      <c r="AA1306" t="s">
        <v>23965</v>
      </c>
      <c r="AB1306" t="s">
        <v>23966</v>
      </c>
      <c r="AC1306" t="s">
        <v>23967</v>
      </c>
      <c r="AD1306" t="s">
        <v>23968</v>
      </c>
      <c r="AE1306" t="s">
        <v>23969</v>
      </c>
      <c r="AF1306" t="s">
        <v>74</v>
      </c>
      <c r="AG1306">
        <v>61</v>
      </c>
      <c r="AH1306">
        <v>3</v>
      </c>
      <c r="AI1306">
        <v>3</v>
      </c>
      <c r="AJ1306">
        <v>3</v>
      </c>
      <c r="AK1306">
        <v>6</v>
      </c>
      <c r="AL1306" t="s">
        <v>13480</v>
      </c>
      <c r="AM1306" t="s">
        <v>13481</v>
      </c>
      <c r="AN1306" t="s">
        <v>13482</v>
      </c>
      <c r="AO1306" t="s">
        <v>13483</v>
      </c>
      <c r="AP1306" t="s">
        <v>13484</v>
      </c>
      <c r="AQ1306" t="s">
        <v>74</v>
      </c>
      <c r="AR1306" t="s">
        <v>13485</v>
      </c>
      <c r="AS1306" t="s">
        <v>13486</v>
      </c>
      <c r="AT1306" t="s">
        <v>126</v>
      </c>
      <c r="AU1306">
        <v>2023</v>
      </c>
      <c r="AV1306">
        <v>139</v>
      </c>
      <c r="AW1306" t="s">
        <v>74</v>
      </c>
      <c r="AX1306" t="s">
        <v>74</v>
      </c>
      <c r="AY1306" t="s">
        <v>74</v>
      </c>
      <c r="AZ1306" t="s">
        <v>74</v>
      </c>
      <c r="BA1306" t="s">
        <v>74</v>
      </c>
      <c r="BB1306" t="s">
        <v>74</v>
      </c>
      <c r="BC1306" t="s">
        <v>74</v>
      </c>
      <c r="BD1306">
        <v>104303</v>
      </c>
      <c r="BE1306" t="s">
        <v>23970</v>
      </c>
      <c r="BF1306" t="str">
        <f>HYPERLINK("http://dx.doi.org/10.1016/j.jbi.2023.104303","http://dx.doi.org/10.1016/j.jbi.2023.104303")</f>
        <v>http://dx.doi.org/10.1016/j.jbi.2023.104303</v>
      </c>
      <c r="BG1306" t="s">
        <v>74</v>
      </c>
      <c r="BH1306" t="s">
        <v>2647</v>
      </c>
      <c r="BI1306">
        <v>13</v>
      </c>
      <c r="BJ1306" t="s">
        <v>13488</v>
      </c>
      <c r="BK1306" t="s">
        <v>130</v>
      </c>
      <c r="BL1306" t="s">
        <v>13489</v>
      </c>
      <c r="BM1306" t="s">
        <v>23971</v>
      </c>
      <c r="BN1306">
        <v>36736449</v>
      </c>
      <c r="BO1306" t="s">
        <v>161</v>
      </c>
      <c r="BP1306" t="s">
        <v>74</v>
      </c>
      <c r="BQ1306" t="s">
        <v>74</v>
      </c>
      <c r="BR1306" t="s">
        <v>101</v>
      </c>
      <c r="BS1306" t="s">
        <v>23972</v>
      </c>
      <c r="BT1306" t="str">
        <f>HYPERLINK("https%3A%2F%2Fwww.webofscience.com%2Fwos%2Fwoscc%2Ffull-record%2FWOS:000944752400001","View Full Record in Web of Science")</f>
        <v>View Full Record in Web of Science</v>
      </c>
    </row>
    <row r="1307" spans="1:72" x14ac:dyDescent="0.2">
      <c r="A1307" t="s">
        <v>72</v>
      </c>
      <c r="B1307" t="s">
        <v>23402</v>
      </c>
      <c r="C1307" t="s">
        <v>74</v>
      </c>
      <c r="D1307" t="s">
        <v>20914</v>
      </c>
      <c r="E1307" t="s">
        <v>74</v>
      </c>
      <c r="F1307" t="s">
        <v>23403</v>
      </c>
      <c r="G1307" t="s">
        <v>74</v>
      </c>
      <c r="H1307" t="s">
        <v>74</v>
      </c>
      <c r="I1307" t="s">
        <v>23973</v>
      </c>
      <c r="J1307" t="s">
        <v>21416</v>
      </c>
      <c r="K1307" t="s">
        <v>312</v>
      </c>
      <c r="L1307" t="s">
        <v>74</v>
      </c>
      <c r="M1307" t="s">
        <v>79</v>
      </c>
      <c r="N1307" t="s">
        <v>80</v>
      </c>
      <c r="O1307" t="s">
        <v>20918</v>
      </c>
      <c r="P1307" t="s">
        <v>1245</v>
      </c>
      <c r="Q1307" t="s">
        <v>20919</v>
      </c>
      <c r="R1307" t="s">
        <v>20920</v>
      </c>
      <c r="S1307" t="s">
        <v>74</v>
      </c>
      <c r="T1307" t="s">
        <v>23974</v>
      </c>
      <c r="U1307" t="s">
        <v>74</v>
      </c>
      <c r="V1307" t="s">
        <v>23975</v>
      </c>
      <c r="W1307" t="s">
        <v>23976</v>
      </c>
      <c r="X1307" t="s">
        <v>23977</v>
      </c>
      <c r="Y1307" t="s">
        <v>23978</v>
      </c>
      <c r="Z1307" t="s">
        <v>23979</v>
      </c>
      <c r="AA1307" t="s">
        <v>74</v>
      </c>
      <c r="AB1307" t="s">
        <v>74</v>
      </c>
      <c r="AC1307" t="s">
        <v>23980</v>
      </c>
      <c r="AD1307" t="s">
        <v>23981</v>
      </c>
      <c r="AE1307" t="s">
        <v>23982</v>
      </c>
      <c r="AF1307" t="s">
        <v>74</v>
      </c>
      <c r="AG1307">
        <v>34</v>
      </c>
      <c r="AH1307">
        <v>0</v>
      </c>
      <c r="AI1307">
        <v>0</v>
      </c>
      <c r="AJ1307">
        <v>1</v>
      </c>
      <c r="AK1307">
        <v>1</v>
      </c>
      <c r="AL1307" t="s">
        <v>325</v>
      </c>
      <c r="AM1307" t="s">
        <v>245</v>
      </c>
      <c r="AN1307" t="s">
        <v>246</v>
      </c>
      <c r="AO1307" t="s">
        <v>326</v>
      </c>
      <c r="AP1307" t="s">
        <v>327</v>
      </c>
      <c r="AQ1307" t="s">
        <v>21428</v>
      </c>
      <c r="AR1307" t="s">
        <v>329</v>
      </c>
      <c r="AS1307" t="s">
        <v>74</v>
      </c>
      <c r="AT1307" t="s">
        <v>74</v>
      </c>
      <c r="AU1307">
        <v>2023</v>
      </c>
      <c r="AV1307">
        <v>14234</v>
      </c>
      <c r="AW1307" t="s">
        <v>74</v>
      </c>
      <c r="AX1307" t="s">
        <v>74</v>
      </c>
      <c r="AY1307" t="s">
        <v>74</v>
      </c>
      <c r="AZ1307" t="s">
        <v>74</v>
      </c>
      <c r="BA1307" t="s">
        <v>74</v>
      </c>
      <c r="BB1307">
        <v>49</v>
      </c>
      <c r="BC1307">
        <v>62</v>
      </c>
      <c r="BD1307" t="s">
        <v>74</v>
      </c>
      <c r="BE1307" t="s">
        <v>23983</v>
      </c>
      <c r="BF1307" t="str">
        <f>HYPERLINK("http://dx.doi.org/10.1007/978-3-031-43153-1_5","http://dx.doi.org/10.1007/978-3-031-43153-1_5")</f>
        <v>http://dx.doi.org/10.1007/978-3-031-43153-1_5</v>
      </c>
      <c r="BG1307" t="s">
        <v>74</v>
      </c>
      <c r="BH1307" t="s">
        <v>74</v>
      </c>
      <c r="BI1307">
        <v>14</v>
      </c>
      <c r="BJ1307" t="s">
        <v>331</v>
      </c>
      <c r="BK1307" t="s">
        <v>98</v>
      </c>
      <c r="BL1307" t="s">
        <v>99</v>
      </c>
      <c r="BM1307" t="s">
        <v>21430</v>
      </c>
      <c r="BN1307" t="s">
        <v>74</v>
      </c>
      <c r="BO1307" t="s">
        <v>646</v>
      </c>
      <c r="BP1307" t="s">
        <v>74</v>
      </c>
      <c r="BQ1307" t="s">
        <v>74</v>
      </c>
      <c r="BR1307" t="s">
        <v>101</v>
      </c>
      <c r="BS1307" t="s">
        <v>23984</v>
      </c>
      <c r="BT1307" t="str">
        <f>HYPERLINK("https%3A%2F%2Fwww.webofscience.com%2Fwos%2Fwoscc%2Ffull-record%2FWOS:001156197500005","View Full Record in Web of Science")</f>
        <v>View Full Record in Web of Science</v>
      </c>
    </row>
    <row r="1308" spans="1:72" x14ac:dyDescent="0.2">
      <c r="A1308" t="s">
        <v>103</v>
      </c>
      <c r="B1308" t="s">
        <v>23985</v>
      </c>
      <c r="C1308" t="s">
        <v>74</v>
      </c>
      <c r="D1308" t="s">
        <v>74</v>
      </c>
      <c r="E1308" t="s">
        <v>74</v>
      </c>
      <c r="F1308" t="s">
        <v>23986</v>
      </c>
      <c r="G1308" t="s">
        <v>74</v>
      </c>
      <c r="H1308" t="s">
        <v>74</v>
      </c>
      <c r="I1308" t="s">
        <v>23987</v>
      </c>
      <c r="J1308" t="s">
        <v>23988</v>
      </c>
      <c r="K1308" t="s">
        <v>74</v>
      </c>
      <c r="L1308" t="s">
        <v>74</v>
      </c>
      <c r="M1308" t="s">
        <v>79</v>
      </c>
      <c r="N1308" t="s">
        <v>108</v>
      </c>
      <c r="O1308" t="s">
        <v>74</v>
      </c>
      <c r="P1308" t="s">
        <v>74</v>
      </c>
      <c r="Q1308" t="s">
        <v>74</v>
      </c>
      <c r="R1308" t="s">
        <v>74</v>
      </c>
      <c r="S1308" t="s">
        <v>74</v>
      </c>
      <c r="T1308" t="s">
        <v>23989</v>
      </c>
      <c r="U1308" t="s">
        <v>23990</v>
      </c>
      <c r="V1308" t="s">
        <v>23991</v>
      </c>
      <c r="W1308" t="s">
        <v>23992</v>
      </c>
      <c r="X1308" t="s">
        <v>23993</v>
      </c>
      <c r="Y1308" t="s">
        <v>23994</v>
      </c>
      <c r="Z1308" t="s">
        <v>23995</v>
      </c>
      <c r="AA1308" t="s">
        <v>23996</v>
      </c>
      <c r="AB1308" t="s">
        <v>23997</v>
      </c>
      <c r="AC1308" t="s">
        <v>74</v>
      </c>
      <c r="AD1308" t="s">
        <v>74</v>
      </c>
      <c r="AE1308" t="s">
        <v>74</v>
      </c>
      <c r="AF1308" t="s">
        <v>74</v>
      </c>
      <c r="AG1308">
        <v>24</v>
      </c>
      <c r="AH1308">
        <v>0</v>
      </c>
      <c r="AI1308">
        <v>0</v>
      </c>
      <c r="AJ1308">
        <v>1</v>
      </c>
      <c r="AK1308">
        <v>1</v>
      </c>
      <c r="AL1308" t="s">
        <v>23998</v>
      </c>
      <c r="AM1308" t="s">
        <v>2683</v>
      </c>
      <c r="AN1308" t="s">
        <v>23999</v>
      </c>
      <c r="AO1308" t="s">
        <v>74</v>
      </c>
      <c r="AP1308" t="s">
        <v>24000</v>
      </c>
      <c r="AQ1308" t="s">
        <v>74</v>
      </c>
      <c r="AR1308" t="s">
        <v>24001</v>
      </c>
      <c r="AS1308" t="s">
        <v>24002</v>
      </c>
      <c r="AT1308" t="s">
        <v>74</v>
      </c>
      <c r="AU1308">
        <v>2023</v>
      </c>
      <c r="AV1308">
        <v>9</v>
      </c>
      <c r="AW1308">
        <v>4</v>
      </c>
      <c r="AX1308" t="s">
        <v>74</v>
      </c>
      <c r="AY1308" t="s">
        <v>74</v>
      </c>
      <c r="AZ1308" t="s">
        <v>74</v>
      </c>
      <c r="BA1308" t="s">
        <v>74</v>
      </c>
      <c r="BB1308">
        <v>5</v>
      </c>
      <c r="BC1308">
        <v>10</v>
      </c>
      <c r="BD1308" t="s">
        <v>74</v>
      </c>
      <c r="BE1308" t="s">
        <v>24003</v>
      </c>
      <c r="BF1308" t="str">
        <f>HYPERLINK("http://dx.doi.org/10.17323/jle.2023.18489","http://dx.doi.org/10.17323/jle.2023.18489")</f>
        <v>http://dx.doi.org/10.17323/jle.2023.18489</v>
      </c>
      <c r="BG1308" t="s">
        <v>74</v>
      </c>
      <c r="BH1308" t="s">
        <v>74</v>
      </c>
      <c r="BI1308">
        <v>6</v>
      </c>
      <c r="BJ1308" t="s">
        <v>2862</v>
      </c>
      <c r="BK1308" t="s">
        <v>352</v>
      </c>
      <c r="BL1308" t="s">
        <v>2862</v>
      </c>
      <c r="BM1308" t="s">
        <v>24004</v>
      </c>
      <c r="BN1308" t="s">
        <v>74</v>
      </c>
      <c r="BO1308" t="s">
        <v>425</v>
      </c>
      <c r="BP1308" t="s">
        <v>74</v>
      </c>
      <c r="BQ1308" t="s">
        <v>74</v>
      </c>
      <c r="BR1308" t="s">
        <v>101</v>
      </c>
      <c r="BS1308" t="s">
        <v>24005</v>
      </c>
      <c r="BT1308" t="str">
        <f>HYPERLINK("https%3A%2F%2Fwww.webofscience.com%2Fwos%2Fwoscc%2Ffull-record%2FWOS:001137479500006","View Full Record in Web of Science")</f>
        <v>View Full Record in Web of Science</v>
      </c>
    </row>
    <row r="1309" spans="1:72" x14ac:dyDescent="0.2">
      <c r="A1309" t="s">
        <v>103</v>
      </c>
      <c r="B1309" t="s">
        <v>24006</v>
      </c>
      <c r="C1309" t="s">
        <v>74</v>
      </c>
      <c r="D1309" t="s">
        <v>74</v>
      </c>
      <c r="E1309" t="s">
        <v>74</v>
      </c>
      <c r="F1309" t="s">
        <v>24007</v>
      </c>
      <c r="G1309" t="s">
        <v>74</v>
      </c>
      <c r="H1309" t="s">
        <v>74</v>
      </c>
      <c r="I1309" t="s">
        <v>24008</v>
      </c>
      <c r="J1309" t="s">
        <v>4686</v>
      </c>
      <c r="K1309" t="s">
        <v>74</v>
      </c>
      <c r="L1309" t="s">
        <v>74</v>
      </c>
      <c r="M1309" t="s">
        <v>79</v>
      </c>
      <c r="N1309" t="s">
        <v>108</v>
      </c>
      <c r="O1309" t="s">
        <v>74</v>
      </c>
      <c r="P1309" t="s">
        <v>74</v>
      </c>
      <c r="Q1309" t="s">
        <v>74</v>
      </c>
      <c r="R1309" t="s">
        <v>74</v>
      </c>
      <c r="S1309" t="s">
        <v>74</v>
      </c>
      <c r="T1309" t="s">
        <v>24009</v>
      </c>
      <c r="U1309" t="s">
        <v>74</v>
      </c>
      <c r="V1309" t="s">
        <v>24010</v>
      </c>
      <c r="W1309" t="s">
        <v>24011</v>
      </c>
      <c r="X1309" t="s">
        <v>24012</v>
      </c>
      <c r="Y1309" t="s">
        <v>24013</v>
      </c>
      <c r="Z1309" t="s">
        <v>24014</v>
      </c>
      <c r="AA1309" t="s">
        <v>24015</v>
      </c>
      <c r="AB1309" t="s">
        <v>74</v>
      </c>
      <c r="AC1309" t="s">
        <v>74</v>
      </c>
      <c r="AD1309" t="s">
        <v>74</v>
      </c>
      <c r="AE1309" t="s">
        <v>74</v>
      </c>
      <c r="AF1309" t="s">
        <v>74</v>
      </c>
      <c r="AG1309">
        <v>26</v>
      </c>
      <c r="AH1309">
        <v>5</v>
      </c>
      <c r="AI1309">
        <v>6</v>
      </c>
      <c r="AJ1309">
        <v>26</v>
      </c>
      <c r="AK1309">
        <v>31</v>
      </c>
      <c r="AL1309" t="s">
        <v>2032</v>
      </c>
      <c r="AM1309" t="s">
        <v>149</v>
      </c>
      <c r="AN1309" t="s">
        <v>2033</v>
      </c>
      <c r="AO1309" t="s">
        <v>74</v>
      </c>
      <c r="AP1309" t="s">
        <v>4694</v>
      </c>
      <c r="AQ1309" t="s">
        <v>74</v>
      </c>
      <c r="AR1309" t="s">
        <v>4695</v>
      </c>
      <c r="AS1309" t="s">
        <v>4696</v>
      </c>
      <c r="AT1309" t="s">
        <v>24016</v>
      </c>
      <c r="AU1309">
        <v>2023</v>
      </c>
      <c r="AV1309">
        <v>15</v>
      </c>
      <c r="AW1309">
        <v>8</v>
      </c>
      <c r="AX1309" t="s">
        <v>74</v>
      </c>
      <c r="AY1309" t="s">
        <v>74</v>
      </c>
      <c r="AZ1309" t="s">
        <v>74</v>
      </c>
      <c r="BA1309" t="s">
        <v>74</v>
      </c>
      <c r="BB1309" t="s">
        <v>74</v>
      </c>
      <c r="BC1309" t="s">
        <v>74</v>
      </c>
      <c r="BD1309" t="s">
        <v>24017</v>
      </c>
      <c r="BE1309" t="s">
        <v>24018</v>
      </c>
      <c r="BF1309" t="str">
        <f>HYPERLINK("http://dx.doi.org/10.7759/cureus.42924","http://dx.doi.org/10.7759/cureus.42924")</f>
        <v>http://dx.doi.org/10.7759/cureus.42924</v>
      </c>
      <c r="BG1309" t="s">
        <v>74</v>
      </c>
      <c r="BH1309" t="s">
        <v>74</v>
      </c>
      <c r="BI1309">
        <v>7</v>
      </c>
      <c r="BJ1309" t="s">
        <v>3440</v>
      </c>
      <c r="BK1309" t="s">
        <v>352</v>
      </c>
      <c r="BL1309" t="s">
        <v>3441</v>
      </c>
      <c r="BM1309" t="s">
        <v>24019</v>
      </c>
      <c r="BN1309">
        <v>37667724</v>
      </c>
      <c r="BO1309" t="s">
        <v>4185</v>
      </c>
      <c r="BP1309" t="s">
        <v>74</v>
      </c>
      <c r="BQ1309" t="s">
        <v>74</v>
      </c>
      <c r="BR1309" t="s">
        <v>101</v>
      </c>
      <c r="BS1309" t="s">
        <v>24020</v>
      </c>
      <c r="BT1309" t="str">
        <f>HYPERLINK("https%3A%2F%2Fwww.webofscience.com%2Fwos%2Fwoscc%2Ffull-record%2FWOS:001047616200011","View Full Record in Web of Science")</f>
        <v>View Full Record in Web of Science</v>
      </c>
    </row>
    <row r="1310" spans="1:72" x14ac:dyDescent="0.2">
      <c r="A1310" t="s">
        <v>103</v>
      </c>
      <c r="B1310" t="s">
        <v>24021</v>
      </c>
      <c r="C1310" t="s">
        <v>74</v>
      </c>
      <c r="D1310" t="s">
        <v>74</v>
      </c>
      <c r="E1310" t="s">
        <v>74</v>
      </c>
      <c r="F1310" t="s">
        <v>24022</v>
      </c>
      <c r="G1310" t="s">
        <v>74</v>
      </c>
      <c r="H1310" t="s">
        <v>74</v>
      </c>
      <c r="I1310" t="s">
        <v>24023</v>
      </c>
      <c r="J1310" t="s">
        <v>4686</v>
      </c>
      <c r="K1310" t="s">
        <v>74</v>
      </c>
      <c r="L1310" t="s">
        <v>74</v>
      </c>
      <c r="M1310" t="s">
        <v>79</v>
      </c>
      <c r="N1310" t="s">
        <v>108</v>
      </c>
      <c r="O1310" t="s">
        <v>74</v>
      </c>
      <c r="P1310" t="s">
        <v>74</v>
      </c>
      <c r="Q1310" t="s">
        <v>74</v>
      </c>
      <c r="R1310" t="s">
        <v>74</v>
      </c>
      <c r="S1310" t="s">
        <v>74</v>
      </c>
      <c r="T1310" t="s">
        <v>24024</v>
      </c>
      <c r="U1310" t="s">
        <v>74</v>
      </c>
      <c r="V1310" t="s">
        <v>24025</v>
      </c>
      <c r="W1310" t="s">
        <v>24026</v>
      </c>
      <c r="X1310" t="s">
        <v>24027</v>
      </c>
      <c r="Y1310" t="s">
        <v>24028</v>
      </c>
      <c r="Z1310" t="s">
        <v>24029</v>
      </c>
      <c r="AA1310" t="s">
        <v>74</v>
      </c>
      <c r="AB1310" t="s">
        <v>74</v>
      </c>
      <c r="AC1310" t="s">
        <v>74</v>
      </c>
      <c r="AD1310" t="s">
        <v>74</v>
      </c>
      <c r="AE1310" t="s">
        <v>74</v>
      </c>
      <c r="AF1310" t="s">
        <v>74</v>
      </c>
      <c r="AG1310">
        <v>13</v>
      </c>
      <c r="AH1310">
        <v>0</v>
      </c>
      <c r="AI1310">
        <v>0</v>
      </c>
      <c r="AJ1310">
        <v>4</v>
      </c>
      <c r="AK1310">
        <v>4</v>
      </c>
      <c r="AL1310" t="s">
        <v>2032</v>
      </c>
      <c r="AM1310" t="s">
        <v>149</v>
      </c>
      <c r="AN1310" t="s">
        <v>2033</v>
      </c>
      <c r="AO1310" t="s">
        <v>74</v>
      </c>
      <c r="AP1310" t="s">
        <v>4694</v>
      </c>
      <c r="AQ1310" t="s">
        <v>74</v>
      </c>
      <c r="AR1310" t="s">
        <v>4695</v>
      </c>
      <c r="AS1310" t="s">
        <v>4696</v>
      </c>
      <c r="AT1310" t="s">
        <v>15005</v>
      </c>
      <c r="AU1310">
        <v>2023</v>
      </c>
      <c r="AV1310">
        <v>15</v>
      </c>
      <c r="AW1310">
        <v>10</v>
      </c>
      <c r="AX1310" t="s">
        <v>74</v>
      </c>
      <c r="AY1310" t="s">
        <v>74</v>
      </c>
      <c r="AZ1310" t="s">
        <v>74</v>
      </c>
      <c r="BA1310" t="s">
        <v>74</v>
      </c>
      <c r="BB1310" t="s">
        <v>74</v>
      </c>
      <c r="BC1310" t="s">
        <v>74</v>
      </c>
      <c r="BD1310" t="s">
        <v>24030</v>
      </c>
      <c r="BE1310" t="s">
        <v>24031</v>
      </c>
      <c r="BF1310" t="str">
        <f>HYPERLINK("http://dx.doi.org/10.7759/cureus.46736","http://dx.doi.org/10.7759/cureus.46736")</f>
        <v>http://dx.doi.org/10.7759/cureus.46736</v>
      </c>
      <c r="BG1310" t="s">
        <v>74</v>
      </c>
      <c r="BH1310" t="s">
        <v>74</v>
      </c>
      <c r="BI1310">
        <v>21</v>
      </c>
      <c r="BJ1310" t="s">
        <v>3440</v>
      </c>
      <c r="BK1310" t="s">
        <v>352</v>
      </c>
      <c r="BL1310" t="s">
        <v>3441</v>
      </c>
      <c r="BM1310" t="s">
        <v>24032</v>
      </c>
      <c r="BN1310">
        <v>38022227</v>
      </c>
      <c r="BO1310" t="s">
        <v>3503</v>
      </c>
      <c r="BP1310" t="s">
        <v>74</v>
      </c>
      <c r="BQ1310" t="s">
        <v>74</v>
      </c>
      <c r="BR1310" t="s">
        <v>101</v>
      </c>
      <c r="BS1310" t="s">
        <v>24033</v>
      </c>
      <c r="BT1310" t="str">
        <f>HYPERLINK("https%3A%2F%2Fwww.webofscience.com%2Fwos%2Fwoscc%2Ffull-record%2FWOS:001097006600039","View Full Record in Web of Science")</f>
        <v>View Full Record in Web of Science</v>
      </c>
    </row>
    <row r="1311" spans="1:72" x14ac:dyDescent="0.2">
      <c r="A1311" t="s">
        <v>72</v>
      </c>
      <c r="B1311" t="s">
        <v>24034</v>
      </c>
      <c r="C1311" t="s">
        <v>74</v>
      </c>
      <c r="D1311" t="s">
        <v>74</v>
      </c>
      <c r="E1311" t="s">
        <v>75</v>
      </c>
      <c r="F1311" t="s">
        <v>24035</v>
      </c>
      <c r="G1311" t="s">
        <v>74</v>
      </c>
      <c r="H1311" t="s">
        <v>74</v>
      </c>
      <c r="I1311" t="s">
        <v>24036</v>
      </c>
      <c r="J1311" t="s">
        <v>24037</v>
      </c>
      <c r="K1311" t="s">
        <v>74</v>
      </c>
      <c r="L1311" t="s">
        <v>74</v>
      </c>
      <c r="M1311" t="s">
        <v>79</v>
      </c>
      <c r="N1311" t="s">
        <v>80</v>
      </c>
      <c r="O1311" t="s">
        <v>24038</v>
      </c>
      <c r="P1311" t="s">
        <v>24039</v>
      </c>
      <c r="Q1311" t="s">
        <v>24040</v>
      </c>
      <c r="R1311" t="s">
        <v>24041</v>
      </c>
      <c r="S1311" t="s">
        <v>24042</v>
      </c>
      <c r="T1311" t="s">
        <v>24043</v>
      </c>
      <c r="U1311" t="s">
        <v>74</v>
      </c>
      <c r="V1311" t="s">
        <v>24044</v>
      </c>
      <c r="W1311" t="s">
        <v>24045</v>
      </c>
      <c r="X1311" t="s">
        <v>24046</v>
      </c>
      <c r="Y1311" t="s">
        <v>24047</v>
      </c>
      <c r="Z1311" t="s">
        <v>24048</v>
      </c>
      <c r="AA1311" t="s">
        <v>24049</v>
      </c>
      <c r="AB1311" t="s">
        <v>24050</v>
      </c>
      <c r="AC1311" t="s">
        <v>74</v>
      </c>
      <c r="AD1311" t="s">
        <v>74</v>
      </c>
      <c r="AE1311" t="s">
        <v>74</v>
      </c>
      <c r="AF1311" t="s">
        <v>74</v>
      </c>
      <c r="AG1311">
        <v>41</v>
      </c>
      <c r="AH1311">
        <v>0</v>
      </c>
      <c r="AI1311">
        <v>0</v>
      </c>
      <c r="AJ1311">
        <v>0</v>
      </c>
      <c r="AK1311">
        <v>0</v>
      </c>
      <c r="AL1311" t="s">
        <v>92</v>
      </c>
      <c r="AM1311" t="s">
        <v>93</v>
      </c>
      <c r="AN1311" t="s">
        <v>94</v>
      </c>
      <c r="AO1311" t="s">
        <v>74</v>
      </c>
      <c r="AP1311" t="s">
        <v>74</v>
      </c>
      <c r="AQ1311" t="s">
        <v>24051</v>
      </c>
      <c r="AR1311" t="s">
        <v>74</v>
      </c>
      <c r="AS1311" t="s">
        <v>74</v>
      </c>
      <c r="AT1311" t="s">
        <v>74</v>
      </c>
      <c r="AU1311">
        <v>2023</v>
      </c>
      <c r="AV1311" t="s">
        <v>74</v>
      </c>
      <c r="AW1311" t="s">
        <v>74</v>
      </c>
      <c r="AX1311" t="s">
        <v>74</v>
      </c>
      <c r="AY1311" t="s">
        <v>74</v>
      </c>
      <c r="AZ1311" t="s">
        <v>74</v>
      </c>
      <c r="BA1311" t="s">
        <v>74</v>
      </c>
      <c r="BB1311">
        <v>388</v>
      </c>
      <c r="BC1311">
        <v>396</v>
      </c>
      <c r="BD1311" t="s">
        <v>74</v>
      </c>
      <c r="BE1311" t="s">
        <v>24052</v>
      </c>
      <c r="BF1311" t="str">
        <f>HYPERLINK("http://dx.doi.org/10.1145/3577190.3614106","http://dx.doi.org/10.1145/3577190.3614106")</f>
        <v>http://dx.doi.org/10.1145/3577190.3614106</v>
      </c>
      <c r="BG1311" t="s">
        <v>74</v>
      </c>
      <c r="BH1311" t="s">
        <v>74</v>
      </c>
      <c r="BI1311">
        <v>9</v>
      </c>
      <c r="BJ1311" t="s">
        <v>331</v>
      </c>
      <c r="BK1311" t="s">
        <v>98</v>
      </c>
      <c r="BL1311" t="s">
        <v>99</v>
      </c>
      <c r="BM1311" t="s">
        <v>24053</v>
      </c>
      <c r="BN1311" t="s">
        <v>74</v>
      </c>
      <c r="BO1311" t="s">
        <v>646</v>
      </c>
      <c r="BP1311" t="s">
        <v>74</v>
      </c>
      <c r="BQ1311" t="s">
        <v>74</v>
      </c>
      <c r="BR1311" t="s">
        <v>101</v>
      </c>
      <c r="BS1311" t="s">
        <v>24054</v>
      </c>
      <c r="BT1311" t="str">
        <f>HYPERLINK("https%3A%2F%2Fwww.webofscience.com%2Fwos%2Fwoscc%2Ffull-record%2FWOS:001147764700047","View Full Record in Web of Science")</f>
        <v>View Full Record in Web of Science</v>
      </c>
    </row>
    <row r="1312" spans="1:72" x14ac:dyDescent="0.2">
      <c r="A1312" t="s">
        <v>72</v>
      </c>
      <c r="B1312" t="s">
        <v>24055</v>
      </c>
      <c r="C1312" t="s">
        <v>74</v>
      </c>
      <c r="D1312" t="s">
        <v>74</v>
      </c>
      <c r="E1312" t="s">
        <v>284</v>
      </c>
      <c r="F1312" t="s">
        <v>24056</v>
      </c>
      <c r="G1312" t="s">
        <v>74</v>
      </c>
      <c r="H1312" t="s">
        <v>74</v>
      </c>
      <c r="I1312" t="s">
        <v>24057</v>
      </c>
      <c r="J1312" t="s">
        <v>11058</v>
      </c>
      <c r="K1312" t="s">
        <v>11059</v>
      </c>
      <c r="L1312" t="s">
        <v>74</v>
      </c>
      <c r="M1312" t="s">
        <v>79</v>
      </c>
      <c r="N1312" t="s">
        <v>80</v>
      </c>
      <c r="O1312" t="s">
        <v>11060</v>
      </c>
      <c r="P1312" t="s">
        <v>11061</v>
      </c>
      <c r="Q1312" t="s">
        <v>11062</v>
      </c>
      <c r="R1312" t="s">
        <v>8249</v>
      </c>
      <c r="S1312" t="s">
        <v>74</v>
      </c>
      <c r="T1312" t="s">
        <v>74</v>
      </c>
      <c r="U1312" t="s">
        <v>74</v>
      </c>
      <c r="V1312" t="s">
        <v>24058</v>
      </c>
      <c r="W1312" t="s">
        <v>24059</v>
      </c>
      <c r="X1312" t="s">
        <v>24060</v>
      </c>
      <c r="Y1312" t="s">
        <v>24061</v>
      </c>
      <c r="Z1312" t="s">
        <v>24062</v>
      </c>
      <c r="AA1312" t="s">
        <v>24063</v>
      </c>
      <c r="AB1312" t="s">
        <v>24064</v>
      </c>
      <c r="AC1312" t="s">
        <v>24065</v>
      </c>
      <c r="AD1312" t="s">
        <v>11618</v>
      </c>
      <c r="AE1312" t="s">
        <v>24066</v>
      </c>
      <c r="AF1312" t="s">
        <v>74</v>
      </c>
      <c r="AG1312">
        <v>74</v>
      </c>
      <c r="AH1312">
        <v>2</v>
      </c>
      <c r="AI1312">
        <v>2</v>
      </c>
      <c r="AJ1312">
        <v>1</v>
      </c>
      <c r="AK1312">
        <v>1</v>
      </c>
      <c r="AL1312" t="s">
        <v>638</v>
      </c>
      <c r="AM1312" t="s">
        <v>639</v>
      </c>
      <c r="AN1312" t="s">
        <v>640</v>
      </c>
      <c r="AO1312" t="s">
        <v>11070</v>
      </c>
      <c r="AP1312" t="s">
        <v>74</v>
      </c>
      <c r="AQ1312" t="s">
        <v>11071</v>
      </c>
      <c r="AR1312" t="s">
        <v>11072</v>
      </c>
      <c r="AS1312" t="s">
        <v>74</v>
      </c>
      <c r="AT1312" t="s">
        <v>74</v>
      </c>
      <c r="AU1312">
        <v>2023</v>
      </c>
      <c r="AV1312" t="s">
        <v>74</v>
      </c>
      <c r="AW1312" t="s">
        <v>74</v>
      </c>
      <c r="AX1312" t="s">
        <v>74</v>
      </c>
      <c r="AY1312" t="s">
        <v>74</v>
      </c>
      <c r="AZ1312" t="s">
        <v>74</v>
      </c>
      <c r="BA1312" t="s">
        <v>74</v>
      </c>
      <c r="BB1312">
        <v>2287</v>
      </c>
      <c r="BC1312">
        <v>2297</v>
      </c>
      <c r="BD1312" t="s">
        <v>74</v>
      </c>
      <c r="BE1312" t="s">
        <v>24067</v>
      </c>
      <c r="BF1312" t="str">
        <f>HYPERLINK("http://dx.doi.org/10.1109/WACV56688.2023.00232","http://dx.doi.org/10.1109/WACV56688.2023.00232")</f>
        <v>http://dx.doi.org/10.1109/WACV56688.2023.00232</v>
      </c>
      <c r="BG1312" t="s">
        <v>74</v>
      </c>
      <c r="BH1312" t="s">
        <v>74</v>
      </c>
      <c r="BI1312">
        <v>11</v>
      </c>
      <c r="BJ1312" t="s">
        <v>11074</v>
      </c>
      <c r="BK1312" t="s">
        <v>98</v>
      </c>
      <c r="BL1312" t="s">
        <v>11075</v>
      </c>
      <c r="BM1312" t="s">
        <v>11076</v>
      </c>
      <c r="BN1312" t="s">
        <v>74</v>
      </c>
      <c r="BO1312" t="s">
        <v>646</v>
      </c>
      <c r="BP1312" t="s">
        <v>74</v>
      </c>
      <c r="BQ1312" t="s">
        <v>74</v>
      </c>
      <c r="BR1312" t="s">
        <v>101</v>
      </c>
      <c r="BS1312" t="s">
        <v>24068</v>
      </c>
      <c r="BT1312" t="str">
        <f>HYPERLINK("https%3A%2F%2Fwww.webofscience.com%2Fwos%2Fwoscc%2Ffull-record%2FWOS:000971500202039","View Full Record in Web of Science")</f>
        <v>View Full Record in Web of Science</v>
      </c>
    </row>
    <row r="1313" spans="1:72" x14ac:dyDescent="0.2">
      <c r="A1313" t="s">
        <v>72</v>
      </c>
      <c r="B1313" t="s">
        <v>24069</v>
      </c>
      <c r="C1313" t="s">
        <v>74</v>
      </c>
      <c r="D1313" t="s">
        <v>74</v>
      </c>
      <c r="E1313" t="s">
        <v>284</v>
      </c>
      <c r="F1313" t="s">
        <v>24070</v>
      </c>
      <c r="G1313" t="s">
        <v>74</v>
      </c>
      <c r="H1313" t="s">
        <v>74</v>
      </c>
      <c r="I1313" t="s">
        <v>24071</v>
      </c>
      <c r="J1313" t="s">
        <v>24072</v>
      </c>
      <c r="K1313" t="s">
        <v>24073</v>
      </c>
      <c r="L1313" t="s">
        <v>74</v>
      </c>
      <c r="M1313" t="s">
        <v>79</v>
      </c>
      <c r="N1313" t="s">
        <v>80</v>
      </c>
      <c r="O1313" t="s">
        <v>24074</v>
      </c>
      <c r="P1313" t="s">
        <v>24075</v>
      </c>
      <c r="Q1313" t="s">
        <v>12363</v>
      </c>
      <c r="R1313" t="s">
        <v>24076</v>
      </c>
      <c r="S1313" t="s">
        <v>74</v>
      </c>
      <c r="T1313" t="s">
        <v>24077</v>
      </c>
      <c r="U1313" t="s">
        <v>6343</v>
      </c>
      <c r="V1313" t="s">
        <v>24078</v>
      </c>
      <c r="W1313" t="s">
        <v>24079</v>
      </c>
      <c r="X1313" t="s">
        <v>24080</v>
      </c>
      <c r="Y1313" t="s">
        <v>24081</v>
      </c>
      <c r="Z1313" t="s">
        <v>24082</v>
      </c>
      <c r="AA1313" t="s">
        <v>74</v>
      </c>
      <c r="AB1313" t="s">
        <v>74</v>
      </c>
      <c r="AC1313" t="s">
        <v>74</v>
      </c>
      <c r="AD1313" t="s">
        <v>74</v>
      </c>
      <c r="AE1313" t="s">
        <v>74</v>
      </c>
      <c r="AF1313" t="s">
        <v>74</v>
      </c>
      <c r="AG1313">
        <v>24</v>
      </c>
      <c r="AH1313">
        <v>0</v>
      </c>
      <c r="AI1313">
        <v>0</v>
      </c>
      <c r="AJ1313">
        <v>0</v>
      </c>
      <c r="AK1313">
        <v>0</v>
      </c>
      <c r="AL1313" t="s">
        <v>284</v>
      </c>
      <c r="AM1313" t="s">
        <v>93</v>
      </c>
      <c r="AN1313" t="s">
        <v>299</v>
      </c>
      <c r="AO1313" t="s">
        <v>74</v>
      </c>
      <c r="AP1313" t="s">
        <v>74</v>
      </c>
      <c r="AQ1313" t="s">
        <v>24083</v>
      </c>
      <c r="AR1313" t="s">
        <v>24084</v>
      </c>
      <c r="AS1313" t="s">
        <v>74</v>
      </c>
      <c r="AT1313" t="s">
        <v>74</v>
      </c>
      <c r="AU1313">
        <v>2023</v>
      </c>
      <c r="AV1313" t="s">
        <v>74</v>
      </c>
      <c r="AW1313" t="s">
        <v>74</v>
      </c>
      <c r="AX1313" t="s">
        <v>74</v>
      </c>
      <c r="AY1313" t="s">
        <v>74</v>
      </c>
      <c r="AZ1313" t="s">
        <v>74</v>
      </c>
      <c r="BA1313" t="s">
        <v>74</v>
      </c>
      <c r="BB1313">
        <v>6205</v>
      </c>
      <c r="BC1313">
        <v>6210</v>
      </c>
      <c r="BD1313" t="s">
        <v>74</v>
      </c>
      <c r="BE1313" t="s">
        <v>24085</v>
      </c>
      <c r="BF1313" t="str">
        <f>HYPERLINK("http://dx.doi.org/10.1109/ICC45041.2023.10279339","http://dx.doi.org/10.1109/ICC45041.2023.10279339")</f>
        <v>http://dx.doi.org/10.1109/ICC45041.2023.10279339</v>
      </c>
      <c r="BG1313" t="s">
        <v>74</v>
      </c>
      <c r="BH1313" t="s">
        <v>74</v>
      </c>
      <c r="BI1313">
        <v>6</v>
      </c>
      <c r="BJ1313" t="s">
        <v>256</v>
      </c>
      <c r="BK1313" t="s">
        <v>98</v>
      </c>
      <c r="BL1313" t="s">
        <v>256</v>
      </c>
      <c r="BM1313" t="s">
        <v>24086</v>
      </c>
      <c r="BN1313" t="s">
        <v>74</v>
      </c>
      <c r="BO1313" t="s">
        <v>646</v>
      </c>
      <c r="BP1313" t="s">
        <v>74</v>
      </c>
      <c r="BQ1313" t="s">
        <v>74</v>
      </c>
      <c r="BR1313" t="s">
        <v>101</v>
      </c>
      <c r="BS1313" t="s">
        <v>24087</v>
      </c>
      <c r="BT1313" t="str">
        <f>HYPERLINK("https%3A%2F%2Fwww.webofscience.com%2Fwos%2Fwoscc%2Ffull-record%2FWOS:001094862606055","View Full Record in Web of Science")</f>
        <v>View Full Record in Web of Science</v>
      </c>
    </row>
    <row r="1314" spans="1:72" x14ac:dyDescent="0.2">
      <c r="A1314" t="s">
        <v>103</v>
      </c>
      <c r="B1314" t="s">
        <v>23929</v>
      </c>
      <c r="C1314" t="s">
        <v>74</v>
      </c>
      <c r="D1314" t="s">
        <v>74</v>
      </c>
      <c r="E1314" t="s">
        <v>74</v>
      </c>
      <c r="F1314" t="s">
        <v>23930</v>
      </c>
      <c r="G1314" t="s">
        <v>74</v>
      </c>
      <c r="H1314" t="s">
        <v>74</v>
      </c>
      <c r="I1314" t="s">
        <v>23931</v>
      </c>
      <c r="J1314" t="s">
        <v>22570</v>
      </c>
      <c r="K1314" t="s">
        <v>74</v>
      </c>
      <c r="L1314" t="s">
        <v>74</v>
      </c>
      <c r="M1314" t="s">
        <v>79</v>
      </c>
      <c r="N1314" t="s">
        <v>108</v>
      </c>
      <c r="O1314" t="s">
        <v>74</v>
      </c>
      <c r="P1314" t="s">
        <v>74</v>
      </c>
      <c r="Q1314" t="s">
        <v>74</v>
      </c>
      <c r="R1314" t="s">
        <v>74</v>
      </c>
      <c r="S1314" t="s">
        <v>74</v>
      </c>
      <c r="T1314" t="s">
        <v>23932</v>
      </c>
      <c r="U1314" t="s">
        <v>74</v>
      </c>
      <c r="V1314" t="s">
        <v>23933</v>
      </c>
      <c r="W1314" t="s">
        <v>23934</v>
      </c>
      <c r="X1314" t="s">
        <v>23935</v>
      </c>
      <c r="Y1314" t="s">
        <v>23936</v>
      </c>
      <c r="Z1314" t="s">
        <v>23937</v>
      </c>
      <c r="AA1314" t="s">
        <v>23938</v>
      </c>
      <c r="AB1314" t="s">
        <v>23939</v>
      </c>
      <c r="AC1314" t="s">
        <v>23940</v>
      </c>
      <c r="AD1314" t="s">
        <v>23941</v>
      </c>
      <c r="AE1314" t="s">
        <v>23942</v>
      </c>
      <c r="AF1314" t="s">
        <v>74</v>
      </c>
      <c r="AG1314">
        <v>0</v>
      </c>
      <c r="AH1314">
        <v>0</v>
      </c>
      <c r="AI1314">
        <v>0</v>
      </c>
      <c r="AJ1314">
        <v>1</v>
      </c>
      <c r="AK1314">
        <v>1</v>
      </c>
      <c r="AL1314" t="s">
        <v>764</v>
      </c>
      <c r="AM1314" t="s">
        <v>765</v>
      </c>
      <c r="AN1314" t="s">
        <v>766</v>
      </c>
      <c r="AO1314" t="s">
        <v>22579</v>
      </c>
      <c r="AP1314" t="s">
        <v>22580</v>
      </c>
      <c r="AQ1314" t="s">
        <v>74</v>
      </c>
      <c r="AR1314" t="s">
        <v>22581</v>
      </c>
      <c r="AS1314" t="s">
        <v>22582</v>
      </c>
      <c r="AT1314" t="s">
        <v>527</v>
      </c>
      <c r="AU1314">
        <v>2023</v>
      </c>
      <c r="AV1314">
        <v>176</v>
      </c>
      <c r="AW1314" t="s">
        <v>74</v>
      </c>
      <c r="AX1314" t="s">
        <v>74</v>
      </c>
      <c r="AY1314" t="s">
        <v>74</v>
      </c>
      <c r="AZ1314" t="s">
        <v>74</v>
      </c>
      <c r="BA1314" t="s">
        <v>74</v>
      </c>
      <c r="BB1314">
        <v>14</v>
      </c>
      <c r="BC1314">
        <v>20</v>
      </c>
      <c r="BD1314" t="s">
        <v>74</v>
      </c>
      <c r="BE1314" t="s">
        <v>23943</v>
      </c>
      <c r="BF1314" t="str">
        <f>HYPERLINK("http://dx.doi.org/10.1016/j.patrec.2023.10.010","http://dx.doi.org/10.1016/j.patrec.2023.10.010")</f>
        <v>http://dx.doi.org/10.1016/j.patrec.2023.10.010</v>
      </c>
      <c r="BG1314" t="s">
        <v>74</v>
      </c>
      <c r="BH1314" t="s">
        <v>1886</v>
      </c>
      <c r="BI1314">
        <v>7</v>
      </c>
      <c r="BJ1314" t="s">
        <v>304</v>
      </c>
      <c r="BK1314" t="s">
        <v>130</v>
      </c>
      <c r="BL1314" t="s">
        <v>99</v>
      </c>
      <c r="BM1314" t="s">
        <v>24088</v>
      </c>
      <c r="BN1314" t="s">
        <v>74</v>
      </c>
      <c r="BO1314" t="s">
        <v>161</v>
      </c>
      <c r="BP1314" t="s">
        <v>74</v>
      </c>
      <c r="BQ1314" t="s">
        <v>74</v>
      </c>
      <c r="BR1314" t="s">
        <v>101</v>
      </c>
      <c r="BS1314" t="s">
        <v>24089</v>
      </c>
      <c r="BT1314" t="str">
        <f>HYPERLINK("https%3A%2F%2Fwww.webofscience.com%2Fwos%2Fwoscc%2Ffull-record%2FWOS:001137603800005","View Full Record in Web of Science")</f>
        <v>View Full Record in Web of Science</v>
      </c>
    </row>
    <row r="1315" spans="1:72" x14ac:dyDescent="0.2">
      <c r="A1315" t="s">
        <v>72</v>
      </c>
      <c r="B1315" t="s">
        <v>24090</v>
      </c>
      <c r="C1315" t="s">
        <v>74</v>
      </c>
      <c r="D1315" t="s">
        <v>74</v>
      </c>
      <c r="E1315" t="s">
        <v>284</v>
      </c>
      <c r="F1315" t="s">
        <v>24091</v>
      </c>
      <c r="G1315" t="s">
        <v>74</v>
      </c>
      <c r="H1315" t="s">
        <v>74</v>
      </c>
      <c r="I1315" t="s">
        <v>24092</v>
      </c>
      <c r="J1315" t="s">
        <v>8245</v>
      </c>
      <c r="K1315" t="s">
        <v>8246</v>
      </c>
      <c r="L1315" t="s">
        <v>74</v>
      </c>
      <c r="M1315" t="s">
        <v>79</v>
      </c>
      <c r="N1315" t="s">
        <v>80</v>
      </c>
      <c r="O1315" t="s">
        <v>8247</v>
      </c>
      <c r="P1315" t="s">
        <v>8248</v>
      </c>
      <c r="Q1315" t="s">
        <v>6017</v>
      </c>
      <c r="R1315" t="s">
        <v>8249</v>
      </c>
      <c r="S1315" t="s">
        <v>74</v>
      </c>
      <c r="T1315" t="s">
        <v>74</v>
      </c>
      <c r="U1315" t="s">
        <v>5999</v>
      </c>
      <c r="V1315" t="s">
        <v>24093</v>
      </c>
      <c r="W1315" t="s">
        <v>24094</v>
      </c>
      <c r="X1315" t="s">
        <v>24095</v>
      </c>
      <c r="Y1315" t="s">
        <v>24096</v>
      </c>
      <c r="Z1315" t="s">
        <v>24097</v>
      </c>
      <c r="AA1315" t="s">
        <v>74</v>
      </c>
      <c r="AB1315" t="s">
        <v>74</v>
      </c>
      <c r="AC1315" t="s">
        <v>24098</v>
      </c>
      <c r="AD1315" t="s">
        <v>24099</v>
      </c>
      <c r="AE1315" t="s">
        <v>24100</v>
      </c>
      <c r="AF1315" t="s">
        <v>74</v>
      </c>
      <c r="AG1315">
        <v>94</v>
      </c>
      <c r="AH1315">
        <v>3</v>
      </c>
      <c r="AI1315">
        <v>3</v>
      </c>
      <c r="AJ1315">
        <v>4</v>
      </c>
      <c r="AK1315">
        <v>4</v>
      </c>
      <c r="AL1315" t="s">
        <v>638</v>
      </c>
      <c r="AM1315" t="s">
        <v>639</v>
      </c>
      <c r="AN1315" t="s">
        <v>640</v>
      </c>
      <c r="AO1315" t="s">
        <v>8260</v>
      </c>
      <c r="AP1315" t="s">
        <v>74</v>
      </c>
      <c r="AQ1315" t="s">
        <v>8261</v>
      </c>
      <c r="AR1315" t="s">
        <v>8262</v>
      </c>
      <c r="AS1315" t="s">
        <v>74</v>
      </c>
      <c r="AT1315" t="s">
        <v>74</v>
      </c>
      <c r="AU1315">
        <v>2023</v>
      </c>
      <c r="AV1315" t="s">
        <v>74</v>
      </c>
      <c r="AW1315" t="s">
        <v>74</v>
      </c>
      <c r="AX1315" t="s">
        <v>74</v>
      </c>
      <c r="AY1315" t="s">
        <v>74</v>
      </c>
      <c r="AZ1315" t="s">
        <v>74</v>
      </c>
      <c r="BA1315" t="s">
        <v>74</v>
      </c>
      <c r="BB1315">
        <v>16750</v>
      </c>
      <c r="BC1315">
        <v>16761</v>
      </c>
      <c r="BD1315" t="s">
        <v>74</v>
      </c>
      <c r="BE1315" t="s">
        <v>24101</v>
      </c>
      <c r="BF1315" t="str">
        <f>HYPERLINK("http://dx.doi.org/10.1109/CVPR52729.2023.01607","http://dx.doi.org/10.1109/CVPR52729.2023.01607")</f>
        <v>http://dx.doi.org/10.1109/CVPR52729.2023.01607</v>
      </c>
      <c r="BG1315" t="s">
        <v>74</v>
      </c>
      <c r="BH1315" t="s">
        <v>74</v>
      </c>
      <c r="BI1315">
        <v>12</v>
      </c>
      <c r="BJ1315" t="s">
        <v>304</v>
      </c>
      <c r="BK1315" t="s">
        <v>98</v>
      </c>
      <c r="BL1315" t="s">
        <v>99</v>
      </c>
      <c r="BM1315" t="s">
        <v>9731</v>
      </c>
      <c r="BN1315" t="s">
        <v>74</v>
      </c>
      <c r="BO1315" t="s">
        <v>646</v>
      </c>
      <c r="BP1315" t="s">
        <v>74</v>
      </c>
      <c r="BQ1315" t="s">
        <v>74</v>
      </c>
      <c r="BR1315" t="s">
        <v>101</v>
      </c>
      <c r="BS1315" t="s">
        <v>24102</v>
      </c>
      <c r="BT1315" t="str">
        <f>HYPERLINK("https%3A%2F%2Fwww.webofscience.com%2Fwos%2Fwoscc%2Ffull-record%2FWOS:001062531301006","View Full Record in Web of Science")</f>
        <v>View Full Record in Web of Science</v>
      </c>
    </row>
    <row r="1316" spans="1:72" x14ac:dyDescent="0.2">
      <c r="A1316" t="s">
        <v>72</v>
      </c>
      <c r="B1316" t="s">
        <v>24103</v>
      </c>
      <c r="C1316" t="s">
        <v>74</v>
      </c>
      <c r="D1316" t="s">
        <v>74</v>
      </c>
      <c r="E1316" t="s">
        <v>75</v>
      </c>
      <c r="F1316" t="s">
        <v>24104</v>
      </c>
      <c r="G1316" t="s">
        <v>74</v>
      </c>
      <c r="H1316" t="s">
        <v>74</v>
      </c>
      <c r="I1316" t="s">
        <v>24105</v>
      </c>
      <c r="J1316" t="s">
        <v>11855</v>
      </c>
      <c r="K1316" t="s">
        <v>74</v>
      </c>
      <c r="L1316" t="s">
        <v>74</v>
      </c>
      <c r="M1316" t="s">
        <v>79</v>
      </c>
      <c r="N1316" t="s">
        <v>80</v>
      </c>
      <c r="O1316" t="s">
        <v>11856</v>
      </c>
      <c r="P1316" t="s">
        <v>11857</v>
      </c>
      <c r="Q1316" t="s">
        <v>11858</v>
      </c>
      <c r="R1316" t="s">
        <v>11859</v>
      </c>
      <c r="S1316" t="s">
        <v>74</v>
      </c>
      <c r="T1316" t="s">
        <v>24106</v>
      </c>
      <c r="U1316" t="s">
        <v>74</v>
      </c>
      <c r="V1316" t="s">
        <v>24107</v>
      </c>
      <c r="W1316" t="s">
        <v>24108</v>
      </c>
      <c r="X1316" t="s">
        <v>24109</v>
      </c>
      <c r="Y1316" t="s">
        <v>24110</v>
      </c>
      <c r="Z1316" t="s">
        <v>74</v>
      </c>
      <c r="AA1316" t="s">
        <v>74</v>
      </c>
      <c r="AB1316" t="s">
        <v>24111</v>
      </c>
      <c r="AC1316" t="s">
        <v>24112</v>
      </c>
      <c r="AD1316" t="s">
        <v>24113</v>
      </c>
      <c r="AE1316" t="s">
        <v>24114</v>
      </c>
      <c r="AF1316" t="s">
        <v>74</v>
      </c>
      <c r="AG1316">
        <v>73</v>
      </c>
      <c r="AH1316">
        <v>0</v>
      </c>
      <c r="AI1316">
        <v>0</v>
      </c>
      <c r="AJ1316">
        <v>1</v>
      </c>
      <c r="AK1316">
        <v>1</v>
      </c>
      <c r="AL1316" t="s">
        <v>92</v>
      </c>
      <c r="AM1316" t="s">
        <v>93</v>
      </c>
      <c r="AN1316" t="s">
        <v>94</v>
      </c>
      <c r="AO1316" t="s">
        <v>74</v>
      </c>
      <c r="AP1316" t="s">
        <v>74</v>
      </c>
      <c r="AQ1316" t="s">
        <v>11869</v>
      </c>
      <c r="AR1316" t="s">
        <v>74</v>
      </c>
      <c r="AS1316" t="s">
        <v>74</v>
      </c>
      <c r="AT1316" t="s">
        <v>74</v>
      </c>
      <c r="AU1316">
        <v>2023</v>
      </c>
      <c r="AV1316" t="s">
        <v>74</v>
      </c>
      <c r="AW1316" t="s">
        <v>74</v>
      </c>
      <c r="AX1316" t="s">
        <v>74</v>
      </c>
      <c r="AY1316" t="s">
        <v>74</v>
      </c>
      <c r="AZ1316" t="s">
        <v>74</v>
      </c>
      <c r="BA1316" t="s">
        <v>74</v>
      </c>
      <c r="BB1316">
        <v>73</v>
      </c>
      <c r="BC1316">
        <v>83</v>
      </c>
      <c r="BD1316" t="s">
        <v>74</v>
      </c>
      <c r="BE1316" t="s">
        <v>24115</v>
      </c>
      <c r="BF1316" t="str">
        <f>HYPERLINK("http://dx.doi.org/10.1145/3624918.3625322","http://dx.doi.org/10.1145/3624918.3625322")</f>
        <v>http://dx.doi.org/10.1145/3624918.3625322</v>
      </c>
      <c r="BG1316" t="s">
        <v>74</v>
      </c>
      <c r="BH1316" t="s">
        <v>74</v>
      </c>
      <c r="BI1316">
        <v>11</v>
      </c>
      <c r="BJ1316" t="s">
        <v>9511</v>
      </c>
      <c r="BK1316" t="s">
        <v>98</v>
      </c>
      <c r="BL1316" t="s">
        <v>99</v>
      </c>
      <c r="BM1316" t="s">
        <v>11871</v>
      </c>
      <c r="BN1316" t="s">
        <v>74</v>
      </c>
      <c r="BO1316" t="s">
        <v>646</v>
      </c>
      <c r="BP1316" t="s">
        <v>74</v>
      </c>
      <c r="BQ1316" t="s">
        <v>74</v>
      </c>
      <c r="BR1316" t="s">
        <v>101</v>
      </c>
      <c r="BS1316" t="s">
        <v>24116</v>
      </c>
      <c r="BT1316" t="str">
        <f>HYPERLINK("https%3A%2F%2Fwww.webofscience.com%2Fwos%2Fwoscc%2Ffull-record%2FWOS:001122582700009","View Full Record in Web of Science")</f>
        <v>View Full Record in Web of Science</v>
      </c>
    </row>
    <row r="1317" spans="1:72" x14ac:dyDescent="0.2">
      <c r="A1317" t="s">
        <v>72</v>
      </c>
      <c r="B1317" t="s">
        <v>24117</v>
      </c>
      <c r="C1317" t="s">
        <v>74</v>
      </c>
      <c r="D1317" t="s">
        <v>74</v>
      </c>
      <c r="E1317" t="s">
        <v>75</v>
      </c>
      <c r="F1317" t="s">
        <v>24118</v>
      </c>
      <c r="G1317" t="s">
        <v>74</v>
      </c>
      <c r="H1317" t="s">
        <v>74</v>
      </c>
      <c r="I1317" t="s">
        <v>24119</v>
      </c>
      <c r="J1317" t="s">
        <v>1264</v>
      </c>
      <c r="K1317" t="s">
        <v>74</v>
      </c>
      <c r="L1317" t="s">
        <v>74</v>
      </c>
      <c r="M1317" t="s">
        <v>79</v>
      </c>
      <c r="N1317" t="s">
        <v>80</v>
      </c>
      <c r="O1317" t="s">
        <v>1265</v>
      </c>
      <c r="P1317" t="s">
        <v>290</v>
      </c>
      <c r="Q1317" t="s">
        <v>1266</v>
      </c>
      <c r="R1317" t="s">
        <v>1267</v>
      </c>
      <c r="S1317" t="s">
        <v>74</v>
      </c>
      <c r="T1317" t="s">
        <v>74</v>
      </c>
      <c r="U1317" t="s">
        <v>24120</v>
      </c>
      <c r="V1317" t="s">
        <v>24121</v>
      </c>
      <c r="W1317" t="s">
        <v>24122</v>
      </c>
      <c r="X1317" t="s">
        <v>24123</v>
      </c>
      <c r="Y1317" t="s">
        <v>24124</v>
      </c>
      <c r="Z1317" t="s">
        <v>24125</v>
      </c>
      <c r="AA1317" t="s">
        <v>24126</v>
      </c>
      <c r="AB1317" t="s">
        <v>24127</v>
      </c>
      <c r="AC1317" t="s">
        <v>74</v>
      </c>
      <c r="AD1317" t="s">
        <v>74</v>
      </c>
      <c r="AE1317" t="s">
        <v>74</v>
      </c>
      <c r="AF1317" t="s">
        <v>74</v>
      </c>
      <c r="AG1317">
        <v>37</v>
      </c>
      <c r="AH1317">
        <v>0</v>
      </c>
      <c r="AI1317">
        <v>0</v>
      </c>
      <c r="AJ1317">
        <v>1</v>
      </c>
      <c r="AK1317">
        <v>1</v>
      </c>
      <c r="AL1317" t="s">
        <v>92</v>
      </c>
      <c r="AM1317" t="s">
        <v>93</v>
      </c>
      <c r="AN1317" t="s">
        <v>94</v>
      </c>
      <c r="AO1317" t="s">
        <v>74</v>
      </c>
      <c r="AP1317" t="s">
        <v>74</v>
      </c>
      <c r="AQ1317" t="s">
        <v>1278</v>
      </c>
      <c r="AR1317" t="s">
        <v>74</v>
      </c>
      <c r="AS1317" t="s">
        <v>74</v>
      </c>
      <c r="AT1317" t="s">
        <v>74</v>
      </c>
      <c r="AU1317">
        <v>2023</v>
      </c>
      <c r="AV1317" t="s">
        <v>74</v>
      </c>
      <c r="AW1317" t="s">
        <v>74</v>
      </c>
      <c r="AX1317" t="s">
        <v>74</v>
      </c>
      <c r="AY1317" t="s">
        <v>74</v>
      </c>
      <c r="AZ1317" t="s">
        <v>74</v>
      </c>
      <c r="BA1317" t="s">
        <v>74</v>
      </c>
      <c r="BB1317">
        <v>133</v>
      </c>
      <c r="BC1317">
        <v>140</v>
      </c>
      <c r="BD1317" t="s">
        <v>74</v>
      </c>
      <c r="BE1317" t="s">
        <v>24128</v>
      </c>
      <c r="BF1317" t="str">
        <f>HYPERLINK("http://dx.doi.org/10.1145/3604237.3626882","http://dx.doi.org/10.1145/3604237.3626882")</f>
        <v>http://dx.doi.org/10.1145/3604237.3626882</v>
      </c>
      <c r="BG1317" t="s">
        <v>74</v>
      </c>
      <c r="BH1317" t="s">
        <v>74</v>
      </c>
      <c r="BI1317">
        <v>8</v>
      </c>
      <c r="BJ1317" t="s">
        <v>1280</v>
      </c>
      <c r="BK1317" t="s">
        <v>180</v>
      </c>
      <c r="BL1317" t="s">
        <v>1281</v>
      </c>
      <c r="BM1317" t="s">
        <v>1282</v>
      </c>
      <c r="BN1317" t="s">
        <v>74</v>
      </c>
      <c r="BO1317" t="s">
        <v>646</v>
      </c>
      <c r="BP1317" t="s">
        <v>74</v>
      </c>
      <c r="BQ1317" t="s">
        <v>74</v>
      </c>
      <c r="BR1317" t="s">
        <v>101</v>
      </c>
      <c r="BS1317" t="s">
        <v>24129</v>
      </c>
      <c r="BT1317" t="str">
        <f>HYPERLINK("https%3A%2F%2Fwww.webofscience.com%2Fwos%2Fwoscc%2Ffull-record%2FWOS:001124982700016","View Full Record in Web of Science")</f>
        <v>View Full Record in Web of Science</v>
      </c>
    </row>
    <row r="1318" spans="1:72" x14ac:dyDescent="0.2">
      <c r="A1318" t="s">
        <v>72</v>
      </c>
      <c r="B1318" t="s">
        <v>24130</v>
      </c>
      <c r="C1318" t="s">
        <v>74</v>
      </c>
      <c r="D1318" t="s">
        <v>74</v>
      </c>
      <c r="E1318" t="s">
        <v>284</v>
      </c>
      <c r="F1318" t="s">
        <v>24131</v>
      </c>
      <c r="G1318" t="s">
        <v>74</v>
      </c>
      <c r="H1318" t="s">
        <v>74</v>
      </c>
      <c r="I1318" t="s">
        <v>24132</v>
      </c>
      <c r="J1318" t="s">
        <v>15558</v>
      </c>
      <c r="K1318" t="s">
        <v>15559</v>
      </c>
      <c r="L1318" t="s">
        <v>74</v>
      </c>
      <c r="M1318" t="s">
        <v>79</v>
      </c>
      <c r="N1318" t="s">
        <v>80</v>
      </c>
      <c r="O1318" t="s">
        <v>15560</v>
      </c>
      <c r="P1318" t="s">
        <v>15561</v>
      </c>
      <c r="Q1318" t="s">
        <v>15562</v>
      </c>
      <c r="R1318" t="s">
        <v>15563</v>
      </c>
      <c r="S1318" t="s">
        <v>74</v>
      </c>
      <c r="T1318" t="s">
        <v>24133</v>
      </c>
      <c r="U1318" t="s">
        <v>74</v>
      </c>
      <c r="V1318" t="s">
        <v>24134</v>
      </c>
      <c r="W1318" t="s">
        <v>24135</v>
      </c>
      <c r="X1318" t="s">
        <v>24136</v>
      </c>
      <c r="Y1318" t="s">
        <v>24137</v>
      </c>
      <c r="Z1318" t="s">
        <v>24138</v>
      </c>
      <c r="AA1318" t="s">
        <v>74</v>
      </c>
      <c r="AB1318" t="s">
        <v>74</v>
      </c>
      <c r="AC1318" t="s">
        <v>24139</v>
      </c>
      <c r="AD1318" t="s">
        <v>24140</v>
      </c>
      <c r="AE1318" t="s">
        <v>24141</v>
      </c>
      <c r="AF1318" t="s">
        <v>74</v>
      </c>
      <c r="AG1318">
        <v>33</v>
      </c>
      <c r="AH1318">
        <v>0</v>
      </c>
      <c r="AI1318">
        <v>0</v>
      </c>
      <c r="AJ1318">
        <v>0</v>
      </c>
      <c r="AK1318">
        <v>0</v>
      </c>
      <c r="AL1318" t="s">
        <v>284</v>
      </c>
      <c r="AM1318" t="s">
        <v>93</v>
      </c>
      <c r="AN1318" t="s">
        <v>299</v>
      </c>
      <c r="AO1318" t="s">
        <v>15572</v>
      </c>
      <c r="AP1318" t="s">
        <v>74</v>
      </c>
      <c r="AQ1318" t="s">
        <v>15573</v>
      </c>
      <c r="AR1318" t="s">
        <v>15574</v>
      </c>
      <c r="AS1318" t="s">
        <v>74</v>
      </c>
      <c r="AT1318" t="s">
        <v>74</v>
      </c>
      <c r="AU1318">
        <v>2023</v>
      </c>
      <c r="AV1318" t="s">
        <v>74</v>
      </c>
      <c r="AW1318" t="s">
        <v>74</v>
      </c>
      <c r="AX1318" t="s">
        <v>74</v>
      </c>
      <c r="AY1318" t="s">
        <v>74</v>
      </c>
      <c r="AZ1318" t="s">
        <v>74</v>
      </c>
      <c r="BA1318" t="s">
        <v>74</v>
      </c>
      <c r="BB1318" t="s">
        <v>74</v>
      </c>
      <c r="BC1318" t="s">
        <v>74</v>
      </c>
      <c r="BD1318" t="s">
        <v>74</v>
      </c>
      <c r="BE1318" t="s">
        <v>24142</v>
      </c>
      <c r="BF1318" t="str">
        <f>HYPERLINK("http://dx.doi.org/10.1109/WIFS58808.2023.10374576","http://dx.doi.org/10.1109/WIFS58808.2023.10374576")</f>
        <v>http://dx.doi.org/10.1109/WIFS58808.2023.10374576</v>
      </c>
      <c r="BG1318" t="s">
        <v>74</v>
      </c>
      <c r="BH1318" t="s">
        <v>74</v>
      </c>
      <c r="BI1318">
        <v>6</v>
      </c>
      <c r="BJ1318" t="s">
        <v>15576</v>
      </c>
      <c r="BK1318" t="s">
        <v>98</v>
      </c>
      <c r="BL1318" t="s">
        <v>906</v>
      </c>
      <c r="BM1318" t="s">
        <v>15577</v>
      </c>
      <c r="BN1318" t="s">
        <v>74</v>
      </c>
      <c r="BO1318" t="s">
        <v>646</v>
      </c>
      <c r="BP1318" t="s">
        <v>74</v>
      </c>
      <c r="BQ1318" t="s">
        <v>74</v>
      </c>
      <c r="BR1318" t="s">
        <v>101</v>
      </c>
      <c r="BS1318" t="s">
        <v>24143</v>
      </c>
      <c r="BT1318" t="str">
        <f>HYPERLINK("https%3A%2F%2Fwww.webofscience.com%2Fwos%2Fwoscc%2Ffull-record%2FWOS:001156967300002","View Full Record in Web of Science")</f>
        <v>View Full Record in Web of Science</v>
      </c>
    </row>
    <row r="1319" spans="1:72" x14ac:dyDescent="0.2">
      <c r="A1319" t="s">
        <v>103</v>
      </c>
      <c r="B1319" t="s">
        <v>24144</v>
      </c>
      <c r="C1319" t="s">
        <v>74</v>
      </c>
      <c r="D1319" t="s">
        <v>74</v>
      </c>
      <c r="E1319" t="s">
        <v>74</v>
      </c>
      <c r="F1319" t="s">
        <v>24145</v>
      </c>
      <c r="G1319" t="s">
        <v>74</v>
      </c>
      <c r="H1319" t="s">
        <v>74</v>
      </c>
      <c r="I1319" t="s">
        <v>24146</v>
      </c>
      <c r="J1319" t="s">
        <v>6146</v>
      </c>
      <c r="K1319" t="s">
        <v>74</v>
      </c>
      <c r="L1319" t="s">
        <v>74</v>
      </c>
      <c r="M1319" t="s">
        <v>79</v>
      </c>
      <c r="N1319" t="s">
        <v>108</v>
      </c>
      <c r="O1319" t="s">
        <v>74</v>
      </c>
      <c r="P1319" t="s">
        <v>74</v>
      </c>
      <c r="Q1319" t="s">
        <v>74</v>
      </c>
      <c r="R1319" t="s">
        <v>74</v>
      </c>
      <c r="S1319" t="s">
        <v>74</v>
      </c>
      <c r="T1319" t="s">
        <v>24147</v>
      </c>
      <c r="U1319" t="s">
        <v>24148</v>
      </c>
      <c r="V1319" t="s">
        <v>24149</v>
      </c>
      <c r="W1319" t="s">
        <v>24150</v>
      </c>
      <c r="X1319" t="s">
        <v>24151</v>
      </c>
      <c r="Y1319" t="s">
        <v>24152</v>
      </c>
      <c r="Z1319" t="s">
        <v>24153</v>
      </c>
      <c r="AA1319" t="s">
        <v>74</v>
      </c>
      <c r="AB1319" t="s">
        <v>74</v>
      </c>
      <c r="AC1319" t="s">
        <v>24154</v>
      </c>
      <c r="AD1319" t="s">
        <v>24155</v>
      </c>
      <c r="AE1319" t="s">
        <v>24156</v>
      </c>
      <c r="AF1319" t="s">
        <v>74</v>
      </c>
      <c r="AG1319">
        <v>51</v>
      </c>
      <c r="AH1319">
        <v>1</v>
      </c>
      <c r="AI1319">
        <v>1</v>
      </c>
      <c r="AJ1319">
        <v>1</v>
      </c>
      <c r="AK1319">
        <v>1</v>
      </c>
      <c r="AL1319" t="s">
        <v>764</v>
      </c>
      <c r="AM1319" t="s">
        <v>765</v>
      </c>
      <c r="AN1319" t="s">
        <v>766</v>
      </c>
      <c r="AO1319" t="s">
        <v>6154</v>
      </c>
      <c r="AP1319" t="s">
        <v>74</v>
      </c>
      <c r="AQ1319" t="s">
        <v>74</v>
      </c>
      <c r="AR1319" t="s">
        <v>6155</v>
      </c>
      <c r="AS1319" t="s">
        <v>6156</v>
      </c>
      <c r="AT1319" t="s">
        <v>2016</v>
      </c>
      <c r="AU1319">
        <v>2023</v>
      </c>
      <c r="AV1319">
        <v>11</v>
      </c>
      <c r="AW1319" t="s">
        <v>74</v>
      </c>
      <c r="AX1319" t="s">
        <v>74</v>
      </c>
      <c r="AY1319" t="s">
        <v>74</v>
      </c>
      <c r="AZ1319" t="s">
        <v>74</v>
      </c>
      <c r="BA1319" t="s">
        <v>74</v>
      </c>
      <c r="BB1319" t="s">
        <v>74</v>
      </c>
      <c r="BC1319" t="s">
        <v>74</v>
      </c>
      <c r="BD1319">
        <v>100207</v>
      </c>
      <c r="BE1319" t="s">
        <v>24157</v>
      </c>
      <c r="BF1319" t="str">
        <f>HYPERLINK("http://dx.doi.org/10.1016/j.egyai.2022.100207","http://dx.doi.org/10.1016/j.egyai.2022.100207")</f>
        <v>http://dx.doi.org/10.1016/j.egyai.2022.100207</v>
      </c>
      <c r="BG1319" t="s">
        <v>74</v>
      </c>
      <c r="BH1319" t="s">
        <v>74</v>
      </c>
      <c r="BI1319">
        <v>12</v>
      </c>
      <c r="BJ1319" t="s">
        <v>6158</v>
      </c>
      <c r="BK1319" t="s">
        <v>352</v>
      </c>
      <c r="BL1319" t="s">
        <v>6159</v>
      </c>
      <c r="BM1319" t="s">
        <v>24158</v>
      </c>
      <c r="BN1319" t="s">
        <v>74</v>
      </c>
      <c r="BO1319" t="s">
        <v>425</v>
      </c>
      <c r="BP1319" t="s">
        <v>74</v>
      </c>
      <c r="BQ1319" t="s">
        <v>74</v>
      </c>
      <c r="BR1319" t="s">
        <v>101</v>
      </c>
      <c r="BS1319" t="s">
        <v>24159</v>
      </c>
      <c r="BT1319" t="str">
        <f>HYPERLINK("https%3A%2F%2Fwww.webofscience.com%2Fwos%2Fwoscc%2Ffull-record%2FWOS:001106746200001","View Full Record in Web of Science")</f>
        <v>View Full Record in Web of Science</v>
      </c>
    </row>
    <row r="1320" spans="1:72" x14ac:dyDescent="0.2">
      <c r="A1320" t="s">
        <v>103</v>
      </c>
      <c r="B1320" t="s">
        <v>24160</v>
      </c>
      <c r="C1320" t="s">
        <v>74</v>
      </c>
      <c r="D1320" t="s">
        <v>74</v>
      </c>
      <c r="E1320" t="s">
        <v>74</v>
      </c>
      <c r="F1320" t="s">
        <v>24161</v>
      </c>
      <c r="G1320" t="s">
        <v>74</v>
      </c>
      <c r="H1320" t="s">
        <v>74</v>
      </c>
      <c r="I1320" t="s">
        <v>24162</v>
      </c>
      <c r="J1320" t="s">
        <v>1370</v>
      </c>
      <c r="K1320" t="s">
        <v>74</v>
      </c>
      <c r="L1320" t="s">
        <v>74</v>
      </c>
      <c r="M1320" t="s">
        <v>79</v>
      </c>
      <c r="N1320" t="s">
        <v>108</v>
      </c>
      <c r="O1320" t="s">
        <v>74</v>
      </c>
      <c r="P1320" t="s">
        <v>74</v>
      </c>
      <c r="Q1320" t="s">
        <v>74</v>
      </c>
      <c r="R1320" t="s">
        <v>74</v>
      </c>
      <c r="S1320" t="s">
        <v>74</v>
      </c>
      <c r="T1320" t="s">
        <v>24163</v>
      </c>
      <c r="U1320" t="s">
        <v>74</v>
      </c>
      <c r="V1320" t="s">
        <v>24164</v>
      </c>
      <c r="W1320" t="s">
        <v>24165</v>
      </c>
      <c r="X1320" t="s">
        <v>24166</v>
      </c>
      <c r="Y1320" t="s">
        <v>24167</v>
      </c>
      <c r="Z1320" t="s">
        <v>24168</v>
      </c>
      <c r="AA1320" t="s">
        <v>24169</v>
      </c>
      <c r="AB1320" t="s">
        <v>24170</v>
      </c>
      <c r="AC1320" t="s">
        <v>24171</v>
      </c>
      <c r="AD1320" t="s">
        <v>24172</v>
      </c>
      <c r="AE1320" t="s">
        <v>24173</v>
      </c>
      <c r="AF1320" t="s">
        <v>74</v>
      </c>
      <c r="AG1320">
        <v>53</v>
      </c>
      <c r="AH1320">
        <v>0</v>
      </c>
      <c r="AI1320">
        <v>0</v>
      </c>
      <c r="AJ1320">
        <v>0</v>
      </c>
      <c r="AK1320">
        <v>0</v>
      </c>
      <c r="AL1320" t="s">
        <v>1379</v>
      </c>
      <c r="AM1320" t="s">
        <v>1380</v>
      </c>
      <c r="AN1320" t="s">
        <v>1381</v>
      </c>
      <c r="AO1320" t="s">
        <v>1382</v>
      </c>
      <c r="AP1320" t="s">
        <v>74</v>
      </c>
      <c r="AQ1320" t="s">
        <v>74</v>
      </c>
      <c r="AR1320" t="s">
        <v>1370</v>
      </c>
      <c r="AS1320" t="s">
        <v>1383</v>
      </c>
      <c r="AT1320" t="s">
        <v>74</v>
      </c>
      <c r="AU1320">
        <v>2023</v>
      </c>
      <c r="AV1320">
        <v>11</v>
      </c>
      <c r="AW1320" t="s">
        <v>74</v>
      </c>
      <c r="AX1320" t="s">
        <v>74</v>
      </c>
      <c r="AY1320" t="s">
        <v>74</v>
      </c>
      <c r="AZ1320" t="s">
        <v>74</v>
      </c>
      <c r="BA1320" t="s">
        <v>74</v>
      </c>
      <c r="BB1320">
        <v>92120</v>
      </c>
      <c r="BC1320">
        <v>92134</v>
      </c>
      <c r="BD1320" t="s">
        <v>74</v>
      </c>
      <c r="BE1320" t="s">
        <v>24174</v>
      </c>
      <c r="BF1320" t="str">
        <f>HYPERLINK("http://dx.doi.org/10.1109/ACCESS.2023.3306836","http://dx.doi.org/10.1109/ACCESS.2023.3306836")</f>
        <v>http://dx.doi.org/10.1109/ACCESS.2023.3306836</v>
      </c>
      <c r="BG1320" t="s">
        <v>74</v>
      </c>
      <c r="BH1320" t="s">
        <v>74</v>
      </c>
      <c r="BI1320">
        <v>15</v>
      </c>
      <c r="BJ1320" t="s">
        <v>1385</v>
      </c>
      <c r="BK1320" t="s">
        <v>130</v>
      </c>
      <c r="BL1320" t="s">
        <v>1386</v>
      </c>
      <c r="BM1320" t="s">
        <v>24175</v>
      </c>
      <c r="BN1320" t="s">
        <v>74</v>
      </c>
      <c r="BO1320" t="s">
        <v>425</v>
      </c>
      <c r="BP1320" t="s">
        <v>74</v>
      </c>
      <c r="BQ1320" t="s">
        <v>74</v>
      </c>
      <c r="BR1320" t="s">
        <v>101</v>
      </c>
      <c r="BS1320" t="s">
        <v>24176</v>
      </c>
      <c r="BT1320" t="str">
        <f>HYPERLINK("https%3A%2F%2Fwww.webofscience.com%2Fwos%2Fwoscc%2Ffull-record%2FWOS:001060281800001","View Full Record in Web of Science")</f>
        <v>View Full Record in Web of Science</v>
      </c>
    </row>
    <row r="1321" spans="1:72" x14ac:dyDescent="0.2">
      <c r="A1321" t="s">
        <v>72</v>
      </c>
      <c r="B1321" t="s">
        <v>24177</v>
      </c>
      <c r="C1321" t="s">
        <v>74</v>
      </c>
      <c r="D1321" t="s">
        <v>74</v>
      </c>
      <c r="E1321" t="s">
        <v>284</v>
      </c>
      <c r="F1321" t="s">
        <v>24178</v>
      </c>
      <c r="G1321" t="s">
        <v>74</v>
      </c>
      <c r="H1321" t="s">
        <v>74</v>
      </c>
      <c r="I1321" t="s">
        <v>24179</v>
      </c>
      <c r="J1321" t="s">
        <v>8245</v>
      </c>
      <c r="K1321" t="s">
        <v>8246</v>
      </c>
      <c r="L1321" t="s">
        <v>74</v>
      </c>
      <c r="M1321" t="s">
        <v>79</v>
      </c>
      <c r="N1321" t="s">
        <v>80</v>
      </c>
      <c r="O1321" t="s">
        <v>8247</v>
      </c>
      <c r="P1321" t="s">
        <v>8248</v>
      </c>
      <c r="Q1321" t="s">
        <v>6017</v>
      </c>
      <c r="R1321" t="s">
        <v>8249</v>
      </c>
      <c r="S1321" t="s">
        <v>74</v>
      </c>
      <c r="T1321" t="s">
        <v>74</v>
      </c>
      <c r="U1321" t="s">
        <v>74</v>
      </c>
      <c r="V1321" t="s">
        <v>24180</v>
      </c>
      <c r="W1321" t="s">
        <v>24181</v>
      </c>
      <c r="X1321" t="s">
        <v>24182</v>
      </c>
      <c r="Y1321" t="s">
        <v>24183</v>
      </c>
      <c r="Z1321" t="s">
        <v>24184</v>
      </c>
      <c r="AA1321" t="s">
        <v>74</v>
      </c>
      <c r="AB1321" t="s">
        <v>74</v>
      </c>
      <c r="AC1321" t="s">
        <v>24185</v>
      </c>
      <c r="AD1321" t="s">
        <v>24186</v>
      </c>
      <c r="AE1321" t="s">
        <v>24187</v>
      </c>
      <c r="AF1321" t="s">
        <v>74</v>
      </c>
      <c r="AG1321">
        <v>77</v>
      </c>
      <c r="AH1321">
        <v>4</v>
      </c>
      <c r="AI1321">
        <v>5</v>
      </c>
      <c r="AJ1321">
        <v>2</v>
      </c>
      <c r="AK1321">
        <v>2</v>
      </c>
      <c r="AL1321" t="s">
        <v>638</v>
      </c>
      <c r="AM1321" t="s">
        <v>639</v>
      </c>
      <c r="AN1321" t="s">
        <v>640</v>
      </c>
      <c r="AO1321" t="s">
        <v>8260</v>
      </c>
      <c r="AP1321" t="s">
        <v>74</v>
      </c>
      <c r="AQ1321" t="s">
        <v>8261</v>
      </c>
      <c r="AR1321" t="s">
        <v>8262</v>
      </c>
      <c r="AS1321" t="s">
        <v>74</v>
      </c>
      <c r="AT1321" t="s">
        <v>74</v>
      </c>
      <c r="AU1321">
        <v>2023</v>
      </c>
      <c r="AV1321" t="s">
        <v>74</v>
      </c>
      <c r="AW1321" t="s">
        <v>74</v>
      </c>
      <c r="AX1321" t="s">
        <v>74</v>
      </c>
      <c r="AY1321" t="s">
        <v>74</v>
      </c>
      <c r="AZ1321" t="s">
        <v>74</v>
      </c>
      <c r="BA1321" t="s">
        <v>74</v>
      </c>
      <c r="BB1321">
        <v>22669</v>
      </c>
      <c r="BC1321">
        <v>22679</v>
      </c>
      <c r="BD1321" t="s">
        <v>74</v>
      </c>
      <c r="BE1321" t="s">
        <v>24188</v>
      </c>
      <c r="BF1321" t="str">
        <f>HYPERLINK("http://dx.doi.org/10.1109/CVPR52729.2023.02171","http://dx.doi.org/10.1109/CVPR52729.2023.02171")</f>
        <v>http://dx.doi.org/10.1109/CVPR52729.2023.02171</v>
      </c>
      <c r="BG1321" t="s">
        <v>74</v>
      </c>
      <c r="BH1321" t="s">
        <v>74</v>
      </c>
      <c r="BI1321">
        <v>11</v>
      </c>
      <c r="BJ1321" t="s">
        <v>304</v>
      </c>
      <c r="BK1321" t="s">
        <v>98</v>
      </c>
      <c r="BL1321" t="s">
        <v>99</v>
      </c>
      <c r="BM1321" t="s">
        <v>9731</v>
      </c>
      <c r="BN1321" t="s">
        <v>74</v>
      </c>
      <c r="BO1321" t="s">
        <v>646</v>
      </c>
      <c r="BP1321" t="s">
        <v>74</v>
      </c>
      <c r="BQ1321" t="s">
        <v>74</v>
      </c>
      <c r="BR1321" t="s">
        <v>101</v>
      </c>
      <c r="BS1321" t="s">
        <v>24189</v>
      </c>
      <c r="BT1321" t="str">
        <f>HYPERLINK("https%3A%2F%2Fwww.webofscience.com%2Fwos%2Fwoscc%2Ffull-record%2FWOS:001062531307001","View Full Record in Web of Science")</f>
        <v>View Full Record in Web of Science</v>
      </c>
    </row>
    <row r="1322" spans="1:72" x14ac:dyDescent="0.2">
      <c r="A1322" t="s">
        <v>103</v>
      </c>
      <c r="B1322" t="s">
        <v>24190</v>
      </c>
      <c r="C1322" t="s">
        <v>74</v>
      </c>
      <c r="D1322" t="s">
        <v>74</v>
      </c>
      <c r="E1322" t="s">
        <v>74</v>
      </c>
      <c r="F1322" t="s">
        <v>24191</v>
      </c>
      <c r="G1322" t="s">
        <v>74</v>
      </c>
      <c r="H1322" t="s">
        <v>74</v>
      </c>
      <c r="I1322" t="s">
        <v>24192</v>
      </c>
      <c r="J1322" t="s">
        <v>4686</v>
      </c>
      <c r="K1322" t="s">
        <v>74</v>
      </c>
      <c r="L1322" t="s">
        <v>74</v>
      </c>
      <c r="M1322" t="s">
        <v>79</v>
      </c>
      <c r="N1322" t="s">
        <v>108</v>
      </c>
      <c r="O1322" t="s">
        <v>74</v>
      </c>
      <c r="P1322" t="s">
        <v>74</v>
      </c>
      <c r="Q1322" t="s">
        <v>74</v>
      </c>
      <c r="R1322" t="s">
        <v>74</v>
      </c>
      <c r="S1322" t="s">
        <v>74</v>
      </c>
      <c r="T1322" t="s">
        <v>24193</v>
      </c>
      <c r="U1322" t="s">
        <v>24194</v>
      </c>
      <c r="V1322" t="s">
        <v>24195</v>
      </c>
      <c r="W1322" t="s">
        <v>24196</v>
      </c>
      <c r="X1322" t="s">
        <v>24197</v>
      </c>
      <c r="Y1322" t="s">
        <v>24198</v>
      </c>
      <c r="Z1322" t="s">
        <v>24199</v>
      </c>
      <c r="AA1322" t="s">
        <v>74</v>
      </c>
      <c r="AB1322" t="s">
        <v>74</v>
      </c>
      <c r="AC1322" t="s">
        <v>74</v>
      </c>
      <c r="AD1322" t="s">
        <v>74</v>
      </c>
      <c r="AE1322" t="s">
        <v>74</v>
      </c>
      <c r="AF1322" t="s">
        <v>74</v>
      </c>
      <c r="AG1322">
        <v>27</v>
      </c>
      <c r="AH1322">
        <v>1</v>
      </c>
      <c r="AI1322">
        <v>1</v>
      </c>
      <c r="AJ1322">
        <v>1</v>
      </c>
      <c r="AK1322">
        <v>2</v>
      </c>
      <c r="AL1322" t="s">
        <v>2032</v>
      </c>
      <c r="AM1322" t="s">
        <v>149</v>
      </c>
      <c r="AN1322" t="s">
        <v>2033</v>
      </c>
      <c r="AO1322" t="s">
        <v>74</v>
      </c>
      <c r="AP1322" t="s">
        <v>4694</v>
      </c>
      <c r="AQ1322" t="s">
        <v>74</v>
      </c>
      <c r="AR1322" t="s">
        <v>4695</v>
      </c>
      <c r="AS1322" t="s">
        <v>4696</v>
      </c>
      <c r="AT1322" t="s">
        <v>11112</v>
      </c>
      <c r="AU1322">
        <v>2023</v>
      </c>
      <c r="AV1322">
        <v>15</v>
      </c>
      <c r="AW1322">
        <v>7</v>
      </c>
      <c r="AX1322" t="s">
        <v>74</v>
      </c>
      <c r="AY1322" t="s">
        <v>74</v>
      </c>
      <c r="AZ1322" t="s">
        <v>74</v>
      </c>
      <c r="BA1322" t="s">
        <v>74</v>
      </c>
      <c r="BB1322" t="s">
        <v>74</v>
      </c>
      <c r="BC1322" t="s">
        <v>74</v>
      </c>
      <c r="BD1322" t="s">
        <v>24200</v>
      </c>
      <c r="BE1322" t="s">
        <v>24201</v>
      </c>
      <c r="BF1322" t="str">
        <f>HYPERLINK("http://dx.doi.org/10.7759/cureus.42668","http://dx.doi.org/10.7759/cureus.42668")</f>
        <v>http://dx.doi.org/10.7759/cureus.42668</v>
      </c>
      <c r="BG1322" t="s">
        <v>74</v>
      </c>
      <c r="BH1322" t="s">
        <v>74</v>
      </c>
      <c r="BI1322">
        <v>11</v>
      </c>
      <c r="BJ1322" t="s">
        <v>3440</v>
      </c>
      <c r="BK1322" t="s">
        <v>352</v>
      </c>
      <c r="BL1322" t="s">
        <v>3441</v>
      </c>
      <c r="BM1322" t="s">
        <v>24202</v>
      </c>
      <c r="BN1322">
        <v>37525863</v>
      </c>
      <c r="BO1322" t="s">
        <v>1728</v>
      </c>
      <c r="BP1322" t="s">
        <v>74</v>
      </c>
      <c r="BQ1322" t="s">
        <v>74</v>
      </c>
      <c r="BR1322" t="s">
        <v>101</v>
      </c>
      <c r="BS1322" t="s">
        <v>24203</v>
      </c>
      <c r="BT1322" t="str">
        <f>HYPERLINK("https%3A%2F%2Fwww.webofscience.com%2Fwos%2Fwoscc%2Ffull-record%2FWOS:001106951100008","View Full Record in Web of Science")</f>
        <v>View Full Record in Web of Science</v>
      </c>
    </row>
    <row r="1323" spans="1:72" x14ac:dyDescent="0.2">
      <c r="A1323" t="s">
        <v>103</v>
      </c>
      <c r="B1323" t="s">
        <v>24204</v>
      </c>
      <c r="C1323" t="s">
        <v>74</v>
      </c>
      <c r="D1323" t="s">
        <v>74</v>
      </c>
      <c r="E1323" t="s">
        <v>74</v>
      </c>
      <c r="F1323" t="s">
        <v>24205</v>
      </c>
      <c r="G1323" t="s">
        <v>74</v>
      </c>
      <c r="H1323" t="s">
        <v>74</v>
      </c>
      <c r="I1323" t="s">
        <v>24206</v>
      </c>
      <c r="J1323" t="s">
        <v>4778</v>
      </c>
      <c r="K1323" t="s">
        <v>74</v>
      </c>
      <c r="L1323" t="s">
        <v>74</v>
      </c>
      <c r="M1323" t="s">
        <v>79</v>
      </c>
      <c r="N1323" t="s">
        <v>4779</v>
      </c>
      <c r="O1323" t="s">
        <v>4780</v>
      </c>
      <c r="P1323" t="s">
        <v>914</v>
      </c>
      <c r="Q1323" t="s">
        <v>4781</v>
      </c>
      <c r="R1323" t="s">
        <v>3661</v>
      </c>
      <c r="S1323" t="s">
        <v>74</v>
      </c>
      <c r="T1323" t="s">
        <v>24207</v>
      </c>
      <c r="U1323" t="s">
        <v>24208</v>
      </c>
      <c r="V1323" t="s">
        <v>24209</v>
      </c>
      <c r="W1323" t="s">
        <v>24210</v>
      </c>
      <c r="X1323" t="s">
        <v>24211</v>
      </c>
      <c r="Y1323" t="s">
        <v>24212</v>
      </c>
      <c r="Z1323" t="s">
        <v>24213</v>
      </c>
      <c r="AA1323" t="s">
        <v>74</v>
      </c>
      <c r="AB1323" t="s">
        <v>74</v>
      </c>
      <c r="AC1323" t="s">
        <v>24214</v>
      </c>
      <c r="AD1323" t="s">
        <v>24215</v>
      </c>
      <c r="AE1323" t="s">
        <v>24216</v>
      </c>
      <c r="AF1323" t="s">
        <v>74</v>
      </c>
      <c r="AG1323">
        <v>152</v>
      </c>
      <c r="AH1323">
        <v>2</v>
      </c>
      <c r="AI1323">
        <v>2</v>
      </c>
      <c r="AJ1323">
        <v>4</v>
      </c>
      <c r="AK1323">
        <v>6</v>
      </c>
      <c r="AL1323" t="s">
        <v>92</v>
      </c>
      <c r="AM1323" t="s">
        <v>93</v>
      </c>
      <c r="AN1323" t="s">
        <v>3186</v>
      </c>
      <c r="AO1323" t="s">
        <v>4794</v>
      </c>
      <c r="AP1323" t="s">
        <v>4795</v>
      </c>
      <c r="AQ1323" t="s">
        <v>74</v>
      </c>
      <c r="AR1323" t="s">
        <v>4796</v>
      </c>
      <c r="AS1323" t="s">
        <v>4797</v>
      </c>
      <c r="AT1323" t="s">
        <v>791</v>
      </c>
      <c r="AU1323">
        <v>2023</v>
      </c>
      <c r="AV1323">
        <v>42</v>
      </c>
      <c r="AW1323">
        <v>4</v>
      </c>
      <c r="AX1323" t="s">
        <v>74</v>
      </c>
      <c r="AY1323" t="s">
        <v>74</v>
      </c>
      <c r="AZ1323" t="s">
        <v>74</v>
      </c>
      <c r="BA1323" t="s">
        <v>74</v>
      </c>
      <c r="BB1323" t="s">
        <v>74</v>
      </c>
      <c r="BC1323" t="s">
        <v>74</v>
      </c>
      <c r="BD1323">
        <v>44</v>
      </c>
      <c r="BE1323" t="s">
        <v>24217</v>
      </c>
      <c r="BF1323" t="str">
        <f>HYPERLINK("http://dx.doi.org/10.1145/3592458","http://dx.doi.org/10.1145/3592458")</f>
        <v>http://dx.doi.org/10.1145/3592458</v>
      </c>
      <c r="BG1323" t="s">
        <v>74</v>
      </c>
      <c r="BH1323" t="s">
        <v>74</v>
      </c>
      <c r="BI1323">
        <v>20</v>
      </c>
      <c r="BJ1323" t="s">
        <v>1563</v>
      </c>
      <c r="BK1323" t="s">
        <v>4799</v>
      </c>
      <c r="BL1323" t="s">
        <v>99</v>
      </c>
      <c r="BM1323" t="s">
        <v>4800</v>
      </c>
      <c r="BN1323" t="s">
        <v>74</v>
      </c>
      <c r="BO1323" t="s">
        <v>2568</v>
      </c>
      <c r="BP1323" t="s">
        <v>74</v>
      </c>
      <c r="BQ1323" t="s">
        <v>74</v>
      </c>
      <c r="BR1323" t="s">
        <v>101</v>
      </c>
      <c r="BS1323" t="s">
        <v>24218</v>
      </c>
      <c r="BT1323" t="str">
        <f>HYPERLINK("https%3A%2F%2Fwww.webofscience.com%2Fwos%2Fwoscc%2Ffull-record%2FWOS:001044671300010","View Full Record in Web of Science")</f>
        <v>View Full Record in Web of Science</v>
      </c>
    </row>
    <row r="1324" spans="1:72" x14ac:dyDescent="0.2">
      <c r="A1324" t="s">
        <v>103</v>
      </c>
      <c r="B1324" t="s">
        <v>24219</v>
      </c>
      <c r="C1324" t="s">
        <v>74</v>
      </c>
      <c r="D1324" t="s">
        <v>74</v>
      </c>
      <c r="E1324" t="s">
        <v>74</v>
      </c>
      <c r="F1324" t="s">
        <v>24220</v>
      </c>
      <c r="G1324" t="s">
        <v>74</v>
      </c>
      <c r="H1324" t="s">
        <v>74</v>
      </c>
      <c r="I1324" t="s">
        <v>24221</v>
      </c>
      <c r="J1324" t="s">
        <v>24222</v>
      </c>
      <c r="K1324" t="s">
        <v>74</v>
      </c>
      <c r="L1324" t="s">
        <v>74</v>
      </c>
      <c r="M1324" t="s">
        <v>79</v>
      </c>
      <c r="N1324" t="s">
        <v>108</v>
      </c>
      <c r="O1324" t="s">
        <v>74</v>
      </c>
      <c r="P1324" t="s">
        <v>74</v>
      </c>
      <c r="Q1324" t="s">
        <v>74</v>
      </c>
      <c r="R1324" t="s">
        <v>74</v>
      </c>
      <c r="S1324" t="s">
        <v>74</v>
      </c>
      <c r="T1324" t="s">
        <v>24223</v>
      </c>
      <c r="U1324" t="s">
        <v>24224</v>
      </c>
      <c r="V1324" t="s">
        <v>24225</v>
      </c>
      <c r="W1324" t="s">
        <v>24226</v>
      </c>
      <c r="X1324" t="s">
        <v>24227</v>
      </c>
      <c r="Y1324" t="s">
        <v>24228</v>
      </c>
      <c r="Z1324" t="s">
        <v>24229</v>
      </c>
      <c r="AA1324" t="s">
        <v>74</v>
      </c>
      <c r="AB1324" t="s">
        <v>24230</v>
      </c>
      <c r="AC1324" t="s">
        <v>24231</v>
      </c>
      <c r="AD1324" t="s">
        <v>24232</v>
      </c>
      <c r="AE1324" t="s">
        <v>24233</v>
      </c>
      <c r="AF1324" t="s">
        <v>74</v>
      </c>
      <c r="AG1324">
        <v>35</v>
      </c>
      <c r="AH1324">
        <v>1</v>
      </c>
      <c r="AI1324">
        <v>1</v>
      </c>
      <c r="AJ1324">
        <v>6</v>
      </c>
      <c r="AK1324">
        <v>16</v>
      </c>
      <c r="AL1324" t="s">
        <v>2032</v>
      </c>
      <c r="AM1324" t="s">
        <v>149</v>
      </c>
      <c r="AN1324" t="s">
        <v>2033</v>
      </c>
      <c r="AO1324" t="s">
        <v>24234</v>
      </c>
      <c r="AP1324" t="s">
        <v>24235</v>
      </c>
      <c r="AQ1324" t="s">
        <v>74</v>
      </c>
      <c r="AR1324" t="s">
        <v>24236</v>
      </c>
      <c r="AS1324" t="s">
        <v>24237</v>
      </c>
      <c r="AT1324" t="s">
        <v>24238</v>
      </c>
      <c r="AU1324">
        <v>2023</v>
      </c>
      <c r="AV1324">
        <v>12</v>
      </c>
      <c r="AW1324">
        <v>1</v>
      </c>
      <c r="AX1324" t="s">
        <v>74</v>
      </c>
      <c r="AY1324" t="s">
        <v>74</v>
      </c>
      <c r="AZ1324" t="s">
        <v>74</v>
      </c>
      <c r="BA1324" t="s">
        <v>74</v>
      </c>
      <c r="BB1324" t="s">
        <v>74</v>
      </c>
      <c r="BC1324" t="s">
        <v>74</v>
      </c>
      <c r="BD1324">
        <v>13</v>
      </c>
      <c r="BE1324" t="s">
        <v>24239</v>
      </c>
      <c r="BF1324" t="str">
        <f>HYPERLINK("http://dx.doi.org/10.1007/s13721-023-00409-2","http://dx.doi.org/10.1007/s13721-023-00409-2")</f>
        <v>http://dx.doi.org/10.1007/s13721-023-00409-2</v>
      </c>
      <c r="BG1324" t="s">
        <v>74</v>
      </c>
      <c r="BH1324" t="s">
        <v>74</v>
      </c>
      <c r="BI1324">
        <v>13</v>
      </c>
      <c r="BJ1324" t="s">
        <v>24240</v>
      </c>
      <c r="BK1324" t="s">
        <v>352</v>
      </c>
      <c r="BL1324" t="s">
        <v>24240</v>
      </c>
      <c r="BM1324" t="s">
        <v>24241</v>
      </c>
      <c r="BN1324">
        <v>36627927</v>
      </c>
      <c r="BO1324" t="s">
        <v>17828</v>
      </c>
      <c r="BP1324" t="s">
        <v>74</v>
      </c>
      <c r="BQ1324" t="s">
        <v>74</v>
      </c>
      <c r="BR1324" t="s">
        <v>101</v>
      </c>
      <c r="BS1324" t="s">
        <v>24242</v>
      </c>
      <c r="BT1324" t="str">
        <f>HYPERLINK("https%3A%2F%2Fwww.webofscience.com%2Fwos%2Fwoscc%2Ffull-record%2FWOS:000909692400001","View Full Record in Web of Science")</f>
        <v>View Full Record in Web of Science</v>
      </c>
    </row>
    <row r="1325" spans="1:72" x14ac:dyDescent="0.2">
      <c r="A1325" t="s">
        <v>72</v>
      </c>
      <c r="B1325" t="s">
        <v>24243</v>
      </c>
      <c r="C1325" t="s">
        <v>74</v>
      </c>
      <c r="D1325" t="s">
        <v>24244</v>
      </c>
      <c r="E1325" t="s">
        <v>74</v>
      </c>
      <c r="F1325" t="s">
        <v>24245</v>
      </c>
      <c r="G1325" t="s">
        <v>74</v>
      </c>
      <c r="H1325" t="s">
        <v>74</v>
      </c>
      <c r="I1325" t="s">
        <v>24246</v>
      </c>
      <c r="J1325" t="s">
        <v>24247</v>
      </c>
      <c r="K1325" t="s">
        <v>312</v>
      </c>
      <c r="L1325" t="s">
        <v>74</v>
      </c>
      <c r="M1325" t="s">
        <v>79</v>
      </c>
      <c r="N1325" t="s">
        <v>80</v>
      </c>
      <c r="O1325" t="s">
        <v>24248</v>
      </c>
      <c r="P1325" t="s">
        <v>24249</v>
      </c>
      <c r="Q1325" t="s">
        <v>24250</v>
      </c>
      <c r="R1325" t="s">
        <v>24251</v>
      </c>
      <c r="S1325" t="s">
        <v>74</v>
      </c>
      <c r="T1325" t="s">
        <v>24252</v>
      </c>
      <c r="U1325" t="s">
        <v>74</v>
      </c>
      <c r="V1325" t="s">
        <v>24253</v>
      </c>
      <c r="W1325" t="s">
        <v>24254</v>
      </c>
      <c r="X1325" t="s">
        <v>24255</v>
      </c>
      <c r="Y1325" t="s">
        <v>24256</v>
      </c>
      <c r="Z1325" t="s">
        <v>24257</v>
      </c>
      <c r="AA1325" t="s">
        <v>24258</v>
      </c>
      <c r="AB1325" t="s">
        <v>24259</v>
      </c>
      <c r="AC1325" t="s">
        <v>24260</v>
      </c>
      <c r="AD1325" t="s">
        <v>24261</v>
      </c>
      <c r="AE1325" t="s">
        <v>24262</v>
      </c>
      <c r="AF1325" t="s">
        <v>74</v>
      </c>
      <c r="AG1325">
        <v>40</v>
      </c>
      <c r="AH1325">
        <v>0</v>
      </c>
      <c r="AI1325">
        <v>0</v>
      </c>
      <c r="AJ1325">
        <v>3</v>
      </c>
      <c r="AK1325">
        <v>3</v>
      </c>
      <c r="AL1325" t="s">
        <v>325</v>
      </c>
      <c r="AM1325" t="s">
        <v>245</v>
      </c>
      <c r="AN1325" t="s">
        <v>246</v>
      </c>
      <c r="AO1325" t="s">
        <v>326</v>
      </c>
      <c r="AP1325" t="s">
        <v>327</v>
      </c>
      <c r="AQ1325" t="s">
        <v>24263</v>
      </c>
      <c r="AR1325" t="s">
        <v>329</v>
      </c>
      <c r="AS1325" t="s">
        <v>74</v>
      </c>
      <c r="AT1325" t="s">
        <v>74</v>
      </c>
      <c r="AU1325">
        <v>2023</v>
      </c>
      <c r="AV1325">
        <v>13847</v>
      </c>
      <c r="AW1325" t="s">
        <v>74</v>
      </c>
      <c r="AX1325" t="s">
        <v>74</v>
      </c>
      <c r="AY1325" t="s">
        <v>74</v>
      </c>
      <c r="AZ1325" t="s">
        <v>74</v>
      </c>
      <c r="BA1325" t="s">
        <v>74</v>
      </c>
      <c r="BB1325">
        <v>37</v>
      </c>
      <c r="BC1325">
        <v>53</v>
      </c>
      <c r="BD1325" t="s">
        <v>74</v>
      </c>
      <c r="BE1325" t="s">
        <v>24264</v>
      </c>
      <c r="BF1325" t="str">
        <f>HYPERLINK("http://dx.doi.org/10.1007/978-3-031-26293-7_3","http://dx.doi.org/10.1007/978-3-031-26293-7_3")</f>
        <v>http://dx.doi.org/10.1007/978-3-031-26293-7_3</v>
      </c>
      <c r="BG1325" t="s">
        <v>74</v>
      </c>
      <c r="BH1325" t="s">
        <v>74</v>
      </c>
      <c r="BI1325">
        <v>17</v>
      </c>
      <c r="BJ1325" t="s">
        <v>331</v>
      </c>
      <c r="BK1325" t="s">
        <v>98</v>
      </c>
      <c r="BL1325" t="s">
        <v>99</v>
      </c>
      <c r="BM1325" t="s">
        <v>24265</v>
      </c>
      <c r="BN1325" t="s">
        <v>74</v>
      </c>
      <c r="BO1325" t="s">
        <v>74</v>
      </c>
      <c r="BP1325" t="s">
        <v>74</v>
      </c>
      <c r="BQ1325" t="s">
        <v>74</v>
      </c>
      <c r="BR1325" t="s">
        <v>101</v>
      </c>
      <c r="BS1325" t="s">
        <v>24266</v>
      </c>
      <c r="BT1325" t="str">
        <f>HYPERLINK("https%3A%2F%2Fwww.webofscience.com%2Fwos%2Fwoscc%2Ffull-record%2FWOS:001000816900003","View Full Record in Web of Science")</f>
        <v>View Full Record in Web of Science</v>
      </c>
    </row>
    <row r="1326" spans="1:72" x14ac:dyDescent="0.2">
      <c r="A1326" t="s">
        <v>103</v>
      </c>
      <c r="B1326" t="s">
        <v>24267</v>
      </c>
      <c r="C1326" t="s">
        <v>74</v>
      </c>
      <c r="D1326" t="s">
        <v>74</v>
      </c>
      <c r="E1326" t="s">
        <v>74</v>
      </c>
      <c r="F1326" t="s">
        <v>24268</v>
      </c>
      <c r="G1326" t="s">
        <v>74</v>
      </c>
      <c r="H1326" t="s">
        <v>74</v>
      </c>
      <c r="I1326" t="s">
        <v>24269</v>
      </c>
      <c r="J1326" t="s">
        <v>4108</v>
      </c>
      <c r="K1326" t="s">
        <v>74</v>
      </c>
      <c r="L1326" t="s">
        <v>74</v>
      </c>
      <c r="M1326" t="s">
        <v>79</v>
      </c>
      <c r="N1326" t="s">
        <v>138</v>
      </c>
      <c r="O1326" t="s">
        <v>74</v>
      </c>
      <c r="P1326" t="s">
        <v>74</v>
      </c>
      <c r="Q1326" t="s">
        <v>74</v>
      </c>
      <c r="R1326" t="s">
        <v>74</v>
      </c>
      <c r="S1326" t="s">
        <v>74</v>
      </c>
      <c r="T1326" t="s">
        <v>24270</v>
      </c>
      <c r="U1326" t="s">
        <v>24271</v>
      </c>
      <c r="V1326" t="s">
        <v>24272</v>
      </c>
      <c r="W1326" t="s">
        <v>24273</v>
      </c>
      <c r="X1326" t="s">
        <v>74</v>
      </c>
      <c r="Y1326" t="s">
        <v>24274</v>
      </c>
      <c r="Z1326" t="s">
        <v>24275</v>
      </c>
      <c r="AA1326" t="s">
        <v>24276</v>
      </c>
      <c r="AB1326" t="s">
        <v>74</v>
      </c>
      <c r="AC1326" t="s">
        <v>24277</v>
      </c>
      <c r="AD1326" t="s">
        <v>24278</v>
      </c>
      <c r="AE1326" t="s">
        <v>24279</v>
      </c>
      <c r="AF1326" t="s">
        <v>74</v>
      </c>
      <c r="AG1326">
        <v>49</v>
      </c>
      <c r="AH1326">
        <v>0</v>
      </c>
      <c r="AI1326">
        <v>0</v>
      </c>
      <c r="AJ1326">
        <v>1</v>
      </c>
      <c r="AK1326">
        <v>2</v>
      </c>
      <c r="AL1326" t="s">
        <v>343</v>
      </c>
      <c r="AM1326" t="s">
        <v>521</v>
      </c>
      <c r="AN1326" t="s">
        <v>522</v>
      </c>
      <c r="AO1326" t="s">
        <v>4115</v>
      </c>
      <c r="AP1326" t="s">
        <v>4116</v>
      </c>
      <c r="AQ1326" t="s">
        <v>74</v>
      </c>
      <c r="AR1326" t="s">
        <v>4117</v>
      </c>
      <c r="AS1326" t="s">
        <v>4118</v>
      </c>
      <c r="AT1326" t="s">
        <v>24280</v>
      </c>
      <c r="AU1326">
        <v>2023</v>
      </c>
      <c r="AV1326" t="s">
        <v>74</v>
      </c>
      <c r="AW1326" t="s">
        <v>74</v>
      </c>
      <c r="AX1326" t="s">
        <v>74</v>
      </c>
      <c r="AY1326" t="s">
        <v>74</v>
      </c>
      <c r="AZ1326" t="s">
        <v>74</v>
      </c>
      <c r="BA1326" t="s">
        <v>74</v>
      </c>
      <c r="BB1326" t="s">
        <v>74</v>
      </c>
      <c r="BC1326" t="s">
        <v>74</v>
      </c>
      <c r="BD1326" t="s">
        <v>74</v>
      </c>
      <c r="BE1326" t="s">
        <v>24281</v>
      </c>
      <c r="BF1326" t="str">
        <f>HYPERLINK("http://dx.doi.org/10.1007/s11042-023-16196-x","http://dx.doi.org/10.1007/s11042-023-16196-x")</f>
        <v>http://dx.doi.org/10.1007/s11042-023-16196-x</v>
      </c>
      <c r="BG1326" t="s">
        <v>74</v>
      </c>
      <c r="BH1326" t="s">
        <v>229</v>
      </c>
      <c r="BI1326">
        <v>24</v>
      </c>
      <c r="BJ1326" t="s">
        <v>4120</v>
      </c>
      <c r="BK1326" t="s">
        <v>130</v>
      </c>
      <c r="BL1326" t="s">
        <v>906</v>
      </c>
      <c r="BM1326" t="s">
        <v>24282</v>
      </c>
      <c r="BN1326" t="s">
        <v>74</v>
      </c>
      <c r="BO1326" t="s">
        <v>74</v>
      </c>
      <c r="BP1326" t="s">
        <v>74</v>
      </c>
      <c r="BQ1326" t="s">
        <v>74</v>
      </c>
      <c r="BR1326" t="s">
        <v>101</v>
      </c>
      <c r="BS1326" t="s">
        <v>24283</v>
      </c>
      <c r="BT1326" t="str">
        <f>HYPERLINK("https%3A%2F%2Fwww.webofscience.com%2Fwos%2Fwoscc%2Ffull-record%2FWOS:001033457500003","View Full Record in Web of Science")</f>
        <v>View Full Record in Web of Science</v>
      </c>
    </row>
    <row r="1327" spans="1:72" x14ac:dyDescent="0.2">
      <c r="A1327" t="s">
        <v>103</v>
      </c>
      <c r="B1327" t="s">
        <v>24284</v>
      </c>
      <c r="C1327" t="s">
        <v>74</v>
      </c>
      <c r="D1327" t="s">
        <v>74</v>
      </c>
      <c r="E1327" t="s">
        <v>74</v>
      </c>
      <c r="F1327" t="s">
        <v>24285</v>
      </c>
      <c r="G1327" t="s">
        <v>74</v>
      </c>
      <c r="H1327" t="s">
        <v>74</v>
      </c>
      <c r="I1327" t="s">
        <v>24286</v>
      </c>
      <c r="J1327" t="s">
        <v>4686</v>
      </c>
      <c r="K1327" t="s">
        <v>74</v>
      </c>
      <c r="L1327" t="s">
        <v>74</v>
      </c>
      <c r="M1327" t="s">
        <v>79</v>
      </c>
      <c r="N1327" t="s">
        <v>108</v>
      </c>
      <c r="O1327" t="s">
        <v>74</v>
      </c>
      <c r="P1327" t="s">
        <v>74</v>
      </c>
      <c r="Q1327" t="s">
        <v>74</v>
      </c>
      <c r="R1327" t="s">
        <v>74</v>
      </c>
      <c r="S1327" t="s">
        <v>74</v>
      </c>
      <c r="T1327" t="s">
        <v>24287</v>
      </c>
      <c r="U1327" t="s">
        <v>24288</v>
      </c>
      <c r="V1327" t="s">
        <v>24289</v>
      </c>
      <c r="W1327" t="s">
        <v>24290</v>
      </c>
      <c r="X1327" t="s">
        <v>24291</v>
      </c>
      <c r="Y1327" t="s">
        <v>24292</v>
      </c>
      <c r="Z1327" t="s">
        <v>24293</v>
      </c>
      <c r="AA1327" t="s">
        <v>74</v>
      </c>
      <c r="AB1327" t="s">
        <v>74</v>
      </c>
      <c r="AC1327" t="s">
        <v>74</v>
      </c>
      <c r="AD1327" t="s">
        <v>74</v>
      </c>
      <c r="AE1327" t="s">
        <v>74</v>
      </c>
      <c r="AF1327" t="s">
        <v>74</v>
      </c>
      <c r="AG1327">
        <v>15</v>
      </c>
      <c r="AH1327">
        <v>2</v>
      </c>
      <c r="AI1327">
        <v>2</v>
      </c>
      <c r="AJ1327">
        <v>3</v>
      </c>
      <c r="AK1327">
        <v>3</v>
      </c>
      <c r="AL1327" t="s">
        <v>2032</v>
      </c>
      <c r="AM1327" t="s">
        <v>149</v>
      </c>
      <c r="AN1327" t="s">
        <v>2033</v>
      </c>
      <c r="AO1327" t="s">
        <v>74</v>
      </c>
      <c r="AP1327" t="s">
        <v>4694</v>
      </c>
      <c r="AQ1327" t="s">
        <v>74</v>
      </c>
      <c r="AR1327" t="s">
        <v>4695</v>
      </c>
      <c r="AS1327" t="s">
        <v>4696</v>
      </c>
      <c r="AT1327" t="s">
        <v>24294</v>
      </c>
      <c r="AU1327">
        <v>2023</v>
      </c>
      <c r="AV1327">
        <v>15</v>
      </c>
      <c r="AW1327">
        <v>10</v>
      </c>
      <c r="AX1327" t="s">
        <v>74</v>
      </c>
      <c r="AY1327" t="s">
        <v>74</v>
      </c>
      <c r="AZ1327" t="s">
        <v>74</v>
      </c>
      <c r="BA1327" t="s">
        <v>74</v>
      </c>
      <c r="BB1327" t="s">
        <v>74</v>
      </c>
      <c r="BC1327" t="s">
        <v>74</v>
      </c>
      <c r="BD1327" t="s">
        <v>24295</v>
      </c>
      <c r="BE1327" t="s">
        <v>24296</v>
      </c>
      <c r="BF1327" t="str">
        <f>HYPERLINK("http://dx.doi.org/10.7759/cureus.47576","http://dx.doi.org/10.7759/cureus.47576")</f>
        <v>http://dx.doi.org/10.7759/cureus.47576</v>
      </c>
      <c r="BG1327" t="s">
        <v>74</v>
      </c>
      <c r="BH1327" t="s">
        <v>74</v>
      </c>
      <c r="BI1327">
        <v>12</v>
      </c>
      <c r="BJ1327" t="s">
        <v>3440</v>
      </c>
      <c r="BK1327" t="s">
        <v>352</v>
      </c>
      <c r="BL1327" t="s">
        <v>3441</v>
      </c>
      <c r="BM1327" t="s">
        <v>24297</v>
      </c>
      <c r="BN1327">
        <v>38021609</v>
      </c>
      <c r="BO1327" t="s">
        <v>4185</v>
      </c>
      <c r="BP1327" t="s">
        <v>74</v>
      </c>
      <c r="BQ1327" t="s">
        <v>74</v>
      </c>
      <c r="BR1327" t="s">
        <v>101</v>
      </c>
      <c r="BS1327" t="s">
        <v>24298</v>
      </c>
      <c r="BT1327" t="str">
        <f>HYPERLINK("https%3A%2F%2Fwww.webofscience.com%2Fwos%2Fwoscc%2Ffull-record%2FWOS:001110322200012","View Full Record in Web of Science")</f>
        <v>View Full Record in Web of Science</v>
      </c>
    </row>
    <row r="1328" spans="1:72" x14ac:dyDescent="0.2">
      <c r="A1328" t="s">
        <v>103</v>
      </c>
      <c r="B1328" t="s">
        <v>24299</v>
      </c>
      <c r="C1328" t="s">
        <v>74</v>
      </c>
      <c r="D1328" t="s">
        <v>74</v>
      </c>
      <c r="E1328" t="s">
        <v>74</v>
      </c>
      <c r="F1328" t="s">
        <v>24300</v>
      </c>
      <c r="G1328" t="s">
        <v>74</v>
      </c>
      <c r="H1328" t="s">
        <v>74</v>
      </c>
      <c r="I1328" t="s">
        <v>24301</v>
      </c>
      <c r="J1328" t="s">
        <v>6611</v>
      </c>
      <c r="K1328" t="s">
        <v>74</v>
      </c>
      <c r="L1328" t="s">
        <v>74</v>
      </c>
      <c r="M1328" t="s">
        <v>79</v>
      </c>
      <c r="N1328" t="s">
        <v>108</v>
      </c>
      <c r="O1328" t="s">
        <v>74</v>
      </c>
      <c r="P1328" t="s">
        <v>74</v>
      </c>
      <c r="Q1328" t="s">
        <v>74</v>
      </c>
      <c r="R1328" t="s">
        <v>74</v>
      </c>
      <c r="S1328" t="s">
        <v>74</v>
      </c>
      <c r="T1328" t="s">
        <v>24302</v>
      </c>
      <c r="U1328" t="s">
        <v>74</v>
      </c>
      <c r="V1328" t="s">
        <v>24303</v>
      </c>
      <c r="W1328" t="s">
        <v>24304</v>
      </c>
      <c r="X1328" t="s">
        <v>24305</v>
      </c>
      <c r="Y1328" t="s">
        <v>24306</v>
      </c>
      <c r="Z1328" t="s">
        <v>24307</v>
      </c>
      <c r="AA1328" t="s">
        <v>24308</v>
      </c>
      <c r="AB1328" t="s">
        <v>24309</v>
      </c>
      <c r="AC1328" t="s">
        <v>24310</v>
      </c>
      <c r="AD1328" t="s">
        <v>24311</v>
      </c>
      <c r="AE1328" t="s">
        <v>24312</v>
      </c>
      <c r="AF1328" t="s">
        <v>74</v>
      </c>
      <c r="AG1328">
        <v>80</v>
      </c>
      <c r="AH1328">
        <v>3</v>
      </c>
      <c r="AI1328">
        <v>3</v>
      </c>
      <c r="AJ1328">
        <v>6</v>
      </c>
      <c r="AK1328">
        <v>22</v>
      </c>
      <c r="AL1328" t="s">
        <v>638</v>
      </c>
      <c r="AM1328" t="s">
        <v>639</v>
      </c>
      <c r="AN1328" t="s">
        <v>1557</v>
      </c>
      <c r="AO1328" t="s">
        <v>6621</v>
      </c>
      <c r="AP1328" t="s">
        <v>6622</v>
      </c>
      <c r="AQ1328" t="s">
        <v>74</v>
      </c>
      <c r="AR1328" t="s">
        <v>6623</v>
      </c>
      <c r="AS1328" t="s">
        <v>6624</v>
      </c>
      <c r="AT1328" t="s">
        <v>2407</v>
      </c>
      <c r="AU1328">
        <v>2023</v>
      </c>
      <c r="AV1328">
        <v>45</v>
      </c>
      <c r="AW1328">
        <v>2</v>
      </c>
      <c r="AX1328" t="s">
        <v>74</v>
      </c>
      <c r="AY1328" t="s">
        <v>74</v>
      </c>
      <c r="AZ1328" t="s">
        <v>74</v>
      </c>
      <c r="BA1328" t="s">
        <v>74</v>
      </c>
      <c r="BB1328">
        <v>1514</v>
      </c>
      <c r="BC1328">
        <v>1532</v>
      </c>
      <c r="BD1328" t="s">
        <v>74</v>
      </c>
      <c r="BE1328" t="s">
        <v>24313</v>
      </c>
      <c r="BF1328" t="str">
        <f>HYPERLINK("http://dx.doi.org/10.1109/TPAMI.2022.3161985","http://dx.doi.org/10.1109/TPAMI.2022.3161985")</f>
        <v>http://dx.doi.org/10.1109/TPAMI.2022.3161985</v>
      </c>
      <c r="BG1328" t="s">
        <v>74</v>
      </c>
      <c r="BH1328" t="s">
        <v>74</v>
      </c>
      <c r="BI1328">
        <v>19</v>
      </c>
      <c r="BJ1328" t="s">
        <v>6627</v>
      </c>
      <c r="BK1328" t="s">
        <v>130</v>
      </c>
      <c r="BL1328" t="s">
        <v>906</v>
      </c>
      <c r="BM1328" t="s">
        <v>24314</v>
      </c>
      <c r="BN1328">
        <v>35324435</v>
      </c>
      <c r="BO1328" t="s">
        <v>74</v>
      </c>
      <c r="BP1328" t="s">
        <v>74</v>
      </c>
      <c r="BQ1328" t="s">
        <v>74</v>
      </c>
      <c r="BR1328" t="s">
        <v>101</v>
      </c>
      <c r="BS1328" t="s">
        <v>24315</v>
      </c>
      <c r="BT1328" t="str">
        <f>HYPERLINK("https%3A%2F%2Fwww.webofscience.com%2Fwos%2Fwoscc%2Ffull-record%2FWOS:000912386000012","View Full Record in Web of Science")</f>
        <v>View Full Record in Web of Science</v>
      </c>
    </row>
    <row r="1329" spans="1:72" x14ac:dyDescent="0.2">
      <c r="A1329" t="s">
        <v>103</v>
      </c>
      <c r="B1329" t="s">
        <v>24316</v>
      </c>
      <c r="C1329" t="s">
        <v>74</v>
      </c>
      <c r="D1329" t="s">
        <v>74</v>
      </c>
      <c r="E1329" t="s">
        <v>74</v>
      </c>
      <c r="F1329" t="s">
        <v>24317</v>
      </c>
      <c r="G1329" t="s">
        <v>74</v>
      </c>
      <c r="H1329" t="s">
        <v>74</v>
      </c>
      <c r="I1329" t="s">
        <v>24318</v>
      </c>
      <c r="J1329" t="s">
        <v>24319</v>
      </c>
      <c r="K1329" t="s">
        <v>74</v>
      </c>
      <c r="L1329" t="s">
        <v>74</v>
      </c>
      <c r="M1329" t="s">
        <v>79</v>
      </c>
      <c r="N1329" t="s">
        <v>108</v>
      </c>
      <c r="O1329" t="s">
        <v>74</v>
      </c>
      <c r="P1329" t="s">
        <v>74</v>
      </c>
      <c r="Q1329" t="s">
        <v>74</v>
      </c>
      <c r="R1329" t="s">
        <v>74</v>
      </c>
      <c r="S1329" t="s">
        <v>74</v>
      </c>
      <c r="T1329" t="s">
        <v>24320</v>
      </c>
      <c r="U1329" t="s">
        <v>9332</v>
      </c>
      <c r="V1329" t="s">
        <v>24321</v>
      </c>
      <c r="W1329" t="s">
        <v>24322</v>
      </c>
      <c r="X1329" t="s">
        <v>24323</v>
      </c>
      <c r="Y1329" t="s">
        <v>24324</v>
      </c>
      <c r="Z1329" t="s">
        <v>24325</v>
      </c>
      <c r="AA1329" t="s">
        <v>24326</v>
      </c>
      <c r="AB1329" t="s">
        <v>24327</v>
      </c>
      <c r="AC1329" t="s">
        <v>24328</v>
      </c>
      <c r="AD1329" t="s">
        <v>24329</v>
      </c>
      <c r="AE1329" t="s">
        <v>24330</v>
      </c>
      <c r="AF1329" t="s">
        <v>74</v>
      </c>
      <c r="AG1329">
        <v>34</v>
      </c>
      <c r="AH1329">
        <v>0</v>
      </c>
      <c r="AI1329">
        <v>0</v>
      </c>
      <c r="AJ1329">
        <v>9</v>
      </c>
      <c r="AK1329">
        <v>9</v>
      </c>
      <c r="AL1329" t="s">
        <v>7715</v>
      </c>
      <c r="AM1329" t="s">
        <v>7716</v>
      </c>
      <c r="AN1329" t="s">
        <v>7717</v>
      </c>
      <c r="AO1329" t="s">
        <v>24331</v>
      </c>
      <c r="AP1329" t="s">
        <v>74</v>
      </c>
      <c r="AQ1329" t="s">
        <v>74</v>
      </c>
      <c r="AR1329" t="s">
        <v>24332</v>
      </c>
      <c r="AS1329" t="s">
        <v>24333</v>
      </c>
      <c r="AT1329" t="s">
        <v>74</v>
      </c>
      <c r="AU1329">
        <v>2023</v>
      </c>
      <c r="AV1329">
        <v>16</v>
      </c>
      <c r="AW1329" t="s">
        <v>74</v>
      </c>
      <c r="AX1329" t="s">
        <v>74</v>
      </c>
      <c r="AY1329" t="s">
        <v>74</v>
      </c>
      <c r="AZ1329" t="s">
        <v>74</v>
      </c>
      <c r="BA1329" t="s">
        <v>74</v>
      </c>
      <c r="BB1329">
        <v>4099</v>
      </c>
      <c r="BC1329">
        <v>4110</v>
      </c>
      <c r="BD1329" t="s">
        <v>74</v>
      </c>
      <c r="BE1329" t="s">
        <v>24334</v>
      </c>
      <c r="BF1329" t="str">
        <f>HYPERLINK("http://dx.doi.org/10.2147/JMDH.S439223","http://dx.doi.org/10.2147/JMDH.S439223")</f>
        <v>http://dx.doi.org/10.2147/JMDH.S439223</v>
      </c>
      <c r="BG1329" t="s">
        <v>74</v>
      </c>
      <c r="BH1329" t="s">
        <v>74</v>
      </c>
      <c r="BI1329">
        <v>12</v>
      </c>
      <c r="BJ1329" t="s">
        <v>14158</v>
      </c>
      <c r="BK1329" t="s">
        <v>130</v>
      </c>
      <c r="BL1329" t="s">
        <v>14158</v>
      </c>
      <c r="BM1329" t="s">
        <v>24335</v>
      </c>
      <c r="BN1329">
        <v>38116306</v>
      </c>
      <c r="BO1329" t="s">
        <v>1728</v>
      </c>
      <c r="BP1329" t="s">
        <v>74</v>
      </c>
      <c r="BQ1329" t="s">
        <v>74</v>
      </c>
      <c r="BR1329" t="s">
        <v>101</v>
      </c>
      <c r="BS1329" t="s">
        <v>24336</v>
      </c>
      <c r="BT1329" t="str">
        <f>HYPERLINK("https%3A%2F%2Fwww.webofscience.com%2Fwos%2Fwoscc%2Ffull-record%2FWOS:001126588200001","View Full Record in Web of Science")</f>
        <v>View Full Record in Web of Science</v>
      </c>
    </row>
    <row r="1330" spans="1:72" x14ac:dyDescent="0.2">
      <c r="A1330" t="s">
        <v>103</v>
      </c>
      <c r="B1330" t="s">
        <v>14233</v>
      </c>
      <c r="C1330" t="s">
        <v>74</v>
      </c>
      <c r="D1330" t="s">
        <v>74</v>
      </c>
      <c r="E1330" t="s">
        <v>74</v>
      </c>
      <c r="F1330" t="s">
        <v>14234</v>
      </c>
      <c r="G1330" t="s">
        <v>74</v>
      </c>
      <c r="H1330" t="s">
        <v>74</v>
      </c>
      <c r="I1330" t="s">
        <v>24337</v>
      </c>
      <c r="J1330" t="s">
        <v>24338</v>
      </c>
      <c r="K1330" t="s">
        <v>74</v>
      </c>
      <c r="L1330" t="s">
        <v>74</v>
      </c>
      <c r="M1330" t="s">
        <v>79</v>
      </c>
      <c r="N1330" t="s">
        <v>108</v>
      </c>
      <c r="O1330" t="s">
        <v>74</v>
      </c>
      <c r="P1330" t="s">
        <v>74</v>
      </c>
      <c r="Q1330" t="s">
        <v>74</v>
      </c>
      <c r="R1330" t="s">
        <v>74</v>
      </c>
      <c r="S1330" t="s">
        <v>74</v>
      </c>
      <c r="T1330" t="s">
        <v>24339</v>
      </c>
      <c r="U1330" t="s">
        <v>24340</v>
      </c>
      <c r="V1330" t="s">
        <v>24341</v>
      </c>
      <c r="W1330" t="s">
        <v>14238</v>
      </c>
      <c r="X1330" t="s">
        <v>14239</v>
      </c>
      <c r="Y1330" t="s">
        <v>12781</v>
      </c>
      <c r="Z1330" t="s">
        <v>4372</v>
      </c>
      <c r="AA1330" t="s">
        <v>4373</v>
      </c>
      <c r="AB1330" t="s">
        <v>12782</v>
      </c>
      <c r="AC1330" t="s">
        <v>24342</v>
      </c>
      <c r="AD1330" t="s">
        <v>24343</v>
      </c>
      <c r="AE1330" t="s">
        <v>24344</v>
      </c>
      <c r="AF1330" t="s">
        <v>74</v>
      </c>
      <c r="AG1330">
        <v>40</v>
      </c>
      <c r="AH1330">
        <v>10</v>
      </c>
      <c r="AI1330">
        <v>10</v>
      </c>
      <c r="AJ1330">
        <v>5</v>
      </c>
      <c r="AK1330">
        <v>12</v>
      </c>
      <c r="AL1330" t="s">
        <v>5985</v>
      </c>
      <c r="AM1330" t="s">
        <v>1451</v>
      </c>
      <c r="AN1330" t="s">
        <v>5986</v>
      </c>
      <c r="AO1330" t="s">
        <v>24345</v>
      </c>
      <c r="AP1330" t="s">
        <v>24346</v>
      </c>
      <c r="AQ1330" t="s">
        <v>74</v>
      </c>
      <c r="AR1330" t="s">
        <v>24347</v>
      </c>
      <c r="AS1330" t="s">
        <v>24348</v>
      </c>
      <c r="AT1330" t="s">
        <v>6824</v>
      </c>
      <c r="AU1330">
        <v>2023</v>
      </c>
      <c r="AV1330">
        <v>31</v>
      </c>
      <c r="AW1330">
        <v>5</v>
      </c>
      <c r="AX1330" t="s">
        <v>74</v>
      </c>
      <c r="AY1330" t="s">
        <v>74</v>
      </c>
      <c r="AZ1330" t="s">
        <v>74</v>
      </c>
      <c r="BA1330" t="s">
        <v>74</v>
      </c>
      <c r="BB1330" t="s">
        <v>74</v>
      </c>
      <c r="BC1330" t="s">
        <v>74</v>
      </c>
      <c r="BD1330">
        <v>54001</v>
      </c>
      <c r="BE1330" t="s">
        <v>24349</v>
      </c>
      <c r="BF1330" t="str">
        <f>HYPERLINK("http://dx.doi.org/10.1088/1361-651X/accfb5","http://dx.doi.org/10.1088/1361-651X/accfb5")</f>
        <v>http://dx.doi.org/10.1088/1361-651X/accfb5</v>
      </c>
      <c r="BG1330" t="s">
        <v>74</v>
      </c>
      <c r="BH1330" t="s">
        <v>74</v>
      </c>
      <c r="BI1330">
        <v>20</v>
      </c>
      <c r="BJ1330" t="s">
        <v>24350</v>
      </c>
      <c r="BK1330" t="s">
        <v>130</v>
      </c>
      <c r="BL1330" t="s">
        <v>5489</v>
      </c>
      <c r="BM1330" t="s">
        <v>24351</v>
      </c>
      <c r="BN1330" t="s">
        <v>74</v>
      </c>
      <c r="BO1330" t="s">
        <v>74</v>
      </c>
      <c r="BP1330" t="s">
        <v>74</v>
      </c>
      <c r="BQ1330" t="s">
        <v>74</v>
      </c>
      <c r="BR1330" t="s">
        <v>101</v>
      </c>
      <c r="BS1330" t="s">
        <v>24352</v>
      </c>
      <c r="BT1330" t="str">
        <f>HYPERLINK("https%3A%2F%2Fwww.webofscience.com%2Fwos%2Fwoscc%2Ffull-record%2FWOS:000988255100001","View Full Record in Web of Science")</f>
        <v>View Full Record in Web of Science</v>
      </c>
    </row>
    <row r="1331" spans="1:72" x14ac:dyDescent="0.2">
      <c r="A1331" t="s">
        <v>72</v>
      </c>
      <c r="B1331" t="s">
        <v>24353</v>
      </c>
      <c r="C1331" t="s">
        <v>74</v>
      </c>
      <c r="D1331" t="s">
        <v>17131</v>
      </c>
      <c r="E1331" t="s">
        <v>74</v>
      </c>
      <c r="F1331" t="s">
        <v>24354</v>
      </c>
      <c r="G1331" t="s">
        <v>74</v>
      </c>
      <c r="H1331" t="s">
        <v>74</v>
      </c>
      <c r="I1331" t="s">
        <v>24355</v>
      </c>
      <c r="J1331" t="s">
        <v>17134</v>
      </c>
      <c r="K1331" t="s">
        <v>312</v>
      </c>
      <c r="L1331" t="s">
        <v>74</v>
      </c>
      <c r="M1331" t="s">
        <v>79</v>
      </c>
      <c r="N1331" t="s">
        <v>80</v>
      </c>
      <c r="O1331" t="s">
        <v>17135</v>
      </c>
      <c r="P1331" t="s">
        <v>17136</v>
      </c>
      <c r="Q1331" t="s">
        <v>17137</v>
      </c>
      <c r="R1331" t="s">
        <v>74</v>
      </c>
      <c r="S1331" t="s">
        <v>74</v>
      </c>
      <c r="T1331" t="s">
        <v>24356</v>
      </c>
      <c r="U1331" t="s">
        <v>74</v>
      </c>
      <c r="V1331" t="s">
        <v>24357</v>
      </c>
      <c r="W1331" t="s">
        <v>24358</v>
      </c>
      <c r="X1331" t="s">
        <v>24359</v>
      </c>
      <c r="Y1331" t="s">
        <v>24360</v>
      </c>
      <c r="Z1331" t="s">
        <v>24361</v>
      </c>
      <c r="AA1331" t="s">
        <v>24362</v>
      </c>
      <c r="AB1331" t="s">
        <v>24363</v>
      </c>
      <c r="AC1331" t="s">
        <v>24364</v>
      </c>
      <c r="AD1331" t="s">
        <v>24364</v>
      </c>
      <c r="AE1331" t="s">
        <v>24365</v>
      </c>
      <c r="AF1331" t="s">
        <v>74</v>
      </c>
      <c r="AG1331">
        <v>34</v>
      </c>
      <c r="AH1331">
        <v>0</v>
      </c>
      <c r="AI1331">
        <v>0</v>
      </c>
      <c r="AJ1331">
        <v>3</v>
      </c>
      <c r="AK1331">
        <v>4</v>
      </c>
      <c r="AL1331" t="s">
        <v>325</v>
      </c>
      <c r="AM1331" t="s">
        <v>245</v>
      </c>
      <c r="AN1331" t="s">
        <v>246</v>
      </c>
      <c r="AO1331" t="s">
        <v>326</v>
      </c>
      <c r="AP1331" t="s">
        <v>327</v>
      </c>
      <c r="AQ1331" t="s">
        <v>17148</v>
      </c>
      <c r="AR1331" t="s">
        <v>329</v>
      </c>
      <c r="AS1331" t="s">
        <v>74</v>
      </c>
      <c r="AT1331" t="s">
        <v>74</v>
      </c>
      <c r="AU1331">
        <v>2023</v>
      </c>
      <c r="AV1331">
        <v>13823</v>
      </c>
      <c r="AW1331" t="s">
        <v>74</v>
      </c>
      <c r="AX1331" t="s">
        <v>74</v>
      </c>
      <c r="AY1331" t="s">
        <v>74</v>
      </c>
      <c r="AZ1331" t="s">
        <v>74</v>
      </c>
      <c r="BA1331" t="s">
        <v>74</v>
      </c>
      <c r="BB1331">
        <v>70</v>
      </c>
      <c r="BC1331">
        <v>92</v>
      </c>
      <c r="BD1331" t="s">
        <v>74</v>
      </c>
      <c r="BE1331" t="s">
        <v>24366</v>
      </c>
      <c r="BF1331" t="str">
        <f>HYPERLINK("http://dx.doi.org/10.1007/978-3-031-25046-0_7","http://dx.doi.org/10.1007/978-3-031-25046-0_7")</f>
        <v>http://dx.doi.org/10.1007/978-3-031-25046-0_7</v>
      </c>
      <c r="BG1331" t="s">
        <v>74</v>
      </c>
      <c r="BH1331" t="s">
        <v>74</v>
      </c>
      <c r="BI1331">
        <v>23</v>
      </c>
      <c r="BJ1331" t="s">
        <v>17150</v>
      </c>
      <c r="BK1331" t="s">
        <v>98</v>
      </c>
      <c r="BL1331" t="s">
        <v>13489</v>
      </c>
      <c r="BM1331" t="s">
        <v>17151</v>
      </c>
      <c r="BN1331" t="s">
        <v>74</v>
      </c>
      <c r="BO1331" t="s">
        <v>646</v>
      </c>
      <c r="BP1331" t="s">
        <v>74</v>
      </c>
      <c r="BQ1331" t="s">
        <v>74</v>
      </c>
      <c r="BR1331" t="s">
        <v>101</v>
      </c>
      <c r="BS1331" t="s">
        <v>24367</v>
      </c>
      <c r="BT1331" t="str">
        <f>HYPERLINK("https%3A%2F%2Fwww.webofscience.com%2Fwos%2Fwoscc%2Ffull-record%2FWOS:000968077300007","View Full Record in Web of Science")</f>
        <v>View Full Record in Web of Science</v>
      </c>
    </row>
    <row r="1332" spans="1:72" x14ac:dyDescent="0.2">
      <c r="A1332" t="s">
        <v>103</v>
      </c>
      <c r="B1332" t="s">
        <v>24368</v>
      </c>
      <c r="C1332" t="s">
        <v>74</v>
      </c>
      <c r="D1332" t="s">
        <v>74</v>
      </c>
      <c r="E1332" t="s">
        <v>74</v>
      </c>
      <c r="F1332" t="s">
        <v>24369</v>
      </c>
      <c r="G1332" t="s">
        <v>74</v>
      </c>
      <c r="H1332" t="s">
        <v>74</v>
      </c>
      <c r="I1332" t="s">
        <v>24370</v>
      </c>
      <c r="J1332" t="s">
        <v>24371</v>
      </c>
      <c r="K1332" t="s">
        <v>74</v>
      </c>
      <c r="L1332" t="s">
        <v>74</v>
      </c>
      <c r="M1332" t="s">
        <v>79</v>
      </c>
      <c r="N1332" t="s">
        <v>108</v>
      </c>
      <c r="O1332" t="s">
        <v>74</v>
      </c>
      <c r="P1332" t="s">
        <v>74</v>
      </c>
      <c r="Q1332" t="s">
        <v>74</v>
      </c>
      <c r="R1332" t="s">
        <v>74</v>
      </c>
      <c r="S1332" t="s">
        <v>74</v>
      </c>
      <c r="T1332" t="s">
        <v>24372</v>
      </c>
      <c r="U1332" t="s">
        <v>74</v>
      </c>
      <c r="V1332" t="s">
        <v>24373</v>
      </c>
      <c r="W1332" t="s">
        <v>24374</v>
      </c>
      <c r="X1332" t="s">
        <v>24375</v>
      </c>
      <c r="Y1332" t="s">
        <v>24376</v>
      </c>
      <c r="Z1332" t="s">
        <v>24377</v>
      </c>
      <c r="AA1332" t="s">
        <v>24378</v>
      </c>
      <c r="AB1332" t="s">
        <v>24379</v>
      </c>
      <c r="AC1332" t="s">
        <v>24380</v>
      </c>
      <c r="AD1332" t="s">
        <v>24380</v>
      </c>
      <c r="AE1332" t="s">
        <v>24381</v>
      </c>
      <c r="AF1332" t="s">
        <v>74</v>
      </c>
      <c r="AG1332">
        <v>32</v>
      </c>
      <c r="AH1332">
        <v>1</v>
      </c>
      <c r="AI1332">
        <v>1</v>
      </c>
      <c r="AJ1332">
        <v>82</v>
      </c>
      <c r="AK1332">
        <v>92</v>
      </c>
      <c r="AL1332" t="s">
        <v>24371</v>
      </c>
      <c r="AM1332" t="s">
        <v>24382</v>
      </c>
      <c r="AN1332" t="s">
        <v>24383</v>
      </c>
      <c r="AO1332" t="s">
        <v>24384</v>
      </c>
      <c r="AP1332" t="s">
        <v>74</v>
      </c>
      <c r="AQ1332" t="s">
        <v>74</v>
      </c>
      <c r="AR1332" t="s">
        <v>24385</v>
      </c>
      <c r="AS1332" t="s">
        <v>24386</v>
      </c>
      <c r="AT1332" t="s">
        <v>615</v>
      </c>
      <c r="AU1332">
        <v>2023</v>
      </c>
      <c r="AV1332" t="s">
        <v>74</v>
      </c>
      <c r="AW1332" t="s">
        <v>74</v>
      </c>
      <c r="AX1332" t="s">
        <v>74</v>
      </c>
      <c r="AY1332" t="s">
        <v>74</v>
      </c>
      <c r="AZ1332">
        <v>9</v>
      </c>
      <c r="BA1332" t="s">
        <v>74</v>
      </c>
      <c r="BB1332">
        <v>3</v>
      </c>
      <c r="BC1332">
        <v>17</v>
      </c>
      <c r="BD1332" t="s">
        <v>74</v>
      </c>
      <c r="BE1332" t="s">
        <v>24387</v>
      </c>
      <c r="BF1332" t="str">
        <f>HYPERLINK("http://dx.doi.org/10.24093/awej/call9.1","http://dx.doi.org/10.24093/awej/call9.1")</f>
        <v>http://dx.doi.org/10.24093/awej/call9.1</v>
      </c>
      <c r="BG1332" t="s">
        <v>74</v>
      </c>
      <c r="BH1332" t="s">
        <v>74</v>
      </c>
      <c r="BI1332">
        <v>15</v>
      </c>
      <c r="BJ1332" t="s">
        <v>16255</v>
      </c>
      <c r="BK1332" t="s">
        <v>352</v>
      </c>
      <c r="BL1332" t="s">
        <v>377</v>
      </c>
      <c r="BM1332" t="s">
        <v>24388</v>
      </c>
      <c r="BN1332" t="s">
        <v>74</v>
      </c>
      <c r="BO1332" t="s">
        <v>1071</v>
      </c>
      <c r="BP1332" t="s">
        <v>74</v>
      </c>
      <c r="BQ1332" t="s">
        <v>74</v>
      </c>
      <c r="BR1332" t="s">
        <v>101</v>
      </c>
      <c r="BS1332" t="s">
        <v>24389</v>
      </c>
      <c r="BT1332" t="str">
        <f>HYPERLINK("https%3A%2F%2Fwww.webofscience.com%2Fwos%2Fwoscc%2Ffull-record%2FWOS:001057338300001","View Full Record in Web of Science")</f>
        <v>View Full Record in Web of Science</v>
      </c>
    </row>
    <row r="1333" spans="1:72" x14ac:dyDescent="0.2">
      <c r="A1333" t="s">
        <v>103</v>
      </c>
      <c r="B1333" t="s">
        <v>24390</v>
      </c>
      <c r="C1333" t="s">
        <v>74</v>
      </c>
      <c r="D1333" t="s">
        <v>74</v>
      </c>
      <c r="E1333" t="s">
        <v>74</v>
      </c>
      <c r="F1333" t="s">
        <v>24391</v>
      </c>
      <c r="G1333" t="s">
        <v>74</v>
      </c>
      <c r="H1333" t="s">
        <v>74</v>
      </c>
      <c r="I1333" t="s">
        <v>24392</v>
      </c>
      <c r="J1333" t="s">
        <v>15193</v>
      </c>
      <c r="K1333" t="s">
        <v>74</v>
      </c>
      <c r="L1333" t="s">
        <v>74</v>
      </c>
      <c r="M1333" t="s">
        <v>79</v>
      </c>
      <c r="N1333" t="s">
        <v>108</v>
      </c>
      <c r="O1333" t="s">
        <v>74</v>
      </c>
      <c r="P1333" t="s">
        <v>74</v>
      </c>
      <c r="Q1333" t="s">
        <v>74</v>
      </c>
      <c r="R1333" t="s">
        <v>74</v>
      </c>
      <c r="S1333" t="s">
        <v>74</v>
      </c>
      <c r="T1333" t="s">
        <v>24393</v>
      </c>
      <c r="U1333" t="s">
        <v>24394</v>
      </c>
      <c r="V1333" t="s">
        <v>24395</v>
      </c>
      <c r="W1333" t="s">
        <v>24396</v>
      </c>
      <c r="X1333" t="s">
        <v>24397</v>
      </c>
      <c r="Y1333" t="s">
        <v>24398</v>
      </c>
      <c r="Z1333" t="s">
        <v>24399</v>
      </c>
      <c r="AA1333" t="s">
        <v>24400</v>
      </c>
      <c r="AB1333" t="s">
        <v>24401</v>
      </c>
      <c r="AC1333" t="s">
        <v>74</v>
      </c>
      <c r="AD1333" t="s">
        <v>74</v>
      </c>
      <c r="AE1333" t="s">
        <v>74</v>
      </c>
      <c r="AF1333" t="s">
        <v>74</v>
      </c>
      <c r="AG1333">
        <v>64</v>
      </c>
      <c r="AH1333">
        <v>2</v>
      </c>
      <c r="AI1333">
        <v>2</v>
      </c>
      <c r="AJ1333">
        <v>14</v>
      </c>
      <c r="AK1333">
        <v>14</v>
      </c>
      <c r="AL1333" t="s">
        <v>2492</v>
      </c>
      <c r="AM1333" t="s">
        <v>461</v>
      </c>
      <c r="AN1333" t="s">
        <v>2493</v>
      </c>
      <c r="AO1333" t="s">
        <v>74</v>
      </c>
      <c r="AP1333" t="s">
        <v>15203</v>
      </c>
      <c r="AQ1333" t="s">
        <v>74</v>
      </c>
      <c r="AR1333" t="s">
        <v>15204</v>
      </c>
      <c r="AS1333" t="s">
        <v>15205</v>
      </c>
      <c r="AT1333" t="s">
        <v>24402</v>
      </c>
      <c r="AU1333">
        <v>2023</v>
      </c>
      <c r="AV1333">
        <v>6</v>
      </c>
      <c r="AW1333" t="s">
        <v>74</v>
      </c>
      <c r="AX1333" t="s">
        <v>74</v>
      </c>
      <c r="AY1333" t="s">
        <v>74</v>
      </c>
      <c r="AZ1333" t="s">
        <v>74</v>
      </c>
      <c r="BA1333" t="s">
        <v>74</v>
      </c>
      <c r="BB1333" t="s">
        <v>74</v>
      </c>
      <c r="BC1333" t="s">
        <v>74</v>
      </c>
      <c r="BD1333">
        <v>1279794</v>
      </c>
      <c r="BE1333" t="s">
        <v>24403</v>
      </c>
      <c r="BF1333" t="str">
        <f>HYPERLINK("http://dx.doi.org/10.3389/frai.2023.1279794","http://dx.doi.org/10.3389/frai.2023.1279794")</f>
        <v>http://dx.doi.org/10.3389/frai.2023.1279794</v>
      </c>
      <c r="BG1333" t="s">
        <v>74</v>
      </c>
      <c r="BH1333" t="s">
        <v>74</v>
      </c>
      <c r="BI1333">
        <v>14</v>
      </c>
      <c r="BJ1333" t="s">
        <v>883</v>
      </c>
      <c r="BK1333" t="s">
        <v>352</v>
      </c>
      <c r="BL1333" t="s">
        <v>99</v>
      </c>
      <c r="BM1333" t="s">
        <v>24404</v>
      </c>
      <c r="BN1333">
        <v>38045764</v>
      </c>
      <c r="BO1333" t="s">
        <v>1728</v>
      </c>
      <c r="BP1333" t="s">
        <v>74</v>
      </c>
      <c r="BQ1333" t="s">
        <v>74</v>
      </c>
      <c r="BR1333" t="s">
        <v>101</v>
      </c>
      <c r="BS1333" t="s">
        <v>24405</v>
      </c>
      <c r="BT1333" t="str">
        <f>HYPERLINK("https%3A%2F%2Fwww.webofscience.com%2Fwos%2Fwoscc%2Ffull-record%2FWOS:001111242200001","View Full Record in Web of Science")</f>
        <v>View Full Record in Web of Science</v>
      </c>
    </row>
    <row r="1334" spans="1:72" x14ac:dyDescent="0.2">
      <c r="A1334" t="s">
        <v>72</v>
      </c>
      <c r="B1334" t="s">
        <v>24406</v>
      </c>
      <c r="C1334" t="s">
        <v>74</v>
      </c>
      <c r="D1334" t="s">
        <v>74</v>
      </c>
      <c r="E1334" t="s">
        <v>284</v>
      </c>
      <c r="F1334" t="s">
        <v>24407</v>
      </c>
      <c r="G1334" t="s">
        <v>74</v>
      </c>
      <c r="H1334" t="s">
        <v>74</v>
      </c>
      <c r="I1334" t="s">
        <v>24408</v>
      </c>
      <c r="J1334" t="s">
        <v>10100</v>
      </c>
      <c r="K1334" t="s">
        <v>8246</v>
      </c>
      <c r="L1334" t="s">
        <v>74</v>
      </c>
      <c r="M1334" t="s">
        <v>79</v>
      </c>
      <c r="N1334" t="s">
        <v>80</v>
      </c>
      <c r="O1334" t="s">
        <v>8247</v>
      </c>
      <c r="P1334" t="s">
        <v>8248</v>
      </c>
      <c r="Q1334" t="s">
        <v>6017</v>
      </c>
      <c r="R1334" t="s">
        <v>8249</v>
      </c>
      <c r="S1334" t="s">
        <v>74</v>
      </c>
      <c r="T1334" t="s">
        <v>74</v>
      </c>
      <c r="U1334" t="s">
        <v>74</v>
      </c>
      <c r="V1334" t="s">
        <v>24409</v>
      </c>
      <c r="W1334" t="s">
        <v>24410</v>
      </c>
      <c r="X1334" t="s">
        <v>24411</v>
      </c>
      <c r="Y1334" t="s">
        <v>24412</v>
      </c>
      <c r="Z1334" t="s">
        <v>24413</v>
      </c>
      <c r="AA1334" t="s">
        <v>24414</v>
      </c>
      <c r="AB1334" t="s">
        <v>74</v>
      </c>
      <c r="AC1334" t="s">
        <v>24415</v>
      </c>
      <c r="AD1334" t="s">
        <v>24416</v>
      </c>
      <c r="AE1334" t="s">
        <v>24417</v>
      </c>
      <c r="AF1334" t="s">
        <v>74</v>
      </c>
      <c r="AG1334">
        <v>45</v>
      </c>
      <c r="AH1334">
        <v>1</v>
      </c>
      <c r="AI1334">
        <v>1</v>
      </c>
      <c r="AJ1334">
        <v>0</v>
      </c>
      <c r="AK1334">
        <v>0</v>
      </c>
      <c r="AL1334" t="s">
        <v>638</v>
      </c>
      <c r="AM1334" t="s">
        <v>639</v>
      </c>
      <c r="AN1334" t="s">
        <v>640</v>
      </c>
      <c r="AO1334" t="s">
        <v>8260</v>
      </c>
      <c r="AP1334" t="s">
        <v>74</v>
      </c>
      <c r="AQ1334" t="s">
        <v>8261</v>
      </c>
      <c r="AR1334" t="s">
        <v>8262</v>
      </c>
      <c r="AS1334" t="s">
        <v>74</v>
      </c>
      <c r="AT1334" t="s">
        <v>74</v>
      </c>
      <c r="AU1334">
        <v>2023</v>
      </c>
      <c r="AV1334" t="s">
        <v>74</v>
      </c>
      <c r="AW1334" t="s">
        <v>74</v>
      </c>
      <c r="AX1334" t="s">
        <v>74</v>
      </c>
      <c r="AY1334" t="s">
        <v>74</v>
      </c>
      <c r="AZ1334" t="s">
        <v>74</v>
      </c>
      <c r="BA1334" t="s">
        <v>74</v>
      </c>
      <c r="BB1334">
        <v>4035</v>
      </c>
      <c r="BC1334">
        <v>4044</v>
      </c>
      <c r="BD1334" t="s">
        <v>74</v>
      </c>
      <c r="BE1334" t="s">
        <v>24418</v>
      </c>
      <c r="BF1334" t="str">
        <f>HYPERLINK("http://dx.doi.org/10.1109/CVPR52729.2023.00393","http://dx.doi.org/10.1109/CVPR52729.2023.00393")</f>
        <v>http://dx.doi.org/10.1109/CVPR52729.2023.00393</v>
      </c>
      <c r="BG1334" t="s">
        <v>74</v>
      </c>
      <c r="BH1334" t="s">
        <v>74</v>
      </c>
      <c r="BI1334">
        <v>10</v>
      </c>
      <c r="BJ1334" t="s">
        <v>10109</v>
      </c>
      <c r="BK1334" t="s">
        <v>98</v>
      </c>
      <c r="BL1334" t="s">
        <v>99</v>
      </c>
      <c r="BM1334" t="s">
        <v>10110</v>
      </c>
      <c r="BN1334" t="s">
        <v>74</v>
      </c>
      <c r="BO1334" t="s">
        <v>646</v>
      </c>
      <c r="BP1334" t="s">
        <v>74</v>
      </c>
      <c r="BQ1334" t="s">
        <v>74</v>
      </c>
      <c r="BR1334" t="s">
        <v>101</v>
      </c>
      <c r="BS1334" t="s">
        <v>24419</v>
      </c>
      <c r="BT1334" t="str">
        <f>HYPERLINK("https%3A%2F%2Fwww.webofscience.com%2Fwos%2Fwoscc%2Ffull-record%2FWOS:001058542604036","View Full Record in Web of Science")</f>
        <v>View Full Record in Web of Science</v>
      </c>
    </row>
    <row r="1335" spans="1:72" x14ac:dyDescent="0.2">
      <c r="A1335" t="s">
        <v>103</v>
      </c>
      <c r="B1335" t="s">
        <v>24420</v>
      </c>
      <c r="C1335" t="s">
        <v>74</v>
      </c>
      <c r="D1335" t="s">
        <v>74</v>
      </c>
      <c r="E1335" t="s">
        <v>74</v>
      </c>
      <c r="F1335" t="s">
        <v>24421</v>
      </c>
      <c r="G1335" t="s">
        <v>74</v>
      </c>
      <c r="H1335" t="s">
        <v>74</v>
      </c>
      <c r="I1335" t="s">
        <v>24422</v>
      </c>
      <c r="J1335" t="s">
        <v>24423</v>
      </c>
      <c r="K1335" t="s">
        <v>74</v>
      </c>
      <c r="L1335" t="s">
        <v>74</v>
      </c>
      <c r="M1335" t="s">
        <v>79</v>
      </c>
      <c r="N1335" t="s">
        <v>108</v>
      </c>
      <c r="O1335" t="s">
        <v>74</v>
      </c>
      <c r="P1335" t="s">
        <v>74</v>
      </c>
      <c r="Q1335" t="s">
        <v>74</v>
      </c>
      <c r="R1335" t="s">
        <v>74</v>
      </c>
      <c r="S1335" t="s">
        <v>74</v>
      </c>
      <c r="T1335" t="s">
        <v>74</v>
      </c>
      <c r="U1335" t="s">
        <v>6343</v>
      </c>
      <c r="V1335" t="s">
        <v>24424</v>
      </c>
      <c r="W1335" t="s">
        <v>24425</v>
      </c>
      <c r="X1335" t="s">
        <v>24426</v>
      </c>
      <c r="Y1335" t="s">
        <v>24427</v>
      </c>
      <c r="Z1335" t="s">
        <v>24428</v>
      </c>
      <c r="AA1335" t="s">
        <v>74</v>
      </c>
      <c r="AB1335" t="s">
        <v>74</v>
      </c>
      <c r="AC1335" t="s">
        <v>74</v>
      </c>
      <c r="AD1335" t="s">
        <v>74</v>
      </c>
      <c r="AE1335" t="s">
        <v>74</v>
      </c>
      <c r="AF1335" t="s">
        <v>74</v>
      </c>
      <c r="AG1335">
        <v>20</v>
      </c>
      <c r="AH1335">
        <v>0</v>
      </c>
      <c r="AI1335">
        <v>0</v>
      </c>
      <c r="AJ1335">
        <v>1</v>
      </c>
      <c r="AK1335">
        <v>1</v>
      </c>
      <c r="AL1335" t="s">
        <v>24429</v>
      </c>
      <c r="AM1335" t="s">
        <v>24430</v>
      </c>
      <c r="AN1335" t="s">
        <v>24431</v>
      </c>
      <c r="AO1335" t="s">
        <v>74</v>
      </c>
      <c r="AP1335" t="s">
        <v>24432</v>
      </c>
      <c r="AQ1335" t="s">
        <v>74</v>
      </c>
      <c r="AR1335" t="s">
        <v>24433</v>
      </c>
      <c r="AS1335" t="s">
        <v>24434</v>
      </c>
      <c r="AT1335" t="s">
        <v>527</v>
      </c>
      <c r="AU1335">
        <v>2023</v>
      </c>
      <c r="AV1335">
        <v>70</v>
      </c>
      <c r="AW1335">
        <v>12</v>
      </c>
      <c r="AX1335" t="s">
        <v>74</v>
      </c>
      <c r="AY1335" t="s">
        <v>74</v>
      </c>
      <c r="AZ1335" t="s">
        <v>74</v>
      </c>
      <c r="BA1335" t="s">
        <v>74</v>
      </c>
      <c r="BB1335" t="s">
        <v>74</v>
      </c>
      <c r="BC1335" t="s">
        <v>74</v>
      </c>
      <c r="BD1335" t="s">
        <v>24435</v>
      </c>
      <c r="BE1335" t="s">
        <v>74</v>
      </c>
      <c r="BF1335" t="s">
        <v>74</v>
      </c>
      <c r="BG1335" t="s">
        <v>74</v>
      </c>
      <c r="BH1335" t="s">
        <v>74</v>
      </c>
      <c r="BI1335">
        <v>8</v>
      </c>
      <c r="BJ1335" t="s">
        <v>3440</v>
      </c>
      <c r="BK1335" t="s">
        <v>130</v>
      </c>
      <c r="BL1335" t="s">
        <v>3441</v>
      </c>
      <c r="BM1335" t="s">
        <v>24436</v>
      </c>
      <c r="BN1335" t="s">
        <v>74</v>
      </c>
      <c r="BO1335" t="s">
        <v>74</v>
      </c>
      <c r="BP1335" t="s">
        <v>74</v>
      </c>
      <c r="BQ1335" t="s">
        <v>74</v>
      </c>
      <c r="BR1335" t="s">
        <v>101</v>
      </c>
      <c r="BS1335" t="s">
        <v>24437</v>
      </c>
      <c r="BT1335" t="str">
        <f>HYPERLINK("https%3A%2F%2Fwww.webofscience.com%2Fwos%2Fwoscc%2Ffull-record%2FWOS:001166440200006","View Full Record in Web of Science")</f>
        <v>View Full Record in Web of Science</v>
      </c>
    </row>
    <row r="1336" spans="1:72" x14ac:dyDescent="0.2">
      <c r="A1336" t="s">
        <v>103</v>
      </c>
      <c r="B1336" t="s">
        <v>24438</v>
      </c>
      <c r="C1336" t="s">
        <v>74</v>
      </c>
      <c r="D1336" t="s">
        <v>74</v>
      </c>
      <c r="E1336" t="s">
        <v>74</v>
      </c>
      <c r="F1336" t="s">
        <v>24439</v>
      </c>
      <c r="G1336" t="s">
        <v>74</v>
      </c>
      <c r="H1336" t="s">
        <v>74</v>
      </c>
      <c r="I1336" t="s">
        <v>24440</v>
      </c>
      <c r="J1336" t="s">
        <v>11207</v>
      </c>
      <c r="K1336" t="s">
        <v>74</v>
      </c>
      <c r="L1336" t="s">
        <v>74</v>
      </c>
      <c r="M1336" t="s">
        <v>79</v>
      </c>
      <c r="N1336" t="s">
        <v>108</v>
      </c>
      <c r="O1336" t="s">
        <v>74</v>
      </c>
      <c r="P1336" t="s">
        <v>74</v>
      </c>
      <c r="Q1336" t="s">
        <v>74</v>
      </c>
      <c r="R1336" t="s">
        <v>74</v>
      </c>
      <c r="S1336" t="s">
        <v>74</v>
      </c>
      <c r="T1336" t="s">
        <v>74</v>
      </c>
      <c r="U1336" t="s">
        <v>24441</v>
      </c>
      <c r="V1336" t="s">
        <v>24442</v>
      </c>
      <c r="W1336" t="s">
        <v>24443</v>
      </c>
      <c r="X1336" t="s">
        <v>24444</v>
      </c>
      <c r="Y1336" t="s">
        <v>24445</v>
      </c>
      <c r="Z1336" t="s">
        <v>24446</v>
      </c>
      <c r="AA1336" t="s">
        <v>24447</v>
      </c>
      <c r="AB1336" t="s">
        <v>24448</v>
      </c>
      <c r="AC1336" t="s">
        <v>74</v>
      </c>
      <c r="AD1336" t="s">
        <v>74</v>
      </c>
      <c r="AE1336" t="s">
        <v>74</v>
      </c>
      <c r="AF1336" t="s">
        <v>74</v>
      </c>
      <c r="AG1336">
        <v>57</v>
      </c>
      <c r="AH1336">
        <v>1</v>
      </c>
      <c r="AI1336">
        <v>1</v>
      </c>
      <c r="AJ1336">
        <v>6</v>
      </c>
      <c r="AK1336">
        <v>8</v>
      </c>
      <c r="AL1336" t="s">
        <v>547</v>
      </c>
      <c r="AM1336" t="s">
        <v>548</v>
      </c>
      <c r="AN1336" t="s">
        <v>549</v>
      </c>
      <c r="AO1336" t="s">
        <v>11215</v>
      </c>
      <c r="AP1336" t="s">
        <v>11216</v>
      </c>
      <c r="AQ1336" t="s">
        <v>74</v>
      </c>
      <c r="AR1336" t="s">
        <v>11217</v>
      </c>
      <c r="AS1336" t="s">
        <v>11218</v>
      </c>
      <c r="AT1336" t="s">
        <v>24449</v>
      </c>
      <c r="AU1336">
        <v>2023</v>
      </c>
      <c r="AV1336">
        <v>63</v>
      </c>
      <c r="AW1336">
        <v>16</v>
      </c>
      <c r="AX1336" t="s">
        <v>74</v>
      </c>
      <c r="AY1336" t="s">
        <v>74</v>
      </c>
      <c r="AZ1336" t="s">
        <v>74</v>
      </c>
      <c r="BA1336" t="s">
        <v>74</v>
      </c>
      <c r="BB1336">
        <v>5066</v>
      </c>
      <c r="BC1336">
        <v>5076</v>
      </c>
      <c r="BD1336" t="s">
        <v>74</v>
      </c>
      <c r="BE1336" t="s">
        <v>24450</v>
      </c>
      <c r="BF1336" t="str">
        <f>HYPERLINK("http://dx.doi.org/10.1021/acs.jcim.3c00689","http://dx.doi.org/10.1021/acs.jcim.3c00689")</f>
        <v>http://dx.doi.org/10.1021/acs.jcim.3c00689</v>
      </c>
      <c r="BG1336" t="s">
        <v>74</v>
      </c>
      <c r="BH1336" t="s">
        <v>255</v>
      </c>
      <c r="BI1336">
        <v>11</v>
      </c>
      <c r="BJ1336" t="s">
        <v>11221</v>
      </c>
      <c r="BK1336" t="s">
        <v>130</v>
      </c>
      <c r="BL1336" t="s">
        <v>11222</v>
      </c>
      <c r="BM1336" t="s">
        <v>24451</v>
      </c>
      <c r="BN1336">
        <v>37585609</v>
      </c>
      <c r="BO1336" t="s">
        <v>74</v>
      </c>
      <c r="BP1336" t="s">
        <v>74</v>
      </c>
      <c r="BQ1336" t="s">
        <v>74</v>
      </c>
      <c r="BR1336" t="s">
        <v>101</v>
      </c>
      <c r="BS1336" t="s">
        <v>24452</v>
      </c>
      <c r="BT1336" t="str">
        <f>HYPERLINK("https%3A%2F%2Fwww.webofscience.com%2Fwos%2Fwoscc%2Ffull-record%2FWOS:001048771400001","View Full Record in Web of Science")</f>
        <v>View Full Record in Web of Science</v>
      </c>
    </row>
    <row r="1337" spans="1:72" x14ac:dyDescent="0.2">
      <c r="A1337" t="s">
        <v>72</v>
      </c>
      <c r="B1337" t="s">
        <v>24453</v>
      </c>
      <c r="C1337" t="s">
        <v>74</v>
      </c>
      <c r="D1337" t="s">
        <v>10934</v>
      </c>
      <c r="E1337" t="s">
        <v>74</v>
      </c>
      <c r="F1337" t="s">
        <v>24454</v>
      </c>
      <c r="G1337" t="s">
        <v>74</v>
      </c>
      <c r="H1337" t="s">
        <v>74</v>
      </c>
      <c r="I1337" t="s">
        <v>24455</v>
      </c>
      <c r="J1337" t="s">
        <v>10937</v>
      </c>
      <c r="K1337" t="s">
        <v>10938</v>
      </c>
      <c r="L1337" t="s">
        <v>74</v>
      </c>
      <c r="M1337" t="s">
        <v>79</v>
      </c>
      <c r="N1337" t="s">
        <v>80</v>
      </c>
      <c r="O1337" t="s">
        <v>10939</v>
      </c>
      <c r="P1337" t="s">
        <v>10940</v>
      </c>
      <c r="Q1337" t="s">
        <v>10941</v>
      </c>
      <c r="R1337" t="s">
        <v>74</v>
      </c>
      <c r="S1337" t="s">
        <v>10942</v>
      </c>
      <c r="T1337" t="s">
        <v>24456</v>
      </c>
      <c r="U1337" t="s">
        <v>74</v>
      </c>
      <c r="V1337" t="s">
        <v>24457</v>
      </c>
      <c r="W1337" t="s">
        <v>24458</v>
      </c>
      <c r="X1337" t="s">
        <v>24459</v>
      </c>
      <c r="Y1337" t="s">
        <v>24460</v>
      </c>
      <c r="Z1337" t="s">
        <v>24461</v>
      </c>
      <c r="AA1337" t="s">
        <v>24462</v>
      </c>
      <c r="AB1337" t="s">
        <v>24463</v>
      </c>
      <c r="AC1337" t="s">
        <v>74</v>
      </c>
      <c r="AD1337" t="s">
        <v>74</v>
      </c>
      <c r="AE1337" t="s">
        <v>74</v>
      </c>
      <c r="AF1337" t="s">
        <v>74</v>
      </c>
      <c r="AG1337">
        <v>12</v>
      </c>
      <c r="AH1337">
        <v>1</v>
      </c>
      <c r="AI1337">
        <v>1</v>
      </c>
      <c r="AJ1337">
        <v>2</v>
      </c>
      <c r="AK1337">
        <v>6</v>
      </c>
      <c r="AL1337" t="s">
        <v>325</v>
      </c>
      <c r="AM1337" t="s">
        <v>245</v>
      </c>
      <c r="AN1337" t="s">
        <v>246</v>
      </c>
      <c r="AO1337" t="s">
        <v>10948</v>
      </c>
      <c r="AP1337" t="s">
        <v>10949</v>
      </c>
      <c r="AQ1337" t="s">
        <v>10950</v>
      </c>
      <c r="AR1337" t="s">
        <v>10951</v>
      </c>
      <c r="AS1337" t="s">
        <v>74</v>
      </c>
      <c r="AT1337" t="s">
        <v>74</v>
      </c>
      <c r="AU1337">
        <v>2023</v>
      </c>
      <c r="AV1337">
        <v>314</v>
      </c>
      <c r="AW1337" t="s">
        <v>74</v>
      </c>
      <c r="AX1337" t="s">
        <v>74</v>
      </c>
      <c r="AY1337" t="s">
        <v>74</v>
      </c>
      <c r="AZ1337" t="s">
        <v>74</v>
      </c>
      <c r="BA1337" t="s">
        <v>74</v>
      </c>
      <c r="BB1337">
        <v>180</v>
      </c>
      <c r="BC1337">
        <v>190</v>
      </c>
      <c r="BD1337" t="s">
        <v>74</v>
      </c>
      <c r="BE1337" t="s">
        <v>24464</v>
      </c>
      <c r="BF1337" t="str">
        <f>HYPERLINK("http://dx.doi.org/10.1007/978-3-031-05491-4_19","http://dx.doi.org/10.1007/978-3-031-05491-4_19")</f>
        <v>http://dx.doi.org/10.1007/978-3-031-05491-4_19</v>
      </c>
      <c r="BG1337" t="s">
        <v>74</v>
      </c>
      <c r="BH1337" t="s">
        <v>74</v>
      </c>
      <c r="BI1337">
        <v>11</v>
      </c>
      <c r="BJ1337" t="s">
        <v>883</v>
      </c>
      <c r="BK1337" t="s">
        <v>98</v>
      </c>
      <c r="BL1337" t="s">
        <v>99</v>
      </c>
      <c r="BM1337" t="s">
        <v>10953</v>
      </c>
      <c r="BN1337" t="s">
        <v>74</v>
      </c>
      <c r="BO1337" t="s">
        <v>74</v>
      </c>
      <c r="BP1337" t="s">
        <v>74</v>
      </c>
      <c r="BQ1337" t="s">
        <v>74</v>
      </c>
      <c r="BR1337" t="s">
        <v>101</v>
      </c>
      <c r="BS1337" t="s">
        <v>24465</v>
      </c>
      <c r="BT1337" t="str">
        <f>HYPERLINK("https%3A%2F%2Fwww.webofscience.com%2Fwos%2Fwoscc%2Ffull-record%2FWOS:000945919300019","View Full Record in Web of Science")</f>
        <v>View Full Record in Web of Science</v>
      </c>
    </row>
    <row r="1338" spans="1:72" x14ac:dyDescent="0.2">
      <c r="A1338" t="s">
        <v>103</v>
      </c>
      <c r="B1338" t="s">
        <v>24466</v>
      </c>
      <c r="C1338" t="s">
        <v>74</v>
      </c>
      <c r="D1338" t="s">
        <v>74</v>
      </c>
      <c r="E1338" t="s">
        <v>74</v>
      </c>
      <c r="F1338" t="s">
        <v>24467</v>
      </c>
      <c r="G1338" t="s">
        <v>74</v>
      </c>
      <c r="H1338" t="s">
        <v>74</v>
      </c>
      <c r="I1338" t="s">
        <v>24468</v>
      </c>
      <c r="J1338" t="s">
        <v>12176</v>
      </c>
      <c r="K1338" t="s">
        <v>74</v>
      </c>
      <c r="L1338" t="s">
        <v>74</v>
      </c>
      <c r="M1338" t="s">
        <v>79</v>
      </c>
      <c r="N1338" t="s">
        <v>108</v>
      </c>
      <c r="O1338" t="s">
        <v>74</v>
      </c>
      <c r="P1338" t="s">
        <v>74</v>
      </c>
      <c r="Q1338" t="s">
        <v>74</v>
      </c>
      <c r="R1338" t="s">
        <v>74</v>
      </c>
      <c r="S1338" t="s">
        <v>74</v>
      </c>
      <c r="T1338" t="s">
        <v>24469</v>
      </c>
      <c r="U1338" t="s">
        <v>74</v>
      </c>
      <c r="V1338" t="s">
        <v>24470</v>
      </c>
      <c r="W1338" t="s">
        <v>24471</v>
      </c>
      <c r="X1338" t="s">
        <v>8798</v>
      </c>
      <c r="Y1338" t="s">
        <v>24472</v>
      </c>
      <c r="Z1338" t="s">
        <v>24473</v>
      </c>
      <c r="AA1338" t="s">
        <v>24474</v>
      </c>
      <c r="AB1338" t="s">
        <v>74</v>
      </c>
      <c r="AC1338" t="s">
        <v>24475</v>
      </c>
      <c r="AD1338" t="s">
        <v>24476</v>
      </c>
      <c r="AE1338" t="s">
        <v>24477</v>
      </c>
      <c r="AF1338" t="s">
        <v>74</v>
      </c>
      <c r="AG1338">
        <v>52</v>
      </c>
      <c r="AH1338">
        <v>1</v>
      </c>
      <c r="AI1338">
        <v>1</v>
      </c>
      <c r="AJ1338">
        <v>0</v>
      </c>
      <c r="AK1338">
        <v>0</v>
      </c>
      <c r="AL1338" t="s">
        <v>764</v>
      </c>
      <c r="AM1338" t="s">
        <v>765</v>
      </c>
      <c r="AN1338" t="s">
        <v>766</v>
      </c>
      <c r="AO1338" t="s">
        <v>12189</v>
      </c>
      <c r="AP1338" t="s">
        <v>12190</v>
      </c>
      <c r="AQ1338" t="s">
        <v>74</v>
      </c>
      <c r="AR1338" t="s">
        <v>12176</v>
      </c>
      <c r="AS1338" t="s">
        <v>12191</v>
      </c>
      <c r="AT1338" t="s">
        <v>1457</v>
      </c>
      <c r="AU1338">
        <v>2023</v>
      </c>
      <c r="AV1338">
        <v>548</v>
      </c>
      <c r="AW1338" t="s">
        <v>74</v>
      </c>
      <c r="AX1338" t="s">
        <v>74</v>
      </c>
      <c r="AY1338" t="s">
        <v>74</v>
      </c>
      <c r="AZ1338" t="s">
        <v>74</v>
      </c>
      <c r="BA1338" t="s">
        <v>74</v>
      </c>
      <c r="BB1338" t="s">
        <v>74</v>
      </c>
      <c r="BC1338" t="s">
        <v>74</v>
      </c>
      <c r="BD1338">
        <v>126356</v>
      </c>
      <c r="BE1338" t="s">
        <v>24478</v>
      </c>
      <c r="BF1338" t="str">
        <f>HYPERLINK("http://dx.doi.org/10.1016/j.neucom.2023.126356","http://dx.doi.org/10.1016/j.neucom.2023.126356")</f>
        <v>http://dx.doi.org/10.1016/j.neucom.2023.126356</v>
      </c>
      <c r="BG1338" t="s">
        <v>74</v>
      </c>
      <c r="BH1338" t="s">
        <v>1910</v>
      </c>
      <c r="BI1338">
        <v>9</v>
      </c>
      <c r="BJ1338" t="s">
        <v>304</v>
      </c>
      <c r="BK1338" t="s">
        <v>130</v>
      </c>
      <c r="BL1338" t="s">
        <v>99</v>
      </c>
      <c r="BM1338" t="s">
        <v>24479</v>
      </c>
      <c r="BN1338" t="s">
        <v>74</v>
      </c>
      <c r="BO1338" t="s">
        <v>161</v>
      </c>
      <c r="BP1338" t="s">
        <v>74</v>
      </c>
      <c r="BQ1338" t="s">
        <v>74</v>
      </c>
      <c r="BR1338" t="s">
        <v>101</v>
      </c>
      <c r="BS1338" t="s">
        <v>24480</v>
      </c>
      <c r="BT1338" t="str">
        <f>HYPERLINK("https%3A%2F%2Fwww.webofscience.com%2Fwos%2Fwoscc%2Ffull-record%2FWOS:001028942600001","View Full Record in Web of Science")</f>
        <v>View Full Record in Web of Science</v>
      </c>
    </row>
    <row r="1339" spans="1:72" x14ac:dyDescent="0.2">
      <c r="A1339" t="s">
        <v>103</v>
      </c>
      <c r="B1339" t="s">
        <v>24481</v>
      </c>
      <c r="C1339" t="s">
        <v>74</v>
      </c>
      <c r="D1339" t="s">
        <v>74</v>
      </c>
      <c r="E1339" t="s">
        <v>74</v>
      </c>
      <c r="F1339" t="s">
        <v>24482</v>
      </c>
      <c r="G1339" t="s">
        <v>74</v>
      </c>
      <c r="H1339" t="s">
        <v>74</v>
      </c>
      <c r="I1339" t="s">
        <v>24483</v>
      </c>
      <c r="J1339" t="s">
        <v>24484</v>
      </c>
      <c r="K1339" t="s">
        <v>74</v>
      </c>
      <c r="L1339" t="s">
        <v>74</v>
      </c>
      <c r="M1339" t="s">
        <v>79</v>
      </c>
      <c r="N1339" t="s">
        <v>108</v>
      </c>
      <c r="O1339" t="s">
        <v>74</v>
      </c>
      <c r="P1339" t="s">
        <v>74</v>
      </c>
      <c r="Q1339" t="s">
        <v>74</v>
      </c>
      <c r="R1339" t="s">
        <v>74</v>
      </c>
      <c r="S1339" t="s">
        <v>74</v>
      </c>
      <c r="T1339" t="s">
        <v>24485</v>
      </c>
      <c r="U1339" t="s">
        <v>24486</v>
      </c>
      <c r="V1339" t="s">
        <v>24487</v>
      </c>
      <c r="W1339" t="s">
        <v>24488</v>
      </c>
      <c r="X1339" t="s">
        <v>24489</v>
      </c>
      <c r="Y1339" t="s">
        <v>24490</v>
      </c>
      <c r="Z1339" t="s">
        <v>24491</v>
      </c>
      <c r="AA1339" t="s">
        <v>74</v>
      </c>
      <c r="AB1339" t="s">
        <v>74</v>
      </c>
      <c r="AC1339" t="s">
        <v>24492</v>
      </c>
      <c r="AD1339" t="s">
        <v>24493</v>
      </c>
      <c r="AE1339" t="s">
        <v>24494</v>
      </c>
      <c r="AF1339" t="s">
        <v>74</v>
      </c>
      <c r="AG1339">
        <v>30</v>
      </c>
      <c r="AH1339">
        <v>0</v>
      </c>
      <c r="AI1339">
        <v>0</v>
      </c>
      <c r="AJ1339">
        <v>2</v>
      </c>
      <c r="AK1339">
        <v>2</v>
      </c>
      <c r="AL1339" t="s">
        <v>2492</v>
      </c>
      <c r="AM1339" t="s">
        <v>461</v>
      </c>
      <c r="AN1339" t="s">
        <v>2493</v>
      </c>
      <c r="AO1339" t="s">
        <v>74</v>
      </c>
      <c r="AP1339" t="s">
        <v>24495</v>
      </c>
      <c r="AQ1339" t="s">
        <v>74</v>
      </c>
      <c r="AR1339" t="s">
        <v>24496</v>
      </c>
      <c r="AS1339" t="s">
        <v>24497</v>
      </c>
      <c r="AT1339" t="s">
        <v>15724</v>
      </c>
      <c r="AU1339">
        <v>2023</v>
      </c>
      <c r="AV1339">
        <v>11</v>
      </c>
      <c r="AW1339" t="s">
        <v>74</v>
      </c>
      <c r="AX1339" t="s">
        <v>74</v>
      </c>
      <c r="AY1339" t="s">
        <v>74</v>
      </c>
      <c r="AZ1339" t="s">
        <v>74</v>
      </c>
      <c r="BA1339" t="s">
        <v>74</v>
      </c>
      <c r="BB1339" t="s">
        <v>74</v>
      </c>
      <c r="BC1339" t="s">
        <v>74</v>
      </c>
      <c r="BD1339">
        <v>1254976</v>
      </c>
      <c r="BE1339" t="s">
        <v>24498</v>
      </c>
      <c r="BF1339" t="str">
        <f>HYPERLINK("http://dx.doi.org/10.3389/fpubh.2023.1254976","http://dx.doi.org/10.3389/fpubh.2023.1254976")</f>
        <v>http://dx.doi.org/10.3389/fpubh.2023.1254976</v>
      </c>
      <c r="BG1339" t="s">
        <v>74</v>
      </c>
      <c r="BH1339" t="s">
        <v>74</v>
      </c>
      <c r="BI1339">
        <v>9</v>
      </c>
      <c r="BJ1339" t="s">
        <v>10919</v>
      </c>
      <c r="BK1339" t="s">
        <v>947</v>
      </c>
      <c r="BL1339" t="s">
        <v>10919</v>
      </c>
      <c r="BM1339" t="s">
        <v>24499</v>
      </c>
      <c r="BN1339">
        <v>38035280</v>
      </c>
      <c r="BO1339" t="s">
        <v>4185</v>
      </c>
      <c r="BP1339" t="s">
        <v>74</v>
      </c>
      <c r="BQ1339" t="s">
        <v>74</v>
      </c>
      <c r="BR1339" t="s">
        <v>101</v>
      </c>
      <c r="BS1339" t="s">
        <v>24500</v>
      </c>
      <c r="BT1339" t="str">
        <f>HYPERLINK("https%3A%2F%2Fwww.webofscience.com%2Fwos%2Fwoscc%2Ffull-record%2FWOS:001110888200001","View Full Record in Web of Science")</f>
        <v>View Full Record in Web of Science</v>
      </c>
    </row>
    <row r="1340" spans="1:72" x14ac:dyDescent="0.2">
      <c r="A1340" t="s">
        <v>103</v>
      </c>
      <c r="B1340" t="s">
        <v>24501</v>
      </c>
      <c r="C1340" t="s">
        <v>74</v>
      </c>
      <c r="D1340" t="s">
        <v>74</v>
      </c>
      <c r="E1340" t="s">
        <v>74</v>
      </c>
      <c r="F1340" t="s">
        <v>24502</v>
      </c>
      <c r="G1340" t="s">
        <v>74</v>
      </c>
      <c r="H1340" t="s">
        <v>74</v>
      </c>
      <c r="I1340" t="s">
        <v>24503</v>
      </c>
      <c r="J1340" t="s">
        <v>4167</v>
      </c>
      <c r="K1340" t="s">
        <v>74</v>
      </c>
      <c r="L1340" t="s">
        <v>74</v>
      </c>
      <c r="M1340" t="s">
        <v>79</v>
      </c>
      <c r="N1340" t="s">
        <v>108</v>
      </c>
      <c r="O1340" t="s">
        <v>74</v>
      </c>
      <c r="P1340" t="s">
        <v>74</v>
      </c>
      <c r="Q1340" t="s">
        <v>74</v>
      </c>
      <c r="R1340" t="s">
        <v>74</v>
      </c>
      <c r="S1340" t="s">
        <v>74</v>
      </c>
      <c r="T1340" t="s">
        <v>24504</v>
      </c>
      <c r="U1340" t="s">
        <v>74</v>
      </c>
      <c r="V1340" t="s">
        <v>24505</v>
      </c>
      <c r="W1340" t="s">
        <v>24506</v>
      </c>
      <c r="X1340" t="s">
        <v>24507</v>
      </c>
      <c r="Y1340" t="s">
        <v>24508</v>
      </c>
      <c r="Z1340" t="s">
        <v>24509</v>
      </c>
      <c r="AA1340" t="s">
        <v>74</v>
      </c>
      <c r="AB1340" t="s">
        <v>24510</v>
      </c>
      <c r="AC1340" t="s">
        <v>74</v>
      </c>
      <c r="AD1340" t="s">
        <v>74</v>
      </c>
      <c r="AE1340" t="s">
        <v>74</v>
      </c>
      <c r="AF1340" t="s">
        <v>74</v>
      </c>
      <c r="AG1340">
        <v>27</v>
      </c>
      <c r="AH1340">
        <v>6</v>
      </c>
      <c r="AI1340">
        <v>6</v>
      </c>
      <c r="AJ1340">
        <v>10</v>
      </c>
      <c r="AK1340">
        <v>10</v>
      </c>
      <c r="AL1340" t="s">
        <v>4176</v>
      </c>
      <c r="AM1340" t="s">
        <v>4177</v>
      </c>
      <c r="AN1340" t="s">
        <v>4178</v>
      </c>
      <c r="AO1340" t="s">
        <v>4179</v>
      </c>
      <c r="AP1340" t="s">
        <v>74</v>
      </c>
      <c r="AQ1340" t="s">
        <v>74</v>
      </c>
      <c r="AR1340" t="s">
        <v>4180</v>
      </c>
      <c r="AS1340" t="s">
        <v>4181</v>
      </c>
      <c r="AT1340" t="s">
        <v>74</v>
      </c>
      <c r="AU1340">
        <v>2023</v>
      </c>
      <c r="AV1340">
        <v>9</v>
      </c>
      <c r="AW1340" t="s">
        <v>74</v>
      </c>
      <c r="AX1340" t="s">
        <v>74</v>
      </c>
      <c r="AY1340" t="s">
        <v>74</v>
      </c>
      <c r="AZ1340" t="s">
        <v>74</v>
      </c>
      <c r="BA1340" t="s">
        <v>74</v>
      </c>
      <c r="BB1340" t="s">
        <v>74</v>
      </c>
      <c r="BC1340" t="s">
        <v>74</v>
      </c>
      <c r="BD1340" t="s">
        <v>24511</v>
      </c>
      <c r="BE1340" t="s">
        <v>24512</v>
      </c>
      <c r="BF1340" t="str">
        <f>HYPERLINK("http://dx.doi.org/10.2196/48039","http://dx.doi.org/10.2196/48039")</f>
        <v>http://dx.doi.org/10.2196/48039</v>
      </c>
      <c r="BG1340" t="s">
        <v>74</v>
      </c>
      <c r="BH1340" t="s">
        <v>74</v>
      </c>
      <c r="BI1340">
        <v>13</v>
      </c>
      <c r="BJ1340" t="s">
        <v>3308</v>
      </c>
      <c r="BK1340" t="s">
        <v>352</v>
      </c>
      <c r="BL1340" t="s">
        <v>423</v>
      </c>
      <c r="BM1340" t="s">
        <v>24513</v>
      </c>
      <c r="BN1340">
        <v>37768724</v>
      </c>
      <c r="BO1340" t="s">
        <v>1728</v>
      </c>
      <c r="BP1340" t="s">
        <v>74</v>
      </c>
      <c r="BQ1340" t="s">
        <v>74</v>
      </c>
      <c r="BR1340" t="s">
        <v>101</v>
      </c>
      <c r="BS1340" t="s">
        <v>24514</v>
      </c>
      <c r="BT1340" t="str">
        <f>HYPERLINK("https%3A%2F%2Fwww.webofscience.com%2Fwos%2Fwoscc%2Ffull-record%2FWOS:001085624000001","View Full Record in Web of Science")</f>
        <v>View Full Record in Web of Science</v>
      </c>
    </row>
    <row r="1341" spans="1:72" x14ac:dyDescent="0.2">
      <c r="A1341" t="s">
        <v>103</v>
      </c>
      <c r="B1341" t="s">
        <v>24515</v>
      </c>
      <c r="C1341" t="s">
        <v>74</v>
      </c>
      <c r="D1341" t="s">
        <v>74</v>
      </c>
      <c r="E1341" t="s">
        <v>74</v>
      </c>
      <c r="F1341" t="s">
        <v>24516</v>
      </c>
      <c r="G1341" t="s">
        <v>74</v>
      </c>
      <c r="H1341" t="s">
        <v>74</v>
      </c>
      <c r="I1341" t="s">
        <v>24517</v>
      </c>
      <c r="J1341" t="s">
        <v>9991</v>
      </c>
      <c r="K1341" t="s">
        <v>74</v>
      </c>
      <c r="L1341" t="s">
        <v>74</v>
      </c>
      <c r="M1341" t="s">
        <v>79</v>
      </c>
      <c r="N1341" t="s">
        <v>108</v>
      </c>
      <c r="O1341" t="s">
        <v>74</v>
      </c>
      <c r="P1341" t="s">
        <v>74</v>
      </c>
      <c r="Q1341" t="s">
        <v>74</v>
      </c>
      <c r="R1341" t="s">
        <v>74</v>
      </c>
      <c r="S1341" t="s">
        <v>74</v>
      </c>
      <c r="T1341" t="s">
        <v>24518</v>
      </c>
      <c r="U1341" t="s">
        <v>74</v>
      </c>
      <c r="V1341" t="s">
        <v>24519</v>
      </c>
      <c r="W1341" t="s">
        <v>24520</v>
      </c>
      <c r="X1341" t="s">
        <v>24521</v>
      </c>
      <c r="Y1341" t="s">
        <v>24522</v>
      </c>
      <c r="Z1341" t="s">
        <v>24523</v>
      </c>
      <c r="AA1341" t="s">
        <v>24524</v>
      </c>
      <c r="AB1341" t="s">
        <v>24525</v>
      </c>
      <c r="AC1341" t="s">
        <v>24526</v>
      </c>
      <c r="AD1341" t="s">
        <v>24527</v>
      </c>
      <c r="AE1341" t="s">
        <v>24528</v>
      </c>
      <c r="AF1341" t="s">
        <v>74</v>
      </c>
      <c r="AG1341">
        <v>55</v>
      </c>
      <c r="AH1341">
        <v>3</v>
      </c>
      <c r="AI1341">
        <v>3</v>
      </c>
      <c r="AJ1341">
        <v>4</v>
      </c>
      <c r="AK1341">
        <v>25</v>
      </c>
      <c r="AL1341" t="s">
        <v>14567</v>
      </c>
      <c r="AM1341" t="s">
        <v>7144</v>
      </c>
      <c r="AN1341" t="s">
        <v>14568</v>
      </c>
      <c r="AO1341" t="s">
        <v>10003</v>
      </c>
      <c r="AP1341" t="s">
        <v>10004</v>
      </c>
      <c r="AQ1341" t="s">
        <v>74</v>
      </c>
      <c r="AR1341" t="s">
        <v>10005</v>
      </c>
      <c r="AS1341" t="s">
        <v>10006</v>
      </c>
      <c r="AT1341" t="s">
        <v>2582</v>
      </c>
      <c r="AU1341">
        <v>2023</v>
      </c>
      <c r="AV1341">
        <v>9</v>
      </c>
      <c r="AW1341">
        <v>2</v>
      </c>
      <c r="AX1341" t="s">
        <v>74</v>
      </c>
      <c r="AY1341" t="s">
        <v>74</v>
      </c>
      <c r="AZ1341" t="s">
        <v>74</v>
      </c>
      <c r="BA1341" t="s">
        <v>74</v>
      </c>
      <c r="BB1341">
        <v>351</v>
      </c>
      <c r="BC1341">
        <v>366</v>
      </c>
      <c r="BD1341" t="s">
        <v>74</v>
      </c>
      <c r="BE1341" t="s">
        <v>24529</v>
      </c>
      <c r="BF1341" t="str">
        <f>HYPERLINK("http://dx.doi.org/10.1007/s41095-022-0284-6","http://dx.doi.org/10.1007/s41095-022-0284-6")</f>
        <v>http://dx.doi.org/10.1007/s41095-022-0284-6</v>
      </c>
      <c r="BG1341" t="s">
        <v>74</v>
      </c>
      <c r="BH1341" t="s">
        <v>74</v>
      </c>
      <c r="BI1341">
        <v>16</v>
      </c>
      <c r="BJ1341" t="s">
        <v>1563</v>
      </c>
      <c r="BK1341" t="s">
        <v>130</v>
      </c>
      <c r="BL1341" t="s">
        <v>99</v>
      </c>
      <c r="BM1341" t="s">
        <v>24530</v>
      </c>
      <c r="BN1341" t="s">
        <v>74</v>
      </c>
      <c r="BO1341" t="s">
        <v>1071</v>
      </c>
      <c r="BP1341" t="s">
        <v>74</v>
      </c>
      <c r="BQ1341" t="s">
        <v>74</v>
      </c>
      <c r="BR1341" t="s">
        <v>101</v>
      </c>
      <c r="BS1341" t="s">
        <v>24531</v>
      </c>
      <c r="BT1341" t="str">
        <f>HYPERLINK("https%3A%2F%2Fwww.webofscience.com%2Fwos%2Fwoscc%2Ffull-record%2FWOS:000907570700009","View Full Record in Web of Science")</f>
        <v>View Full Record in Web of Science</v>
      </c>
    </row>
    <row r="1342" spans="1:72" x14ac:dyDescent="0.2">
      <c r="A1342" t="s">
        <v>103</v>
      </c>
      <c r="B1342" t="s">
        <v>24532</v>
      </c>
      <c r="C1342" t="s">
        <v>74</v>
      </c>
      <c r="D1342" t="s">
        <v>74</v>
      </c>
      <c r="E1342" t="s">
        <v>74</v>
      </c>
      <c r="F1342" t="s">
        <v>24533</v>
      </c>
      <c r="G1342" t="s">
        <v>74</v>
      </c>
      <c r="H1342" t="s">
        <v>74</v>
      </c>
      <c r="I1342" t="s">
        <v>24534</v>
      </c>
      <c r="J1342" t="s">
        <v>2433</v>
      </c>
      <c r="K1342" t="s">
        <v>74</v>
      </c>
      <c r="L1342" t="s">
        <v>74</v>
      </c>
      <c r="M1342" t="s">
        <v>79</v>
      </c>
      <c r="N1342" t="s">
        <v>108</v>
      </c>
      <c r="O1342" t="s">
        <v>74</v>
      </c>
      <c r="P1342" t="s">
        <v>74</v>
      </c>
      <c r="Q1342" t="s">
        <v>74</v>
      </c>
      <c r="R1342" t="s">
        <v>74</v>
      </c>
      <c r="S1342" t="s">
        <v>74</v>
      </c>
      <c r="T1342" t="s">
        <v>24535</v>
      </c>
      <c r="U1342" t="s">
        <v>74</v>
      </c>
      <c r="V1342" t="s">
        <v>24536</v>
      </c>
      <c r="W1342" t="s">
        <v>24537</v>
      </c>
      <c r="X1342" t="s">
        <v>24538</v>
      </c>
      <c r="Y1342" t="s">
        <v>24539</v>
      </c>
      <c r="Z1342" t="s">
        <v>24540</v>
      </c>
      <c r="AA1342" t="s">
        <v>74</v>
      </c>
      <c r="AB1342" t="s">
        <v>74</v>
      </c>
      <c r="AC1342" t="s">
        <v>24541</v>
      </c>
      <c r="AD1342" t="s">
        <v>24542</v>
      </c>
      <c r="AE1342" t="s">
        <v>24543</v>
      </c>
      <c r="AF1342" t="s">
        <v>74</v>
      </c>
      <c r="AG1342">
        <v>33</v>
      </c>
      <c r="AH1342">
        <v>0</v>
      </c>
      <c r="AI1342">
        <v>0</v>
      </c>
      <c r="AJ1342">
        <v>23</v>
      </c>
      <c r="AK1342">
        <v>69</v>
      </c>
      <c r="AL1342" t="s">
        <v>939</v>
      </c>
      <c r="AM1342" t="s">
        <v>940</v>
      </c>
      <c r="AN1342" t="s">
        <v>941</v>
      </c>
      <c r="AO1342" t="s">
        <v>74</v>
      </c>
      <c r="AP1342" t="s">
        <v>2444</v>
      </c>
      <c r="AQ1342" t="s">
        <v>74</v>
      </c>
      <c r="AR1342" t="s">
        <v>2445</v>
      </c>
      <c r="AS1342" t="s">
        <v>2446</v>
      </c>
      <c r="AT1342" t="s">
        <v>251</v>
      </c>
      <c r="AU1342">
        <v>2023</v>
      </c>
      <c r="AV1342">
        <v>13</v>
      </c>
      <c r="AW1342">
        <v>4</v>
      </c>
      <c r="AX1342" t="s">
        <v>74</v>
      </c>
      <c r="AY1342" t="s">
        <v>74</v>
      </c>
      <c r="AZ1342" t="s">
        <v>74</v>
      </c>
      <c r="BA1342" t="s">
        <v>74</v>
      </c>
      <c r="BB1342" t="s">
        <v>74</v>
      </c>
      <c r="BC1342" t="s">
        <v>74</v>
      </c>
      <c r="BD1342">
        <v>2593</v>
      </c>
      <c r="BE1342" t="s">
        <v>24544</v>
      </c>
      <c r="BF1342" t="str">
        <f>HYPERLINK("http://dx.doi.org/10.3390/app13042593","http://dx.doi.org/10.3390/app13042593")</f>
        <v>http://dx.doi.org/10.3390/app13042593</v>
      </c>
      <c r="BG1342" t="s">
        <v>74</v>
      </c>
      <c r="BH1342" t="s">
        <v>74</v>
      </c>
      <c r="BI1342">
        <v>16</v>
      </c>
      <c r="BJ1342" t="s">
        <v>2448</v>
      </c>
      <c r="BK1342" t="s">
        <v>130</v>
      </c>
      <c r="BL1342" t="s">
        <v>2449</v>
      </c>
      <c r="BM1342" t="s">
        <v>24545</v>
      </c>
      <c r="BN1342" t="s">
        <v>74</v>
      </c>
      <c r="BO1342" t="s">
        <v>425</v>
      </c>
      <c r="BP1342" t="s">
        <v>74</v>
      </c>
      <c r="BQ1342" t="s">
        <v>74</v>
      </c>
      <c r="BR1342" t="s">
        <v>101</v>
      </c>
      <c r="BS1342" t="s">
        <v>24546</v>
      </c>
      <c r="BT1342" t="str">
        <f>HYPERLINK("https%3A%2F%2Fwww.webofscience.com%2Fwos%2Fwoscc%2Ffull-record%2FWOS:000938811400001","View Full Record in Web of Science")</f>
        <v>View Full Record in Web of Science</v>
      </c>
    </row>
    <row r="1343" spans="1:72" x14ac:dyDescent="0.2">
      <c r="A1343" t="s">
        <v>103</v>
      </c>
      <c r="B1343" t="s">
        <v>24547</v>
      </c>
      <c r="C1343" t="s">
        <v>74</v>
      </c>
      <c r="D1343" t="s">
        <v>74</v>
      </c>
      <c r="E1343" t="s">
        <v>74</v>
      </c>
      <c r="F1343" t="s">
        <v>24548</v>
      </c>
      <c r="G1343" t="s">
        <v>74</v>
      </c>
      <c r="H1343" t="s">
        <v>74</v>
      </c>
      <c r="I1343" t="s">
        <v>24549</v>
      </c>
      <c r="J1343" t="s">
        <v>12480</v>
      </c>
      <c r="K1343" t="s">
        <v>74</v>
      </c>
      <c r="L1343" t="s">
        <v>74</v>
      </c>
      <c r="M1343" t="s">
        <v>79</v>
      </c>
      <c r="N1343" t="s">
        <v>108</v>
      </c>
      <c r="O1343" t="s">
        <v>74</v>
      </c>
      <c r="P1343" t="s">
        <v>74</v>
      </c>
      <c r="Q1343" t="s">
        <v>74</v>
      </c>
      <c r="R1343" t="s">
        <v>74</v>
      </c>
      <c r="S1343" t="s">
        <v>74</v>
      </c>
      <c r="T1343" t="s">
        <v>24550</v>
      </c>
      <c r="U1343" t="s">
        <v>74</v>
      </c>
      <c r="V1343" t="s">
        <v>24551</v>
      </c>
      <c r="W1343" t="s">
        <v>24552</v>
      </c>
      <c r="X1343" t="s">
        <v>24553</v>
      </c>
      <c r="Y1343" t="s">
        <v>24554</v>
      </c>
      <c r="Z1343" t="s">
        <v>24555</v>
      </c>
      <c r="AA1343" t="s">
        <v>74</v>
      </c>
      <c r="AB1343" t="s">
        <v>24556</v>
      </c>
      <c r="AC1343" t="s">
        <v>24557</v>
      </c>
      <c r="AD1343" t="s">
        <v>24558</v>
      </c>
      <c r="AE1343" t="s">
        <v>24559</v>
      </c>
      <c r="AF1343" t="s">
        <v>74</v>
      </c>
      <c r="AG1343">
        <v>30</v>
      </c>
      <c r="AH1343">
        <v>1</v>
      </c>
      <c r="AI1343">
        <v>1</v>
      </c>
      <c r="AJ1343">
        <v>8</v>
      </c>
      <c r="AK1343">
        <v>9</v>
      </c>
      <c r="AL1343" t="s">
        <v>1379</v>
      </c>
      <c r="AM1343" t="s">
        <v>1380</v>
      </c>
      <c r="AN1343" t="s">
        <v>1381</v>
      </c>
      <c r="AO1343" t="s">
        <v>12492</v>
      </c>
      <c r="AP1343" t="s">
        <v>12493</v>
      </c>
      <c r="AQ1343" t="s">
        <v>74</v>
      </c>
      <c r="AR1343" t="s">
        <v>12494</v>
      </c>
      <c r="AS1343" t="s">
        <v>12495</v>
      </c>
      <c r="AT1343" t="s">
        <v>74</v>
      </c>
      <c r="AU1343">
        <v>2023</v>
      </c>
      <c r="AV1343">
        <v>72</v>
      </c>
      <c r="AW1343" t="s">
        <v>74</v>
      </c>
      <c r="AX1343" t="s">
        <v>74</v>
      </c>
      <c r="AY1343" t="s">
        <v>74</v>
      </c>
      <c r="AZ1343" t="s">
        <v>74</v>
      </c>
      <c r="BA1343" t="s">
        <v>74</v>
      </c>
      <c r="BB1343" t="s">
        <v>74</v>
      </c>
      <c r="BC1343" t="s">
        <v>74</v>
      </c>
      <c r="BD1343">
        <v>5019709</v>
      </c>
      <c r="BE1343" t="s">
        <v>24560</v>
      </c>
      <c r="BF1343" t="str">
        <f>HYPERLINK("http://dx.doi.org/10.1109/TIM.2023.3279451","http://dx.doi.org/10.1109/TIM.2023.3279451")</f>
        <v>http://dx.doi.org/10.1109/TIM.2023.3279451</v>
      </c>
      <c r="BG1343" t="s">
        <v>74</v>
      </c>
      <c r="BH1343" t="s">
        <v>74</v>
      </c>
      <c r="BI1343">
        <v>9</v>
      </c>
      <c r="BJ1343" t="s">
        <v>12497</v>
      </c>
      <c r="BK1343" t="s">
        <v>130</v>
      </c>
      <c r="BL1343" t="s">
        <v>12498</v>
      </c>
      <c r="BM1343" t="s">
        <v>24561</v>
      </c>
      <c r="BN1343" t="s">
        <v>74</v>
      </c>
      <c r="BO1343" t="s">
        <v>74</v>
      </c>
      <c r="BP1343" t="s">
        <v>74</v>
      </c>
      <c r="BQ1343" t="s">
        <v>74</v>
      </c>
      <c r="BR1343" t="s">
        <v>101</v>
      </c>
      <c r="BS1343" t="s">
        <v>24562</v>
      </c>
      <c r="BT1343" t="str">
        <f>HYPERLINK("https%3A%2F%2Fwww.webofscience.com%2Fwos%2Fwoscc%2Ffull-record%2FWOS:001030636000010","View Full Record in Web of Science")</f>
        <v>View Full Record in Web of Science</v>
      </c>
    </row>
    <row r="1344" spans="1:72" x14ac:dyDescent="0.2">
      <c r="A1344" t="s">
        <v>103</v>
      </c>
      <c r="B1344" t="s">
        <v>24563</v>
      </c>
      <c r="C1344" t="s">
        <v>74</v>
      </c>
      <c r="D1344" t="s">
        <v>74</v>
      </c>
      <c r="E1344" t="s">
        <v>74</v>
      </c>
      <c r="F1344" t="s">
        <v>24564</v>
      </c>
      <c r="G1344" t="s">
        <v>74</v>
      </c>
      <c r="H1344" t="s">
        <v>74</v>
      </c>
      <c r="I1344" t="s">
        <v>24565</v>
      </c>
      <c r="J1344" t="s">
        <v>10733</v>
      </c>
      <c r="K1344" t="s">
        <v>74</v>
      </c>
      <c r="L1344" t="s">
        <v>74</v>
      </c>
      <c r="M1344" t="s">
        <v>79</v>
      </c>
      <c r="N1344" t="s">
        <v>108</v>
      </c>
      <c r="O1344" t="s">
        <v>74</v>
      </c>
      <c r="P1344" t="s">
        <v>74</v>
      </c>
      <c r="Q1344" t="s">
        <v>74</v>
      </c>
      <c r="R1344" t="s">
        <v>74</v>
      </c>
      <c r="S1344" t="s">
        <v>74</v>
      </c>
      <c r="T1344" t="s">
        <v>24566</v>
      </c>
      <c r="U1344" t="s">
        <v>74</v>
      </c>
      <c r="V1344" t="s">
        <v>24567</v>
      </c>
      <c r="W1344" t="s">
        <v>24568</v>
      </c>
      <c r="X1344" t="s">
        <v>24569</v>
      </c>
      <c r="Y1344" t="s">
        <v>24570</v>
      </c>
      <c r="Z1344" t="s">
        <v>24571</v>
      </c>
      <c r="AA1344" t="s">
        <v>24572</v>
      </c>
      <c r="AB1344" t="s">
        <v>24573</v>
      </c>
      <c r="AC1344" t="s">
        <v>24574</v>
      </c>
      <c r="AD1344" t="s">
        <v>24575</v>
      </c>
      <c r="AE1344" t="s">
        <v>24576</v>
      </c>
      <c r="AF1344" t="s">
        <v>74</v>
      </c>
      <c r="AG1344">
        <v>33</v>
      </c>
      <c r="AH1344">
        <v>0</v>
      </c>
      <c r="AI1344">
        <v>0</v>
      </c>
      <c r="AJ1344">
        <v>5</v>
      </c>
      <c r="AK1344">
        <v>5</v>
      </c>
      <c r="AL1344" t="s">
        <v>764</v>
      </c>
      <c r="AM1344" t="s">
        <v>765</v>
      </c>
      <c r="AN1344" t="s">
        <v>766</v>
      </c>
      <c r="AO1344" t="s">
        <v>10743</v>
      </c>
      <c r="AP1344" t="s">
        <v>10744</v>
      </c>
      <c r="AQ1344" t="s">
        <v>74</v>
      </c>
      <c r="AR1344" t="s">
        <v>10745</v>
      </c>
      <c r="AS1344" t="s">
        <v>10746</v>
      </c>
      <c r="AT1344" t="s">
        <v>2016</v>
      </c>
      <c r="AU1344">
        <v>2024</v>
      </c>
      <c r="AV1344">
        <v>91</v>
      </c>
      <c r="AW1344" t="s">
        <v>74</v>
      </c>
      <c r="AX1344" t="s">
        <v>74</v>
      </c>
      <c r="AY1344" t="s">
        <v>74</v>
      </c>
      <c r="AZ1344" t="s">
        <v>74</v>
      </c>
      <c r="BA1344" t="s">
        <v>74</v>
      </c>
      <c r="BB1344" t="s">
        <v>74</v>
      </c>
      <c r="BC1344" t="s">
        <v>74</v>
      </c>
      <c r="BD1344">
        <v>102992</v>
      </c>
      <c r="BE1344" t="s">
        <v>24577</v>
      </c>
      <c r="BF1344" t="str">
        <f>HYPERLINK("http://dx.doi.org/10.1016/j.media.2023.102992","http://dx.doi.org/10.1016/j.media.2023.102992")</f>
        <v>http://dx.doi.org/10.1016/j.media.2023.102992</v>
      </c>
      <c r="BG1344" t="s">
        <v>74</v>
      </c>
      <c r="BH1344" t="s">
        <v>1886</v>
      </c>
      <c r="BI1344">
        <v>16</v>
      </c>
      <c r="BJ1344" t="s">
        <v>10748</v>
      </c>
      <c r="BK1344" t="s">
        <v>130</v>
      </c>
      <c r="BL1344" t="s">
        <v>10749</v>
      </c>
      <c r="BM1344" t="s">
        <v>24578</v>
      </c>
      <c r="BN1344">
        <v>37852162</v>
      </c>
      <c r="BO1344" t="s">
        <v>74</v>
      </c>
      <c r="BP1344" t="s">
        <v>74</v>
      </c>
      <c r="BQ1344" t="s">
        <v>74</v>
      </c>
      <c r="BR1344" t="s">
        <v>101</v>
      </c>
      <c r="BS1344" t="s">
        <v>24579</v>
      </c>
      <c r="BT1344" t="str">
        <f>HYPERLINK("https%3A%2F%2Fwww.webofscience.com%2Fwos%2Fwoscc%2Ffull-record%2FWOS:001104093100001","View Full Record in Web of Science")</f>
        <v>View Full Record in Web of Science</v>
      </c>
    </row>
    <row r="1345" spans="1:72" x14ac:dyDescent="0.2">
      <c r="A1345" t="s">
        <v>72</v>
      </c>
      <c r="B1345" t="s">
        <v>24580</v>
      </c>
      <c r="C1345" t="s">
        <v>74</v>
      </c>
      <c r="D1345" t="s">
        <v>74</v>
      </c>
      <c r="E1345" t="s">
        <v>284</v>
      </c>
      <c r="F1345" t="s">
        <v>24581</v>
      </c>
      <c r="G1345" t="s">
        <v>74</v>
      </c>
      <c r="H1345" t="s">
        <v>74</v>
      </c>
      <c r="I1345" t="s">
        <v>24582</v>
      </c>
      <c r="J1345" t="s">
        <v>8245</v>
      </c>
      <c r="K1345" t="s">
        <v>8246</v>
      </c>
      <c r="L1345" t="s">
        <v>74</v>
      </c>
      <c r="M1345" t="s">
        <v>79</v>
      </c>
      <c r="N1345" t="s">
        <v>80</v>
      </c>
      <c r="O1345" t="s">
        <v>8247</v>
      </c>
      <c r="P1345" t="s">
        <v>8248</v>
      </c>
      <c r="Q1345" t="s">
        <v>6017</v>
      </c>
      <c r="R1345" t="s">
        <v>8249</v>
      </c>
      <c r="S1345" t="s">
        <v>74</v>
      </c>
      <c r="T1345" t="s">
        <v>74</v>
      </c>
      <c r="U1345" t="s">
        <v>74</v>
      </c>
      <c r="V1345" t="s">
        <v>24583</v>
      </c>
      <c r="W1345" t="s">
        <v>24584</v>
      </c>
      <c r="X1345" t="s">
        <v>24585</v>
      </c>
      <c r="Y1345" t="s">
        <v>24586</v>
      </c>
      <c r="Z1345" t="s">
        <v>24587</v>
      </c>
      <c r="AA1345" t="s">
        <v>21423</v>
      </c>
      <c r="AB1345" t="s">
        <v>74</v>
      </c>
      <c r="AC1345" t="s">
        <v>24588</v>
      </c>
      <c r="AD1345" t="s">
        <v>24589</v>
      </c>
      <c r="AE1345" t="s">
        <v>24590</v>
      </c>
      <c r="AF1345" t="s">
        <v>74</v>
      </c>
      <c r="AG1345">
        <v>48</v>
      </c>
      <c r="AH1345">
        <v>0</v>
      </c>
      <c r="AI1345">
        <v>0</v>
      </c>
      <c r="AJ1345">
        <v>1</v>
      </c>
      <c r="AK1345">
        <v>1</v>
      </c>
      <c r="AL1345" t="s">
        <v>638</v>
      </c>
      <c r="AM1345" t="s">
        <v>639</v>
      </c>
      <c r="AN1345" t="s">
        <v>640</v>
      </c>
      <c r="AO1345" t="s">
        <v>8260</v>
      </c>
      <c r="AP1345" t="s">
        <v>74</v>
      </c>
      <c r="AQ1345" t="s">
        <v>8261</v>
      </c>
      <c r="AR1345" t="s">
        <v>8262</v>
      </c>
      <c r="AS1345" t="s">
        <v>74</v>
      </c>
      <c r="AT1345" t="s">
        <v>74</v>
      </c>
      <c r="AU1345">
        <v>2023</v>
      </c>
      <c r="AV1345" t="s">
        <v>74</v>
      </c>
      <c r="AW1345" t="s">
        <v>74</v>
      </c>
      <c r="AX1345" t="s">
        <v>74</v>
      </c>
      <c r="AY1345" t="s">
        <v>74</v>
      </c>
      <c r="AZ1345" t="s">
        <v>74</v>
      </c>
      <c r="BA1345" t="s">
        <v>74</v>
      </c>
      <c r="BB1345">
        <v>22458</v>
      </c>
      <c r="BC1345">
        <v>22467</v>
      </c>
      <c r="BD1345" t="s">
        <v>74</v>
      </c>
      <c r="BE1345" t="s">
        <v>24591</v>
      </c>
      <c r="BF1345" t="str">
        <f>HYPERLINK("http://dx.doi.org/10.1109/CVPR52729.2023.02151","http://dx.doi.org/10.1109/CVPR52729.2023.02151")</f>
        <v>http://dx.doi.org/10.1109/CVPR52729.2023.02151</v>
      </c>
      <c r="BG1345" t="s">
        <v>74</v>
      </c>
      <c r="BH1345" t="s">
        <v>74</v>
      </c>
      <c r="BI1345">
        <v>10</v>
      </c>
      <c r="BJ1345" t="s">
        <v>304</v>
      </c>
      <c r="BK1345" t="s">
        <v>98</v>
      </c>
      <c r="BL1345" t="s">
        <v>99</v>
      </c>
      <c r="BM1345" t="s">
        <v>9731</v>
      </c>
      <c r="BN1345" t="s">
        <v>74</v>
      </c>
      <c r="BO1345" t="s">
        <v>646</v>
      </c>
      <c r="BP1345" t="s">
        <v>74</v>
      </c>
      <c r="BQ1345" t="s">
        <v>74</v>
      </c>
      <c r="BR1345" t="s">
        <v>101</v>
      </c>
      <c r="BS1345" t="s">
        <v>24592</v>
      </c>
      <c r="BT1345" t="str">
        <f>HYPERLINK("https%3A%2F%2Fwww.webofscience.com%2Fwos%2Fwoscc%2Ffull-record%2FWOS:001062531306076","View Full Record in Web of Science")</f>
        <v>View Full Record in Web of Science</v>
      </c>
    </row>
    <row r="1346" spans="1:72" x14ac:dyDescent="0.2">
      <c r="A1346" t="s">
        <v>103</v>
      </c>
      <c r="B1346" t="s">
        <v>24593</v>
      </c>
      <c r="C1346" t="s">
        <v>74</v>
      </c>
      <c r="D1346" t="s">
        <v>74</v>
      </c>
      <c r="E1346" t="s">
        <v>74</v>
      </c>
      <c r="F1346" t="s">
        <v>24594</v>
      </c>
      <c r="G1346" t="s">
        <v>74</v>
      </c>
      <c r="H1346" t="s">
        <v>74</v>
      </c>
      <c r="I1346" t="s">
        <v>24595</v>
      </c>
      <c r="J1346" t="s">
        <v>6611</v>
      </c>
      <c r="K1346" t="s">
        <v>74</v>
      </c>
      <c r="L1346" t="s">
        <v>74</v>
      </c>
      <c r="M1346" t="s">
        <v>79</v>
      </c>
      <c r="N1346" t="s">
        <v>108</v>
      </c>
      <c r="O1346" t="s">
        <v>74</v>
      </c>
      <c r="P1346" t="s">
        <v>74</v>
      </c>
      <c r="Q1346" t="s">
        <v>74</v>
      </c>
      <c r="R1346" t="s">
        <v>74</v>
      </c>
      <c r="S1346" t="s">
        <v>74</v>
      </c>
      <c r="T1346" t="s">
        <v>24596</v>
      </c>
      <c r="U1346" t="s">
        <v>74</v>
      </c>
      <c r="V1346" t="s">
        <v>24597</v>
      </c>
      <c r="W1346" t="s">
        <v>24598</v>
      </c>
      <c r="X1346" t="s">
        <v>24599</v>
      </c>
      <c r="Y1346" t="s">
        <v>24600</v>
      </c>
      <c r="Z1346" t="s">
        <v>24601</v>
      </c>
      <c r="AA1346" t="s">
        <v>24602</v>
      </c>
      <c r="AB1346" t="s">
        <v>24603</v>
      </c>
      <c r="AC1346" t="s">
        <v>24604</v>
      </c>
      <c r="AD1346" t="s">
        <v>24605</v>
      </c>
      <c r="AE1346" t="s">
        <v>24606</v>
      </c>
      <c r="AF1346" t="s">
        <v>74</v>
      </c>
      <c r="AG1346">
        <v>36</v>
      </c>
      <c r="AH1346">
        <v>2</v>
      </c>
      <c r="AI1346">
        <v>2</v>
      </c>
      <c r="AJ1346">
        <v>0</v>
      </c>
      <c r="AK1346">
        <v>1</v>
      </c>
      <c r="AL1346" t="s">
        <v>638</v>
      </c>
      <c r="AM1346" t="s">
        <v>639</v>
      </c>
      <c r="AN1346" t="s">
        <v>1557</v>
      </c>
      <c r="AO1346" t="s">
        <v>6621</v>
      </c>
      <c r="AP1346" t="s">
        <v>6622</v>
      </c>
      <c r="AQ1346" t="s">
        <v>74</v>
      </c>
      <c r="AR1346" t="s">
        <v>6623</v>
      </c>
      <c r="AS1346" t="s">
        <v>6624</v>
      </c>
      <c r="AT1346" t="s">
        <v>2407</v>
      </c>
      <c r="AU1346">
        <v>2023</v>
      </c>
      <c r="AV1346">
        <v>45</v>
      </c>
      <c r="AW1346">
        <v>2</v>
      </c>
      <c r="AX1346" t="s">
        <v>74</v>
      </c>
      <c r="AY1346" t="s">
        <v>74</v>
      </c>
      <c r="AZ1346" t="s">
        <v>74</v>
      </c>
      <c r="BA1346" t="s">
        <v>74</v>
      </c>
      <c r="BB1346">
        <v>2660</v>
      </c>
      <c r="BC1346">
        <v>2666</v>
      </c>
      <c r="BD1346" t="s">
        <v>74</v>
      </c>
      <c r="BE1346" t="s">
        <v>24607</v>
      </c>
      <c r="BF1346" t="str">
        <f>HYPERLINK("http://dx.doi.org/10.1109/TPAMI.2022.3166989","http://dx.doi.org/10.1109/TPAMI.2022.3166989")</f>
        <v>http://dx.doi.org/10.1109/TPAMI.2022.3166989</v>
      </c>
      <c r="BG1346" t="s">
        <v>74</v>
      </c>
      <c r="BH1346" t="s">
        <v>74</v>
      </c>
      <c r="BI1346">
        <v>7</v>
      </c>
      <c r="BJ1346" t="s">
        <v>6627</v>
      </c>
      <c r="BK1346" t="s">
        <v>130</v>
      </c>
      <c r="BL1346" t="s">
        <v>906</v>
      </c>
      <c r="BM1346" t="s">
        <v>24314</v>
      </c>
      <c r="BN1346">
        <v>35412977</v>
      </c>
      <c r="BO1346" t="s">
        <v>646</v>
      </c>
      <c r="BP1346" t="s">
        <v>74</v>
      </c>
      <c r="BQ1346" t="s">
        <v>74</v>
      </c>
      <c r="BR1346" t="s">
        <v>101</v>
      </c>
      <c r="BS1346" t="s">
        <v>24608</v>
      </c>
      <c r="BT1346" t="str">
        <f>HYPERLINK("https%3A%2F%2Fwww.webofscience.com%2Fwos%2Fwoscc%2Ffull-record%2FWOS:000912386000086","View Full Record in Web of Science")</f>
        <v>View Full Record in Web of Science</v>
      </c>
    </row>
    <row r="1347" spans="1:72" x14ac:dyDescent="0.2">
      <c r="A1347" t="s">
        <v>103</v>
      </c>
      <c r="B1347" t="s">
        <v>24609</v>
      </c>
      <c r="C1347" t="s">
        <v>74</v>
      </c>
      <c r="D1347" t="s">
        <v>74</v>
      </c>
      <c r="E1347" t="s">
        <v>74</v>
      </c>
      <c r="F1347" t="s">
        <v>24610</v>
      </c>
      <c r="G1347" t="s">
        <v>74</v>
      </c>
      <c r="H1347" t="s">
        <v>74</v>
      </c>
      <c r="I1347" t="s">
        <v>24611</v>
      </c>
      <c r="J1347" t="s">
        <v>24612</v>
      </c>
      <c r="K1347" t="s">
        <v>74</v>
      </c>
      <c r="L1347" t="s">
        <v>74</v>
      </c>
      <c r="M1347" t="s">
        <v>79</v>
      </c>
      <c r="N1347" t="s">
        <v>108</v>
      </c>
      <c r="O1347" t="s">
        <v>74</v>
      </c>
      <c r="P1347" t="s">
        <v>74</v>
      </c>
      <c r="Q1347" t="s">
        <v>74</v>
      </c>
      <c r="R1347" t="s">
        <v>74</v>
      </c>
      <c r="S1347" t="s">
        <v>74</v>
      </c>
      <c r="T1347" t="s">
        <v>74</v>
      </c>
      <c r="U1347" t="s">
        <v>24613</v>
      </c>
      <c r="V1347" t="s">
        <v>24614</v>
      </c>
      <c r="W1347" t="s">
        <v>24615</v>
      </c>
      <c r="X1347" t="s">
        <v>24616</v>
      </c>
      <c r="Y1347" t="s">
        <v>24617</v>
      </c>
      <c r="Z1347" t="s">
        <v>24618</v>
      </c>
      <c r="AA1347" t="s">
        <v>74</v>
      </c>
      <c r="AB1347" t="s">
        <v>74</v>
      </c>
      <c r="AC1347" t="s">
        <v>24619</v>
      </c>
      <c r="AD1347" t="s">
        <v>24620</v>
      </c>
      <c r="AE1347" t="s">
        <v>24621</v>
      </c>
      <c r="AF1347" t="s">
        <v>74</v>
      </c>
      <c r="AG1347">
        <v>42</v>
      </c>
      <c r="AH1347">
        <v>2</v>
      </c>
      <c r="AI1347">
        <v>2</v>
      </c>
      <c r="AJ1347">
        <v>0</v>
      </c>
      <c r="AK1347">
        <v>0</v>
      </c>
      <c r="AL1347" t="s">
        <v>8881</v>
      </c>
      <c r="AM1347" t="s">
        <v>1153</v>
      </c>
      <c r="AN1347" t="s">
        <v>8882</v>
      </c>
      <c r="AO1347" t="s">
        <v>24622</v>
      </c>
      <c r="AP1347" t="s">
        <v>24623</v>
      </c>
      <c r="AQ1347" t="s">
        <v>74</v>
      </c>
      <c r="AR1347" t="s">
        <v>24624</v>
      </c>
      <c r="AS1347" t="s">
        <v>24625</v>
      </c>
      <c r="AT1347" t="s">
        <v>2497</v>
      </c>
      <c r="AU1347">
        <v>2023</v>
      </c>
      <c r="AV1347">
        <v>49</v>
      </c>
      <c r="AW1347">
        <v>4</v>
      </c>
      <c r="AX1347" t="s">
        <v>74</v>
      </c>
      <c r="AY1347" t="s">
        <v>74</v>
      </c>
      <c r="AZ1347" t="s">
        <v>74</v>
      </c>
      <c r="BA1347" t="s">
        <v>74</v>
      </c>
      <c r="BB1347">
        <v>841</v>
      </c>
      <c r="BC1347">
        <v>882</v>
      </c>
      <c r="BD1347" t="s">
        <v>74</v>
      </c>
      <c r="BE1347" t="s">
        <v>24626</v>
      </c>
      <c r="BF1347" t="str">
        <f>HYPERLINK("http://dx.doi.org/10.1162/coli_a_00488","http://dx.doi.org/10.1162/coli_a_00488")</f>
        <v>http://dx.doi.org/10.1162/coli_a_00488</v>
      </c>
      <c r="BG1347" t="s">
        <v>74</v>
      </c>
      <c r="BH1347" t="s">
        <v>74</v>
      </c>
      <c r="BI1347">
        <v>42</v>
      </c>
      <c r="BJ1347" t="s">
        <v>24627</v>
      </c>
      <c r="BK1347" t="s">
        <v>13800</v>
      </c>
      <c r="BL1347" t="s">
        <v>13801</v>
      </c>
      <c r="BM1347" t="s">
        <v>24628</v>
      </c>
      <c r="BN1347" t="s">
        <v>74</v>
      </c>
      <c r="BO1347" t="s">
        <v>425</v>
      </c>
      <c r="BP1347" t="s">
        <v>74</v>
      </c>
      <c r="BQ1347" t="s">
        <v>74</v>
      </c>
      <c r="BR1347" t="s">
        <v>101</v>
      </c>
      <c r="BS1347" t="s">
        <v>24629</v>
      </c>
      <c r="BT1347" t="str">
        <f>HYPERLINK("https%3A%2F%2Fwww.webofscience.com%2Fwos%2Fwoscc%2Ffull-record%2FWOS:001152974700005","View Full Record in Web of Science")</f>
        <v>View Full Record in Web of Science</v>
      </c>
    </row>
    <row r="1348" spans="1:72" x14ac:dyDescent="0.2">
      <c r="A1348" t="s">
        <v>103</v>
      </c>
      <c r="B1348" t="s">
        <v>24630</v>
      </c>
      <c r="C1348" t="s">
        <v>74</v>
      </c>
      <c r="D1348" t="s">
        <v>74</v>
      </c>
      <c r="E1348" t="s">
        <v>74</v>
      </c>
      <c r="F1348" t="s">
        <v>24631</v>
      </c>
      <c r="G1348" t="s">
        <v>74</v>
      </c>
      <c r="H1348" t="s">
        <v>74</v>
      </c>
      <c r="I1348" t="s">
        <v>24632</v>
      </c>
      <c r="J1348" t="s">
        <v>24633</v>
      </c>
      <c r="K1348" t="s">
        <v>74</v>
      </c>
      <c r="L1348" t="s">
        <v>74</v>
      </c>
      <c r="M1348" t="s">
        <v>79</v>
      </c>
      <c r="N1348" t="s">
        <v>108</v>
      </c>
      <c r="O1348" t="s">
        <v>74</v>
      </c>
      <c r="P1348" t="s">
        <v>74</v>
      </c>
      <c r="Q1348" t="s">
        <v>74</v>
      </c>
      <c r="R1348" t="s">
        <v>74</v>
      </c>
      <c r="S1348" t="s">
        <v>74</v>
      </c>
      <c r="T1348" t="s">
        <v>24634</v>
      </c>
      <c r="U1348" t="s">
        <v>74</v>
      </c>
      <c r="V1348" t="s">
        <v>24635</v>
      </c>
      <c r="W1348" t="s">
        <v>24636</v>
      </c>
      <c r="X1348" t="s">
        <v>24637</v>
      </c>
      <c r="Y1348" t="s">
        <v>24638</v>
      </c>
      <c r="Z1348" t="s">
        <v>24639</v>
      </c>
      <c r="AA1348" t="s">
        <v>24640</v>
      </c>
      <c r="AB1348" t="s">
        <v>24641</v>
      </c>
      <c r="AC1348" t="s">
        <v>24642</v>
      </c>
      <c r="AD1348" t="s">
        <v>24643</v>
      </c>
      <c r="AE1348" t="s">
        <v>24644</v>
      </c>
      <c r="AF1348" t="s">
        <v>74</v>
      </c>
      <c r="AG1348">
        <v>27</v>
      </c>
      <c r="AH1348">
        <v>0</v>
      </c>
      <c r="AI1348">
        <v>0</v>
      </c>
      <c r="AJ1348">
        <v>2</v>
      </c>
      <c r="AK1348">
        <v>2</v>
      </c>
      <c r="AL1348" t="s">
        <v>24645</v>
      </c>
      <c r="AM1348" t="s">
        <v>24646</v>
      </c>
      <c r="AN1348" t="s">
        <v>24647</v>
      </c>
      <c r="AO1348" t="s">
        <v>24648</v>
      </c>
      <c r="AP1348" t="s">
        <v>24649</v>
      </c>
      <c r="AQ1348" t="s">
        <v>74</v>
      </c>
      <c r="AR1348" t="s">
        <v>24650</v>
      </c>
      <c r="AS1348" t="s">
        <v>24651</v>
      </c>
      <c r="AT1348" t="s">
        <v>74</v>
      </c>
      <c r="AU1348">
        <v>2023</v>
      </c>
      <c r="AV1348">
        <v>85</v>
      </c>
      <c r="AW1348">
        <v>4</v>
      </c>
      <c r="AX1348" t="s">
        <v>74</v>
      </c>
      <c r="AY1348" t="s">
        <v>74</v>
      </c>
      <c r="AZ1348" t="s">
        <v>74</v>
      </c>
      <c r="BA1348" t="s">
        <v>74</v>
      </c>
      <c r="BB1348">
        <v>193</v>
      </c>
      <c r="BC1348">
        <v>208</v>
      </c>
      <c r="BD1348" t="s">
        <v>74</v>
      </c>
      <c r="BE1348" t="s">
        <v>74</v>
      </c>
      <c r="BF1348" t="s">
        <v>74</v>
      </c>
      <c r="BG1348" t="s">
        <v>74</v>
      </c>
      <c r="BH1348" t="s">
        <v>74</v>
      </c>
      <c r="BI1348">
        <v>16</v>
      </c>
      <c r="BJ1348" t="s">
        <v>2822</v>
      </c>
      <c r="BK1348" t="s">
        <v>352</v>
      </c>
      <c r="BL1348" t="s">
        <v>2823</v>
      </c>
      <c r="BM1348" t="s">
        <v>24652</v>
      </c>
      <c r="BN1348" t="s">
        <v>74</v>
      </c>
      <c r="BO1348" t="s">
        <v>74</v>
      </c>
      <c r="BP1348" t="s">
        <v>74</v>
      </c>
      <c r="BQ1348" t="s">
        <v>74</v>
      </c>
      <c r="BR1348" t="s">
        <v>101</v>
      </c>
      <c r="BS1348" t="s">
        <v>24653</v>
      </c>
      <c r="BT1348" t="str">
        <f>HYPERLINK("https%3A%2F%2Fwww.webofscience.com%2Fwos%2Fwoscc%2Ffull-record%2FWOS:001126672900017","View Full Record in Web of Science")</f>
        <v>View Full Record in Web of Science</v>
      </c>
    </row>
    <row r="1349" spans="1:72" x14ac:dyDescent="0.2">
      <c r="A1349" t="s">
        <v>103</v>
      </c>
      <c r="B1349" t="s">
        <v>24654</v>
      </c>
      <c r="C1349" t="s">
        <v>74</v>
      </c>
      <c r="D1349" t="s">
        <v>74</v>
      </c>
      <c r="E1349" t="s">
        <v>74</v>
      </c>
      <c r="F1349" t="s">
        <v>24655</v>
      </c>
      <c r="G1349" t="s">
        <v>74</v>
      </c>
      <c r="H1349" t="s">
        <v>74</v>
      </c>
      <c r="I1349" t="s">
        <v>24656</v>
      </c>
      <c r="J1349" t="s">
        <v>6927</v>
      </c>
      <c r="K1349" t="s">
        <v>74</v>
      </c>
      <c r="L1349" t="s">
        <v>74</v>
      </c>
      <c r="M1349" t="s">
        <v>79</v>
      </c>
      <c r="N1349" t="s">
        <v>108</v>
      </c>
      <c r="O1349" t="s">
        <v>74</v>
      </c>
      <c r="P1349" t="s">
        <v>74</v>
      </c>
      <c r="Q1349" t="s">
        <v>74</v>
      </c>
      <c r="R1349" t="s">
        <v>74</v>
      </c>
      <c r="S1349" t="s">
        <v>74</v>
      </c>
      <c r="T1349" t="s">
        <v>24657</v>
      </c>
      <c r="U1349" t="s">
        <v>24658</v>
      </c>
      <c r="V1349" t="s">
        <v>24659</v>
      </c>
      <c r="W1349" t="s">
        <v>24660</v>
      </c>
      <c r="X1349" t="s">
        <v>8156</v>
      </c>
      <c r="Y1349" t="s">
        <v>24661</v>
      </c>
      <c r="Z1349" t="s">
        <v>24662</v>
      </c>
      <c r="AA1349" t="s">
        <v>74</v>
      </c>
      <c r="AB1349" t="s">
        <v>24663</v>
      </c>
      <c r="AC1349" t="s">
        <v>24664</v>
      </c>
      <c r="AD1349" t="s">
        <v>24665</v>
      </c>
      <c r="AE1349" t="s">
        <v>24666</v>
      </c>
      <c r="AF1349" t="s">
        <v>74</v>
      </c>
      <c r="AG1349">
        <v>92</v>
      </c>
      <c r="AH1349">
        <v>2</v>
      </c>
      <c r="AI1349">
        <v>2</v>
      </c>
      <c r="AJ1349">
        <v>21</v>
      </c>
      <c r="AK1349">
        <v>21</v>
      </c>
      <c r="AL1349" t="s">
        <v>6940</v>
      </c>
      <c r="AM1349" t="s">
        <v>4898</v>
      </c>
      <c r="AN1349" t="s">
        <v>6941</v>
      </c>
      <c r="AO1349" t="s">
        <v>6942</v>
      </c>
      <c r="AP1349" t="s">
        <v>6943</v>
      </c>
      <c r="AQ1349" t="s">
        <v>74</v>
      </c>
      <c r="AR1349" t="s">
        <v>6944</v>
      </c>
      <c r="AS1349" t="s">
        <v>6945</v>
      </c>
      <c r="AT1349" t="s">
        <v>74</v>
      </c>
      <c r="AU1349">
        <v>2023</v>
      </c>
      <c r="AV1349">
        <v>32</v>
      </c>
      <c r="AW1349">
        <v>5</v>
      </c>
      <c r="AX1349" t="s">
        <v>74</v>
      </c>
      <c r="AY1349" t="s">
        <v>74</v>
      </c>
      <c r="AZ1349" t="s">
        <v>74</v>
      </c>
      <c r="BA1349" t="s">
        <v>74</v>
      </c>
      <c r="BB1349" t="s">
        <v>74</v>
      </c>
      <c r="BC1349" t="s">
        <v>74</v>
      </c>
      <c r="BD1349" t="s">
        <v>24667</v>
      </c>
      <c r="BE1349" t="s">
        <v>24668</v>
      </c>
      <c r="BF1349" t="str">
        <f>HYPERLINK("http://dx.doi.org/10.3145/epi.2023.sep.15","http://dx.doi.org/10.3145/epi.2023.sep.15")</f>
        <v>http://dx.doi.org/10.3145/epi.2023.sep.15</v>
      </c>
      <c r="BG1349" t="s">
        <v>74</v>
      </c>
      <c r="BH1349" t="s">
        <v>74</v>
      </c>
      <c r="BI1349">
        <v>369</v>
      </c>
      <c r="BJ1349" t="s">
        <v>2157</v>
      </c>
      <c r="BK1349" t="s">
        <v>159</v>
      </c>
      <c r="BL1349" t="s">
        <v>2157</v>
      </c>
      <c r="BM1349" t="s">
        <v>24669</v>
      </c>
      <c r="BN1349" t="s">
        <v>74</v>
      </c>
      <c r="BO1349" t="s">
        <v>1214</v>
      </c>
      <c r="BP1349" t="s">
        <v>74</v>
      </c>
      <c r="BQ1349" t="s">
        <v>74</v>
      </c>
      <c r="BR1349" t="s">
        <v>101</v>
      </c>
      <c r="BS1349" t="s">
        <v>24670</v>
      </c>
      <c r="BT1349" t="str">
        <f>HYPERLINK("https%3A%2F%2Fwww.webofscience.com%2Fwos%2Fwoscc%2Ffull-record%2FWOS:001131050900014","View Full Record in Web of Science")</f>
        <v>View Full Record in Web of Science</v>
      </c>
    </row>
    <row r="1350" spans="1:72" x14ac:dyDescent="0.2">
      <c r="A1350" t="s">
        <v>103</v>
      </c>
      <c r="B1350" t="s">
        <v>24671</v>
      </c>
      <c r="C1350" t="s">
        <v>74</v>
      </c>
      <c r="D1350" t="s">
        <v>74</v>
      </c>
      <c r="E1350" t="s">
        <v>74</v>
      </c>
      <c r="F1350" t="s">
        <v>24672</v>
      </c>
      <c r="G1350" t="s">
        <v>74</v>
      </c>
      <c r="H1350" t="s">
        <v>74</v>
      </c>
      <c r="I1350" t="s">
        <v>24673</v>
      </c>
      <c r="J1350" t="s">
        <v>5838</v>
      </c>
      <c r="K1350" t="s">
        <v>74</v>
      </c>
      <c r="L1350" t="s">
        <v>74</v>
      </c>
      <c r="M1350" t="s">
        <v>79</v>
      </c>
      <c r="N1350" t="s">
        <v>108</v>
      </c>
      <c r="O1350" t="s">
        <v>74</v>
      </c>
      <c r="P1350" t="s">
        <v>74</v>
      </c>
      <c r="Q1350" t="s">
        <v>74</v>
      </c>
      <c r="R1350" t="s">
        <v>74</v>
      </c>
      <c r="S1350" t="s">
        <v>74</v>
      </c>
      <c r="T1350" t="s">
        <v>24674</v>
      </c>
      <c r="U1350" t="s">
        <v>14496</v>
      </c>
      <c r="V1350" t="s">
        <v>24675</v>
      </c>
      <c r="W1350" t="s">
        <v>24676</v>
      </c>
      <c r="X1350" t="s">
        <v>24677</v>
      </c>
      <c r="Y1350" t="s">
        <v>24678</v>
      </c>
      <c r="Z1350" t="s">
        <v>24679</v>
      </c>
      <c r="AA1350" t="s">
        <v>74</v>
      </c>
      <c r="AB1350" t="s">
        <v>24680</v>
      </c>
      <c r="AC1350" t="s">
        <v>24681</v>
      </c>
      <c r="AD1350" t="s">
        <v>24682</v>
      </c>
      <c r="AE1350" t="s">
        <v>24683</v>
      </c>
      <c r="AF1350" t="s">
        <v>74</v>
      </c>
      <c r="AG1350">
        <v>36</v>
      </c>
      <c r="AH1350">
        <v>0</v>
      </c>
      <c r="AI1350">
        <v>0</v>
      </c>
      <c r="AJ1350">
        <v>0</v>
      </c>
      <c r="AK1350">
        <v>0</v>
      </c>
      <c r="AL1350" t="s">
        <v>5851</v>
      </c>
      <c r="AM1350" t="s">
        <v>221</v>
      </c>
      <c r="AN1350" t="s">
        <v>5852</v>
      </c>
      <c r="AO1350" t="s">
        <v>74</v>
      </c>
      <c r="AP1350" t="s">
        <v>5853</v>
      </c>
      <c r="AQ1350" t="s">
        <v>74</v>
      </c>
      <c r="AR1350" t="s">
        <v>5854</v>
      </c>
      <c r="AS1350" t="s">
        <v>5855</v>
      </c>
      <c r="AT1350" t="s">
        <v>74</v>
      </c>
      <c r="AU1350">
        <v>2023</v>
      </c>
      <c r="AV1350">
        <v>5</v>
      </c>
      <c r="AW1350">
        <v>4</v>
      </c>
      <c r="AX1350" t="s">
        <v>74</v>
      </c>
      <c r="AY1350" t="s">
        <v>74</v>
      </c>
      <c r="AZ1350" t="s">
        <v>74</v>
      </c>
      <c r="BA1350" t="s">
        <v>74</v>
      </c>
      <c r="BB1350">
        <v>829</v>
      </c>
      <c r="BC1350">
        <v>853</v>
      </c>
      <c r="BD1350" t="s">
        <v>74</v>
      </c>
      <c r="BE1350" t="s">
        <v>24684</v>
      </c>
      <c r="BF1350" t="str">
        <f>HYPERLINK("http://dx.doi.org/10.1137/22M1506857","http://dx.doi.org/10.1137/22M1506857")</f>
        <v>http://dx.doi.org/10.1137/22M1506857</v>
      </c>
      <c r="BG1350" t="s">
        <v>74</v>
      </c>
      <c r="BH1350" t="s">
        <v>74</v>
      </c>
      <c r="BI1350">
        <v>25</v>
      </c>
      <c r="BJ1350" t="s">
        <v>5857</v>
      </c>
      <c r="BK1350" t="s">
        <v>130</v>
      </c>
      <c r="BL1350" t="s">
        <v>5858</v>
      </c>
      <c r="BM1350" t="s">
        <v>24685</v>
      </c>
      <c r="BN1350" t="s">
        <v>74</v>
      </c>
      <c r="BO1350" t="s">
        <v>24686</v>
      </c>
      <c r="BP1350" t="s">
        <v>74</v>
      </c>
      <c r="BQ1350" t="s">
        <v>74</v>
      </c>
      <c r="BR1350" t="s">
        <v>101</v>
      </c>
      <c r="BS1350" t="s">
        <v>24687</v>
      </c>
      <c r="BT1350" t="str">
        <f>HYPERLINK("https%3A%2F%2Fwww.webofscience.com%2Fwos%2Fwoscc%2Ffull-record%2FWOS:001172890400001","View Full Record in Web of Science")</f>
        <v>View Full Record in Web of Science</v>
      </c>
    </row>
    <row r="1351" spans="1:72" x14ac:dyDescent="0.2">
      <c r="A1351" t="s">
        <v>72</v>
      </c>
      <c r="B1351" t="s">
        <v>24688</v>
      </c>
      <c r="C1351" t="s">
        <v>74</v>
      </c>
      <c r="D1351" t="s">
        <v>12437</v>
      </c>
      <c r="E1351" t="s">
        <v>74</v>
      </c>
      <c r="F1351" t="s">
        <v>24689</v>
      </c>
      <c r="G1351" t="s">
        <v>74</v>
      </c>
      <c r="H1351" t="s">
        <v>74</v>
      </c>
      <c r="I1351" t="s">
        <v>24690</v>
      </c>
      <c r="J1351" t="s">
        <v>12440</v>
      </c>
      <c r="K1351" t="s">
        <v>74</v>
      </c>
      <c r="L1351" t="s">
        <v>74</v>
      </c>
      <c r="M1351" t="s">
        <v>79</v>
      </c>
      <c r="N1351" t="s">
        <v>80</v>
      </c>
      <c r="O1351" t="s">
        <v>12441</v>
      </c>
      <c r="P1351" t="s">
        <v>12442</v>
      </c>
      <c r="Q1351" t="s">
        <v>1639</v>
      </c>
      <c r="R1351" t="s">
        <v>12443</v>
      </c>
      <c r="S1351" t="s">
        <v>74</v>
      </c>
      <c r="T1351" t="s">
        <v>24691</v>
      </c>
      <c r="U1351" t="s">
        <v>24692</v>
      </c>
      <c r="V1351" t="s">
        <v>24693</v>
      </c>
      <c r="W1351" t="s">
        <v>24694</v>
      </c>
      <c r="X1351" t="s">
        <v>5534</v>
      </c>
      <c r="Y1351" t="s">
        <v>24695</v>
      </c>
      <c r="Z1351" t="s">
        <v>24696</v>
      </c>
      <c r="AA1351" t="s">
        <v>24697</v>
      </c>
      <c r="AB1351" t="s">
        <v>24698</v>
      </c>
      <c r="AC1351" t="s">
        <v>24699</v>
      </c>
      <c r="AD1351" t="s">
        <v>24700</v>
      </c>
      <c r="AE1351" t="s">
        <v>24701</v>
      </c>
      <c r="AF1351" t="s">
        <v>74</v>
      </c>
      <c r="AG1351">
        <v>24</v>
      </c>
      <c r="AH1351">
        <v>0</v>
      </c>
      <c r="AI1351">
        <v>0</v>
      </c>
      <c r="AJ1351">
        <v>1</v>
      </c>
      <c r="AK1351">
        <v>1</v>
      </c>
      <c r="AL1351" t="s">
        <v>92</v>
      </c>
      <c r="AM1351" t="s">
        <v>93</v>
      </c>
      <c r="AN1351" t="s">
        <v>94</v>
      </c>
      <c r="AO1351" t="s">
        <v>74</v>
      </c>
      <c r="AP1351" t="s">
        <v>74</v>
      </c>
      <c r="AQ1351" t="s">
        <v>12450</v>
      </c>
      <c r="AR1351" t="s">
        <v>74</v>
      </c>
      <c r="AS1351" t="s">
        <v>74</v>
      </c>
      <c r="AT1351" t="s">
        <v>74</v>
      </c>
      <c r="AU1351">
        <v>2023</v>
      </c>
      <c r="AV1351" t="s">
        <v>74</v>
      </c>
      <c r="AW1351" t="s">
        <v>74</v>
      </c>
      <c r="AX1351" t="s">
        <v>74</v>
      </c>
      <c r="AY1351" t="s">
        <v>74</v>
      </c>
      <c r="AZ1351" t="s">
        <v>74</v>
      </c>
      <c r="BA1351" t="s">
        <v>74</v>
      </c>
      <c r="BB1351">
        <v>73</v>
      </c>
      <c r="BC1351">
        <v>82</v>
      </c>
      <c r="BD1351" t="s">
        <v>74</v>
      </c>
      <c r="BE1351" t="s">
        <v>24702</v>
      </c>
      <c r="BF1351" t="str">
        <f>HYPERLINK("http://dx.doi.org/10.1145/3615886.3627743","http://dx.doi.org/10.1145/3615886.3627743")</f>
        <v>http://dx.doi.org/10.1145/3615886.3627743</v>
      </c>
      <c r="BG1351" t="s">
        <v>74</v>
      </c>
      <c r="BH1351" t="s">
        <v>74</v>
      </c>
      <c r="BI1351">
        <v>10</v>
      </c>
      <c r="BJ1351" t="s">
        <v>12452</v>
      </c>
      <c r="BK1351" t="s">
        <v>98</v>
      </c>
      <c r="BL1351" t="s">
        <v>8519</v>
      </c>
      <c r="BM1351" t="s">
        <v>12453</v>
      </c>
      <c r="BN1351" t="s">
        <v>74</v>
      </c>
      <c r="BO1351" t="s">
        <v>74</v>
      </c>
      <c r="BP1351" t="s">
        <v>74</v>
      </c>
      <c r="BQ1351" t="s">
        <v>74</v>
      </c>
      <c r="BR1351" t="s">
        <v>101</v>
      </c>
      <c r="BS1351" t="s">
        <v>24703</v>
      </c>
      <c r="BT1351" t="str">
        <f>HYPERLINK("https%3A%2F%2Fwww.webofscience.com%2Fwos%2Fwoscc%2Ffull-record%2FWOS:001152316700013","View Full Record in Web of Science")</f>
        <v>View Full Record in Web of Science</v>
      </c>
    </row>
    <row r="1352" spans="1:72" x14ac:dyDescent="0.2">
      <c r="A1352" t="s">
        <v>103</v>
      </c>
      <c r="B1352" t="s">
        <v>24704</v>
      </c>
      <c r="C1352" t="s">
        <v>74</v>
      </c>
      <c r="D1352" t="s">
        <v>74</v>
      </c>
      <c r="E1352" t="s">
        <v>74</v>
      </c>
      <c r="F1352" t="s">
        <v>24705</v>
      </c>
      <c r="G1352" t="s">
        <v>74</v>
      </c>
      <c r="H1352" t="s">
        <v>74</v>
      </c>
      <c r="I1352" t="s">
        <v>24706</v>
      </c>
      <c r="J1352" t="s">
        <v>24707</v>
      </c>
      <c r="K1352" t="s">
        <v>74</v>
      </c>
      <c r="L1352" t="s">
        <v>74</v>
      </c>
      <c r="M1352" t="s">
        <v>79</v>
      </c>
      <c r="N1352" t="s">
        <v>108</v>
      </c>
      <c r="O1352" t="s">
        <v>74</v>
      </c>
      <c r="P1352" t="s">
        <v>74</v>
      </c>
      <c r="Q1352" t="s">
        <v>74</v>
      </c>
      <c r="R1352" t="s">
        <v>74</v>
      </c>
      <c r="S1352" t="s">
        <v>74</v>
      </c>
      <c r="T1352" t="s">
        <v>24708</v>
      </c>
      <c r="U1352" t="s">
        <v>1918</v>
      </c>
      <c r="V1352" t="s">
        <v>24709</v>
      </c>
      <c r="W1352" t="s">
        <v>24710</v>
      </c>
      <c r="X1352" t="s">
        <v>12799</v>
      </c>
      <c r="Y1352" t="s">
        <v>24711</v>
      </c>
      <c r="Z1352" t="s">
        <v>12801</v>
      </c>
      <c r="AA1352" t="s">
        <v>74</v>
      </c>
      <c r="AB1352" t="s">
        <v>24712</v>
      </c>
      <c r="AC1352" t="s">
        <v>24713</v>
      </c>
      <c r="AD1352" t="s">
        <v>24713</v>
      </c>
      <c r="AE1352" t="s">
        <v>24714</v>
      </c>
      <c r="AF1352" t="s">
        <v>74</v>
      </c>
      <c r="AG1352">
        <v>59</v>
      </c>
      <c r="AH1352">
        <v>1</v>
      </c>
      <c r="AI1352">
        <v>1</v>
      </c>
      <c r="AJ1352">
        <v>1</v>
      </c>
      <c r="AK1352">
        <v>1</v>
      </c>
      <c r="AL1352" t="s">
        <v>939</v>
      </c>
      <c r="AM1352" t="s">
        <v>940</v>
      </c>
      <c r="AN1352" t="s">
        <v>941</v>
      </c>
      <c r="AO1352" t="s">
        <v>74</v>
      </c>
      <c r="AP1352" t="s">
        <v>24715</v>
      </c>
      <c r="AQ1352" t="s">
        <v>74</v>
      </c>
      <c r="AR1352" t="s">
        <v>24716</v>
      </c>
      <c r="AS1352" t="s">
        <v>24717</v>
      </c>
      <c r="AT1352" t="s">
        <v>771</v>
      </c>
      <c r="AU1352">
        <v>2023</v>
      </c>
      <c r="AV1352">
        <v>8</v>
      </c>
      <c r="AW1352">
        <v>9</v>
      </c>
      <c r="AX1352" t="s">
        <v>74</v>
      </c>
      <c r="AY1352" t="s">
        <v>74</v>
      </c>
      <c r="AZ1352" t="s">
        <v>74</v>
      </c>
      <c r="BA1352" t="s">
        <v>74</v>
      </c>
      <c r="BB1352" t="s">
        <v>74</v>
      </c>
      <c r="BC1352" t="s">
        <v>74</v>
      </c>
      <c r="BD1352">
        <v>129</v>
      </c>
      <c r="BE1352" t="s">
        <v>24718</v>
      </c>
      <c r="BF1352" t="str">
        <f>HYPERLINK("http://dx.doi.org/10.3390/infrastructures8090129","http://dx.doi.org/10.3390/infrastructures8090129")</f>
        <v>http://dx.doi.org/10.3390/infrastructures8090129</v>
      </c>
      <c r="BG1352" t="s">
        <v>74</v>
      </c>
      <c r="BH1352" t="s">
        <v>74</v>
      </c>
      <c r="BI1352">
        <v>18</v>
      </c>
      <c r="BJ1352" t="s">
        <v>24719</v>
      </c>
      <c r="BK1352" t="s">
        <v>352</v>
      </c>
      <c r="BL1352" t="s">
        <v>24720</v>
      </c>
      <c r="BM1352" t="s">
        <v>24721</v>
      </c>
      <c r="BN1352" t="s">
        <v>74</v>
      </c>
      <c r="BO1352" t="s">
        <v>425</v>
      </c>
      <c r="BP1352" t="s">
        <v>74</v>
      </c>
      <c r="BQ1352" t="s">
        <v>74</v>
      </c>
      <c r="BR1352" t="s">
        <v>101</v>
      </c>
      <c r="BS1352" t="s">
        <v>24722</v>
      </c>
      <c r="BT1352" t="str">
        <f>HYPERLINK("https%3A%2F%2Fwww.webofscience.com%2Fwos%2Fwoscc%2Ffull-record%2FWOS:001074043000001","View Full Record in Web of Science")</f>
        <v>View Full Record in Web of Science</v>
      </c>
    </row>
    <row r="1353" spans="1:72" x14ac:dyDescent="0.2">
      <c r="A1353" t="s">
        <v>72</v>
      </c>
      <c r="B1353" t="s">
        <v>24723</v>
      </c>
      <c r="C1353" t="s">
        <v>74</v>
      </c>
      <c r="D1353" t="s">
        <v>24244</v>
      </c>
      <c r="E1353" t="s">
        <v>74</v>
      </c>
      <c r="F1353" t="s">
        <v>24724</v>
      </c>
      <c r="G1353" t="s">
        <v>74</v>
      </c>
      <c r="H1353" t="s">
        <v>74</v>
      </c>
      <c r="I1353" t="s">
        <v>24725</v>
      </c>
      <c r="J1353" t="s">
        <v>24247</v>
      </c>
      <c r="K1353" t="s">
        <v>312</v>
      </c>
      <c r="L1353" t="s">
        <v>74</v>
      </c>
      <c r="M1353" t="s">
        <v>79</v>
      </c>
      <c r="N1353" t="s">
        <v>80</v>
      </c>
      <c r="O1353" t="s">
        <v>24248</v>
      </c>
      <c r="P1353" t="s">
        <v>24249</v>
      </c>
      <c r="Q1353" t="s">
        <v>24250</v>
      </c>
      <c r="R1353" t="s">
        <v>24251</v>
      </c>
      <c r="S1353" t="s">
        <v>74</v>
      </c>
      <c r="T1353" t="s">
        <v>24726</v>
      </c>
      <c r="U1353" t="s">
        <v>74</v>
      </c>
      <c r="V1353" t="s">
        <v>24727</v>
      </c>
      <c r="W1353" t="s">
        <v>24728</v>
      </c>
      <c r="X1353" t="s">
        <v>24729</v>
      </c>
      <c r="Y1353" t="s">
        <v>24730</v>
      </c>
      <c r="Z1353" t="s">
        <v>24731</v>
      </c>
      <c r="AA1353" t="s">
        <v>74</v>
      </c>
      <c r="AB1353" t="s">
        <v>74</v>
      </c>
      <c r="AC1353" t="s">
        <v>15948</v>
      </c>
      <c r="AD1353" t="s">
        <v>15949</v>
      </c>
      <c r="AE1353" t="s">
        <v>24732</v>
      </c>
      <c r="AF1353" t="s">
        <v>74</v>
      </c>
      <c r="AG1353">
        <v>34</v>
      </c>
      <c r="AH1353">
        <v>0</v>
      </c>
      <c r="AI1353">
        <v>0</v>
      </c>
      <c r="AJ1353">
        <v>0</v>
      </c>
      <c r="AK1353">
        <v>0</v>
      </c>
      <c r="AL1353" t="s">
        <v>325</v>
      </c>
      <c r="AM1353" t="s">
        <v>245</v>
      </c>
      <c r="AN1353" t="s">
        <v>246</v>
      </c>
      <c r="AO1353" t="s">
        <v>326</v>
      </c>
      <c r="AP1353" t="s">
        <v>327</v>
      </c>
      <c r="AQ1353" t="s">
        <v>24263</v>
      </c>
      <c r="AR1353" t="s">
        <v>329</v>
      </c>
      <c r="AS1353" t="s">
        <v>74</v>
      </c>
      <c r="AT1353" t="s">
        <v>74</v>
      </c>
      <c r="AU1353">
        <v>2023</v>
      </c>
      <c r="AV1353">
        <v>13847</v>
      </c>
      <c r="AW1353" t="s">
        <v>74</v>
      </c>
      <c r="AX1353" t="s">
        <v>74</v>
      </c>
      <c r="AY1353" t="s">
        <v>74</v>
      </c>
      <c r="AZ1353" t="s">
        <v>74</v>
      </c>
      <c r="BA1353" t="s">
        <v>74</v>
      </c>
      <c r="BB1353">
        <v>696</v>
      </c>
      <c r="BC1353">
        <v>712</v>
      </c>
      <c r="BD1353" t="s">
        <v>74</v>
      </c>
      <c r="BE1353" t="s">
        <v>24733</v>
      </c>
      <c r="BF1353" t="str">
        <f>HYPERLINK("http://dx.doi.org/10.1007/978-3-031-26293-7_41","http://dx.doi.org/10.1007/978-3-031-26293-7_41")</f>
        <v>http://dx.doi.org/10.1007/978-3-031-26293-7_41</v>
      </c>
      <c r="BG1353" t="s">
        <v>74</v>
      </c>
      <c r="BH1353" t="s">
        <v>74</v>
      </c>
      <c r="BI1353">
        <v>17</v>
      </c>
      <c r="BJ1353" t="s">
        <v>331</v>
      </c>
      <c r="BK1353" t="s">
        <v>98</v>
      </c>
      <c r="BL1353" t="s">
        <v>99</v>
      </c>
      <c r="BM1353" t="s">
        <v>24265</v>
      </c>
      <c r="BN1353" t="s">
        <v>74</v>
      </c>
      <c r="BO1353" t="s">
        <v>74</v>
      </c>
      <c r="BP1353" t="s">
        <v>74</v>
      </c>
      <c r="BQ1353" t="s">
        <v>74</v>
      </c>
      <c r="BR1353" t="s">
        <v>101</v>
      </c>
      <c r="BS1353" t="s">
        <v>24734</v>
      </c>
      <c r="BT1353" t="str">
        <f>HYPERLINK("https%3A%2F%2Fwww.webofscience.com%2Fwos%2Fwoscc%2Ffull-record%2FWOS:001000816900041","View Full Record in Web of Science")</f>
        <v>View Full Record in Web of Science</v>
      </c>
    </row>
    <row r="1354" spans="1:72" x14ac:dyDescent="0.2">
      <c r="A1354" t="s">
        <v>103</v>
      </c>
      <c r="B1354" t="s">
        <v>24735</v>
      </c>
      <c r="C1354" t="s">
        <v>74</v>
      </c>
      <c r="D1354" t="s">
        <v>74</v>
      </c>
      <c r="E1354" t="s">
        <v>74</v>
      </c>
      <c r="F1354" t="s">
        <v>24736</v>
      </c>
      <c r="G1354" t="s">
        <v>74</v>
      </c>
      <c r="H1354" t="s">
        <v>74</v>
      </c>
      <c r="I1354" t="s">
        <v>24737</v>
      </c>
      <c r="J1354" t="s">
        <v>24738</v>
      </c>
      <c r="K1354" t="s">
        <v>74</v>
      </c>
      <c r="L1354" t="s">
        <v>74</v>
      </c>
      <c r="M1354" t="s">
        <v>79</v>
      </c>
      <c r="N1354" t="s">
        <v>108</v>
      </c>
      <c r="O1354" t="s">
        <v>74</v>
      </c>
      <c r="P1354" t="s">
        <v>74</v>
      </c>
      <c r="Q1354" t="s">
        <v>74</v>
      </c>
      <c r="R1354" t="s">
        <v>74</v>
      </c>
      <c r="S1354" t="s">
        <v>74</v>
      </c>
      <c r="T1354" t="s">
        <v>24739</v>
      </c>
      <c r="U1354" t="s">
        <v>24740</v>
      </c>
      <c r="V1354" t="s">
        <v>24741</v>
      </c>
      <c r="W1354" t="s">
        <v>24742</v>
      </c>
      <c r="X1354" t="s">
        <v>24743</v>
      </c>
      <c r="Y1354" t="s">
        <v>24744</v>
      </c>
      <c r="Z1354" t="s">
        <v>24745</v>
      </c>
      <c r="AA1354" t="s">
        <v>24746</v>
      </c>
      <c r="AB1354" t="s">
        <v>24747</v>
      </c>
      <c r="AC1354" t="s">
        <v>24748</v>
      </c>
      <c r="AD1354" t="s">
        <v>24749</v>
      </c>
      <c r="AE1354" t="s">
        <v>24750</v>
      </c>
      <c r="AF1354" t="s">
        <v>74</v>
      </c>
      <c r="AG1354">
        <v>67</v>
      </c>
      <c r="AH1354">
        <v>5</v>
      </c>
      <c r="AI1354">
        <v>6</v>
      </c>
      <c r="AJ1354">
        <v>26</v>
      </c>
      <c r="AK1354">
        <v>46</v>
      </c>
      <c r="AL1354" t="s">
        <v>2010</v>
      </c>
      <c r="AM1354" t="s">
        <v>93</v>
      </c>
      <c r="AN1354" t="s">
        <v>2011</v>
      </c>
      <c r="AO1354" t="s">
        <v>24751</v>
      </c>
      <c r="AP1354" t="s">
        <v>24752</v>
      </c>
      <c r="AQ1354" t="s">
        <v>74</v>
      </c>
      <c r="AR1354" t="s">
        <v>24753</v>
      </c>
      <c r="AS1354" t="s">
        <v>24754</v>
      </c>
      <c r="AT1354" t="s">
        <v>24755</v>
      </c>
      <c r="AU1354">
        <v>2023</v>
      </c>
      <c r="AV1354">
        <v>289</v>
      </c>
      <c r="AW1354" t="s">
        <v>74</v>
      </c>
      <c r="AX1354" t="s">
        <v>74</v>
      </c>
      <c r="AY1354" t="s">
        <v>74</v>
      </c>
      <c r="AZ1354" t="s">
        <v>74</v>
      </c>
      <c r="BA1354" t="s">
        <v>74</v>
      </c>
      <c r="BB1354" t="s">
        <v>74</v>
      </c>
      <c r="BC1354" t="s">
        <v>74</v>
      </c>
      <c r="BD1354">
        <v>113522</v>
      </c>
      <c r="BE1354" t="s">
        <v>24756</v>
      </c>
      <c r="BF1354" t="str">
        <f>HYPERLINK("http://dx.doi.org/10.1016/j.rse.2023.113522","http://dx.doi.org/10.1016/j.rse.2023.113522")</f>
        <v>http://dx.doi.org/10.1016/j.rse.2023.113522</v>
      </c>
      <c r="BG1354" t="s">
        <v>74</v>
      </c>
      <c r="BH1354" t="s">
        <v>1431</v>
      </c>
      <c r="BI1354">
        <v>13</v>
      </c>
      <c r="BJ1354" t="s">
        <v>14895</v>
      </c>
      <c r="BK1354" t="s">
        <v>130</v>
      </c>
      <c r="BL1354" t="s">
        <v>14896</v>
      </c>
      <c r="BM1354" t="s">
        <v>24757</v>
      </c>
      <c r="BN1354" t="s">
        <v>74</v>
      </c>
      <c r="BO1354" t="s">
        <v>161</v>
      </c>
      <c r="BP1354" t="s">
        <v>74</v>
      </c>
      <c r="BQ1354" t="s">
        <v>74</v>
      </c>
      <c r="BR1354" t="s">
        <v>101</v>
      </c>
      <c r="BS1354" t="s">
        <v>24758</v>
      </c>
      <c r="BT1354" t="str">
        <f>HYPERLINK("https%3A%2F%2Fwww.webofscience.com%2Fwos%2Fwoscc%2Ffull-record%2FWOS:000953270300001","View Full Record in Web of Science")</f>
        <v>View Full Record in Web of Science</v>
      </c>
    </row>
    <row r="1355" spans="1:72" x14ac:dyDescent="0.2">
      <c r="A1355" t="s">
        <v>72</v>
      </c>
      <c r="B1355" t="s">
        <v>24759</v>
      </c>
      <c r="C1355" t="s">
        <v>74</v>
      </c>
      <c r="D1355" t="s">
        <v>74</v>
      </c>
      <c r="E1355" t="s">
        <v>284</v>
      </c>
      <c r="F1355" t="s">
        <v>24760</v>
      </c>
      <c r="G1355" t="s">
        <v>74</v>
      </c>
      <c r="H1355" t="s">
        <v>74</v>
      </c>
      <c r="I1355" t="s">
        <v>24761</v>
      </c>
      <c r="J1355" t="s">
        <v>8245</v>
      </c>
      <c r="K1355" t="s">
        <v>8246</v>
      </c>
      <c r="L1355" t="s">
        <v>74</v>
      </c>
      <c r="M1355" t="s">
        <v>79</v>
      </c>
      <c r="N1355" t="s">
        <v>80</v>
      </c>
      <c r="O1355" t="s">
        <v>8247</v>
      </c>
      <c r="P1355" t="s">
        <v>8248</v>
      </c>
      <c r="Q1355" t="s">
        <v>6017</v>
      </c>
      <c r="R1355" t="s">
        <v>8249</v>
      </c>
      <c r="S1355" t="s">
        <v>74</v>
      </c>
      <c r="T1355" t="s">
        <v>74</v>
      </c>
      <c r="U1355" t="s">
        <v>74</v>
      </c>
      <c r="V1355" t="s">
        <v>24762</v>
      </c>
      <c r="W1355" t="s">
        <v>24763</v>
      </c>
      <c r="X1355" t="s">
        <v>24764</v>
      </c>
      <c r="Y1355" t="s">
        <v>24765</v>
      </c>
      <c r="Z1355" t="s">
        <v>24766</v>
      </c>
      <c r="AA1355" t="s">
        <v>74</v>
      </c>
      <c r="AB1355" t="s">
        <v>74</v>
      </c>
      <c r="AC1355" t="s">
        <v>74</v>
      </c>
      <c r="AD1355" t="s">
        <v>74</v>
      </c>
      <c r="AE1355" t="s">
        <v>74</v>
      </c>
      <c r="AF1355" t="s">
        <v>74</v>
      </c>
      <c r="AG1355">
        <v>75</v>
      </c>
      <c r="AH1355">
        <v>3</v>
      </c>
      <c r="AI1355">
        <v>3</v>
      </c>
      <c r="AJ1355">
        <v>3</v>
      </c>
      <c r="AK1355">
        <v>3</v>
      </c>
      <c r="AL1355" t="s">
        <v>638</v>
      </c>
      <c r="AM1355" t="s">
        <v>639</v>
      </c>
      <c r="AN1355" t="s">
        <v>640</v>
      </c>
      <c r="AO1355" t="s">
        <v>8260</v>
      </c>
      <c r="AP1355" t="s">
        <v>74</v>
      </c>
      <c r="AQ1355" t="s">
        <v>8261</v>
      </c>
      <c r="AR1355" t="s">
        <v>8262</v>
      </c>
      <c r="AS1355" t="s">
        <v>74</v>
      </c>
      <c r="AT1355" t="s">
        <v>74</v>
      </c>
      <c r="AU1355">
        <v>2023</v>
      </c>
      <c r="AV1355" t="s">
        <v>74</v>
      </c>
      <c r="AW1355" t="s">
        <v>74</v>
      </c>
      <c r="AX1355" t="s">
        <v>74</v>
      </c>
      <c r="AY1355" t="s">
        <v>74</v>
      </c>
      <c r="AZ1355" t="s">
        <v>74</v>
      </c>
      <c r="BA1355" t="s">
        <v>74</v>
      </c>
      <c r="BB1355">
        <v>15619</v>
      </c>
      <c r="BC1355">
        <v>15629</v>
      </c>
      <c r="BD1355" t="s">
        <v>74</v>
      </c>
      <c r="BE1355" t="s">
        <v>24767</v>
      </c>
      <c r="BF1355" t="str">
        <f>HYPERLINK("http://dx.doi.org/10.1109/CVPR52729.2023.01499","http://dx.doi.org/10.1109/CVPR52729.2023.01499")</f>
        <v>http://dx.doi.org/10.1109/CVPR52729.2023.01499</v>
      </c>
      <c r="BG1355" t="s">
        <v>74</v>
      </c>
      <c r="BH1355" t="s">
        <v>74</v>
      </c>
      <c r="BI1355">
        <v>11</v>
      </c>
      <c r="BJ1355" t="s">
        <v>304</v>
      </c>
      <c r="BK1355" t="s">
        <v>98</v>
      </c>
      <c r="BL1355" t="s">
        <v>99</v>
      </c>
      <c r="BM1355" t="s">
        <v>8264</v>
      </c>
      <c r="BN1355" t="s">
        <v>74</v>
      </c>
      <c r="BO1355" t="s">
        <v>646</v>
      </c>
      <c r="BP1355" t="s">
        <v>74</v>
      </c>
      <c r="BQ1355" t="s">
        <v>74</v>
      </c>
      <c r="BR1355" t="s">
        <v>101</v>
      </c>
      <c r="BS1355" t="s">
        <v>24768</v>
      </c>
      <c r="BT1355" t="str">
        <f>HYPERLINK("https%3A%2F%2Fwww.webofscience.com%2Fwos%2Fwoscc%2Ffull-record%2FWOS:001062522107090","View Full Record in Web of Science")</f>
        <v>View Full Record in Web of Science</v>
      </c>
    </row>
    <row r="1356" spans="1:72" x14ac:dyDescent="0.2">
      <c r="A1356" t="s">
        <v>72</v>
      </c>
      <c r="B1356" t="s">
        <v>24769</v>
      </c>
      <c r="C1356" t="s">
        <v>74</v>
      </c>
      <c r="D1356" t="s">
        <v>74</v>
      </c>
      <c r="E1356" t="s">
        <v>75</v>
      </c>
      <c r="F1356" t="s">
        <v>24770</v>
      </c>
      <c r="G1356" t="s">
        <v>74</v>
      </c>
      <c r="H1356" t="s">
        <v>74</v>
      </c>
      <c r="I1356" t="s">
        <v>24771</v>
      </c>
      <c r="J1356" t="s">
        <v>912</v>
      </c>
      <c r="K1356" t="s">
        <v>74</v>
      </c>
      <c r="L1356" t="s">
        <v>74</v>
      </c>
      <c r="M1356" t="s">
        <v>79</v>
      </c>
      <c r="N1356" t="s">
        <v>80</v>
      </c>
      <c r="O1356" t="s">
        <v>913</v>
      </c>
      <c r="P1356" t="s">
        <v>914</v>
      </c>
      <c r="Q1356" t="s">
        <v>915</v>
      </c>
      <c r="R1356" t="s">
        <v>916</v>
      </c>
      <c r="S1356" t="s">
        <v>74</v>
      </c>
      <c r="T1356" t="s">
        <v>24772</v>
      </c>
      <c r="U1356" t="s">
        <v>5866</v>
      </c>
      <c r="V1356" t="s">
        <v>24773</v>
      </c>
      <c r="W1356" t="s">
        <v>24774</v>
      </c>
      <c r="X1356" t="s">
        <v>24775</v>
      </c>
      <c r="Y1356" t="s">
        <v>24776</v>
      </c>
      <c r="Z1356" t="s">
        <v>24777</v>
      </c>
      <c r="AA1356" t="s">
        <v>24778</v>
      </c>
      <c r="AB1356" t="s">
        <v>24779</v>
      </c>
      <c r="AC1356" t="s">
        <v>24780</v>
      </c>
      <c r="AD1356" t="s">
        <v>24781</v>
      </c>
      <c r="AE1356" t="s">
        <v>24782</v>
      </c>
      <c r="AF1356" t="s">
        <v>74</v>
      </c>
      <c r="AG1356">
        <v>81</v>
      </c>
      <c r="AH1356">
        <v>0</v>
      </c>
      <c r="AI1356">
        <v>0</v>
      </c>
      <c r="AJ1356">
        <v>2</v>
      </c>
      <c r="AK1356">
        <v>2</v>
      </c>
      <c r="AL1356" t="s">
        <v>92</v>
      </c>
      <c r="AM1356" t="s">
        <v>93</v>
      </c>
      <c r="AN1356" t="s">
        <v>94</v>
      </c>
      <c r="AO1356" t="s">
        <v>74</v>
      </c>
      <c r="AP1356" t="s">
        <v>74</v>
      </c>
      <c r="AQ1356" t="s">
        <v>922</v>
      </c>
      <c r="AR1356" t="s">
        <v>74</v>
      </c>
      <c r="AS1356" t="s">
        <v>74</v>
      </c>
      <c r="AT1356" t="s">
        <v>74</v>
      </c>
      <c r="AU1356">
        <v>2023</v>
      </c>
      <c r="AV1356" t="s">
        <v>74</v>
      </c>
      <c r="AW1356" t="s">
        <v>74</v>
      </c>
      <c r="AX1356" t="s">
        <v>74</v>
      </c>
      <c r="AY1356" t="s">
        <v>74</v>
      </c>
      <c r="AZ1356" t="s">
        <v>74</v>
      </c>
      <c r="BA1356" t="s">
        <v>74</v>
      </c>
      <c r="BB1356">
        <v>2256</v>
      </c>
      <c r="BC1356">
        <v>2268</v>
      </c>
      <c r="BD1356" t="s">
        <v>74</v>
      </c>
      <c r="BE1356" t="s">
        <v>24783</v>
      </c>
      <c r="BF1356" t="str">
        <f>HYPERLINK("http://dx.doi.org/10.1145/3580305.3599444","http://dx.doi.org/10.1145/3580305.3599444")</f>
        <v>http://dx.doi.org/10.1145/3580305.3599444</v>
      </c>
      <c r="BG1356" t="s">
        <v>74</v>
      </c>
      <c r="BH1356" t="s">
        <v>74</v>
      </c>
      <c r="BI1356">
        <v>13</v>
      </c>
      <c r="BJ1356" t="s">
        <v>924</v>
      </c>
      <c r="BK1356" t="s">
        <v>98</v>
      </c>
      <c r="BL1356" t="s">
        <v>99</v>
      </c>
      <c r="BM1356" t="s">
        <v>925</v>
      </c>
      <c r="BN1356" t="s">
        <v>74</v>
      </c>
      <c r="BO1356" t="s">
        <v>2310</v>
      </c>
      <c r="BP1356" t="s">
        <v>74</v>
      </c>
      <c r="BQ1356" t="s">
        <v>74</v>
      </c>
      <c r="BR1356" t="s">
        <v>101</v>
      </c>
      <c r="BS1356" t="s">
        <v>24784</v>
      </c>
      <c r="BT1356" t="str">
        <f>HYPERLINK("https%3A%2F%2Fwww.webofscience.com%2Fwos%2Fwoscc%2Ffull-record%2FWOS:001118896302028","View Full Record in Web of Science")</f>
        <v>View Full Record in Web of Science</v>
      </c>
    </row>
    <row r="1357" spans="1:72" x14ac:dyDescent="0.2">
      <c r="A1357" t="s">
        <v>103</v>
      </c>
      <c r="B1357" t="s">
        <v>24785</v>
      </c>
      <c r="C1357" t="s">
        <v>74</v>
      </c>
      <c r="D1357" t="s">
        <v>74</v>
      </c>
      <c r="E1357" t="s">
        <v>74</v>
      </c>
      <c r="F1357" t="s">
        <v>24786</v>
      </c>
      <c r="G1357" t="s">
        <v>74</v>
      </c>
      <c r="H1357" t="s">
        <v>74</v>
      </c>
      <c r="I1357" t="s">
        <v>24787</v>
      </c>
      <c r="J1357" t="s">
        <v>6056</v>
      </c>
      <c r="K1357" t="s">
        <v>74</v>
      </c>
      <c r="L1357" t="s">
        <v>74</v>
      </c>
      <c r="M1357" t="s">
        <v>79</v>
      </c>
      <c r="N1357" t="s">
        <v>108</v>
      </c>
      <c r="O1357" t="s">
        <v>74</v>
      </c>
      <c r="P1357" t="s">
        <v>74</v>
      </c>
      <c r="Q1357" t="s">
        <v>74</v>
      </c>
      <c r="R1357" t="s">
        <v>74</v>
      </c>
      <c r="S1357" t="s">
        <v>74</v>
      </c>
      <c r="T1357" t="s">
        <v>24788</v>
      </c>
      <c r="U1357" t="s">
        <v>24789</v>
      </c>
      <c r="V1357" t="s">
        <v>24790</v>
      </c>
      <c r="W1357" t="s">
        <v>24791</v>
      </c>
      <c r="X1357" t="s">
        <v>24792</v>
      </c>
      <c r="Y1357" t="s">
        <v>24793</v>
      </c>
      <c r="Z1357" t="s">
        <v>24794</v>
      </c>
      <c r="AA1357" t="s">
        <v>74</v>
      </c>
      <c r="AB1357" t="s">
        <v>24795</v>
      </c>
      <c r="AC1357" t="s">
        <v>74</v>
      </c>
      <c r="AD1357" t="s">
        <v>74</v>
      </c>
      <c r="AE1357" t="s">
        <v>74</v>
      </c>
      <c r="AF1357" t="s">
        <v>74</v>
      </c>
      <c r="AG1357">
        <v>99</v>
      </c>
      <c r="AH1357">
        <v>1</v>
      </c>
      <c r="AI1357">
        <v>1</v>
      </c>
      <c r="AJ1357">
        <v>23</v>
      </c>
      <c r="AK1357">
        <v>29</v>
      </c>
      <c r="AL1357" t="s">
        <v>4176</v>
      </c>
      <c r="AM1357" t="s">
        <v>4177</v>
      </c>
      <c r="AN1357" t="s">
        <v>4178</v>
      </c>
      <c r="AO1357" t="s">
        <v>6067</v>
      </c>
      <c r="AP1357" t="s">
        <v>74</v>
      </c>
      <c r="AQ1357" t="s">
        <v>74</v>
      </c>
      <c r="AR1357" t="s">
        <v>6068</v>
      </c>
      <c r="AS1357" t="s">
        <v>6069</v>
      </c>
      <c r="AT1357" t="s">
        <v>24796</v>
      </c>
      <c r="AU1357">
        <v>2023</v>
      </c>
      <c r="AV1357">
        <v>25</v>
      </c>
      <c r="AW1357" t="s">
        <v>74</v>
      </c>
      <c r="AX1357" t="s">
        <v>74</v>
      </c>
      <c r="AY1357" t="s">
        <v>74</v>
      </c>
      <c r="AZ1357" t="s">
        <v>74</v>
      </c>
      <c r="BA1357" t="s">
        <v>74</v>
      </c>
      <c r="BB1357" t="s">
        <v>74</v>
      </c>
      <c r="BC1357" t="s">
        <v>74</v>
      </c>
      <c r="BD1357" t="s">
        <v>24797</v>
      </c>
      <c r="BE1357" t="s">
        <v>24798</v>
      </c>
      <c r="BF1357" t="str">
        <f>HYPERLINK("http://dx.doi.org/10.2196/41535","http://dx.doi.org/10.2196/41535")</f>
        <v>http://dx.doi.org/10.2196/41535</v>
      </c>
      <c r="BG1357" t="s">
        <v>74</v>
      </c>
      <c r="BH1357" t="s">
        <v>74</v>
      </c>
      <c r="BI1357">
        <v>20</v>
      </c>
      <c r="BJ1357" t="s">
        <v>4947</v>
      </c>
      <c r="BK1357" t="s">
        <v>130</v>
      </c>
      <c r="BL1357" t="s">
        <v>4947</v>
      </c>
      <c r="BM1357" t="s">
        <v>24799</v>
      </c>
      <c r="BN1357">
        <v>37531187</v>
      </c>
      <c r="BO1357" t="s">
        <v>4185</v>
      </c>
      <c r="BP1357" t="s">
        <v>74</v>
      </c>
      <c r="BQ1357" t="s">
        <v>74</v>
      </c>
      <c r="BR1357" t="s">
        <v>101</v>
      </c>
      <c r="BS1357" t="s">
        <v>24800</v>
      </c>
      <c r="BT1357" t="str">
        <f>HYPERLINK("https%3A%2F%2Fwww.webofscience.com%2Fwos%2Fwoscc%2Ffull-record%2FWOS:001048960200006","View Full Record in Web of Science")</f>
        <v>View Full Record in Web of Science</v>
      </c>
    </row>
    <row r="1358" spans="1:72" x14ac:dyDescent="0.2">
      <c r="A1358" t="s">
        <v>103</v>
      </c>
      <c r="B1358" t="s">
        <v>24801</v>
      </c>
      <c r="C1358" t="s">
        <v>74</v>
      </c>
      <c r="D1358" t="s">
        <v>74</v>
      </c>
      <c r="E1358" t="s">
        <v>74</v>
      </c>
      <c r="F1358" t="s">
        <v>24802</v>
      </c>
      <c r="G1358" t="s">
        <v>74</v>
      </c>
      <c r="H1358" t="s">
        <v>74</v>
      </c>
      <c r="I1358" t="s">
        <v>24803</v>
      </c>
      <c r="J1358" t="s">
        <v>24804</v>
      </c>
      <c r="K1358" t="s">
        <v>74</v>
      </c>
      <c r="L1358" t="s">
        <v>74</v>
      </c>
      <c r="M1358" t="s">
        <v>79</v>
      </c>
      <c r="N1358" t="s">
        <v>108</v>
      </c>
      <c r="O1358" t="s">
        <v>74</v>
      </c>
      <c r="P1358" t="s">
        <v>74</v>
      </c>
      <c r="Q1358" t="s">
        <v>74</v>
      </c>
      <c r="R1358" t="s">
        <v>74</v>
      </c>
      <c r="S1358" t="s">
        <v>74</v>
      </c>
      <c r="T1358" t="s">
        <v>24805</v>
      </c>
      <c r="U1358" t="s">
        <v>24806</v>
      </c>
      <c r="V1358" t="s">
        <v>24807</v>
      </c>
      <c r="W1358" t="s">
        <v>24808</v>
      </c>
      <c r="X1358" t="s">
        <v>24809</v>
      </c>
      <c r="Y1358" t="s">
        <v>24810</v>
      </c>
      <c r="Z1358" t="s">
        <v>24811</v>
      </c>
      <c r="AA1358" t="s">
        <v>74</v>
      </c>
      <c r="AB1358" t="s">
        <v>24812</v>
      </c>
      <c r="AC1358" t="s">
        <v>24813</v>
      </c>
      <c r="AD1358" t="s">
        <v>24813</v>
      </c>
      <c r="AE1358" t="s">
        <v>24813</v>
      </c>
      <c r="AF1358" t="s">
        <v>74</v>
      </c>
      <c r="AG1358">
        <v>38</v>
      </c>
      <c r="AH1358">
        <v>0</v>
      </c>
      <c r="AI1358">
        <v>0</v>
      </c>
      <c r="AJ1358">
        <v>19</v>
      </c>
      <c r="AK1358">
        <v>19</v>
      </c>
      <c r="AL1358" t="s">
        <v>1152</v>
      </c>
      <c r="AM1358" t="s">
        <v>1153</v>
      </c>
      <c r="AN1358" t="s">
        <v>1154</v>
      </c>
      <c r="AO1358" t="s">
        <v>24814</v>
      </c>
      <c r="AP1358" t="s">
        <v>74</v>
      </c>
      <c r="AQ1358" t="s">
        <v>74</v>
      </c>
      <c r="AR1358" t="s">
        <v>24815</v>
      </c>
      <c r="AS1358" t="s">
        <v>24816</v>
      </c>
      <c r="AT1358" t="s">
        <v>276</v>
      </c>
      <c r="AU1358">
        <v>2023</v>
      </c>
      <c r="AV1358">
        <v>11</v>
      </c>
      <c r="AW1358">
        <v>4</v>
      </c>
      <c r="AX1358" t="s">
        <v>74</v>
      </c>
      <c r="AY1358" t="s">
        <v>74</v>
      </c>
      <c r="AZ1358" t="s">
        <v>74</v>
      </c>
      <c r="BA1358" t="s">
        <v>74</v>
      </c>
      <c r="BB1358">
        <v>452</v>
      </c>
      <c r="BC1358">
        <v>460</v>
      </c>
      <c r="BD1358" t="s">
        <v>74</v>
      </c>
      <c r="BE1358" t="s">
        <v>24817</v>
      </c>
      <c r="BF1358" t="str">
        <f>HYPERLINK("http://dx.doi.org/10.1017/aap.2023.25","http://dx.doi.org/10.1017/aap.2023.25")</f>
        <v>http://dx.doi.org/10.1017/aap.2023.25</v>
      </c>
      <c r="BG1358" t="s">
        <v>74</v>
      </c>
      <c r="BH1358" t="s">
        <v>157</v>
      </c>
      <c r="BI1358">
        <v>9</v>
      </c>
      <c r="BJ1358" t="s">
        <v>24818</v>
      </c>
      <c r="BK1358" t="s">
        <v>2649</v>
      </c>
      <c r="BL1358" t="s">
        <v>24818</v>
      </c>
      <c r="BM1358" t="s">
        <v>24819</v>
      </c>
      <c r="BN1358" t="s">
        <v>74</v>
      </c>
      <c r="BO1358" t="s">
        <v>161</v>
      </c>
      <c r="BP1358" t="s">
        <v>74</v>
      </c>
      <c r="BQ1358" t="s">
        <v>74</v>
      </c>
      <c r="BR1358" t="s">
        <v>101</v>
      </c>
      <c r="BS1358" t="s">
        <v>24820</v>
      </c>
      <c r="BT1358" t="str">
        <f>HYPERLINK("https%3A%2F%2Fwww.webofscience.com%2Fwos%2Fwoscc%2Ffull-record%2FWOS:001092777300001","View Full Record in Web of Science")</f>
        <v>View Full Record in Web of Science</v>
      </c>
    </row>
    <row r="1359" spans="1:72" x14ac:dyDescent="0.2">
      <c r="A1359" t="s">
        <v>103</v>
      </c>
      <c r="B1359" t="s">
        <v>24821</v>
      </c>
      <c r="C1359" t="s">
        <v>74</v>
      </c>
      <c r="D1359" t="s">
        <v>74</v>
      </c>
      <c r="E1359" t="s">
        <v>74</v>
      </c>
      <c r="F1359" t="s">
        <v>24822</v>
      </c>
      <c r="G1359" t="s">
        <v>74</v>
      </c>
      <c r="H1359" t="s">
        <v>74</v>
      </c>
      <c r="I1359" t="s">
        <v>24823</v>
      </c>
      <c r="J1359" t="s">
        <v>24824</v>
      </c>
      <c r="K1359" t="s">
        <v>74</v>
      </c>
      <c r="L1359" t="s">
        <v>74</v>
      </c>
      <c r="M1359" t="s">
        <v>79</v>
      </c>
      <c r="N1359" t="s">
        <v>108</v>
      </c>
      <c r="O1359" t="s">
        <v>74</v>
      </c>
      <c r="P1359" t="s">
        <v>74</v>
      </c>
      <c r="Q1359" t="s">
        <v>74</v>
      </c>
      <c r="R1359" t="s">
        <v>74</v>
      </c>
      <c r="S1359" t="s">
        <v>74</v>
      </c>
      <c r="T1359" t="s">
        <v>74</v>
      </c>
      <c r="U1359" t="s">
        <v>24825</v>
      </c>
      <c r="V1359" t="s">
        <v>24826</v>
      </c>
      <c r="W1359" t="s">
        <v>24827</v>
      </c>
      <c r="X1359" t="s">
        <v>24828</v>
      </c>
      <c r="Y1359" t="s">
        <v>24829</v>
      </c>
      <c r="Z1359" t="s">
        <v>24830</v>
      </c>
      <c r="AA1359" t="s">
        <v>74</v>
      </c>
      <c r="AB1359" t="s">
        <v>24831</v>
      </c>
      <c r="AC1359" t="s">
        <v>24832</v>
      </c>
      <c r="AD1359" t="s">
        <v>24832</v>
      </c>
      <c r="AE1359" t="s">
        <v>24833</v>
      </c>
      <c r="AF1359" t="s">
        <v>74</v>
      </c>
      <c r="AG1359">
        <v>68</v>
      </c>
      <c r="AH1359">
        <v>0</v>
      </c>
      <c r="AI1359">
        <v>0</v>
      </c>
      <c r="AJ1359">
        <v>11</v>
      </c>
      <c r="AK1359">
        <v>13</v>
      </c>
      <c r="AL1359" t="s">
        <v>6997</v>
      </c>
      <c r="AM1359" t="s">
        <v>6998</v>
      </c>
      <c r="AN1359" t="s">
        <v>6999</v>
      </c>
      <c r="AO1359" t="s">
        <v>24834</v>
      </c>
      <c r="AP1359" t="s">
        <v>24835</v>
      </c>
      <c r="AQ1359" t="s">
        <v>74</v>
      </c>
      <c r="AR1359" t="s">
        <v>24836</v>
      </c>
      <c r="AS1359" t="s">
        <v>24837</v>
      </c>
      <c r="AT1359" t="s">
        <v>6824</v>
      </c>
      <c r="AU1359">
        <v>2023</v>
      </c>
      <c r="AV1359">
        <v>149</v>
      </c>
      <c r="AW1359">
        <v>7</v>
      </c>
      <c r="AX1359" t="s">
        <v>74</v>
      </c>
      <c r="AY1359" t="s">
        <v>74</v>
      </c>
      <c r="AZ1359" t="s">
        <v>74</v>
      </c>
      <c r="BA1359" t="s">
        <v>74</v>
      </c>
      <c r="BB1359" t="s">
        <v>74</v>
      </c>
      <c r="BC1359" t="s">
        <v>74</v>
      </c>
      <c r="BD1359">
        <v>4023046</v>
      </c>
      <c r="BE1359" t="s">
        <v>24838</v>
      </c>
      <c r="BF1359" t="str">
        <f>HYPERLINK("http://dx.doi.org/10.1061/(ASCE)CO.1943-7862.0002390","http://dx.doi.org/10.1061/(ASCE)CO.1943-7862.0002390")</f>
        <v>http://dx.doi.org/10.1061/(ASCE)CO.1943-7862.0002390</v>
      </c>
      <c r="BG1359" t="s">
        <v>74</v>
      </c>
      <c r="BH1359" t="s">
        <v>74</v>
      </c>
      <c r="BI1359">
        <v>18</v>
      </c>
      <c r="BJ1359" t="s">
        <v>24839</v>
      </c>
      <c r="BK1359" t="s">
        <v>130</v>
      </c>
      <c r="BL1359" t="s">
        <v>13052</v>
      </c>
      <c r="BM1359" t="s">
        <v>24840</v>
      </c>
      <c r="BN1359" t="s">
        <v>74</v>
      </c>
      <c r="BO1359" t="s">
        <v>74</v>
      </c>
      <c r="BP1359" t="s">
        <v>74</v>
      </c>
      <c r="BQ1359" t="s">
        <v>74</v>
      </c>
      <c r="BR1359" t="s">
        <v>101</v>
      </c>
      <c r="BS1359" t="s">
        <v>24841</v>
      </c>
      <c r="BT1359" t="str">
        <f>HYPERLINK("https%3A%2F%2Fwww.webofscience.com%2Fwos%2Fwoscc%2Ffull-record%2FWOS:000988854500008","View Full Record in Web of Science")</f>
        <v>View Full Record in Web of Science</v>
      </c>
    </row>
    <row r="1360" spans="1:72" x14ac:dyDescent="0.2">
      <c r="A1360" t="s">
        <v>103</v>
      </c>
      <c r="B1360" t="s">
        <v>24842</v>
      </c>
      <c r="C1360" t="s">
        <v>74</v>
      </c>
      <c r="D1360" t="s">
        <v>74</v>
      </c>
      <c r="E1360" t="s">
        <v>74</v>
      </c>
      <c r="F1360" t="s">
        <v>24843</v>
      </c>
      <c r="G1360" t="s">
        <v>74</v>
      </c>
      <c r="H1360" t="s">
        <v>74</v>
      </c>
      <c r="I1360" t="s">
        <v>24844</v>
      </c>
      <c r="J1360" t="s">
        <v>4686</v>
      </c>
      <c r="K1360" t="s">
        <v>74</v>
      </c>
      <c r="L1360" t="s">
        <v>74</v>
      </c>
      <c r="M1360" t="s">
        <v>79</v>
      </c>
      <c r="N1360" t="s">
        <v>108</v>
      </c>
      <c r="O1360" t="s">
        <v>74</v>
      </c>
      <c r="P1360" t="s">
        <v>74</v>
      </c>
      <c r="Q1360" t="s">
        <v>74</v>
      </c>
      <c r="R1360" t="s">
        <v>74</v>
      </c>
      <c r="S1360" t="s">
        <v>74</v>
      </c>
      <c r="T1360" t="s">
        <v>24845</v>
      </c>
      <c r="U1360" t="s">
        <v>74</v>
      </c>
      <c r="V1360" t="s">
        <v>24846</v>
      </c>
      <c r="W1360" t="s">
        <v>24847</v>
      </c>
      <c r="X1360" t="s">
        <v>24848</v>
      </c>
      <c r="Y1360" t="s">
        <v>24849</v>
      </c>
      <c r="Z1360" t="s">
        <v>24850</v>
      </c>
      <c r="AA1360" t="s">
        <v>74</v>
      </c>
      <c r="AB1360" t="s">
        <v>24851</v>
      </c>
      <c r="AC1360" t="s">
        <v>74</v>
      </c>
      <c r="AD1360" t="s">
        <v>74</v>
      </c>
      <c r="AE1360" t="s">
        <v>74</v>
      </c>
      <c r="AF1360" t="s">
        <v>74</v>
      </c>
      <c r="AG1360">
        <v>25</v>
      </c>
      <c r="AH1360">
        <v>1</v>
      </c>
      <c r="AI1360">
        <v>1</v>
      </c>
      <c r="AJ1360">
        <v>7</v>
      </c>
      <c r="AK1360">
        <v>7</v>
      </c>
      <c r="AL1360" t="s">
        <v>2032</v>
      </c>
      <c r="AM1360" t="s">
        <v>149</v>
      </c>
      <c r="AN1360" t="s">
        <v>2033</v>
      </c>
      <c r="AO1360" t="s">
        <v>74</v>
      </c>
      <c r="AP1360" t="s">
        <v>4694</v>
      </c>
      <c r="AQ1360" t="s">
        <v>74</v>
      </c>
      <c r="AR1360" t="s">
        <v>4695</v>
      </c>
      <c r="AS1360" t="s">
        <v>4696</v>
      </c>
      <c r="AT1360" t="s">
        <v>24852</v>
      </c>
      <c r="AU1360">
        <v>2023</v>
      </c>
      <c r="AV1360">
        <v>15</v>
      </c>
      <c r="AW1360">
        <v>11</v>
      </c>
      <c r="AX1360" t="s">
        <v>74</v>
      </c>
      <c r="AY1360" t="s">
        <v>74</v>
      </c>
      <c r="AZ1360" t="s">
        <v>74</v>
      </c>
      <c r="BA1360" t="s">
        <v>74</v>
      </c>
      <c r="BB1360" t="s">
        <v>74</v>
      </c>
      <c r="BC1360" t="s">
        <v>74</v>
      </c>
      <c r="BD1360" t="s">
        <v>24853</v>
      </c>
      <c r="BE1360" t="s">
        <v>24854</v>
      </c>
      <c r="BF1360" t="str">
        <f>HYPERLINK("http://dx.doi.org/10.7759/cureus.49019","http://dx.doi.org/10.7759/cureus.49019")</f>
        <v>http://dx.doi.org/10.7759/cureus.49019</v>
      </c>
      <c r="BG1360" t="s">
        <v>74</v>
      </c>
      <c r="BH1360" t="s">
        <v>74</v>
      </c>
      <c r="BI1360">
        <v>10</v>
      </c>
      <c r="BJ1360" t="s">
        <v>3440</v>
      </c>
      <c r="BK1360" t="s">
        <v>352</v>
      </c>
      <c r="BL1360" t="s">
        <v>3441</v>
      </c>
      <c r="BM1360" t="s">
        <v>24855</v>
      </c>
      <c r="BN1360">
        <v>38111405</v>
      </c>
      <c r="BO1360" t="s">
        <v>819</v>
      </c>
      <c r="BP1360" t="s">
        <v>74</v>
      </c>
      <c r="BQ1360" t="s">
        <v>74</v>
      </c>
      <c r="BR1360" t="s">
        <v>101</v>
      </c>
      <c r="BS1360" t="s">
        <v>24856</v>
      </c>
      <c r="BT1360" t="str">
        <f>HYPERLINK("https%3A%2F%2Fwww.webofscience.com%2Fwos%2Fwoscc%2Ffull-record%2FWOS:001109796100007","View Full Record in Web of Science")</f>
        <v>View Full Record in Web of Science</v>
      </c>
    </row>
    <row r="1361" spans="1:72" x14ac:dyDescent="0.2">
      <c r="A1361" t="s">
        <v>72</v>
      </c>
      <c r="B1361" t="s">
        <v>24857</v>
      </c>
      <c r="C1361" t="s">
        <v>74</v>
      </c>
      <c r="D1361" t="s">
        <v>74</v>
      </c>
      <c r="E1361" t="s">
        <v>284</v>
      </c>
      <c r="F1361" t="s">
        <v>24858</v>
      </c>
      <c r="G1361" t="s">
        <v>74</v>
      </c>
      <c r="H1361" t="s">
        <v>74</v>
      </c>
      <c r="I1361" t="s">
        <v>24859</v>
      </c>
      <c r="J1361" t="s">
        <v>10100</v>
      </c>
      <c r="K1361" t="s">
        <v>8246</v>
      </c>
      <c r="L1361" t="s">
        <v>74</v>
      </c>
      <c r="M1361" t="s">
        <v>79</v>
      </c>
      <c r="N1361" t="s">
        <v>80</v>
      </c>
      <c r="O1361" t="s">
        <v>8247</v>
      </c>
      <c r="P1361" t="s">
        <v>8248</v>
      </c>
      <c r="Q1361" t="s">
        <v>6017</v>
      </c>
      <c r="R1361" t="s">
        <v>8249</v>
      </c>
      <c r="S1361" t="s">
        <v>74</v>
      </c>
      <c r="T1361" t="s">
        <v>74</v>
      </c>
      <c r="U1361" t="s">
        <v>74</v>
      </c>
      <c r="V1361" t="s">
        <v>24860</v>
      </c>
      <c r="W1361" t="s">
        <v>24861</v>
      </c>
      <c r="X1361" t="s">
        <v>24862</v>
      </c>
      <c r="Y1361" t="s">
        <v>24863</v>
      </c>
      <c r="Z1361" t="s">
        <v>74</v>
      </c>
      <c r="AA1361" t="s">
        <v>24864</v>
      </c>
      <c r="AB1361" t="s">
        <v>74</v>
      </c>
      <c r="AC1361" t="s">
        <v>24865</v>
      </c>
      <c r="AD1361" t="s">
        <v>24866</v>
      </c>
      <c r="AE1361" t="s">
        <v>24867</v>
      </c>
      <c r="AF1361" t="s">
        <v>74</v>
      </c>
      <c r="AG1361">
        <v>51</v>
      </c>
      <c r="AH1361">
        <v>0</v>
      </c>
      <c r="AI1361">
        <v>0</v>
      </c>
      <c r="AJ1361">
        <v>2</v>
      </c>
      <c r="AK1361">
        <v>2</v>
      </c>
      <c r="AL1361" t="s">
        <v>638</v>
      </c>
      <c r="AM1361" t="s">
        <v>639</v>
      </c>
      <c r="AN1361" t="s">
        <v>640</v>
      </c>
      <c r="AO1361" t="s">
        <v>8260</v>
      </c>
      <c r="AP1361" t="s">
        <v>74</v>
      </c>
      <c r="AQ1361" t="s">
        <v>8261</v>
      </c>
      <c r="AR1361" t="s">
        <v>8262</v>
      </c>
      <c r="AS1361" t="s">
        <v>74</v>
      </c>
      <c r="AT1361" t="s">
        <v>74</v>
      </c>
      <c r="AU1361">
        <v>2023</v>
      </c>
      <c r="AV1361" t="s">
        <v>74</v>
      </c>
      <c r="AW1361" t="s">
        <v>74</v>
      </c>
      <c r="AX1361" t="s">
        <v>74</v>
      </c>
      <c r="AY1361" t="s">
        <v>74</v>
      </c>
      <c r="AZ1361" t="s">
        <v>74</v>
      </c>
      <c r="BA1361" t="s">
        <v>74</v>
      </c>
      <c r="BB1361">
        <v>962</v>
      </c>
      <c r="BC1361">
        <v>971</v>
      </c>
      <c r="BD1361" t="s">
        <v>74</v>
      </c>
      <c r="BE1361" t="s">
        <v>24868</v>
      </c>
      <c r="BF1361" t="str">
        <f>HYPERLINK("http://dx.doi.org/10.1109/CVPR52729.2023.00099","http://dx.doi.org/10.1109/CVPR52729.2023.00099")</f>
        <v>http://dx.doi.org/10.1109/CVPR52729.2023.00099</v>
      </c>
      <c r="BG1361" t="s">
        <v>74</v>
      </c>
      <c r="BH1361" t="s">
        <v>74</v>
      </c>
      <c r="BI1361">
        <v>10</v>
      </c>
      <c r="BJ1361" t="s">
        <v>10109</v>
      </c>
      <c r="BK1361" t="s">
        <v>98</v>
      </c>
      <c r="BL1361" t="s">
        <v>99</v>
      </c>
      <c r="BM1361" t="s">
        <v>10110</v>
      </c>
      <c r="BN1361" t="s">
        <v>74</v>
      </c>
      <c r="BO1361" t="s">
        <v>646</v>
      </c>
      <c r="BP1361" t="s">
        <v>74</v>
      </c>
      <c r="BQ1361" t="s">
        <v>74</v>
      </c>
      <c r="BR1361" t="s">
        <v>101</v>
      </c>
      <c r="BS1361" t="s">
        <v>24869</v>
      </c>
      <c r="BT1361" t="str">
        <f>HYPERLINK("https%3A%2F%2Fwww.webofscience.com%2Fwos%2Fwoscc%2Ffull-record%2FWOS:001058542601026","View Full Record in Web of Science")</f>
        <v>View Full Record in Web of Science</v>
      </c>
    </row>
    <row r="1362" spans="1:72" x14ac:dyDescent="0.2">
      <c r="A1362" t="s">
        <v>103</v>
      </c>
      <c r="B1362" t="s">
        <v>24870</v>
      </c>
      <c r="C1362" t="s">
        <v>74</v>
      </c>
      <c r="D1362" t="s">
        <v>74</v>
      </c>
      <c r="E1362" t="s">
        <v>74</v>
      </c>
      <c r="F1362" t="s">
        <v>24871</v>
      </c>
      <c r="G1362" t="s">
        <v>74</v>
      </c>
      <c r="H1362" t="s">
        <v>74</v>
      </c>
      <c r="I1362" t="s">
        <v>24872</v>
      </c>
      <c r="J1362" t="s">
        <v>24873</v>
      </c>
      <c r="K1362" t="s">
        <v>74</v>
      </c>
      <c r="L1362" t="s">
        <v>74</v>
      </c>
      <c r="M1362" t="s">
        <v>79</v>
      </c>
      <c r="N1362" t="s">
        <v>108</v>
      </c>
      <c r="O1362" t="s">
        <v>74</v>
      </c>
      <c r="P1362" t="s">
        <v>74</v>
      </c>
      <c r="Q1362" t="s">
        <v>74</v>
      </c>
      <c r="R1362" t="s">
        <v>74</v>
      </c>
      <c r="S1362" t="s">
        <v>74</v>
      </c>
      <c r="T1362" t="s">
        <v>24874</v>
      </c>
      <c r="U1362" t="s">
        <v>11395</v>
      </c>
      <c r="V1362" t="s">
        <v>24875</v>
      </c>
      <c r="W1362" t="s">
        <v>24876</v>
      </c>
      <c r="X1362" t="s">
        <v>24877</v>
      </c>
      <c r="Y1362" t="s">
        <v>24878</v>
      </c>
      <c r="Z1362" t="s">
        <v>24879</v>
      </c>
      <c r="AA1362" t="s">
        <v>24880</v>
      </c>
      <c r="AB1362" t="s">
        <v>24881</v>
      </c>
      <c r="AC1362" t="s">
        <v>24882</v>
      </c>
      <c r="AD1362" t="s">
        <v>24883</v>
      </c>
      <c r="AE1362" t="s">
        <v>24884</v>
      </c>
      <c r="AF1362" t="s">
        <v>74</v>
      </c>
      <c r="AG1362">
        <v>41</v>
      </c>
      <c r="AH1362">
        <v>0</v>
      </c>
      <c r="AI1362">
        <v>0</v>
      </c>
      <c r="AJ1362">
        <v>4</v>
      </c>
      <c r="AK1362">
        <v>4</v>
      </c>
      <c r="AL1362" t="s">
        <v>764</v>
      </c>
      <c r="AM1362" t="s">
        <v>765</v>
      </c>
      <c r="AN1362" t="s">
        <v>766</v>
      </c>
      <c r="AO1362" t="s">
        <v>24885</v>
      </c>
      <c r="AP1362" t="s">
        <v>74</v>
      </c>
      <c r="AQ1362" t="s">
        <v>74</v>
      </c>
      <c r="AR1362" t="s">
        <v>24886</v>
      </c>
      <c r="AS1362" t="s">
        <v>24887</v>
      </c>
      <c r="AT1362" t="s">
        <v>251</v>
      </c>
      <c r="AU1362">
        <v>2023</v>
      </c>
      <c r="AV1362">
        <v>25</v>
      </c>
      <c r="AW1362" t="s">
        <v>74</v>
      </c>
      <c r="AX1362" t="s">
        <v>74</v>
      </c>
      <c r="AY1362" t="s">
        <v>74</v>
      </c>
      <c r="AZ1362" t="s">
        <v>74</v>
      </c>
      <c r="BA1362" t="s">
        <v>74</v>
      </c>
      <c r="BB1362" t="s">
        <v>74</v>
      </c>
      <c r="BC1362" t="s">
        <v>74</v>
      </c>
      <c r="BD1362">
        <v>100261</v>
      </c>
      <c r="BE1362" t="s">
        <v>24888</v>
      </c>
      <c r="BF1362" t="str">
        <f>HYPERLINK("http://dx.doi.org/10.1016/j.comtox.2023.100261","http://dx.doi.org/10.1016/j.comtox.2023.100261")</f>
        <v>http://dx.doi.org/10.1016/j.comtox.2023.100261</v>
      </c>
      <c r="BG1362" t="s">
        <v>74</v>
      </c>
      <c r="BH1362" t="s">
        <v>7345</v>
      </c>
      <c r="BI1362">
        <v>9</v>
      </c>
      <c r="BJ1362" t="s">
        <v>24889</v>
      </c>
      <c r="BK1362" t="s">
        <v>352</v>
      </c>
      <c r="BL1362" t="s">
        <v>24889</v>
      </c>
      <c r="BM1362" t="s">
        <v>24890</v>
      </c>
      <c r="BN1362">
        <v>37829618</v>
      </c>
      <c r="BO1362" t="s">
        <v>24891</v>
      </c>
      <c r="BP1362" t="s">
        <v>74</v>
      </c>
      <c r="BQ1362" t="s">
        <v>74</v>
      </c>
      <c r="BR1362" t="s">
        <v>101</v>
      </c>
      <c r="BS1362" t="s">
        <v>24892</v>
      </c>
      <c r="BT1362" t="str">
        <f>HYPERLINK("https%3A%2F%2Fwww.webofscience.com%2Fwos%2Fwoscc%2Ffull-record%2FWOS:001084459000001","View Full Record in Web of Science")</f>
        <v>View Full Record in Web of Science</v>
      </c>
    </row>
    <row r="1363" spans="1:72" x14ac:dyDescent="0.2">
      <c r="A1363" t="s">
        <v>72</v>
      </c>
      <c r="B1363" t="s">
        <v>24893</v>
      </c>
      <c r="C1363" t="s">
        <v>74</v>
      </c>
      <c r="D1363" t="s">
        <v>9734</v>
      </c>
      <c r="E1363" t="s">
        <v>74</v>
      </c>
      <c r="F1363" t="s">
        <v>24894</v>
      </c>
      <c r="G1363" t="s">
        <v>74</v>
      </c>
      <c r="H1363" t="s">
        <v>74</v>
      </c>
      <c r="I1363" t="s">
        <v>24895</v>
      </c>
      <c r="J1363" t="s">
        <v>9737</v>
      </c>
      <c r="K1363" t="s">
        <v>9738</v>
      </c>
      <c r="L1363" t="s">
        <v>74</v>
      </c>
      <c r="M1363" t="s">
        <v>79</v>
      </c>
      <c r="N1363" t="s">
        <v>80</v>
      </c>
      <c r="O1363" t="s">
        <v>9739</v>
      </c>
      <c r="P1363" t="s">
        <v>9740</v>
      </c>
      <c r="Q1363" t="s">
        <v>8568</v>
      </c>
      <c r="R1363" t="s">
        <v>74</v>
      </c>
      <c r="S1363" t="s">
        <v>74</v>
      </c>
      <c r="T1363" t="s">
        <v>24896</v>
      </c>
      <c r="U1363" t="s">
        <v>74</v>
      </c>
      <c r="V1363" t="s">
        <v>24897</v>
      </c>
      <c r="W1363" t="s">
        <v>24898</v>
      </c>
      <c r="X1363" t="s">
        <v>24899</v>
      </c>
      <c r="Y1363" t="s">
        <v>24900</v>
      </c>
      <c r="Z1363" t="s">
        <v>24901</v>
      </c>
      <c r="AA1363" t="s">
        <v>74</v>
      </c>
      <c r="AB1363" t="s">
        <v>74</v>
      </c>
      <c r="AC1363" t="s">
        <v>74</v>
      </c>
      <c r="AD1363" t="s">
        <v>74</v>
      </c>
      <c r="AE1363" t="s">
        <v>74</v>
      </c>
      <c r="AF1363" t="s">
        <v>74</v>
      </c>
      <c r="AG1363">
        <v>34</v>
      </c>
      <c r="AH1363">
        <v>1</v>
      </c>
      <c r="AI1363">
        <v>1</v>
      </c>
      <c r="AJ1363">
        <v>0</v>
      </c>
      <c r="AK1363">
        <v>0</v>
      </c>
      <c r="AL1363" t="s">
        <v>325</v>
      </c>
      <c r="AM1363" t="s">
        <v>245</v>
      </c>
      <c r="AN1363" t="s">
        <v>246</v>
      </c>
      <c r="AO1363" t="s">
        <v>9746</v>
      </c>
      <c r="AP1363" t="s">
        <v>9747</v>
      </c>
      <c r="AQ1363" t="s">
        <v>9748</v>
      </c>
      <c r="AR1363" t="s">
        <v>9749</v>
      </c>
      <c r="AS1363" t="s">
        <v>74</v>
      </c>
      <c r="AT1363" t="s">
        <v>74</v>
      </c>
      <c r="AU1363">
        <v>2023</v>
      </c>
      <c r="AV1363">
        <v>1721</v>
      </c>
      <c r="AW1363" t="s">
        <v>74</v>
      </c>
      <c r="AX1363" t="s">
        <v>74</v>
      </c>
      <c r="AY1363" t="s">
        <v>74</v>
      </c>
      <c r="AZ1363" t="s">
        <v>74</v>
      </c>
      <c r="BA1363" t="s">
        <v>74</v>
      </c>
      <c r="BB1363">
        <v>75</v>
      </c>
      <c r="BC1363">
        <v>98</v>
      </c>
      <c r="BD1363" t="s">
        <v>74</v>
      </c>
      <c r="BE1363" t="s">
        <v>24902</v>
      </c>
      <c r="BF1363" t="str">
        <f>HYPERLINK("http://dx.doi.org/10.1007/978-3-031-28719-0_6","http://dx.doi.org/10.1007/978-3-031-28719-0_6")</f>
        <v>http://dx.doi.org/10.1007/978-3-031-28719-0_6</v>
      </c>
      <c r="BG1363" t="s">
        <v>74</v>
      </c>
      <c r="BH1363" t="s">
        <v>74</v>
      </c>
      <c r="BI1363">
        <v>24</v>
      </c>
      <c r="BJ1363" t="s">
        <v>3012</v>
      </c>
      <c r="BK1363" t="s">
        <v>98</v>
      </c>
      <c r="BL1363" t="s">
        <v>99</v>
      </c>
      <c r="BM1363" t="s">
        <v>9751</v>
      </c>
      <c r="BN1363" t="s">
        <v>74</v>
      </c>
      <c r="BO1363" t="s">
        <v>646</v>
      </c>
      <c r="BP1363" t="s">
        <v>74</v>
      </c>
      <c r="BQ1363" t="s">
        <v>74</v>
      </c>
      <c r="BR1363" t="s">
        <v>101</v>
      </c>
      <c r="BS1363" t="s">
        <v>24903</v>
      </c>
      <c r="BT1363" t="str">
        <f>HYPERLINK("https%3A%2F%2Fwww.webofscience.com%2Fwos%2Fwoscc%2Ffull-record%2FWOS:001000556300006","View Full Record in Web of Science")</f>
        <v>View Full Record in Web of Science</v>
      </c>
    </row>
    <row r="1364" spans="1:72" x14ac:dyDescent="0.2">
      <c r="A1364" t="s">
        <v>103</v>
      </c>
      <c r="B1364" t="s">
        <v>24904</v>
      </c>
      <c r="C1364" t="s">
        <v>74</v>
      </c>
      <c r="D1364" t="s">
        <v>74</v>
      </c>
      <c r="E1364" t="s">
        <v>74</v>
      </c>
      <c r="F1364" t="s">
        <v>24905</v>
      </c>
      <c r="G1364" t="s">
        <v>74</v>
      </c>
      <c r="H1364" t="s">
        <v>74</v>
      </c>
      <c r="I1364" t="s">
        <v>24906</v>
      </c>
      <c r="J1364" t="s">
        <v>24907</v>
      </c>
      <c r="K1364" t="s">
        <v>74</v>
      </c>
      <c r="L1364" t="s">
        <v>74</v>
      </c>
      <c r="M1364" t="s">
        <v>79</v>
      </c>
      <c r="N1364" t="s">
        <v>108</v>
      </c>
      <c r="O1364" t="s">
        <v>74</v>
      </c>
      <c r="P1364" t="s">
        <v>74</v>
      </c>
      <c r="Q1364" t="s">
        <v>74</v>
      </c>
      <c r="R1364" t="s">
        <v>74</v>
      </c>
      <c r="S1364" t="s">
        <v>74</v>
      </c>
      <c r="T1364" t="s">
        <v>74</v>
      </c>
      <c r="U1364" t="s">
        <v>24908</v>
      </c>
      <c r="V1364" t="s">
        <v>24909</v>
      </c>
      <c r="W1364" t="s">
        <v>24910</v>
      </c>
      <c r="X1364" t="s">
        <v>24911</v>
      </c>
      <c r="Y1364" t="s">
        <v>24912</v>
      </c>
      <c r="Z1364" t="s">
        <v>24913</v>
      </c>
      <c r="AA1364" t="s">
        <v>24914</v>
      </c>
      <c r="AB1364" t="s">
        <v>24915</v>
      </c>
      <c r="AC1364" t="s">
        <v>74</v>
      </c>
      <c r="AD1364" t="s">
        <v>74</v>
      </c>
      <c r="AE1364" t="s">
        <v>74</v>
      </c>
      <c r="AF1364" t="s">
        <v>74</v>
      </c>
      <c r="AG1364">
        <v>107</v>
      </c>
      <c r="AH1364">
        <v>0</v>
      </c>
      <c r="AI1364">
        <v>0</v>
      </c>
      <c r="AJ1364">
        <v>6</v>
      </c>
      <c r="AK1364">
        <v>12</v>
      </c>
      <c r="AL1364" t="s">
        <v>3202</v>
      </c>
      <c r="AM1364" t="s">
        <v>120</v>
      </c>
      <c r="AN1364" t="s">
        <v>3203</v>
      </c>
      <c r="AO1364" t="s">
        <v>24916</v>
      </c>
      <c r="AP1364" t="s">
        <v>24917</v>
      </c>
      <c r="AQ1364" t="s">
        <v>74</v>
      </c>
      <c r="AR1364" t="s">
        <v>24918</v>
      </c>
      <c r="AS1364" t="s">
        <v>24919</v>
      </c>
      <c r="AT1364" t="s">
        <v>3875</v>
      </c>
      <c r="AU1364">
        <v>2023</v>
      </c>
      <c r="AV1364">
        <v>38</v>
      </c>
      <c r="AW1364">
        <v>2</v>
      </c>
      <c r="AX1364" t="s">
        <v>74</v>
      </c>
      <c r="AY1364" t="s">
        <v>74</v>
      </c>
      <c r="AZ1364" t="s">
        <v>74</v>
      </c>
      <c r="BA1364" t="s">
        <v>74</v>
      </c>
      <c r="BB1364">
        <v>720</v>
      </c>
      <c r="BC1364">
        <v>736</v>
      </c>
      <c r="BD1364" t="s">
        <v>74</v>
      </c>
      <c r="BE1364" t="s">
        <v>24920</v>
      </c>
      <c r="BF1364" t="str">
        <f>HYPERLINK("http://dx.doi.org/10.1093/llc/fqac094","http://dx.doi.org/10.1093/llc/fqac094")</f>
        <v>http://dx.doi.org/10.1093/llc/fqac094</v>
      </c>
      <c r="BG1364" t="s">
        <v>74</v>
      </c>
      <c r="BH1364" t="s">
        <v>7345</v>
      </c>
      <c r="BI1364">
        <v>17</v>
      </c>
      <c r="BJ1364" t="s">
        <v>24921</v>
      </c>
      <c r="BK1364" t="s">
        <v>530</v>
      </c>
      <c r="BL1364" t="s">
        <v>24922</v>
      </c>
      <c r="BM1364" t="s">
        <v>24923</v>
      </c>
      <c r="BN1364" t="s">
        <v>74</v>
      </c>
      <c r="BO1364" t="s">
        <v>1214</v>
      </c>
      <c r="BP1364" t="s">
        <v>74</v>
      </c>
      <c r="BQ1364" t="s">
        <v>74</v>
      </c>
      <c r="BR1364" t="s">
        <v>101</v>
      </c>
      <c r="BS1364" t="s">
        <v>24924</v>
      </c>
      <c r="BT1364" t="str">
        <f>HYPERLINK("https%3A%2F%2Fwww.webofscience.com%2Fwos%2Fwoscc%2Ffull-record%2FWOS:000905659800001","View Full Record in Web of Science")</f>
        <v>View Full Record in Web of Science</v>
      </c>
    </row>
    <row r="1365" spans="1:72" x14ac:dyDescent="0.2">
      <c r="A1365" t="s">
        <v>103</v>
      </c>
      <c r="B1365" t="s">
        <v>24925</v>
      </c>
      <c r="C1365" t="s">
        <v>74</v>
      </c>
      <c r="D1365" t="s">
        <v>74</v>
      </c>
      <c r="E1365" t="s">
        <v>74</v>
      </c>
      <c r="F1365" t="s">
        <v>24926</v>
      </c>
      <c r="G1365" t="s">
        <v>74</v>
      </c>
      <c r="H1365" t="s">
        <v>74</v>
      </c>
      <c r="I1365" t="s">
        <v>24927</v>
      </c>
      <c r="J1365" t="s">
        <v>24928</v>
      </c>
      <c r="K1365" t="s">
        <v>74</v>
      </c>
      <c r="L1365" t="s">
        <v>74</v>
      </c>
      <c r="M1365" t="s">
        <v>79</v>
      </c>
      <c r="N1365" t="s">
        <v>108</v>
      </c>
      <c r="O1365" t="s">
        <v>74</v>
      </c>
      <c r="P1365" t="s">
        <v>74</v>
      </c>
      <c r="Q1365" t="s">
        <v>74</v>
      </c>
      <c r="R1365" t="s">
        <v>74</v>
      </c>
      <c r="S1365" t="s">
        <v>74</v>
      </c>
      <c r="T1365" t="s">
        <v>24929</v>
      </c>
      <c r="U1365" t="s">
        <v>7522</v>
      </c>
      <c r="V1365" t="s">
        <v>24930</v>
      </c>
      <c r="W1365" t="s">
        <v>24931</v>
      </c>
      <c r="X1365" t="s">
        <v>13897</v>
      </c>
      <c r="Y1365" t="s">
        <v>24932</v>
      </c>
      <c r="Z1365" t="s">
        <v>24933</v>
      </c>
      <c r="AA1365" t="s">
        <v>24934</v>
      </c>
      <c r="AB1365" t="s">
        <v>24935</v>
      </c>
      <c r="AC1365" t="s">
        <v>24936</v>
      </c>
      <c r="AD1365" t="s">
        <v>8105</v>
      </c>
      <c r="AE1365" t="s">
        <v>24937</v>
      </c>
      <c r="AF1365" t="s">
        <v>74</v>
      </c>
      <c r="AG1365">
        <v>82</v>
      </c>
      <c r="AH1365">
        <v>1</v>
      </c>
      <c r="AI1365">
        <v>1</v>
      </c>
      <c r="AJ1365">
        <v>9</v>
      </c>
      <c r="AK1365">
        <v>13</v>
      </c>
      <c r="AL1365" t="s">
        <v>1379</v>
      </c>
      <c r="AM1365" t="s">
        <v>1380</v>
      </c>
      <c r="AN1365" t="s">
        <v>1381</v>
      </c>
      <c r="AO1365" t="s">
        <v>24938</v>
      </c>
      <c r="AP1365" t="s">
        <v>24939</v>
      </c>
      <c r="AQ1365" t="s">
        <v>74</v>
      </c>
      <c r="AR1365" t="s">
        <v>24940</v>
      </c>
      <c r="AS1365" t="s">
        <v>24941</v>
      </c>
      <c r="AT1365" t="s">
        <v>126</v>
      </c>
      <c r="AU1365">
        <v>2023</v>
      </c>
      <c r="AV1365">
        <v>33</v>
      </c>
      <c r="AW1365">
        <v>3</v>
      </c>
      <c r="AX1365" t="s">
        <v>74</v>
      </c>
      <c r="AY1365" t="s">
        <v>74</v>
      </c>
      <c r="AZ1365" t="s">
        <v>74</v>
      </c>
      <c r="BA1365" t="s">
        <v>74</v>
      </c>
      <c r="BB1365">
        <v>1262</v>
      </c>
      <c r="BC1365">
        <v>1275</v>
      </c>
      <c r="BD1365" t="s">
        <v>74</v>
      </c>
      <c r="BE1365" t="s">
        <v>24942</v>
      </c>
      <c r="BF1365" t="str">
        <f>HYPERLINK("http://dx.doi.org/10.1109/TCSVT.2022.3209160","http://dx.doi.org/10.1109/TCSVT.2022.3209160")</f>
        <v>http://dx.doi.org/10.1109/TCSVT.2022.3209160</v>
      </c>
      <c r="BG1365" t="s">
        <v>74</v>
      </c>
      <c r="BH1365" t="s">
        <v>74</v>
      </c>
      <c r="BI1365">
        <v>14</v>
      </c>
      <c r="BJ1365" t="s">
        <v>2822</v>
      </c>
      <c r="BK1365" t="s">
        <v>130</v>
      </c>
      <c r="BL1365" t="s">
        <v>2823</v>
      </c>
      <c r="BM1365" t="s">
        <v>24943</v>
      </c>
      <c r="BN1365" t="s">
        <v>74</v>
      </c>
      <c r="BO1365" t="s">
        <v>74</v>
      </c>
      <c r="BP1365" t="s">
        <v>74</v>
      </c>
      <c r="BQ1365" t="s">
        <v>74</v>
      </c>
      <c r="BR1365" t="s">
        <v>101</v>
      </c>
      <c r="BS1365" t="s">
        <v>24944</v>
      </c>
      <c r="BT1365" t="str">
        <f>HYPERLINK("https%3A%2F%2Fwww.webofscience.com%2Fwos%2Fwoscc%2Ffull-record%2FWOS:000965270200001","View Full Record in Web of Science")</f>
        <v>View Full Record in Web of Science</v>
      </c>
    </row>
    <row r="1366" spans="1:72" x14ac:dyDescent="0.2">
      <c r="A1366" t="s">
        <v>103</v>
      </c>
      <c r="B1366" t="s">
        <v>24945</v>
      </c>
      <c r="C1366" t="s">
        <v>74</v>
      </c>
      <c r="D1366" t="s">
        <v>74</v>
      </c>
      <c r="E1366" t="s">
        <v>74</v>
      </c>
      <c r="F1366" t="s">
        <v>24946</v>
      </c>
      <c r="G1366" t="s">
        <v>74</v>
      </c>
      <c r="H1366" t="s">
        <v>74</v>
      </c>
      <c r="I1366" t="s">
        <v>24947</v>
      </c>
      <c r="J1366" t="s">
        <v>16112</v>
      </c>
      <c r="K1366" t="s">
        <v>74</v>
      </c>
      <c r="L1366" t="s">
        <v>74</v>
      </c>
      <c r="M1366" t="s">
        <v>79</v>
      </c>
      <c r="N1366" t="s">
        <v>108</v>
      </c>
      <c r="O1366" t="s">
        <v>74</v>
      </c>
      <c r="P1366" t="s">
        <v>74</v>
      </c>
      <c r="Q1366" t="s">
        <v>74</v>
      </c>
      <c r="R1366" t="s">
        <v>74</v>
      </c>
      <c r="S1366" t="s">
        <v>74</v>
      </c>
      <c r="T1366" t="s">
        <v>24948</v>
      </c>
      <c r="U1366" t="s">
        <v>24949</v>
      </c>
      <c r="V1366" t="s">
        <v>24950</v>
      </c>
      <c r="W1366" t="s">
        <v>24951</v>
      </c>
      <c r="X1366" t="s">
        <v>24952</v>
      </c>
      <c r="Y1366" t="s">
        <v>24953</v>
      </c>
      <c r="Z1366" t="s">
        <v>24954</v>
      </c>
      <c r="AA1366" t="s">
        <v>24955</v>
      </c>
      <c r="AB1366" t="s">
        <v>24956</v>
      </c>
      <c r="AC1366" t="s">
        <v>24957</v>
      </c>
      <c r="AD1366" t="s">
        <v>24958</v>
      </c>
      <c r="AE1366" t="s">
        <v>24959</v>
      </c>
      <c r="AF1366" t="s">
        <v>74</v>
      </c>
      <c r="AG1366">
        <v>38</v>
      </c>
      <c r="AH1366">
        <v>3</v>
      </c>
      <c r="AI1366">
        <v>3</v>
      </c>
      <c r="AJ1366">
        <v>5</v>
      </c>
      <c r="AK1366">
        <v>11</v>
      </c>
      <c r="AL1366" t="s">
        <v>1379</v>
      </c>
      <c r="AM1366" t="s">
        <v>1380</v>
      </c>
      <c r="AN1366" t="s">
        <v>1381</v>
      </c>
      <c r="AO1366" t="s">
        <v>16125</v>
      </c>
      <c r="AP1366" t="s">
        <v>16126</v>
      </c>
      <c r="AQ1366" t="s">
        <v>74</v>
      </c>
      <c r="AR1366" t="s">
        <v>16127</v>
      </c>
      <c r="AS1366" t="s">
        <v>16128</v>
      </c>
      <c r="AT1366" t="s">
        <v>126</v>
      </c>
      <c r="AU1366">
        <v>2023</v>
      </c>
      <c r="AV1366">
        <v>42</v>
      </c>
      <c r="AW1366">
        <v>3</v>
      </c>
      <c r="AX1366" t="s">
        <v>74</v>
      </c>
      <c r="AY1366" t="s">
        <v>74</v>
      </c>
      <c r="AZ1366" t="s">
        <v>74</v>
      </c>
      <c r="BA1366" t="s">
        <v>74</v>
      </c>
      <c r="BB1366">
        <v>762</v>
      </c>
      <c r="BC1366">
        <v>773</v>
      </c>
      <c r="BD1366" t="s">
        <v>74</v>
      </c>
      <c r="BE1366" t="s">
        <v>24960</v>
      </c>
      <c r="BF1366" t="str">
        <f>HYPERLINK("http://dx.doi.org/10.1109/TMI.2022.3218074","http://dx.doi.org/10.1109/TMI.2022.3218074")</f>
        <v>http://dx.doi.org/10.1109/TMI.2022.3218074</v>
      </c>
      <c r="BG1366" t="s">
        <v>74</v>
      </c>
      <c r="BH1366" t="s">
        <v>74</v>
      </c>
      <c r="BI1366">
        <v>12</v>
      </c>
      <c r="BJ1366" t="s">
        <v>16130</v>
      </c>
      <c r="BK1366" t="s">
        <v>130</v>
      </c>
      <c r="BL1366" t="s">
        <v>16131</v>
      </c>
      <c r="BM1366" t="s">
        <v>24961</v>
      </c>
      <c r="BN1366">
        <v>36306311</v>
      </c>
      <c r="BO1366" t="s">
        <v>74</v>
      </c>
      <c r="BP1366" t="s">
        <v>74</v>
      </c>
      <c r="BQ1366" t="s">
        <v>74</v>
      </c>
      <c r="BR1366" t="s">
        <v>101</v>
      </c>
      <c r="BS1366" t="s">
        <v>24962</v>
      </c>
      <c r="BT1366" t="str">
        <f>HYPERLINK("https%3A%2F%2Fwww.webofscience.com%2Fwos%2Fwoscc%2Ffull-record%2FWOS:000971629600016","View Full Record in Web of Science")</f>
        <v>View Full Record in Web of Science</v>
      </c>
    </row>
    <row r="1367" spans="1:72" x14ac:dyDescent="0.2">
      <c r="A1367" t="s">
        <v>72</v>
      </c>
      <c r="B1367" t="s">
        <v>24963</v>
      </c>
      <c r="C1367" t="s">
        <v>74</v>
      </c>
      <c r="D1367" t="s">
        <v>74</v>
      </c>
      <c r="E1367" t="s">
        <v>284</v>
      </c>
      <c r="F1367" t="s">
        <v>24964</v>
      </c>
      <c r="G1367" t="s">
        <v>74</v>
      </c>
      <c r="H1367" t="s">
        <v>74</v>
      </c>
      <c r="I1367" t="s">
        <v>24965</v>
      </c>
      <c r="J1367" t="s">
        <v>11081</v>
      </c>
      <c r="K1367" t="s">
        <v>11082</v>
      </c>
      <c r="L1367" t="s">
        <v>74</v>
      </c>
      <c r="M1367" t="s">
        <v>79</v>
      </c>
      <c r="N1367" t="s">
        <v>80</v>
      </c>
      <c r="O1367" t="s">
        <v>11083</v>
      </c>
      <c r="P1367" t="s">
        <v>11084</v>
      </c>
      <c r="Q1367" t="s">
        <v>11085</v>
      </c>
      <c r="R1367" t="s">
        <v>11086</v>
      </c>
      <c r="S1367" t="s">
        <v>74</v>
      </c>
      <c r="T1367" t="s">
        <v>74</v>
      </c>
      <c r="U1367" t="s">
        <v>74</v>
      </c>
      <c r="V1367" t="s">
        <v>24966</v>
      </c>
      <c r="W1367" t="s">
        <v>24967</v>
      </c>
      <c r="X1367" t="s">
        <v>24968</v>
      </c>
      <c r="Y1367" t="s">
        <v>24969</v>
      </c>
      <c r="Z1367" t="s">
        <v>24970</v>
      </c>
      <c r="AA1367" t="s">
        <v>74</v>
      </c>
      <c r="AB1367" t="s">
        <v>74</v>
      </c>
      <c r="AC1367" t="s">
        <v>74</v>
      </c>
      <c r="AD1367" t="s">
        <v>74</v>
      </c>
      <c r="AE1367" t="s">
        <v>74</v>
      </c>
      <c r="AF1367" t="s">
        <v>74</v>
      </c>
      <c r="AG1367">
        <v>80</v>
      </c>
      <c r="AH1367">
        <v>0</v>
      </c>
      <c r="AI1367">
        <v>0</v>
      </c>
      <c r="AJ1367">
        <v>0</v>
      </c>
      <c r="AK1367">
        <v>0</v>
      </c>
      <c r="AL1367" t="s">
        <v>638</v>
      </c>
      <c r="AM1367" t="s">
        <v>639</v>
      </c>
      <c r="AN1367" t="s">
        <v>640</v>
      </c>
      <c r="AO1367" t="s">
        <v>11091</v>
      </c>
      <c r="AP1367" t="s">
        <v>74</v>
      </c>
      <c r="AQ1367" t="s">
        <v>11092</v>
      </c>
      <c r="AR1367" t="s">
        <v>11093</v>
      </c>
      <c r="AS1367" t="s">
        <v>74</v>
      </c>
      <c r="AT1367" t="s">
        <v>74</v>
      </c>
      <c r="AU1367">
        <v>2023</v>
      </c>
      <c r="AV1367" t="s">
        <v>74</v>
      </c>
      <c r="AW1367" t="s">
        <v>74</v>
      </c>
      <c r="AX1367" t="s">
        <v>74</v>
      </c>
      <c r="AY1367" t="s">
        <v>74</v>
      </c>
      <c r="AZ1367" t="s">
        <v>74</v>
      </c>
      <c r="BA1367" t="s">
        <v>74</v>
      </c>
      <c r="BB1367">
        <v>139</v>
      </c>
      <c r="BC1367">
        <v>148</v>
      </c>
      <c r="BD1367" t="s">
        <v>74</v>
      </c>
      <c r="BE1367" t="s">
        <v>24971</v>
      </c>
      <c r="BF1367" t="str">
        <f>HYPERLINK("http://dx.doi.org/10.1109/ICCVW60793.2023.00021","http://dx.doi.org/10.1109/ICCVW60793.2023.00021")</f>
        <v>http://dx.doi.org/10.1109/ICCVW60793.2023.00021</v>
      </c>
      <c r="BG1367" t="s">
        <v>74</v>
      </c>
      <c r="BH1367" t="s">
        <v>74</v>
      </c>
      <c r="BI1367">
        <v>10</v>
      </c>
      <c r="BJ1367" t="s">
        <v>11095</v>
      </c>
      <c r="BK1367" t="s">
        <v>98</v>
      </c>
      <c r="BL1367" t="s">
        <v>2179</v>
      </c>
      <c r="BM1367" t="s">
        <v>11096</v>
      </c>
      <c r="BN1367" t="s">
        <v>74</v>
      </c>
      <c r="BO1367" t="s">
        <v>646</v>
      </c>
      <c r="BP1367" t="s">
        <v>74</v>
      </c>
      <c r="BQ1367" t="s">
        <v>74</v>
      </c>
      <c r="BR1367" t="s">
        <v>101</v>
      </c>
      <c r="BS1367" t="s">
        <v>24972</v>
      </c>
      <c r="BT1367" t="str">
        <f>HYPERLINK("https%3A%2F%2Fwww.webofscience.com%2Fwos%2Fwoscc%2Ffull-record%2FWOS:001156680300015","View Full Record in Web of Science")</f>
        <v>View Full Record in Web of Science</v>
      </c>
    </row>
    <row r="1368" spans="1:72" x14ac:dyDescent="0.2">
      <c r="A1368" t="s">
        <v>72</v>
      </c>
      <c r="B1368" t="s">
        <v>24973</v>
      </c>
      <c r="C1368" t="s">
        <v>74</v>
      </c>
      <c r="D1368" t="s">
        <v>74</v>
      </c>
      <c r="E1368" t="s">
        <v>284</v>
      </c>
      <c r="F1368" t="s">
        <v>24974</v>
      </c>
      <c r="G1368" t="s">
        <v>74</v>
      </c>
      <c r="H1368" t="s">
        <v>74</v>
      </c>
      <c r="I1368" t="s">
        <v>24975</v>
      </c>
      <c r="J1368" t="s">
        <v>24976</v>
      </c>
      <c r="K1368" t="s">
        <v>21628</v>
      </c>
      <c r="L1368" t="s">
        <v>74</v>
      </c>
      <c r="M1368" t="s">
        <v>79</v>
      </c>
      <c r="N1368" t="s">
        <v>80</v>
      </c>
      <c r="O1368" t="s">
        <v>21629</v>
      </c>
      <c r="P1368" t="s">
        <v>21630</v>
      </c>
      <c r="Q1368" t="s">
        <v>3660</v>
      </c>
      <c r="R1368" t="s">
        <v>21631</v>
      </c>
      <c r="S1368" t="s">
        <v>74</v>
      </c>
      <c r="T1368" t="s">
        <v>74</v>
      </c>
      <c r="U1368" t="s">
        <v>74</v>
      </c>
      <c r="V1368" t="s">
        <v>24977</v>
      </c>
      <c r="W1368" t="s">
        <v>24978</v>
      </c>
      <c r="X1368" t="s">
        <v>24979</v>
      </c>
      <c r="Y1368" t="s">
        <v>24980</v>
      </c>
      <c r="Z1368" t="s">
        <v>24981</v>
      </c>
      <c r="AA1368" t="s">
        <v>24982</v>
      </c>
      <c r="AB1368" t="s">
        <v>74</v>
      </c>
      <c r="AC1368" t="s">
        <v>24983</v>
      </c>
      <c r="AD1368" t="s">
        <v>24984</v>
      </c>
      <c r="AE1368" t="s">
        <v>24985</v>
      </c>
      <c r="AF1368" t="s">
        <v>74</v>
      </c>
      <c r="AG1368">
        <v>44</v>
      </c>
      <c r="AH1368">
        <v>0</v>
      </c>
      <c r="AI1368">
        <v>0</v>
      </c>
      <c r="AJ1368">
        <v>2</v>
      </c>
      <c r="AK1368">
        <v>2</v>
      </c>
      <c r="AL1368" t="s">
        <v>284</v>
      </c>
      <c r="AM1368" t="s">
        <v>93</v>
      </c>
      <c r="AN1368" t="s">
        <v>299</v>
      </c>
      <c r="AO1368" t="s">
        <v>21641</v>
      </c>
      <c r="AP1368" t="s">
        <v>21642</v>
      </c>
      <c r="AQ1368" t="s">
        <v>21643</v>
      </c>
      <c r="AR1368" t="s">
        <v>21644</v>
      </c>
      <c r="AS1368" t="s">
        <v>74</v>
      </c>
      <c r="AT1368" t="s">
        <v>74</v>
      </c>
      <c r="AU1368">
        <v>2023</v>
      </c>
      <c r="AV1368" t="s">
        <v>74</v>
      </c>
      <c r="AW1368" t="s">
        <v>74</v>
      </c>
      <c r="AX1368" t="s">
        <v>74</v>
      </c>
      <c r="AY1368" t="s">
        <v>74</v>
      </c>
      <c r="AZ1368" t="s">
        <v>74</v>
      </c>
      <c r="BA1368" t="s">
        <v>74</v>
      </c>
      <c r="BB1368">
        <v>7279</v>
      </c>
      <c r="BC1368">
        <v>7286</v>
      </c>
      <c r="BD1368" t="s">
        <v>74</v>
      </c>
      <c r="BE1368" t="s">
        <v>24986</v>
      </c>
      <c r="BF1368" t="str">
        <f>HYPERLINK("http://dx.doi.org/10.1109/ICRA48891.2023.10161371","http://dx.doi.org/10.1109/ICRA48891.2023.10161371")</f>
        <v>http://dx.doi.org/10.1109/ICRA48891.2023.10161371</v>
      </c>
      <c r="BG1368" t="s">
        <v>74</v>
      </c>
      <c r="BH1368" t="s">
        <v>74</v>
      </c>
      <c r="BI1368">
        <v>8</v>
      </c>
      <c r="BJ1368" t="s">
        <v>21646</v>
      </c>
      <c r="BK1368" t="s">
        <v>98</v>
      </c>
      <c r="BL1368" t="s">
        <v>21647</v>
      </c>
      <c r="BM1368" t="s">
        <v>24987</v>
      </c>
      <c r="BN1368" t="s">
        <v>74</v>
      </c>
      <c r="BO1368" t="s">
        <v>646</v>
      </c>
      <c r="BP1368" t="s">
        <v>74</v>
      </c>
      <c r="BQ1368" t="s">
        <v>74</v>
      </c>
      <c r="BR1368" t="s">
        <v>101</v>
      </c>
      <c r="BS1368" t="s">
        <v>24988</v>
      </c>
      <c r="BT1368" t="str">
        <f>HYPERLINK("https%3A%2F%2Fwww.webofscience.com%2Fwos%2Fwoscc%2Ffull-record%2FWOS:001048371100039","View Full Record in Web of Science")</f>
        <v>View Full Record in Web of Science</v>
      </c>
    </row>
    <row r="1369" spans="1:72" x14ac:dyDescent="0.2">
      <c r="A1369" t="s">
        <v>103</v>
      </c>
      <c r="B1369" t="s">
        <v>24989</v>
      </c>
      <c r="C1369" t="s">
        <v>74</v>
      </c>
      <c r="D1369" t="s">
        <v>74</v>
      </c>
      <c r="E1369" t="s">
        <v>74</v>
      </c>
      <c r="F1369" t="s">
        <v>24990</v>
      </c>
      <c r="G1369" t="s">
        <v>74</v>
      </c>
      <c r="H1369" t="s">
        <v>74</v>
      </c>
      <c r="I1369" t="s">
        <v>24991</v>
      </c>
      <c r="J1369" t="s">
        <v>24992</v>
      </c>
      <c r="K1369" t="s">
        <v>74</v>
      </c>
      <c r="L1369" t="s">
        <v>74</v>
      </c>
      <c r="M1369" t="s">
        <v>79</v>
      </c>
      <c r="N1369" t="s">
        <v>108</v>
      </c>
      <c r="O1369" t="s">
        <v>74</v>
      </c>
      <c r="P1369" t="s">
        <v>74</v>
      </c>
      <c r="Q1369" t="s">
        <v>74</v>
      </c>
      <c r="R1369" t="s">
        <v>74</v>
      </c>
      <c r="S1369" t="s">
        <v>74</v>
      </c>
      <c r="T1369" t="s">
        <v>24993</v>
      </c>
      <c r="U1369" t="s">
        <v>74</v>
      </c>
      <c r="V1369" t="s">
        <v>24994</v>
      </c>
      <c r="W1369" t="s">
        <v>24995</v>
      </c>
      <c r="X1369" t="s">
        <v>12799</v>
      </c>
      <c r="Y1369" t="s">
        <v>24996</v>
      </c>
      <c r="Z1369" t="s">
        <v>24997</v>
      </c>
      <c r="AA1369" t="s">
        <v>74</v>
      </c>
      <c r="AB1369" t="s">
        <v>74</v>
      </c>
      <c r="AC1369" t="s">
        <v>24998</v>
      </c>
      <c r="AD1369" t="s">
        <v>24999</v>
      </c>
      <c r="AE1369" t="s">
        <v>25000</v>
      </c>
      <c r="AF1369" t="s">
        <v>74</v>
      </c>
      <c r="AG1369">
        <v>37</v>
      </c>
      <c r="AH1369">
        <v>0</v>
      </c>
      <c r="AI1369">
        <v>0</v>
      </c>
      <c r="AJ1369">
        <v>2</v>
      </c>
      <c r="AK1369">
        <v>3</v>
      </c>
      <c r="AL1369" t="s">
        <v>2492</v>
      </c>
      <c r="AM1369" t="s">
        <v>461</v>
      </c>
      <c r="AN1369" t="s">
        <v>2493</v>
      </c>
      <c r="AO1369" t="s">
        <v>25001</v>
      </c>
      <c r="AP1369" t="s">
        <v>74</v>
      </c>
      <c r="AQ1369" t="s">
        <v>74</v>
      </c>
      <c r="AR1369" t="s">
        <v>25002</v>
      </c>
      <c r="AS1369" t="s">
        <v>25003</v>
      </c>
      <c r="AT1369" t="s">
        <v>21395</v>
      </c>
      <c r="AU1369">
        <v>2023</v>
      </c>
      <c r="AV1369">
        <v>10</v>
      </c>
      <c r="AW1369" t="s">
        <v>74</v>
      </c>
      <c r="AX1369" t="s">
        <v>74</v>
      </c>
      <c r="AY1369" t="s">
        <v>74</v>
      </c>
      <c r="AZ1369" t="s">
        <v>74</v>
      </c>
      <c r="BA1369" t="s">
        <v>74</v>
      </c>
      <c r="BB1369" t="s">
        <v>74</v>
      </c>
      <c r="BC1369" t="s">
        <v>74</v>
      </c>
      <c r="BD1369">
        <v>1151303</v>
      </c>
      <c r="BE1369" t="s">
        <v>25004</v>
      </c>
      <c r="BF1369" t="str">
        <f>HYPERLINK("http://dx.doi.org/10.3389/frobt.2023.1151303","http://dx.doi.org/10.3389/frobt.2023.1151303")</f>
        <v>http://dx.doi.org/10.3389/frobt.2023.1151303</v>
      </c>
      <c r="BG1369" t="s">
        <v>74</v>
      </c>
      <c r="BH1369" t="s">
        <v>74</v>
      </c>
      <c r="BI1369">
        <v>14</v>
      </c>
      <c r="BJ1369" t="s">
        <v>18080</v>
      </c>
      <c r="BK1369" t="s">
        <v>352</v>
      </c>
      <c r="BL1369" t="s">
        <v>18080</v>
      </c>
      <c r="BM1369" t="s">
        <v>25005</v>
      </c>
      <c r="BN1369">
        <v>37275214</v>
      </c>
      <c r="BO1369" t="s">
        <v>12573</v>
      </c>
      <c r="BP1369" t="s">
        <v>74</v>
      </c>
      <c r="BQ1369" t="s">
        <v>74</v>
      </c>
      <c r="BR1369" t="s">
        <v>101</v>
      </c>
      <c r="BS1369" t="s">
        <v>25006</v>
      </c>
      <c r="BT1369" t="str">
        <f>HYPERLINK("https%3A%2F%2Fwww.webofscience.com%2Fwos%2Fwoscc%2Ffull-record%2FWOS:001013695800001","View Full Record in Web of Science")</f>
        <v>View Full Record in Web of Science</v>
      </c>
    </row>
    <row r="1370" spans="1:72" x14ac:dyDescent="0.2">
      <c r="A1370" t="s">
        <v>103</v>
      </c>
      <c r="B1370" t="s">
        <v>25007</v>
      </c>
      <c r="C1370" t="s">
        <v>74</v>
      </c>
      <c r="D1370" t="s">
        <v>74</v>
      </c>
      <c r="E1370" t="s">
        <v>74</v>
      </c>
      <c r="F1370" t="s">
        <v>25008</v>
      </c>
      <c r="G1370" t="s">
        <v>74</v>
      </c>
      <c r="H1370" t="s">
        <v>74</v>
      </c>
      <c r="I1370" t="s">
        <v>25009</v>
      </c>
      <c r="J1370" t="s">
        <v>25010</v>
      </c>
      <c r="K1370" t="s">
        <v>74</v>
      </c>
      <c r="L1370" t="s">
        <v>74</v>
      </c>
      <c r="M1370" t="s">
        <v>79</v>
      </c>
      <c r="N1370" t="s">
        <v>108</v>
      </c>
      <c r="O1370" t="s">
        <v>74</v>
      </c>
      <c r="P1370" t="s">
        <v>74</v>
      </c>
      <c r="Q1370" t="s">
        <v>74</v>
      </c>
      <c r="R1370" t="s">
        <v>74</v>
      </c>
      <c r="S1370" t="s">
        <v>74</v>
      </c>
      <c r="T1370" t="s">
        <v>25011</v>
      </c>
      <c r="U1370" t="s">
        <v>74</v>
      </c>
      <c r="V1370" t="s">
        <v>25012</v>
      </c>
      <c r="W1370" t="s">
        <v>25013</v>
      </c>
      <c r="X1370" t="s">
        <v>25014</v>
      </c>
      <c r="Y1370" t="s">
        <v>25015</v>
      </c>
      <c r="Z1370" t="s">
        <v>25016</v>
      </c>
      <c r="AA1370" t="s">
        <v>25017</v>
      </c>
      <c r="AB1370" t="s">
        <v>25018</v>
      </c>
      <c r="AC1370" t="s">
        <v>74</v>
      </c>
      <c r="AD1370" t="s">
        <v>74</v>
      </c>
      <c r="AE1370" t="s">
        <v>74</v>
      </c>
      <c r="AF1370" t="s">
        <v>74</v>
      </c>
      <c r="AG1370">
        <v>13</v>
      </c>
      <c r="AH1370">
        <v>3</v>
      </c>
      <c r="AI1370">
        <v>3</v>
      </c>
      <c r="AJ1370">
        <v>9</v>
      </c>
      <c r="AK1370">
        <v>9</v>
      </c>
      <c r="AL1370" t="s">
        <v>4176</v>
      </c>
      <c r="AM1370" t="s">
        <v>4177</v>
      </c>
      <c r="AN1370" t="s">
        <v>4178</v>
      </c>
      <c r="AO1370" t="s">
        <v>25019</v>
      </c>
      <c r="AP1370" t="s">
        <v>74</v>
      </c>
      <c r="AQ1370" t="s">
        <v>74</v>
      </c>
      <c r="AR1370" t="s">
        <v>25020</v>
      </c>
      <c r="AS1370" t="s">
        <v>25021</v>
      </c>
      <c r="AT1370" t="s">
        <v>74</v>
      </c>
      <c r="AU1370">
        <v>2023</v>
      </c>
      <c r="AV1370">
        <v>12</v>
      </c>
      <c r="AW1370" t="s">
        <v>74</v>
      </c>
      <c r="AX1370" t="s">
        <v>74</v>
      </c>
      <c r="AY1370" t="s">
        <v>74</v>
      </c>
      <c r="AZ1370" t="s">
        <v>74</v>
      </c>
      <c r="BA1370" t="s">
        <v>74</v>
      </c>
      <c r="BB1370" t="s">
        <v>74</v>
      </c>
      <c r="BC1370" t="s">
        <v>74</v>
      </c>
      <c r="BD1370" t="s">
        <v>25022</v>
      </c>
      <c r="BE1370" t="s">
        <v>25023</v>
      </c>
      <c r="BF1370" t="str">
        <f>HYPERLINK("http://dx.doi.org/10.2196/46900","http://dx.doi.org/10.2196/46900")</f>
        <v>http://dx.doi.org/10.2196/46900</v>
      </c>
      <c r="BG1370" t="s">
        <v>74</v>
      </c>
      <c r="BH1370" t="s">
        <v>74</v>
      </c>
      <c r="BI1370">
        <v>6</v>
      </c>
      <c r="BJ1370" t="s">
        <v>25024</v>
      </c>
      <c r="BK1370" t="s">
        <v>352</v>
      </c>
      <c r="BL1370" t="s">
        <v>25025</v>
      </c>
      <c r="BM1370" t="s">
        <v>25026</v>
      </c>
      <c r="BN1370">
        <v>37578819</v>
      </c>
      <c r="BO1370" t="s">
        <v>4185</v>
      </c>
      <c r="BP1370" t="s">
        <v>74</v>
      </c>
      <c r="BQ1370" t="s">
        <v>74</v>
      </c>
      <c r="BR1370" t="s">
        <v>101</v>
      </c>
      <c r="BS1370" t="s">
        <v>25027</v>
      </c>
      <c r="BT1370" t="str">
        <f>HYPERLINK("https%3A%2F%2Fwww.webofscience.com%2Fwos%2Fwoscc%2Ffull-record%2FWOS:001064691000001","View Full Record in Web of Science")</f>
        <v>View Full Record in Web of Science</v>
      </c>
    </row>
    <row r="1371" spans="1:72" x14ac:dyDescent="0.2">
      <c r="A1371" t="s">
        <v>72</v>
      </c>
      <c r="B1371" t="s">
        <v>25028</v>
      </c>
      <c r="C1371" t="s">
        <v>74</v>
      </c>
      <c r="D1371" t="s">
        <v>74</v>
      </c>
      <c r="E1371" t="s">
        <v>284</v>
      </c>
      <c r="F1371" t="s">
        <v>25029</v>
      </c>
      <c r="G1371" t="s">
        <v>74</v>
      </c>
      <c r="H1371" t="s">
        <v>74</v>
      </c>
      <c r="I1371" t="s">
        <v>25030</v>
      </c>
      <c r="J1371" t="s">
        <v>25031</v>
      </c>
      <c r="K1371" t="s">
        <v>74</v>
      </c>
      <c r="L1371" t="s">
        <v>74</v>
      </c>
      <c r="M1371" t="s">
        <v>79</v>
      </c>
      <c r="N1371" t="s">
        <v>80</v>
      </c>
      <c r="O1371" t="s">
        <v>25032</v>
      </c>
      <c r="P1371" t="s">
        <v>25033</v>
      </c>
      <c r="Q1371" t="s">
        <v>25034</v>
      </c>
      <c r="R1371" t="s">
        <v>25035</v>
      </c>
      <c r="S1371" t="s">
        <v>74</v>
      </c>
      <c r="T1371" t="s">
        <v>25036</v>
      </c>
      <c r="U1371" t="s">
        <v>74</v>
      </c>
      <c r="V1371" t="s">
        <v>25037</v>
      </c>
      <c r="W1371" t="s">
        <v>25038</v>
      </c>
      <c r="X1371" t="s">
        <v>24211</v>
      </c>
      <c r="Y1371" t="s">
        <v>25039</v>
      </c>
      <c r="Z1371" t="s">
        <v>74</v>
      </c>
      <c r="AA1371" t="s">
        <v>25040</v>
      </c>
      <c r="AB1371" t="s">
        <v>74</v>
      </c>
      <c r="AC1371" t="s">
        <v>25041</v>
      </c>
      <c r="AD1371" t="s">
        <v>25042</v>
      </c>
      <c r="AE1371" t="s">
        <v>25043</v>
      </c>
      <c r="AF1371" t="s">
        <v>74</v>
      </c>
      <c r="AG1371">
        <v>27</v>
      </c>
      <c r="AH1371">
        <v>0</v>
      </c>
      <c r="AI1371">
        <v>0</v>
      </c>
      <c r="AJ1371">
        <v>1</v>
      </c>
      <c r="AK1371">
        <v>1</v>
      </c>
      <c r="AL1371" t="s">
        <v>284</v>
      </c>
      <c r="AM1371" t="s">
        <v>93</v>
      </c>
      <c r="AN1371" t="s">
        <v>299</v>
      </c>
      <c r="AO1371" t="s">
        <v>74</v>
      </c>
      <c r="AP1371" t="s">
        <v>74</v>
      </c>
      <c r="AQ1371" t="s">
        <v>25044</v>
      </c>
      <c r="AR1371" t="s">
        <v>74</v>
      </c>
      <c r="AS1371" t="s">
        <v>74</v>
      </c>
      <c r="AT1371" t="s">
        <v>74</v>
      </c>
      <c r="AU1371">
        <v>2023</v>
      </c>
      <c r="AV1371" t="s">
        <v>74</v>
      </c>
      <c r="AW1371" t="s">
        <v>74</v>
      </c>
      <c r="AX1371" t="s">
        <v>74</v>
      </c>
      <c r="AY1371" t="s">
        <v>74</v>
      </c>
      <c r="AZ1371" t="s">
        <v>74</v>
      </c>
      <c r="BA1371" t="s">
        <v>74</v>
      </c>
      <c r="BB1371" t="s">
        <v>74</v>
      </c>
      <c r="BC1371" t="s">
        <v>74</v>
      </c>
      <c r="BD1371">
        <v>6993</v>
      </c>
      <c r="BE1371" t="s">
        <v>25045</v>
      </c>
      <c r="BF1371" t="str">
        <f>HYPERLINK("http://dx.doi.org/10.1109/ICASSPW59220.2023.10193157","http://dx.doi.org/10.1109/ICASSPW59220.2023.10193157")</f>
        <v>http://dx.doi.org/10.1109/ICASSPW59220.2023.10193157</v>
      </c>
      <c r="BG1371" t="s">
        <v>74</v>
      </c>
      <c r="BH1371" t="s">
        <v>74</v>
      </c>
      <c r="BI1371">
        <v>5</v>
      </c>
      <c r="BJ1371" t="s">
        <v>25046</v>
      </c>
      <c r="BK1371" t="s">
        <v>98</v>
      </c>
      <c r="BL1371" t="s">
        <v>25047</v>
      </c>
      <c r="BM1371" t="s">
        <v>25048</v>
      </c>
      <c r="BN1371" t="s">
        <v>74</v>
      </c>
      <c r="BO1371" t="s">
        <v>646</v>
      </c>
      <c r="BP1371" t="s">
        <v>74</v>
      </c>
      <c r="BQ1371" t="s">
        <v>74</v>
      </c>
      <c r="BR1371" t="s">
        <v>101</v>
      </c>
      <c r="BS1371" t="s">
        <v>25049</v>
      </c>
      <c r="BT1371" t="str">
        <f>HYPERLINK("https%3A%2F%2Fwww.webofscience.com%2Fwos%2Fwoscc%2Ffull-record%2FWOS:001046933700056","View Full Record in Web of Science")</f>
        <v>View Full Record in Web of Science</v>
      </c>
    </row>
    <row r="1372" spans="1:72" x14ac:dyDescent="0.2">
      <c r="A1372" t="s">
        <v>72</v>
      </c>
      <c r="B1372" t="s">
        <v>25050</v>
      </c>
      <c r="C1372" t="s">
        <v>74</v>
      </c>
      <c r="D1372" t="s">
        <v>74</v>
      </c>
      <c r="E1372" t="s">
        <v>75</v>
      </c>
      <c r="F1372" t="s">
        <v>25051</v>
      </c>
      <c r="G1372" t="s">
        <v>74</v>
      </c>
      <c r="H1372" t="s">
        <v>74</v>
      </c>
      <c r="I1372" t="s">
        <v>25052</v>
      </c>
      <c r="J1372" t="s">
        <v>1838</v>
      </c>
      <c r="K1372" t="s">
        <v>74</v>
      </c>
      <c r="L1372" t="s">
        <v>74</v>
      </c>
      <c r="M1372" t="s">
        <v>79</v>
      </c>
      <c r="N1372" t="s">
        <v>80</v>
      </c>
      <c r="O1372" t="s">
        <v>1839</v>
      </c>
      <c r="P1372" t="s">
        <v>1840</v>
      </c>
      <c r="Q1372" t="s">
        <v>1841</v>
      </c>
      <c r="R1372" t="s">
        <v>1842</v>
      </c>
      <c r="S1372" t="s">
        <v>74</v>
      </c>
      <c r="T1372" t="s">
        <v>25053</v>
      </c>
      <c r="U1372" t="s">
        <v>74</v>
      </c>
      <c r="V1372" t="s">
        <v>25054</v>
      </c>
      <c r="W1372" t="s">
        <v>25055</v>
      </c>
      <c r="X1372" t="s">
        <v>25056</v>
      </c>
      <c r="Y1372" t="s">
        <v>25057</v>
      </c>
      <c r="Z1372" t="s">
        <v>25058</v>
      </c>
      <c r="AA1372" t="s">
        <v>74</v>
      </c>
      <c r="AB1372" t="s">
        <v>74</v>
      </c>
      <c r="AC1372" t="s">
        <v>74</v>
      </c>
      <c r="AD1372" t="s">
        <v>74</v>
      </c>
      <c r="AE1372" t="s">
        <v>74</v>
      </c>
      <c r="AF1372" t="s">
        <v>74</v>
      </c>
      <c r="AG1372">
        <v>63</v>
      </c>
      <c r="AH1372">
        <v>0</v>
      </c>
      <c r="AI1372">
        <v>0</v>
      </c>
      <c r="AJ1372">
        <v>1</v>
      </c>
      <c r="AK1372">
        <v>1</v>
      </c>
      <c r="AL1372" t="s">
        <v>92</v>
      </c>
      <c r="AM1372" t="s">
        <v>93</v>
      </c>
      <c r="AN1372" t="s">
        <v>94</v>
      </c>
      <c r="AO1372" t="s">
        <v>74</v>
      </c>
      <c r="AP1372" t="s">
        <v>74</v>
      </c>
      <c r="AQ1372" t="s">
        <v>1849</v>
      </c>
      <c r="AR1372" t="s">
        <v>74</v>
      </c>
      <c r="AS1372" t="s">
        <v>74</v>
      </c>
      <c r="AT1372" t="s">
        <v>74</v>
      </c>
      <c r="AU1372">
        <v>2023</v>
      </c>
      <c r="AV1372" t="s">
        <v>74</v>
      </c>
      <c r="AW1372" t="s">
        <v>74</v>
      </c>
      <c r="AX1372" t="s">
        <v>74</v>
      </c>
      <c r="AY1372" t="s">
        <v>74</v>
      </c>
      <c r="AZ1372" t="s">
        <v>74</v>
      </c>
      <c r="BA1372" t="s">
        <v>74</v>
      </c>
      <c r="BB1372">
        <v>23</v>
      </c>
      <c r="BC1372">
        <v>33</v>
      </c>
      <c r="BD1372" t="s">
        <v>74</v>
      </c>
      <c r="BE1372" t="s">
        <v>25059</v>
      </c>
      <c r="BF1372" t="str">
        <f>HYPERLINK("http://dx.doi.org/10.1145/3607827.3616839","http://dx.doi.org/10.1145/3607827.3616839")</f>
        <v>http://dx.doi.org/10.1145/3607827.3616839</v>
      </c>
      <c r="BG1372" t="s">
        <v>74</v>
      </c>
      <c r="BH1372" t="s">
        <v>74</v>
      </c>
      <c r="BI1372">
        <v>11</v>
      </c>
      <c r="BJ1372" t="s">
        <v>1851</v>
      </c>
      <c r="BK1372" t="s">
        <v>98</v>
      </c>
      <c r="BL1372" t="s">
        <v>99</v>
      </c>
      <c r="BM1372" t="s">
        <v>1852</v>
      </c>
      <c r="BN1372" t="s">
        <v>74</v>
      </c>
      <c r="BO1372" t="s">
        <v>2310</v>
      </c>
      <c r="BP1372" t="s">
        <v>74</v>
      </c>
      <c r="BQ1372" t="s">
        <v>74</v>
      </c>
      <c r="BR1372" t="s">
        <v>101</v>
      </c>
      <c r="BS1372" t="s">
        <v>25060</v>
      </c>
      <c r="BT1372" t="str">
        <f>HYPERLINK("https%3A%2F%2Fwww.webofscience.com%2Fwos%2Fwoscc%2Ffull-record%2FWOS:001150367900006","View Full Record in Web of Science")</f>
        <v>View Full Record in Web of Science</v>
      </c>
    </row>
    <row r="1373" spans="1:72" x14ac:dyDescent="0.2">
      <c r="A1373" t="s">
        <v>103</v>
      </c>
      <c r="B1373" t="s">
        <v>25061</v>
      </c>
      <c r="C1373" t="s">
        <v>74</v>
      </c>
      <c r="D1373" t="s">
        <v>74</v>
      </c>
      <c r="E1373" t="s">
        <v>74</v>
      </c>
      <c r="F1373" t="s">
        <v>25062</v>
      </c>
      <c r="G1373" t="s">
        <v>74</v>
      </c>
      <c r="H1373" t="s">
        <v>74</v>
      </c>
      <c r="I1373" t="s">
        <v>25063</v>
      </c>
      <c r="J1373" t="s">
        <v>22570</v>
      </c>
      <c r="K1373" t="s">
        <v>74</v>
      </c>
      <c r="L1373" t="s">
        <v>74</v>
      </c>
      <c r="M1373" t="s">
        <v>79</v>
      </c>
      <c r="N1373" t="s">
        <v>108</v>
      </c>
      <c r="O1373" t="s">
        <v>74</v>
      </c>
      <c r="P1373" t="s">
        <v>74</v>
      </c>
      <c r="Q1373" t="s">
        <v>74</v>
      </c>
      <c r="R1373" t="s">
        <v>74</v>
      </c>
      <c r="S1373" t="s">
        <v>74</v>
      </c>
      <c r="T1373" t="s">
        <v>25064</v>
      </c>
      <c r="U1373" t="s">
        <v>25065</v>
      </c>
      <c r="V1373" t="s">
        <v>25066</v>
      </c>
      <c r="W1373" t="s">
        <v>25067</v>
      </c>
      <c r="X1373" t="s">
        <v>25068</v>
      </c>
      <c r="Y1373" t="s">
        <v>25069</v>
      </c>
      <c r="Z1373" t="s">
        <v>25070</v>
      </c>
      <c r="AA1373" t="s">
        <v>74</v>
      </c>
      <c r="AB1373" t="s">
        <v>25071</v>
      </c>
      <c r="AC1373" t="s">
        <v>74</v>
      </c>
      <c r="AD1373" t="s">
        <v>74</v>
      </c>
      <c r="AE1373" t="s">
        <v>74</v>
      </c>
      <c r="AF1373" t="s">
        <v>74</v>
      </c>
      <c r="AG1373">
        <v>26</v>
      </c>
      <c r="AH1373">
        <v>0</v>
      </c>
      <c r="AI1373">
        <v>0</v>
      </c>
      <c r="AJ1373">
        <v>0</v>
      </c>
      <c r="AK1373">
        <v>0</v>
      </c>
      <c r="AL1373" t="s">
        <v>764</v>
      </c>
      <c r="AM1373" t="s">
        <v>765</v>
      </c>
      <c r="AN1373" t="s">
        <v>766</v>
      </c>
      <c r="AO1373" t="s">
        <v>22579</v>
      </c>
      <c r="AP1373" t="s">
        <v>22580</v>
      </c>
      <c r="AQ1373" t="s">
        <v>74</v>
      </c>
      <c r="AR1373" t="s">
        <v>22581</v>
      </c>
      <c r="AS1373" t="s">
        <v>22582</v>
      </c>
      <c r="AT1373" t="s">
        <v>4461</v>
      </c>
      <c r="AU1373">
        <v>2023</v>
      </c>
      <c r="AV1373">
        <v>169</v>
      </c>
      <c r="AW1373" t="s">
        <v>74</v>
      </c>
      <c r="AX1373" t="s">
        <v>74</v>
      </c>
      <c r="AY1373" t="s">
        <v>74</v>
      </c>
      <c r="AZ1373" t="s">
        <v>74</v>
      </c>
      <c r="BA1373" t="s">
        <v>74</v>
      </c>
      <c r="BB1373">
        <v>102</v>
      </c>
      <c r="BC1373">
        <v>109</v>
      </c>
      <c r="BD1373" t="s">
        <v>74</v>
      </c>
      <c r="BE1373" t="s">
        <v>25072</v>
      </c>
      <c r="BF1373" t="str">
        <f>HYPERLINK("http://dx.doi.org/10.1016/j.patrec.2023.03.021","http://dx.doi.org/10.1016/j.patrec.2023.03.021")</f>
        <v>http://dx.doi.org/10.1016/j.patrec.2023.03.021</v>
      </c>
      <c r="BG1373" t="s">
        <v>74</v>
      </c>
      <c r="BH1373" t="s">
        <v>793</v>
      </c>
      <c r="BI1373">
        <v>8</v>
      </c>
      <c r="BJ1373" t="s">
        <v>304</v>
      </c>
      <c r="BK1373" t="s">
        <v>130</v>
      </c>
      <c r="BL1373" t="s">
        <v>99</v>
      </c>
      <c r="BM1373" t="s">
        <v>25073</v>
      </c>
      <c r="BN1373" t="s">
        <v>74</v>
      </c>
      <c r="BO1373" t="s">
        <v>646</v>
      </c>
      <c r="BP1373" t="s">
        <v>74</v>
      </c>
      <c r="BQ1373" t="s">
        <v>74</v>
      </c>
      <c r="BR1373" t="s">
        <v>101</v>
      </c>
      <c r="BS1373" t="s">
        <v>25074</v>
      </c>
      <c r="BT1373" t="str">
        <f>HYPERLINK("https%3A%2F%2Fwww.webofscience.com%2Fwos%2Fwoscc%2Ffull-record%2FWOS:001031613300001","View Full Record in Web of Science")</f>
        <v>View Full Record in Web of Science</v>
      </c>
    </row>
    <row r="1374" spans="1:72" x14ac:dyDescent="0.2">
      <c r="A1374" t="s">
        <v>103</v>
      </c>
      <c r="B1374" t="s">
        <v>25075</v>
      </c>
      <c r="C1374" t="s">
        <v>74</v>
      </c>
      <c r="D1374" t="s">
        <v>74</v>
      </c>
      <c r="E1374" t="s">
        <v>74</v>
      </c>
      <c r="F1374" t="s">
        <v>25076</v>
      </c>
      <c r="G1374" t="s">
        <v>74</v>
      </c>
      <c r="H1374" t="s">
        <v>74</v>
      </c>
      <c r="I1374" t="s">
        <v>25077</v>
      </c>
      <c r="J1374" t="s">
        <v>14654</v>
      </c>
      <c r="K1374" t="s">
        <v>74</v>
      </c>
      <c r="L1374" t="s">
        <v>74</v>
      </c>
      <c r="M1374" t="s">
        <v>79</v>
      </c>
      <c r="N1374" t="s">
        <v>108</v>
      </c>
      <c r="O1374" t="s">
        <v>74</v>
      </c>
      <c r="P1374" t="s">
        <v>74</v>
      </c>
      <c r="Q1374" t="s">
        <v>74</v>
      </c>
      <c r="R1374" t="s">
        <v>74</v>
      </c>
      <c r="S1374" t="s">
        <v>74</v>
      </c>
      <c r="T1374" t="s">
        <v>74</v>
      </c>
      <c r="U1374" t="s">
        <v>25078</v>
      </c>
      <c r="V1374" t="s">
        <v>25079</v>
      </c>
      <c r="W1374" t="s">
        <v>25080</v>
      </c>
      <c r="X1374" t="s">
        <v>25081</v>
      </c>
      <c r="Y1374" t="s">
        <v>25082</v>
      </c>
      <c r="Z1374" t="s">
        <v>25083</v>
      </c>
      <c r="AA1374" t="s">
        <v>25084</v>
      </c>
      <c r="AB1374" t="s">
        <v>25085</v>
      </c>
      <c r="AC1374" t="s">
        <v>25086</v>
      </c>
      <c r="AD1374" t="s">
        <v>25087</v>
      </c>
      <c r="AE1374" t="s">
        <v>25088</v>
      </c>
      <c r="AF1374" t="s">
        <v>74</v>
      </c>
      <c r="AG1374">
        <v>65</v>
      </c>
      <c r="AH1374">
        <v>1</v>
      </c>
      <c r="AI1374">
        <v>1</v>
      </c>
      <c r="AJ1374">
        <v>9</v>
      </c>
      <c r="AK1374">
        <v>9</v>
      </c>
      <c r="AL1374" t="s">
        <v>1880</v>
      </c>
      <c r="AM1374" t="s">
        <v>369</v>
      </c>
      <c r="AN1374" t="s">
        <v>1881</v>
      </c>
      <c r="AO1374" t="s">
        <v>74</v>
      </c>
      <c r="AP1374" t="s">
        <v>14666</v>
      </c>
      <c r="AQ1374" t="s">
        <v>74</v>
      </c>
      <c r="AR1374" t="s">
        <v>14667</v>
      </c>
      <c r="AS1374" t="s">
        <v>14668</v>
      </c>
      <c r="AT1374" t="s">
        <v>25089</v>
      </c>
      <c r="AU1374">
        <v>2023</v>
      </c>
      <c r="AV1374">
        <v>14</v>
      </c>
      <c r="AW1374">
        <v>1</v>
      </c>
      <c r="AX1374" t="s">
        <v>74</v>
      </c>
      <c r="AY1374" t="s">
        <v>74</v>
      </c>
      <c r="AZ1374" t="s">
        <v>74</v>
      </c>
      <c r="BA1374" t="s">
        <v>74</v>
      </c>
      <c r="BB1374" t="s">
        <v>74</v>
      </c>
      <c r="BC1374" t="s">
        <v>74</v>
      </c>
      <c r="BD1374">
        <v>5553</v>
      </c>
      <c r="BE1374" t="s">
        <v>25090</v>
      </c>
      <c r="BF1374" t="str">
        <f>HYPERLINK("http://dx.doi.org/10.1038/s41467-023-41210-z","http://dx.doi.org/10.1038/s41467-023-41210-z")</f>
        <v>http://dx.doi.org/10.1038/s41467-023-41210-z</v>
      </c>
      <c r="BG1374" t="s">
        <v>74</v>
      </c>
      <c r="BH1374" t="s">
        <v>74</v>
      </c>
      <c r="BI1374">
        <v>12</v>
      </c>
      <c r="BJ1374" t="s">
        <v>5686</v>
      </c>
      <c r="BK1374" t="s">
        <v>130</v>
      </c>
      <c r="BL1374" t="s">
        <v>5687</v>
      </c>
      <c r="BM1374" t="s">
        <v>25091</v>
      </c>
      <c r="BN1374">
        <v>37689771</v>
      </c>
      <c r="BO1374" t="s">
        <v>13536</v>
      </c>
      <c r="BP1374" t="s">
        <v>74</v>
      </c>
      <c r="BQ1374" t="s">
        <v>74</v>
      </c>
      <c r="BR1374" t="s">
        <v>101</v>
      </c>
      <c r="BS1374" t="s">
        <v>25092</v>
      </c>
      <c r="BT1374" t="str">
        <f>HYPERLINK("https%3A%2F%2Fwww.webofscience.com%2Fwos%2Fwoscc%2Ffull-record%2FWOS:001066679400017","View Full Record in Web of Science")</f>
        <v>View Full Record in Web of Science</v>
      </c>
    </row>
    <row r="1375" spans="1:72" x14ac:dyDescent="0.2">
      <c r="A1375" t="s">
        <v>103</v>
      </c>
      <c r="B1375" t="s">
        <v>25093</v>
      </c>
      <c r="C1375" t="s">
        <v>74</v>
      </c>
      <c r="D1375" t="s">
        <v>74</v>
      </c>
      <c r="E1375" t="s">
        <v>74</v>
      </c>
      <c r="F1375" t="s">
        <v>25094</v>
      </c>
      <c r="G1375" t="s">
        <v>74</v>
      </c>
      <c r="H1375" t="s">
        <v>74</v>
      </c>
      <c r="I1375" t="s">
        <v>25095</v>
      </c>
      <c r="J1375" t="s">
        <v>6611</v>
      </c>
      <c r="K1375" t="s">
        <v>74</v>
      </c>
      <c r="L1375" t="s">
        <v>74</v>
      </c>
      <c r="M1375" t="s">
        <v>79</v>
      </c>
      <c r="N1375" t="s">
        <v>108</v>
      </c>
      <c r="O1375" t="s">
        <v>74</v>
      </c>
      <c r="P1375" t="s">
        <v>74</v>
      </c>
      <c r="Q1375" t="s">
        <v>74</v>
      </c>
      <c r="R1375" t="s">
        <v>74</v>
      </c>
      <c r="S1375" t="s">
        <v>74</v>
      </c>
      <c r="T1375" t="s">
        <v>25096</v>
      </c>
      <c r="U1375" t="s">
        <v>74</v>
      </c>
      <c r="V1375" t="s">
        <v>25097</v>
      </c>
      <c r="W1375" t="s">
        <v>25098</v>
      </c>
      <c r="X1375" t="s">
        <v>25099</v>
      </c>
      <c r="Y1375" t="s">
        <v>25100</v>
      </c>
      <c r="Z1375" t="s">
        <v>25101</v>
      </c>
      <c r="AA1375" t="s">
        <v>74</v>
      </c>
      <c r="AB1375" t="s">
        <v>25102</v>
      </c>
      <c r="AC1375" t="s">
        <v>25103</v>
      </c>
      <c r="AD1375" t="s">
        <v>25104</v>
      </c>
      <c r="AE1375" t="s">
        <v>25105</v>
      </c>
      <c r="AF1375" t="s">
        <v>74</v>
      </c>
      <c r="AG1375">
        <v>89</v>
      </c>
      <c r="AH1375">
        <v>0</v>
      </c>
      <c r="AI1375">
        <v>0</v>
      </c>
      <c r="AJ1375">
        <v>8</v>
      </c>
      <c r="AK1375">
        <v>8</v>
      </c>
      <c r="AL1375" t="s">
        <v>638</v>
      </c>
      <c r="AM1375" t="s">
        <v>639</v>
      </c>
      <c r="AN1375" t="s">
        <v>1557</v>
      </c>
      <c r="AO1375" t="s">
        <v>6621</v>
      </c>
      <c r="AP1375" t="s">
        <v>6622</v>
      </c>
      <c r="AQ1375" t="s">
        <v>74</v>
      </c>
      <c r="AR1375" t="s">
        <v>6623</v>
      </c>
      <c r="AS1375" t="s">
        <v>6624</v>
      </c>
      <c r="AT1375" t="s">
        <v>467</v>
      </c>
      <c r="AU1375">
        <v>2023</v>
      </c>
      <c r="AV1375">
        <v>45</v>
      </c>
      <c r="AW1375">
        <v>10</v>
      </c>
      <c r="AX1375" t="s">
        <v>74</v>
      </c>
      <c r="AY1375" t="s">
        <v>74</v>
      </c>
      <c r="AZ1375" t="s">
        <v>74</v>
      </c>
      <c r="BA1375" t="s">
        <v>74</v>
      </c>
      <c r="BB1375">
        <v>12222</v>
      </c>
      <c r="BC1375">
        <v>12235</v>
      </c>
      <c r="BD1375" t="s">
        <v>74</v>
      </c>
      <c r="BE1375" t="s">
        <v>25106</v>
      </c>
      <c r="BF1375" t="str">
        <f>HYPERLINK("http://dx.doi.org/10.1109/TPAMI.2023.3283302","http://dx.doi.org/10.1109/TPAMI.2023.3283302")</f>
        <v>http://dx.doi.org/10.1109/TPAMI.2023.3283302</v>
      </c>
      <c r="BG1375" t="s">
        <v>74</v>
      </c>
      <c r="BH1375" t="s">
        <v>74</v>
      </c>
      <c r="BI1375">
        <v>14</v>
      </c>
      <c r="BJ1375" t="s">
        <v>6627</v>
      </c>
      <c r="BK1375" t="s">
        <v>130</v>
      </c>
      <c r="BL1375" t="s">
        <v>906</v>
      </c>
      <c r="BM1375" t="s">
        <v>19257</v>
      </c>
      <c r="BN1375">
        <v>37294645</v>
      </c>
      <c r="BO1375" t="s">
        <v>74</v>
      </c>
      <c r="BP1375" t="s">
        <v>74</v>
      </c>
      <c r="BQ1375" t="s">
        <v>74</v>
      </c>
      <c r="BR1375" t="s">
        <v>101</v>
      </c>
      <c r="BS1375" t="s">
        <v>25107</v>
      </c>
      <c r="BT1375" t="str">
        <f>HYPERLINK("https%3A%2F%2Fwww.webofscience.com%2Fwos%2Fwoscc%2Ffull-record%2FWOS:001068816800045","View Full Record in Web of Science")</f>
        <v>View Full Record in Web of Science</v>
      </c>
    </row>
    <row r="1376" spans="1:72" x14ac:dyDescent="0.2">
      <c r="A1376" t="s">
        <v>103</v>
      </c>
      <c r="B1376" t="s">
        <v>25108</v>
      </c>
      <c r="C1376" t="s">
        <v>74</v>
      </c>
      <c r="D1376" t="s">
        <v>74</v>
      </c>
      <c r="E1376" t="s">
        <v>74</v>
      </c>
      <c r="F1376" t="s">
        <v>25109</v>
      </c>
      <c r="G1376" t="s">
        <v>74</v>
      </c>
      <c r="H1376" t="s">
        <v>74</v>
      </c>
      <c r="I1376" t="s">
        <v>25110</v>
      </c>
      <c r="J1376" t="s">
        <v>21131</v>
      </c>
      <c r="K1376" t="s">
        <v>74</v>
      </c>
      <c r="L1376" t="s">
        <v>74</v>
      </c>
      <c r="M1376" t="s">
        <v>79</v>
      </c>
      <c r="N1376" t="s">
        <v>108</v>
      </c>
      <c r="O1376" t="s">
        <v>74</v>
      </c>
      <c r="P1376" t="s">
        <v>74</v>
      </c>
      <c r="Q1376" t="s">
        <v>74</v>
      </c>
      <c r="R1376" t="s">
        <v>74</v>
      </c>
      <c r="S1376" t="s">
        <v>74</v>
      </c>
      <c r="T1376" t="s">
        <v>74</v>
      </c>
      <c r="U1376" t="s">
        <v>9475</v>
      </c>
      <c r="V1376" t="s">
        <v>25111</v>
      </c>
      <c r="W1376" t="s">
        <v>25112</v>
      </c>
      <c r="X1376" t="s">
        <v>25113</v>
      </c>
      <c r="Y1376" t="s">
        <v>25114</v>
      </c>
      <c r="Z1376" t="s">
        <v>25115</v>
      </c>
      <c r="AA1376" t="s">
        <v>25116</v>
      </c>
      <c r="AB1376" t="s">
        <v>25117</v>
      </c>
      <c r="AC1376" t="s">
        <v>25118</v>
      </c>
      <c r="AD1376" t="s">
        <v>8514</v>
      </c>
      <c r="AE1376" t="s">
        <v>25119</v>
      </c>
      <c r="AF1376" t="s">
        <v>74</v>
      </c>
      <c r="AG1376">
        <v>50</v>
      </c>
      <c r="AH1376">
        <v>4</v>
      </c>
      <c r="AI1376">
        <v>4</v>
      </c>
      <c r="AJ1376">
        <v>4</v>
      </c>
      <c r="AK1376">
        <v>18</v>
      </c>
      <c r="AL1376" t="s">
        <v>3980</v>
      </c>
      <c r="AM1376" t="s">
        <v>1153</v>
      </c>
      <c r="AN1376" t="s">
        <v>3981</v>
      </c>
      <c r="AO1376" t="s">
        <v>21141</v>
      </c>
      <c r="AP1376" t="s">
        <v>21142</v>
      </c>
      <c r="AQ1376" t="s">
        <v>74</v>
      </c>
      <c r="AR1376" t="s">
        <v>21143</v>
      </c>
      <c r="AS1376" t="s">
        <v>21144</v>
      </c>
      <c r="AT1376" t="s">
        <v>21145</v>
      </c>
      <c r="AU1376">
        <v>2023</v>
      </c>
      <c r="AV1376">
        <v>14</v>
      </c>
      <c r="AW1376">
        <v>6</v>
      </c>
      <c r="AX1376" t="s">
        <v>74</v>
      </c>
      <c r="AY1376" t="s">
        <v>74</v>
      </c>
      <c r="AZ1376" t="s">
        <v>74</v>
      </c>
      <c r="BA1376" t="s">
        <v>74</v>
      </c>
      <c r="BB1376">
        <v>1557</v>
      </c>
      <c r="BC1376">
        <v>1568</v>
      </c>
      <c r="BD1376" t="s">
        <v>74</v>
      </c>
      <c r="BE1376" t="s">
        <v>25120</v>
      </c>
      <c r="BF1376" t="str">
        <f>HYPERLINK("http://dx.doi.org/10.1039/d2sc04429c","http://dx.doi.org/10.1039/d2sc04429c")</f>
        <v>http://dx.doi.org/10.1039/d2sc04429c</v>
      </c>
      <c r="BG1376" t="s">
        <v>74</v>
      </c>
      <c r="BH1376" t="s">
        <v>7345</v>
      </c>
      <c r="BI1376">
        <v>12</v>
      </c>
      <c r="BJ1376" t="s">
        <v>11005</v>
      </c>
      <c r="BK1376" t="s">
        <v>130</v>
      </c>
      <c r="BL1376" t="s">
        <v>11006</v>
      </c>
      <c r="BM1376" t="s">
        <v>25121</v>
      </c>
      <c r="BN1376">
        <v>36794194</v>
      </c>
      <c r="BO1376" t="s">
        <v>1728</v>
      </c>
      <c r="BP1376" t="s">
        <v>74</v>
      </c>
      <c r="BQ1376" t="s">
        <v>74</v>
      </c>
      <c r="BR1376" t="s">
        <v>101</v>
      </c>
      <c r="BS1376" t="s">
        <v>25122</v>
      </c>
      <c r="BT1376" t="str">
        <f>HYPERLINK("https%3A%2F%2Fwww.webofscience.com%2Fwos%2Fwoscc%2Ffull-record%2FWOS:000914442000001","View Full Record in Web of Science")</f>
        <v>View Full Record in Web of Science</v>
      </c>
    </row>
    <row r="1377" spans="1:72" x14ac:dyDescent="0.2">
      <c r="A1377" t="s">
        <v>103</v>
      </c>
      <c r="B1377" t="s">
        <v>25123</v>
      </c>
      <c r="C1377" t="s">
        <v>74</v>
      </c>
      <c r="D1377" t="s">
        <v>74</v>
      </c>
      <c r="E1377" t="s">
        <v>74</v>
      </c>
      <c r="F1377" t="s">
        <v>25124</v>
      </c>
      <c r="G1377" t="s">
        <v>74</v>
      </c>
      <c r="H1377" t="s">
        <v>74</v>
      </c>
      <c r="I1377" t="s">
        <v>25125</v>
      </c>
      <c r="J1377" t="s">
        <v>6056</v>
      </c>
      <c r="K1377" t="s">
        <v>74</v>
      </c>
      <c r="L1377" t="s">
        <v>74</v>
      </c>
      <c r="M1377" t="s">
        <v>79</v>
      </c>
      <c r="N1377" t="s">
        <v>108</v>
      </c>
      <c r="O1377" t="s">
        <v>74</v>
      </c>
      <c r="P1377" t="s">
        <v>74</v>
      </c>
      <c r="Q1377" t="s">
        <v>74</v>
      </c>
      <c r="R1377" t="s">
        <v>74</v>
      </c>
      <c r="S1377" t="s">
        <v>74</v>
      </c>
      <c r="T1377" t="s">
        <v>25126</v>
      </c>
      <c r="U1377" t="s">
        <v>391</v>
      </c>
      <c r="V1377" t="s">
        <v>25127</v>
      </c>
      <c r="W1377" t="s">
        <v>25128</v>
      </c>
      <c r="X1377" t="s">
        <v>25129</v>
      </c>
      <c r="Y1377" t="s">
        <v>21304</v>
      </c>
      <c r="Z1377" t="s">
        <v>25130</v>
      </c>
      <c r="AA1377" t="s">
        <v>74</v>
      </c>
      <c r="AB1377" t="s">
        <v>25131</v>
      </c>
      <c r="AC1377" t="s">
        <v>21307</v>
      </c>
      <c r="AD1377" t="s">
        <v>21308</v>
      </c>
      <c r="AE1377" t="s">
        <v>25132</v>
      </c>
      <c r="AF1377" t="s">
        <v>74</v>
      </c>
      <c r="AG1377">
        <v>29</v>
      </c>
      <c r="AH1377">
        <v>23</v>
      </c>
      <c r="AI1377">
        <v>23</v>
      </c>
      <c r="AJ1377">
        <v>12</v>
      </c>
      <c r="AK1377">
        <v>14</v>
      </c>
      <c r="AL1377" t="s">
        <v>4176</v>
      </c>
      <c r="AM1377" t="s">
        <v>4177</v>
      </c>
      <c r="AN1377" t="s">
        <v>4178</v>
      </c>
      <c r="AO1377" t="s">
        <v>6067</v>
      </c>
      <c r="AP1377" t="s">
        <v>74</v>
      </c>
      <c r="AQ1377" t="s">
        <v>74</v>
      </c>
      <c r="AR1377" t="s">
        <v>6068</v>
      </c>
      <c r="AS1377" t="s">
        <v>6069</v>
      </c>
      <c r="AT1377" t="s">
        <v>20805</v>
      </c>
      <c r="AU1377">
        <v>2023</v>
      </c>
      <c r="AV1377">
        <v>25</v>
      </c>
      <c r="AW1377" t="s">
        <v>74</v>
      </c>
      <c r="AX1377" t="s">
        <v>74</v>
      </c>
      <c r="AY1377" t="s">
        <v>74</v>
      </c>
      <c r="AZ1377" t="s">
        <v>74</v>
      </c>
      <c r="BA1377" t="s">
        <v>74</v>
      </c>
      <c r="BB1377" t="s">
        <v>74</v>
      </c>
      <c r="BC1377" t="s">
        <v>74</v>
      </c>
      <c r="BD1377" t="s">
        <v>25133</v>
      </c>
      <c r="BE1377" t="s">
        <v>25134</v>
      </c>
      <c r="BF1377" t="str">
        <f>HYPERLINK("http://dx.doi.org/10.2196/48659","http://dx.doi.org/10.2196/48659")</f>
        <v>http://dx.doi.org/10.2196/48659</v>
      </c>
      <c r="BG1377" t="s">
        <v>74</v>
      </c>
      <c r="BH1377" t="s">
        <v>74</v>
      </c>
      <c r="BI1377">
        <v>9</v>
      </c>
      <c r="BJ1377" t="s">
        <v>4947</v>
      </c>
      <c r="BK1377" t="s">
        <v>130</v>
      </c>
      <c r="BL1377" t="s">
        <v>4947</v>
      </c>
      <c r="BM1377" t="s">
        <v>25135</v>
      </c>
      <c r="BN1377">
        <v>37606976</v>
      </c>
      <c r="BO1377" t="s">
        <v>425</v>
      </c>
      <c r="BP1377" t="s">
        <v>74</v>
      </c>
      <c r="BQ1377" t="s">
        <v>74</v>
      </c>
      <c r="BR1377" t="s">
        <v>101</v>
      </c>
      <c r="BS1377" t="s">
        <v>25136</v>
      </c>
      <c r="BT1377" t="str">
        <f>HYPERLINK("https%3A%2F%2Fwww.webofscience.com%2Fwos%2Fwoscc%2Ffull-record%2FWOS:001160247000005","View Full Record in Web of Science")</f>
        <v>View Full Record in Web of Science</v>
      </c>
    </row>
    <row r="1378" spans="1:72" x14ac:dyDescent="0.2">
      <c r="A1378" t="s">
        <v>103</v>
      </c>
      <c r="B1378" t="s">
        <v>25137</v>
      </c>
      <c r="C1378" t="s">
        <v>74</v>
      </c>
      <c r="D1378" t="s">
        <v>74</v>
      </c>
      <c r="E1378" t="s">
        <v>74</v>
      </c>
      <c r="F1378" t="s">
        <v>25138</v>
      </c>
      <c r="G1378" t="s">
        <v>74</v>
      </c>
      <c r="H1378" t="s">
        <v>74</v>
      </c>
      <c r="I1378" t="s">
        <v>25139</v>
      </c>
      <c r="J1378" t="s">
        <v>25140</v>
      </c>
      <c r="K1378" t="s">
        <v>74</v>
      </c>
      <c r="L1378" t="s">
        <v>74</v>
      </c>
      <c r="M1378" t="s">
        <v>79</v>
      </c>
      <c r="N1378" t="s">
        <v>108</v>
      </c>
      <c r="O1378" t="s">
        <v>74</v>
      </c>
      <c r="P1378" t="s">
        <v>74</v>
      </c>
      <c r="Q1378" t="s">
        <v>74</v>
      </c>
      <c r="R1378" t="s">
        <v>74</v>
      </c>
      <c r="S1378" t="s">
        <v>74</v>
      </c>
      <c r="T1378" t="s">
        <v>25141</v>
      </c>
      <c r="U1378" t="s">
        <v>25142</v>
      </c>
      <c r="V1378" t="s">
        <v>25143</v>
      </c>
      <c r="W1378" t="s">
        <v>25144</v>
      </c>
      <c r="X1378" t="s">
        <v>74</v>
      </c>
      <c r="Y1378" t="s">
        <v>25145</v>
      </c>
      <c r="Z1378" t="s">
        <v>25146</v>
      </c>
      <c r="AA1378" t="s">
        <v>74</v>
      </c>
      <c r="AB1378" t="s">
        <v>74</v>
      </c>
      <c r="AC1378" t="s">
        <v>74</v>
      </c>
      <c r="AD1378" t="s">
        <v>74</v>
      </c>
      <c r="AE1378" t="s">
        <v>74</v>
      </c>
      <c r="AF1378" t="s">
        <v>74</v>
      </c>
      <c r="AG1378">
        <v>105</v>
      </c>
      <c r="AH1378">
        <v>0</v>
      </c>
      <c r="AI1378">
        <v>0</v>
      </c>
      <c r="AJ1378">
        <v>0</v>
      </c>
      <c r="AK1378">
        <v>3</v>
      </c>
      <c r="AL1378" t="s">
        <v>2492</v>
      </c>
      <c r="AM1378" t="s">
        <v>461</v>
      </c>
      <c r="AN1378" t="s">
        <v>2493</v>
      </c>
      <c r="AO1378" t="s">
        <v>25147</v>
      </c>
      <c r="AP1378" t="s">
        <v>74</v>
      </c>
      <c r="AQ1378" t="s">
        <v>74</v>
      </c>
      <c r="AR1378" t="s">
        <v>25148</v>
      </c>
      <c r="AS1378" t="s">
        <v>25149</v>
      </c>
      <c r="AT1378" t="s">
        <v>11604</v>
      </c>
      <c r="AU1378">
        <v>2023</v>
      </c>
      <c r="AV1378">
        <v>16</v>
      </c>
      <c r="AW1378" t="s">
        <v>74</v>
      </c>
      <c r="AX1378" t="s">
        <v>74</v>
      </c>
      <c r="AY1378" t="s">
        <v>74</v>
      </c>
      <c r="AZ1378" t="s">
        <v>74</v>
      </c>
      <c r="BA1378" t="s">
        <v>74</v>
      </c>
      <c r="BB1378" t="s">
        <v>74</v>
      </c>
      <c r="BC1378" t="s">
        <v>74</v>
      </c>
      <c r="BD1378">
        <v>955558</v>
      </c>
      <c r="BE1378" t="s">
        <v>25150</v>
      </c>
      <c r="BF1378" t="str">
        <f>HYPERLINK("http://dx.doi.org/10.3389/fnhum.2022.955558","http://dx.doi.org/10.3389/fnhum.2022.955558")</f>
        <v>http://dx.doi.org/10.3389/fnhum.2022.955558</v>
      </c>
      <c r="BG1378" t="s">
        <v>74</v>
      </c>
      <c r="BH1378" t="s">
        <v>74</v>
      </c>
      <c r="BI1378">
        <v>17</v>
      </c>
      <c r="BJ1378" t="s">
        <v>25151</v>
      </c>
      <c r="BK1378" t="s">
        <v>130</v>
      </c>
      <c r="BL1378" t="s">
        <v>25152</v>
      </c>
      <c r="BM1378" t="s">
        <v>25153</v>
      </c>
      <c r="BN1378">
        <v>36684841</v>
      </c>
      <c r="BO1378" t="s">
        <v>4185</v>
      </c>
      <c r="BP1378" t="s">
        <v>74</v>
      </c>
      <c r="BQ1378" t="s">
        <v>74</v>
      </c>
      <c r="BR1378" t="s">
        <v>101</v>
      </c>
      <c r="BS1378" t="s">
        <v>25154</v>
      </c>
      <c r="BT1378" t="str">
        <f>HYPERLINK("https%3A%2F%2Fwww.webofscience.com%2Fwos%2Fwoscc%2Ffull-record%2FWOS:000914802600001","View Full Record in Web of Science")</f>
        <v>View Full Record in Web of Science</v>
      </c>
    </row>
    <row r="1379" spans="1:72" x14ac:dyDescent="0.2">
      <c r="A1379" t="s">
        <v>72</v>
      </c>
      <c r="B1379" t="s">
        <v>25155</v>
      </c>
      <c r="C1379" t="s">
        <v>74</v>
      </c>
      <c r="D1379" t="s">
        <v>74</v>
      </c>
      <c r="E1379" t="s">
        <v>75</v>
      </c>
      <c r="F1379" t="s">
        <v>25156</v>
      </c>
      <c r="G1379" t="s">
        <v>74</v>
      </c>
      <c r="H1379" t="s">
        <v>74</v>
      </c>
      <c r="I1379" t="s">
        <v>25157</v>
      </c>
      <c r="J1379" t="s">
        <v>912</v>
      </c>
      <c r="K1379" t="s">
        <v>74</v>
      </c>
      <c r="L1379" t="s">
        <v>74</v>
      </c>
      <c r="M1379" t="s">
        <v>79</v>
      </c>
      <c r="N1379" t="s">
        <v>80</v>
      </c>
      <c r="O1379" t="s">
        <v>913</v>
      </c>
      <c r="P1379" t="s">
        <v>914</v>
      </c>
      <c r="Q1379" t="s">
        <v>915</v>
      </c>
      <c r="R1379" t="s">
        <v>916</v>
      </c>
      <c r="S1379" t="s">
        <v>74</v>
      </c>
      <c r="T1379" t="s">
        <v>25158</v>
      </c>
      <c r="U1379" t="s">
        <v>74</v>
      </c>
      <c r="V1379" t="s">
        <v>25159</v>
      </c>
      <c r="W1379" t="s">
        <v>25160</v>
      </c>
      <c r="X1379" t="s">
        <v>25161</v>
      </c>
      <c r="Y1379" t="s">
        <v>25162</v>
      </c>
      <c r="Z1379" t="s">
        <v>25163</v>
      </c>
      <c r="AA1379" t="s">
        <v>74</v>
      </c>
      <c r="AB1379" t="s">
        <v>25164</v>
      </c>
      <c r="AC1379" t="s">
        <v>74</v>
      </c>
      <c r="AD1379" t="s">
        <v>74</v>
      </c>
      <c r="AE1379" t="s">
        <v>74</v>
      </c>
      <c r="AF1379" t="s">
        <v>74</v>
      </c>
      <c r="AG1379">
        <v>0</v>
      </c>
      <c r="AH1379">
        <v>0</v>
      </c>
      <c r="AI1379">
        <v>0</v>
      </c>
      <c r="AJ1379">
        <v>0</v>
      </c>
      <c r="AK1379">
        <v>0</v>
      </c>
      <c r="AL1379" t="s">
        <v>92</v>
      </c>
      <c r="AM1379" t="s">
        <v>93</v>
      </c>
      <c r="AN1379" t="s">
        <v>94</v>
      </c>
      <c r="AO1379" t="s">
        <v>74</v>
      </c>
      <c r="AP1379" t="s">
        <v>74</v>
      </c>
      <c r="AQ1379" t="s">
        <v>922</v>
      </c>
      <c r="AR1379" t="s">
        <v>74</v>
      </c>
      <c r="AS1379" t="s">
        <v>74</v>
      </c>
      <c r="AT1379" t="s">
        <v>74</v>
      </c>
      <c r="AU1379">
        <v>2023</v>
      </c>
      <c r="AV1379" t="s">
        <v>74</v>
      </c>
      <c r="AW1379" t="s">
        <v>74</v>
      </c>
      <c r="AX1379" t="s">
        <v>74</v>
      </c>
      <c r="AY1379" t="s">
        <v>74</v>
      </c>
      <c r="AZ1379" t="s">
        <v>74</v>
      </c>
      <c r="BA1379" t="s">
        <v>74</v>
      </c>
      <c r="BB1379">
        <v>5849</v>
      </c>
      <c r="BC1379">
        <v>5850</v>
      </c>
      <c r="BD1379" t="s">
        <v>74</v>
      </c>
      <c r="BE1379" t="s">
        <v>25165</v>
      </c>
      <c r="BF1379" t="str">
        <f>HYPERLINK("http://dx.doi.org/10.1145/3580305.3599582","http://dx.doi.org/10.1145/3580305.3599582")</f>
        <v>http://dx.doi.org/10.1145/3580305.3599582</v>
      </c>
      <c r="BG1379" t="s">
        <v>74</v>
      </c>
      <c r="BH1379" t="s">
        <v>74</v>
      </c>
      <c r="BI1379">
        <v>2</v>
      </c>
      <c r="BJ1379" t="s">
        <v>924</v>
      </c>
      <c r="BK1379" t="s">
        <v>98</v>
      </c>
      <c r="BL1379" t="s">
        <v>99</v>
      </c>
      <c r="BM1379" t="s">
        <v>925</v>
      </c>
      <c r="BN1379" t="s">
        <v>74</v>
      </c>
      <c r="BO1379" t="s">
        <v>74</v>
      </c>
      <c r="BP1379" t="s">
        <v>74</v>
      </c>
      <c r="BQ1379" t="s">
        <v>74</v>
      </c>
      <c r="BR1379" t="s">
        <v>101</v>
      </c>
      <c r="BS1379" t="s">
        <v>25166</v>
      </c>
      <c r="BT1379" t="str">
        <f>HYPERLINK("https%3A%2F%2Fwww.webofscience.com%2Fwos%2Fwoscc%2Ffull-record%2FWOS:001118896305108","View Full Record in Web of Science")</f>
        <v>View Full Record in Web of Science</v>
      </c>
    </row>
    <row r="1380" spans="1:72" x14ac:dyDescent="0.2">
      <c r="A1380" t="s">
        <v>103</v>
      </c>
      <c r="B1380" t="s">
        <v>25167</v>
      </c>
      <c r="C1380" t="s">
        <v>74</v>
      </c>
      <c r="D1380" t="s">
        <v>74</v>
      </c>
      <c r="E1380" t="s">
        <v>74</v>
      </c>
      <c r="F1380" t="s">
        <v>25168</v>
      </c>
      <c r="G1380" t="s">
        <v>74</v>
      </c>
      <c r="H1380" t="s">
        <v>74</v>
      </c>
      <c r="I1380" t="s">
        <v>25169</v>
      </c>
      <c r="J1380" t="s">
        <v>25170</v>
      </c>
      <c r="K1380" t="s">
        <v>74</v>
      </c>
      <c r="L1380" t="s">
        <v>74</v>
      </c>
      <c r="M1380" t="s">
        <v>79</v>
      </c>
      <c r="N1380" t="s">
        <v>138</v>
      </c>
      <c r="O1380" t="s">
        <v>74</v>
      </c>
      <c r="P1380" t="s">
        <v>74</v>
      </c>
      <c r="Q1380" t="s">
        <v>74</v>
      </c>
      <c r="R1380" t="s">
        <v>74</v>
      </c>
      <c r="S1380" t="s">
        <v>74</v>
      </c>
      <c r="T1380" t="s">
        <v>25171</v>
      </c>
      <c r="U1380" t="s">
        <v>25172</v>
      </c>
      <c r="V1380" t="s">
        <v>25173</v>
      </c>
      <c r="W1380" t="s">
        <v>25174</v>
      </c>
      <c r="X1380" t="s">
        <v>74</v>
      </c>
      <c r="Y1380" t="s">
        <v>25175</v>
      </c>
      <c r="Z1380" t="s">
        <v>25176</v>
      </c>
      <c r="AA1380" t="s">
        <v>25177</v>
      </c>
      <c r="AB1380" t="s">
        <v>25178</v>
      </c>
      <c r="AC1380" t="s">
        <v>74</v>
      </c>
      <c r="AD1380" t="s">
        <v>74</v>
      </c>
      <c r="AE1380" t="s">
        <v>74</v>
      </c>
      <c r="AF1380" t="s">
        <v>74</v>
      </c>
      <c r="AG1380">
        <v>34</v>
      </c>
      <c r="AH1380">
        <v>1</v>
      </c>
      <c r="AI1380">
        <v>1</v>
      </c>
      <c r="AJ1380">
        <v>8</v>
      </c>
      <c r="AK1380">
        <v>10</v>
      </c>
      <c r="AL1380" t="s">
        <v>19152</v>
      </c>
      <c r="AM1380" t="s">
        <v>5012</v>
      </c>
      <c r="AN1380" t="s">
        <v>19153</v>
      </c>
      <c r="AO1380" t="s">
        <v>25179</v>
      </c>
      <c r="AP1380" t="s">
        <v>25180</v>
      </c>
      <c r="AQ1380" t="s">
        <v>74</v>
      </c>
      <c r="AR1380" t="s">
        <v>25181</v>
      </c>
      <c r="AS1380" t="s">
        <v>25182</v>
      </c>
      <c r="AT1380" t="s">
        <v>25183</v>
      </c>
      <c r="AU1380">
        <v>2023</v>
      </c>
      <c r="AV1380" t="s">
        <v>74</v>
      </c>
      <c r="AW1380" t="s">
        <v>74</v>
      </c>
      <c r="AX1380" t="s">
        <v>74</v>
      </c>
      <c r="AY1380" t="s">
        <v>74</v>
      </c>
      <c r="AZ1380" t="s">
        <v>74</v>
      </c>
      <c r="BA1380" t="s">
        <v>74</v>
      </c>
      <c r="BB1380" t="s">
        <v>74</v>
      </c>
      <c r="BC1380" t="s">
        <v>74</v>
      </c>
      <c r="BD1380">
        <v>2550004</v>
      </c>
      <c r="BE1380" t="s">
        <v>25184</v>
      </c>
      <c r="BF1380" t="str">
        <f>HYPERLINK("http://dx.doi.org/10.1142/S0219467825500044","http://dx.doi.org/10.1142/S0219467825500044")</f>
        <v>http://dx.doi.org/10.1142/S0219467825500044</v>
      </c>
      <c r="BG1380" t="s">
        <v>74</v>
      </c>
      <c r="BH1380" t="s">
        <v>229</v>
      </c>
      <c r="BI1380">
        <v>26</v>
      </c>
      <c r="BJ1380" t="s">
        <v>1563</v>
      </c>
      <c r="BK1380" t="s">
        <v>352</v>
      </c>
      <c r="BL1380" t="s">
        <v>99</v>
      </c>
      <c r="BM1380" t="s">
        <v>25185</v>
      </c>
      <c r="BN1380" t="s">
        <v>74</v>
      </c>
      <c r="BO1380" t="s">
        <v>74</v>
      </c>
      <c r="BP1380" t="s">
        <v>74</v>
      </c>
      <c r="BQ1380" t="s">
        <v>74</v>
      </c>
      <c r="BR1380" t="s">
        <v>101</v>
      </c>
      <c r="BS1380" t="s">
        <v>25186</v>
      </c>
      <c r="BT1380" t="str">
        <f>HYPERLINK("https%3A%2F%2Fwww.webofscience.com%2Fwos%2Fwoscc%2Ffull-record%2FWOS:001034776000001","View Full Record in Web of Science")</f>
        <v>View Full Record in Web of Science</v>
      </c>
    </row>
    <row r="1381" spans="1:72" x14ac:dyDescent="0.2">
      <c r="A1381" t="s">
        <v>72</v>
      </c>
      <c r="B1381" t="s">
        <v>25187</v>
      </c>
      <c r="C1381" t="s">
        <v>74</v>
      </c>
      <c r="D1381" t="s">
        <v>74</v>
      </c>
      <c r="E1381" t="s">
        <v>75</v>
      </c>
      <c r="F1381" t="s">
        <v>25188</v>
      </c>
      <c r="G1381" t="s">
        <v>74</v>
      </c>
      <c r="H1381" t="s">
        <v>74</v>
      </c>
      <c r="I1381" t="s">
        <v>25189</v>
      </c>
      <c r="J1381" t="s">
        <v>6103</v>
      </c>
      <c r="K1381" t="s">
        <v>74</v>
      </c>
      <c r="L1381" t="s">
        <v>74</v>
      </c>
      <c r="M1381" t="s">
        <v>79</v>
      </c>
      <c r="N1381" t="s">
        <v>80</v>
      </c>
      <c r="O1381" t="s">
        <v>6104</v>
      </c>
      <c r="P1381" t="s">
        <v>6105</v>
      </c>
      <c r="Q1381" t="s">
        <v>2295</v>
      </c>
      <c r="R1381" t="s">
        <v>6106</v>
      </c>
      <c r="S1381" t="s">
        <v>2297</v>
      </c>
      <c r="T1381" t="s">
        <v>25190</v>
      </c>
      <c r="U1381" t="s">
        <v>74</v>
      </c>
      <c r="V1381" t="s">
        <v>25191</v>
      </c>
      <c r="W1381" t="s">
        <v>25192</v>
      </c>
      <c r="X1381" t="s">
        <v>25193</v>
      </c>
      <c r="Y1381" t="s">
        <v>25194</v>
      </c>
      <c r="Z1381" t="s">
        <v>25195</v>
      </c>
      <c r="AA1381" t="s">
        <v>11718</v>
      </c>
      <c r="AB1381" t="s">
        <v>25196</v>
      </c>
      <c r="AC1381" t="s">
        <v>74</v>
      </c>
      <c r="AD1381" t="s">
        <v>74</v>
      </c>
      <c r="AE1381" t="s">
        <v>74</v>
      </c>
      <c r="AF1381" t="s">
        <v>74</v>
      </c>
      <c r="AG1381">
        <v>43</v>
      </c>
      <c r="AH1381">
        <v>5</v>
      </c>
      <c r="AI1381">
        <v>5</v>
      </c>
      <c r="AJ1381">
        <v>16</v>
      </c>
      <c r="AK1381">
        <v>18</v>
      </c>
      <c r="AL1381" t="s">
        <v>92</v>
      </c>
      <c r="AM1381" t="s">
        <v>93</v>
      </c>
      <c r="AN1381" t="s">
        <v>94</v>
      </c>
      <c r="AO1381" t="s">
        <v>74</v>
      </c>
      <c r="AP1381" t="s">
        <v>74</v>
      </c>
      <c r="AQ1381" t="s">
        <v>6114</v>
      </c>
      <c r="AR1381" t="s">
        <v>74</v>
      </c>
      <c r="AS1381" t="s">
        <v>74</v>
      </c>
      <c r="AT1381" t="s">
        <v>74</v>
      </c>
      <c r="AU1381">
        <v>2023</v>
      </c>
      <c r="AV1381" t="s">
        <v>74</v>
      </c>
      <c r="AW1381" t="s">
        <v>74</v>
      </c>
      <c r="AX1381" t="s">
        <v>74</v>
      </c>
      <c r="AY1381" t="s">
        <v>74</v>
      </c>
      <c r="AZ1381" t="s">
        <v>74</v>
      </c>
      <c r="BA1381" t="s">
        <v>74</v>
      </c>
      <c r="BB1381">
        <v>299</v>
      </c>
      <c r="BC1381">
        <v>305</v>
      </c>
      <c r="BD1381" t="s">
        <v>74</v>
      </c>
      <c r="BE1381" t="s">
        <v>25197</v>
      </c>
      <c r="BF1381" t="str">
        <f>HYPERLINK("http://dx.doi.org/10.1145/3587102.3588805","http://dx.doi.org/10.1145/3587102.3588805")</f>
        <v>http://dx.doi.org/10.1145/3587102.3588805</v>
      </c>
      <c r="BG1381" t="s">
        <v>74</v>
      </c>
      <c r="BH1381" t="s">
        <v>74</v>
      </c>
      <c r="BI1381">
        <v>7</v>
      </c>
      <c r="BJ1381" t="s">
        <v>5766</v>
      </c>
      <c r="BK1381" t="s">
        <v>180</v>
      </c>
      <c r="BL1381" t="s">
        <v>423</v>
      </c>
      <c r="BM1381" t="s">
        <v>6116</v>
      </c>
      <c r="BN1381" t="s">
        <v>74</v>
      </c>
      <c r="BO1381" t="s">
        <v>17828</v>
      </c>
      <c r="BP1381" t="s">
        <v>74</v>
      </c>
      <c r="BQ1381" t="s">
        <v>74</v>
      </c>
      <c r="BR1381" t="s">
        <v>101</v>
      </c>
      <c r="BS1381" t="s">
        <v>25198</v>
      </c>
      <c r="BT1381" t="str">
        <f>HYPERLINK("https%3A%2F%2Fwww.webofscience.com%2Fwos%2Fwoscc%2Ffull-record%2FWOS:001051691300045","View Full Record in Web of Science")</f>
        <v>View Full Record in Web of Science</v>
      </c>
    </row>
    <row r="1382" spans="1:72" x14ac:dyDescent="0.2">
      <c r="A1382" t="s">
        <v>103</v>
      </c>
      <c r="B1382" t="s">
        <v>25199</v>
      </c>
      <c r="C1382" t="s">
        <v>74</v>
      </c>
      <c r="D1382" t="s">
        <v>74</v>
      </c>
      <c r="E1382" t="s">
        <v>74</v>
      </c>
      <c r="F1382" t="s">
        <v>25200</v>
      </c>
      <c r="G1382" t="s">
        <v>74</v>
      </c>
      <c r="H1382" t="s">
        <v>74</v>
      </c>
      <c r="I1382" t="s">
        <v>25201</v>
      </c>
      <c r="J1382" t="s">
        <v>25202</v>
      </c>
      <c r="K1382" t="s">
        <v>74</v>
      </c>
      <c r="L1382" t="s">
        <v>74</v>
      </c>
      <c r="M1382" t="s">
        <v>79</v>
      </c>
      <c r="N1382" t="s">
        <v>108</v>
      </c>
      <c r="O1382" t="s">
        <v>74</v>
      </c>
      <c r="P1382" t="s">
        <v>74</v>
      </c>
      <c r="Q1382" t="s">
        <v>74</v>
      </c>
      <c r="R1382" t="s">
        <v>74</v>
      </c>
      <c r="S1382" t="s">
        <v>74</v>
      </c>
      <c r="T1382" t="s">
        <v>25203</v>
      </c>
      <c r="U1382" t="s">
        <v>74</v>
      </c>
      <c r="V1382" t="s">
        <v>25204</v>
      </c>
      <c r="W1382" t="s">
        <v>25205</v>
      </c>
      <c r="X1382" t="s">
        <v>13172</v>
      </c>
      <c r="Y1382" t="s">
        <v>12781</v>
      </c>
      <c r="Z1382" t="s">
        <v>4372</v>
      </c>
      <c r="AA1382" t="s">
        <v>25206</v>
      </c>
      <c r="AB1382" t="s">
        <v>25207</v>
      </c>
      <c r="AC1382" t="s">
        <v>25208</v>
      </c>
      <c r="AD1382" t="s">
        <v>25209</v>
      </c>
      <c r="AE1382" t="s">
        <v>25210</v>
      </c>
      <c r="AF1382" t="s">
        <v>74</v>
      </c>
      <c r="AG1382">
        <v>56</v>
      </c>
      <c r="AH1382">
        <v>15</v>
      </c>
      <c r="AI1382">
        <v>15</v>
      </c>
      <c r="AJ1382">
        <v>10</v>
      </c>
      <c r="AK1382">
        <v>16</v>
      </c>
      <c r="AL1382" t="s">
        <v>270</v>
      </c>
      <c r="AM1382" t="s">
        <v>1424</v>
      </c>
      <c r="AN1382" t="s">
        <v>1425</v>
      </c>
      <c r="AO1382" t="s">
        <v>25211</v>
      </c>
      <c r="AP1382" t="s">
        <v>25212</v>
      </c>
      <c r="AQ1382" t="s">
        <v>74</v>
      </c>
      <c r="AR1382" t="s">
        <v>25213</v>
      </c>
      <c r="AS1382" t="s">
        <v>25214</v>
      </c>
      <c r="AT1382" t="s">
        <v>445</v>
      </c>
      <c r="AU1382">
        <v>2023</v>
      </c>
      <c r="AV1382">
        <v>64</v>
      </c>
      <c r="AW1382" t="s">
        <v>74</v>
      </c>
      <c r="AX1382" t="s">
        <v>74</v>
      </c>
      <c r="AY1382" t="s">
        <v>74</v>
      </c>
      <c r="AZ1382" t="s">
        <v>74</v>
      </c>
      <c r="BA1382" t="s">
        <v>74</v>
      </c>
      <c r="BB1382">
        <v>10</v>
      </c>
      <c r="BC1382">
        <v>20</v>
      </c>
      <c r="BD1382" t="s">
        <v>74</v>
      </c>
      <c r="BE1382" t="s">
        <v>25215</v>
      </c>
      <c r="BF1382" t="str">
        <f>HYPERLINK("http://dx.doi.org/10.1016/j.mattod.2023.03.007","http://dx.doi.org/10.1016/j.mattod.2023.03.007")</f>
        <v>http://dx.doi.org/10.1016/j.mattod.2023.03.007</v>
      </c>
      <c r="BG1382" t="s">
        <v>74</v>
      </c>
      <c r="BH1382" t="s">
        <v>2889</v>
      </c>
      <c r="BI1382">
        <v>11</v>
      </c>
      <c r="BJ1382" t="s">
        <v>3846</v>
      </c>
      <c r="BK1382" t="s">
        <v>130</v>
      </c>
      <c r="BL1382" t="s">
        <v>3847</v>
      </c>
      <c r="BM1382" t="s">
        <v>25216</v>
      </c>
      <c r="BN1382" t="s">
        <v>74</v>
      </c>
      <c r="BO1382" t="s">
        <v>74</v>
      </c>
      <c r="BP1382" t="s">
        <v>74</v>
      </c>
      <c r="BQ1382" t="s">
        <v>74</v>
      </c>
      <c r="BR1382" t="s">
        <v>101</v>
      </c>
      <c r="BS1382" t="s">
        <v>25217</v>
      </c>
      <c r="BT1382" t="str">
        <f>HYPERLINK("https%3A%2F%2Fwww.webofscience.com%2Fwos%2Fwoscc%2Ffull-record%2FWOS:001001955300001","View Full Record in Web of Science")</f>
        <v>View Full Record in Web of Science</v>
      </c>
    </row>
    <row r="1383" spans="1:72" x14ac:dyDescent="0.2">
      <c r="A1383" t="s">
        <v>103</v>
      </c>
      <c r="B1383" t="s">
        <v>25218</v>
      </c>
      <c r="C1383" t="s">
        <v>74</v>
      </c>
      <c r="D1383" t="s">
        <v>74</v>
      </c>
      <c r="E1383" t="s">
        <v>74</v>
      </c>
      <c r="F1383" t="s">
        <v>25219</v>
      </c>
      <c r="G1383" t="s">
        <v>74</v>
      </c>
      <c r="H1383" t="s">
        <v>74</v>
      </c>
      <c r="I1383" t="s">
        <v>25220</v>
      </c>
      <c r="J1383" t="s">
        <v>14654</v>
      </c>
      <c r="K1383" t="s">
        <v>74</v>
      </c>
      <c r="L1383" t="s">
        <v>74</v>
      </c>
      <c r="M1383" t="s">
        <v>79</v>
      </c>
      <c r="N1383" t="s">
        <v>108</v>
      </c>
      <c r="O1383" t="s">
        <v>74</v>
      </c>
      <c r="P1383" t="s">
        <v>74</v>
      </c>
      <c r="Q1383" t="s">
        <v>74</v>
      </c>
      <c r="R1383" t="s">
        <v>74</v>
      </c>
      <c r="S1383" t="s">
        <v>74</v>
      </c>
      <c r="T1383" t="s">
        <v>74</v>
      </c>
      <c r="U1383" t="s">
        <v>25221</v>
      </c>
      <c r="V1383" t="s">
        <v>25222</v>
      </c>
      <c r="W1383" t="s">
        <v>25223</v>
      </c>
      <c r="X1383" t="s">
        <v>25224</v>
      </c>
      <c r="Y1383" t="s">
        <v>25225</v>
      </c>
      <c r="Z1383" t="s">
        <v>25226</v>
      </c>
      <c r="AA1383" t="s">
        <v>25227</v>
      </c>
      <c r="AB1383" t="s">
        <v>25228</v>
      </c>
      <c r="AC1383" t="s">
        <v>25229</v>
      </c>
      <c r="AD1383" t="s">
        <v>25230</v>
      </c>
      <c r="AE1383" t="s">
        <v>25231</v>
      </c>
      <c r="AF1383" t="s">
        <v>74</v>
      </c>
      <c r="AG1383">
        <v>69</v>
      </c>
      <c r="AH1383">
        <v>1</v>
      </c>
      <c r="AI1383">
        <v>1</v>
      </c>
      <c r="AJ1383">
        <v>13</v>
      </c>
      <c r="AK1383">
        <v>15</v>
      </c>
      <c r="AL1383" t="s">
        <v>1880</v>
      </c>
      <c r="AM1383" t="s">
        <v>369</v>
      </c>
      <c r="AN1383" t="s">
        <v>1881</v>
      </c>
      <c r="AO1383" t="s">
        <v>74</v>
      </c>
      <c r="AP1383" t="s">
        <v>14666</v>
      </c>
      <c r="AQ1383" t="s">
        <v>74</v>
      </c>
      <c r="AR1383" t="s">
        <v>14667</v>
      </c>
      <c r="AS1383" t="s">
        <v>14668</v>
      </c>
      <c r="AT1383" t="s">
        <v>8418</v>
      </c>
      <c r="AU1383">
        <v>2023</v>
      </c>
      <c r="AV1383">
        <v>14</v>
      </c>
      <c r="AW1383">
        <v>1</v>
      </c>
      <c r="AX1383" t="s">
        <v>74</v>
      </c>
      <c r="AY1383" t="s">
        <v>74</v>
      </c>
      <c r="AZ1383" t="s">
        <v>74</v>
      </c>
      <c r="BA1383" t="s">
        <v>74</v>
      </c>
      <c r="BB1383" t="s">
        <v>74</v>
      </c>
      <c r="BC1383" t="s">
        <v>74</v>
      </c>
      <c r="BD1383">
        <v>4547</v>
      </c>
      <c r="BE1383" t="s">
        <v>25232</v>
      </c>
      <c r="BF1383" t="str">
        <f>HYPERLINK("http://dx.doi.org/10.1038/s41467-023-40141-z","http://dx.doi.org/10.1038/s41467-023-40141-z")</f>
        <v>http://dx.doi.org/10.1038/s41467-023-40141-z</v>
      </c>
      <c r="BG1383" t="s">
        <v>74</v>
      </c>
      <c r="BH1383" t="s">
        <v>74</v>
      </c>
      <c r="BI1383">
        <v>15</v>
      </c>
      <c r="BJ1383" t="s">
        <v>5686</v>
      </c>
      <c r="BK1383" t="s">
        <v>130</v>
      </c>
      <c r="BL1383" t="s">
        <v>5687</v>
      </c>
      <c r="BM1383" t="s">
        <v>25233</v>
      </c>
      <c r="BN1383">
        <v>37550277</v>
      </c>
      <c r="BO1383" t="s">
        <v>14333</v>
      </c>
      <c r="BP1383" t="s">
        <v>74</v>
      </c>
      <c r="BQ1383" t="s">
        <v>74</v>
      </c>
      <c r="BR1383" t="s">
        <v>101</v>
      </c>
      <c r="BS1383" t="s">
        <v>25234</v>
      </c>
      <c r="BT1383" t="str">
        <f>HYPERLINK("https%3A%2F%2Fwww.webofscience.com%2Fwos%2Fwoscc%2Ffull-record%2FWOS:001045127700014","View Full Record in Web of Science")</f>
        <v>View Full Record in Web of Science</v>
      </c>
    </row>
    <row r="1384" spans="1:72" x14ac:dyDescent="0.2">
      <c r="A1384" t="s">
        <v>72</v>
      </c>
      <c r="B1384" t="s">
        <v>25235</v>
      </c>
      <c r="C1384" t="s">
        <v>74</v>
      </c>
      <c r="D1384" t="s">
        <v>74</v>
      </c>
      <c r="E1384" t="s">
        <v>284</v>
      </c>
      <c r="F1384" t="s">
        <v>25236</v>
      </c>
      <c r="G1384" t="s">
        <v>74</v>
      </c>
      <c r="H1384" t="s">
        <v>74</v>
      </c>
      <c r="I1384" t="s">
        <v>25237</v>
      </c>
      <c r="J1384" t="s">
        <v>15616</v>
      </c>
      <c r="K1384" t="s">
        <v>15617</v>
      </c>
      <c r="L1384" t="s">
        <v>74</v>
      </c>
      <c r="M1384" t="s">
        <v>79</v>
      </c>
      <c r="N1384" t="s">
        <v>80</v>
      </c>
      <c r="O1384" t="s">
        <v>15618</v>
      </c>
      <c r="P1384" t="s">
        <v>15619</v>
      </c>
      <c r="Q1384" t="s">
        <v>15620</v>
      </c>
      <c r="R1384" t="s">
        <v>15621</v>
      </c>
      <c r="S1384" t="s">
        <v>74</v>
      </c>
      <c r="T1384" t="s">
        <v>74</v>
      </c>
      <c r="U1384" t="s">
        <v>74</v>
      </c>
      <c r="V1384" t="s">
        <v>25238</v>
      </c>
      <c r="W1384" t="s">
        <v>25239</v>
      </c>
      <c r="X1384" t="s">
        <v>25240</v>
      </c>
      <c r="Y1384" t="s">
        <v>25241</v>
      </c>
      <c r="Z1384" t="s">
        <v>25242</v>
      </c>
      <c r="AA1384" t="s">
        <v>74</v>
      </c>
      <c r="AB1384" t="s">
        <v>74</v>
      </c>
      <c r="AC1384" t="s">
        <v>25243</v>
      </c>
      <c r="AD1384" t="s">
        <v>25244</v>
      </c>
      <c r="AE1384" t="s">
        <v>25245</v>
      </c>
      <c r="AF1384" t="s">
        <v>74</v>
      </c>
      <c r="AG1384">
        <v>36</v>
      </c>
      <c r="AH1384">
        <v>0</v>
      </c>
      <c r="AI1384">
        <v>0</v>
      </c>
      <c r="AJ1384">
        <v>0</v>
      </c>
      <c r="AK1384">
        <v>0</v>
      </c>
      <c r="AL1384" t="s">
        <v>284</v>
      </c>
      <c r="AM1384" t="s">
        <v>93</v>
      </c>
      <c r="AN1384" t="s">
        <v>299</v>
      </c>
      <c r="AO1384" t="s">
        <v>15630</v>
      </c>
      <c r="AP1384" t="s">
        <v>74</v>
      </c>
      <c r="AQ1384" t="s">
        <v>15631</v>
      </c>
      <c r="AR1384" t="s">
        <v>15632</v>
      </c>
      <c r="AS1384" t="s">
        <v>74</v>
      </c>
      <c r="AT1384" t="s">
        <v>74</v>
      </c>
      <c r="AU1384">
        <v>2023</v>
      </c>
      <c r="AV1384" t="s">
        <v>74</v>
      </c>
      <c r="AW1384" t="s">
        <v>74</v>
      </c>
      <c r="AX1384" t="s">
        <v>74</v>
      </c>
      <c r="AY1384" t="s">
        <v>74</v>
      </c>
      <c r="AZ1384" t="s">
        <v>74</v>
      </c>
      <c r="BA1384" t="s">
        <v>74</v>
      </c>
      <c r="BB1384" t="s">
        <v>74</v>
      </c>
      <c r="BC1384" t="s">
        <v>74</v>
      </c>
      <c r="BD1384" t="s">
        <v>74</v>
      </c>
      <c r="BE1384" t="s">
        <v>25246</v>
      </c>
      <c r="BF1384" t="str">
        <f>HYPERLINK("http://dx.doi.org/10.1109/IJCNN54540.2023.10191440","http://dx.doi.org/10.1109/IJCNN54540.2023.10191440")</f>
        <v>http://dx.doi.org/10.1109/IJCNN54540.2023.10191440</v>
      </c>
      <c r="BG1384" t="s">
        <v>74</v>
      </c>
      <c r="BH1384" t="s">
        <v>74</v>
      </c>
      <c r="BI1384">
        <v>10</v>
      </c>
      <c r="BJ1384" t="s">
        <v>15634</v>
      </c>
      <c r="BK1384" t="s">
        <v>98</v>
      </c>
      <c r="BL1384" t="s">
        <v>906</v>
      </c>
      <c r="BM1384" t="s">
        <v>15635</v>
      </c>
      <c r="BN1384" t="s">
        <v>74</v>
      </c>
      <c r="BO1384" t="s">
        <v>646</v>
      </c>
      <c r="BP1384" t="s">
        <v>74</v>
      </c>
      <c r="BQ1384" t="s">
        <v>74</v>
      </c>
      <c r="BR1384" t="s">
        <v>101</v>
      </c>
      <c r="BS1384" t="s">
        <v>25247</v>
      </c>
      <c r="BT1384" t="str">
        <f>HYPERLINK("https%3A%2F%2Fwww.webofscience.com%2Fwos%2Fwoscc%2Ffull-record%2FWOS:001046198703022","View Full Record in Web of Science")</f>
        <v>View Full Record in Web of Science</v>
      </c>
    </row>
    <row r="1385" spans="1:72" x14ac:dyDescent="0.2">
      <c r="A1385" t="s">
        <v>103</v>
      </c>
      <c r="B1385" t="s">
        <v>25248</v>
      </c>
      <c r="C1385" t="s">
        <v>74</v>
      </c>
      <c r="D1385" t="s">
        <v>74</v>
      </c>
      <c r="E1385" t="s">
        <v>74</v>
      </c>
      <c r="F1385" t="s">
        <v>25249</v>
      </c>
      <c r="G1385" t="s">
        <v>74</v>
      </c>
      <c r="H1385" t="s">
        <v>74</v>
      </c>
      <c r="I1385" t="s">
        <v>25250</v>
      </c>
      <c r="J1385" t="s">
        <v>25251</v>
      </c>
      <c r="K1385" t="s">
        <v>74</v>
      </c>
      <c r="L1385" t="s">
        <v>74</v>
      </c>
      <c r="M1385" t="s">
        <v>79</v>
      </c>
      <c r="N1385" t="s">
        <v>108</v>
      </c>
      <c r="O1385" t="s">
        <v>74</v>
      </c>
      <c r="P1385" t="s">
        <v>74</v>
      </c>
      <c r="Q1385" t="s">
        <v>74</v>
      </c>
      <c r="R1385" t="s">
        <v>74</v>
      </c>
      <c r="S1385" t="s">
        <v>74</v>
      </c>
      <c r="T1385" t="s">
        <v>25252</v>
      </c>
      <c r="U1385" t="s">
        <v>74</v>
      </c>
      <c r="V1385" t="s">
        <v>25253</v>
      </c>
      <c r="W1385" t="s">
        <v>25254</v>
      </c>
      <c r="X1385" t="s">
        <v>25255</v>
      </c>
      <c r="Y1385" t="s">
        <v>25256</v>
      </c>
      <c r="Z1385" t="s">
        <v>25257</v>
      </c>
      <c r="AA1385" t="s">
        <v>25258</v>
      </c>
      <c r="AB1385" t="s">
        <v>25259</v>
      </c>
      <c r="AC1385" t="s">
        <v>25260</v>
      </c>
      <c r="AD1385" t="s">
        <v>25261</v>
      </c>
      <c r="AE1385" t="s">
        <v>25262</v>
      </c>
      <c r="AF1385" t="s">
        <v>74</v>
      </c>
      <c r="AG1385">
        <v>38</v>
      </c>
      <c r="AH1385">
        <v>5</v>
      </c>
      <c r="AI1385">
        <v>5</v>
      </c>
      <c r="AJ1385">
        <v>8</v>
      </c>
      <c r="AK1385">
        <v>10</v>
      </c>
      <c r="AL1385" t="s">
        <v>1379</v>
      </c>
      <c r="AM1385" t="s">
        <v>1380</v>
      </c>
      <c r="AN1385" t="s">
        <v>1381</v>
      </c>
      <c r="AO1385" t="s">
        <v>25263</v>
      </c>
      <c r="AP1385" t="s">
        <v>25264</v>
      </c>
      <c r="AQ1385" t="s">
        <v>74</v>
      </c>
      <c r="AR1385" t="s">
        <v>25265</v>
      </c>
      <c r="AS1385" t="s">
        <v>25266</v>
      </c>
      <c r="AT1385" t="s">
        <v>74</v>
      </c>
      <c r="AU1385">
        <v>2023</v>
      </c>
      <c r="AV1385">
        <v>61</v>
      </c>
      <c r="AW1385" t="s">
        <v>74</v>
      </c>
      <c r="AX1385" t="s">
        <v>74</v>
      </c>
      <c r="AY1385" t="s">
        <v>74</v>
      </c>
      <c r="AZ1385" t="s">
        <v>74</v>
      </c>
      <c r="BA1385" t="s">
        <v>74</v>
      </c>
      <c r="BB1385" t="s">
        <v>74</v>
      </c>
      <c r="BC1385" t="s">
        <v>74</v>
      </c>
      <c r="BD1385">
        <v>2002315</v>
      </c>
      <c r="BE1385" t="s">
        <v>25267</v>
      </c>
      <c r="BF1385" t="str">
        <f>HYPERLINK("http://dx.doi.org/10.1109/TGRS.2023.3283607","http://dx.doi.org/10.1109/TGRS.2023.3283607")</f>
        <v>http://dx.doi.org/10.1109/TGRS.2023.3283607</v>
      </c>
      <c r="BG1385" t="s">
        <v>74</v>
      </c>
      <c r="BH1385" t="s">
        <v>74</v>
      </c>
      <c r="BI1385">
        <v>15</v>
      </c>
      <c r="BJ1385" t="s">
        <v>25268</v>
      </c>
      <c r="BK1385" t="s">
        <v>130</v>
      </c>
      <c r="BL1385" t="s">
        <v>25269</v>
      </c>
      <c r="BM1385" t="s">
        <v>25270</v>
      </c>
      <c r="BN1385" t="s">
        <v>74</v>
      </c>
      <c r="BO1385" t="s">
        <v>161</v>
      </c>
      <c r="BP1385" t="s">
        <v>74</v>
      </c>
      <c r="BQ1385" t="s">
        <v>74</v>
      </c>
      <c r="BR1385" t="s">
        <v>101</v>
      </c>
      <c r="BS1385" t="s">
        <v>25271</v>
      </c>
      <c r="BT1385" t="str">
        <f>HYPERLINK("https%3A%2F%2Fwww.webofscience.com%2Fwos%2Fwoscc%2Ffull-record%2FWOS:001018689000003","View Full Record in Web of Science")</f>
        <v>View Full Record in Web of Science</v>
      </c>
    </row>
    <row r="1386" spans="1:72" x14ac:dyDescent="0.2">
      <c r="A1386" t="s">
        <v>72</v>
      </c>
      <c r="B1386" t="s">
        <v>25272</v>
      </c>
      <c r="C1386" t="s">
        <v>74</v>
      </c>
      <c r="D1386" t="s">
        <v>74</v>
      </c>
      <c r="E1386" t="s">
        <v>284</v>
      </c>
      <c r="F1386" t="s">
        <v>25273</v>
      </c>
      <c r="G1386" t="s">
        <v>74</v>
      </c>
      <c r="H1386" t="s">
        <v>74</v>
      </c>
      <c r="I1386" t="s">
        <v>25274</v>
      </c>
      <c r="J1386" t="s">
        <v>8245</v>
      </c>
      <c r="K1386" t="s">
        <v>8246</v>
      </c>
      <c r="L1386" t="s">
        <v>74</v>
      </c>
      <c r="M1386" t="s">
        <v>79</v>
      </c>
      <c r="N1386" t="s">
        <v>80</v>
      </c>
      <c r="O1386" t="s">
        <v>8247</v>
      </c>
      <c r="P1386" t="s">
        <v>8248</v>
      </c>
      <c r="Q1386" t="s">
        <v>6017</v>
      </c>
      <c r="R1386" t="s">
        <v>8249</v>
      </c>
      <c r="S1386" t="s">
        <v>74</v>
      </c>
      <c r="T1386" t="s">
        <v>74</v>
      </c>
      <c r="U1386" t="s">
        <v>74</v>
      </c>
      <c r="V1386" t="s">
        <v>25275</v>
      </c>
      <c r="W1386" t="s">
        <v>25276</v>
      </c>
      <c r="X1386" t="s">
        <v>25277</v>
      </c>
      <c r="Y1386" t="s">
        <v>25278</v>
      </c>
      <c r="Z1386" t="s">
        <v>74</v>
      </c>
      <c r="AA1386" t="s">
        <v>74</v>
      </c>
      <c r="AB1386" t="s">
        <v>74</v>
      </c>
      <c r="AC1386" t="s">
        <v>74</v>
      </c>
      <c r="AD1386" t="s">
        <v>74</v>
      </c>
      <c r="AE1386" t="s">
        <v>74</v>
      </c>
      <c r="AF1386" t="s">
        <v>74</v>
      </c>
      <c r="AG1386">
        <v>63</v>
      </c>
      <c r="AH1386">
        <v>0</v>
      </c>
      <c r="AI1386">
        <v>0</v>
      </c>
      <c r="AJ1386">
        <v>1</v>
      </c>
      <c r="AK1386">
        <v>1</v>
      </c>
      <c r="AL1386" t="s">
        <v>638</v>
      </c>
      <c r="AM1386" t="s">
        <v>639</v>
      </c>
      <c r="AN1386" t="s">
        <v>640</v>
      </c>
      <c r="AO1386" t="s">
        <v>8260</v>
      </c>
      <c r="AP1386" t="s">
        <v>74</v>
      </c>
      <c r="AQ1386" t="s">
        <v>8261</v>
      </c>
      <c r="AR1386" t="s">
        <v>8262</v>
      </c>
      <c r="AS1386" t="s">
        <v>74</v>
      </c>
      <c r="AT1386" t="s">
        <v>74</v>
      </c>
      <c r="AU1386">
        <v>2023</v>
      </c>
      <c r="AV1386" t="s">
        <v>74</v>
      </c>
      <c r="AW1386" t="s">
        <v>74</v>
      </c>
      <c r="AX1386" t="s">
        <v>74</v>
      </c>
      <c r="AY1386" t="s">
        <v>74</v>
      </c>
      <c r="AZ1386" t="s">
        <v>74</v>
      </c>
      <c r="BA1386" t="s">
        <v>74</v>
      </c>
      <c r="BB1386">
        <v>14224</v>
      </c>
      <c r="BC1386">
        <v>14234</v>
      </c>
      <c r="BD1386" t="s">
        <v>74</v>
      </c>
      <c r="BE1386" t="s">
        <v>25279</v>
      </c>
      <c r="BF1386" t="str">
        <f>HYPERLINK("http://dx.doi.org/10.1109/CVPR52729.2023.01367","http://dx.doi.org/10.1109/CVPR52729.2023.01367")</f>
        <v>http://dx.doi.org/10.1109/CVPR52729.2023.01367</v>
      </c>
      <c r="BG1386" t="s">
        <v>74</v>
      </c>
      <c r="BH1386" t="s">
        <v>74</v>
      </c>
      <c r="BI1386">
        <v>11</v>
      </c>
      <c r="BJ1386" t="s">
        <v>304</v>
      </c>
      <c r="BK1386" t="s">
        <v>98</v>
      </c>
      <c r="BL1386" t="s">
        <v>99</v>
      </c>
      <c r="BM1386" t="s">
        <v>8264</v>
      </c>
      <c r="BN1386" t="s">
        <v>74</v>
      </c>
      <c r="BO1386" t="s">
        <v>646</v>
      </c>
      <c r="BP1386" t="s">
        <v>74</v>
      </c>
      <c r="BQ1386" t="s">
        <v>74</v>
      </c>
      <c r="BR1386" t="s">
        <v>101</v>
      </c>
      <c r="BS1386" t="s">
        <v>25280</v>
      </c>
      <c r="BT1386" t="str">
        <f>HYPERLINK("https%3A%2F%2Fwww.webofscience.com%2Fwos%2Fwoscc%2Ffull-record%2FWOS:001062522106053","View Full Record in Web of Science")</f>
        <v>View Full Record in Web of Science</v>
      </c>
    </row>
    <row r="1387" spans="1:72" x14ac:dyDescent="0.2">
      <c r="A1387" t="s">
        <v>103</v>
      </c>
      <c r="B1387" t="s">
        <v>25281</v>
      </c>
      <c r="C1387" t="s">
        <v>74</v>
      </c>
      <c r="D1387" t="s">
        <v>74</v>
      </c>
      <c r="E1387" t="s">
        <v>74</v>
      </c>
      <c r="F1387" t="s">
        <v>25282</v>
      </c>
      <c r="G1387" t="s">
        <v>74</v>
      </c>
      <c r="H1387" t="s">
        <v>74</v>
      </c>
      <c r="I1387" t="s">
        <v>25283</v>
      </c>
      <c r="J1387" t="s">
        <v>6611</v>
      </c>
      <c r="K1387" t="s">
        <v>74</v>
      </c>
      <c r="L1387" t="s">
        <v>74</v>
      </c>
      <c r="M1387" t="s">
        <v>79</v>
      </c>
      <c r="N1387" t="s">
        <v>108</v>
      </c>
      <c r="O1387" t="s">
        <v>74</v>
      </c>
      <c r="P1387" t="s">
        <v>74</v>
      </c>
      <c r="Q1387" t="s">
        <v>74</v>
      </c>
      <c r="R1387" t="s">
        <v>74</v>
      </c>
      <c r="S1387" t="s">
        <v>74</v>
      </c>
      <c r="T1387" t="s">
        <v>25284</v>
      </c>
      <c r="U1387" t="s">
        <v>25285</v>
      </c>
      <c r="V1387" t="s">
        <v>25286</v>
      </c>
      <c r="W1387" t="s">
        <v>25287</v>
      </c>
      <c r="X1387" t="s">
        <v>25288</v>
      </c>
      <c r="Y1387" t="s">
        <v>25289</v>
      </c>
      <c r="Z1387" t="s">
        <v>25290</v>
      </c>
      <c r="AA1387" t="s">
        <v>20259</v>
      </c>
      <c r="AB1387" t="s">
        <v>25291</v>
      </c>
      <c r="AC1387" t="s">
        <v>25292</v>
      </c>
      <c r="AD1387" t="s">
        <v>25293</v>
      </c>
      <c r="AE1387" t="s">
        <v>25294</v>
      </c>
      <c r="AF1387" t="s">
        <v>74</v>
      </c>
      <c r="AG1387">
        <v>98</v>
      </c>
      <c r="AH1387">
        <v>1</v>
      </c>
      <c r="AI1387">
        <v>1</v>
      </c>
      <c r="AJ1387">
        <v>0</v>
      </c>
      <c r="AK1387">
        <v>0</v>
      </c>
      <c r="AL1387" t="s">
        <v>638</v>
      </c>
      <c r="AM1387" t="s">
        <v>639</v>
      </c>
      <c r="AN1387" t="s">
        <v>1557</v>
      </c>
      <c r="AO1387" t="s">
        <v>6621</v>
      </c>
      <c r="AP1387" t="s">
        <v>6622</v>
      </c>
      <c r="AQ1387" t="s">
        <v>74</v>
      </c>
      <c r="AR1387" t="s">
        <v>6623</v>
      </c>
      <c r="AS1387" t="s">
        <v>6624</v>
      </c>
      <c r="AT1387" t="s">
        <v>527</v>
      </c>
      <c r="AU1387">
        <v>2023</v>
      </c>
      <c r="AV1387">
        <v>45</v>
      </c>
      <c r="AW1387">
        <v>12</v>
      </c>
      <c r="AX1387" t="s">
        <v>74</v>
      </c>
      <c r="AY1387" t="s">
        <v>74</v>
      </c>
      <c r="AZ1387" t="s">
        <v>74</v>
      </c>
      <c r="BA1387" t="s">
        <v>74</v>
      </c>
      <c r="BB1387">
        <v>14435</v>
      </c>
      <c r="BC1387">
        <v>14452</v>
      </c>
      <c r="BD1387" t="s">
        <v>74</v>
      </c>
      <c r="BE1387" t="s">
        <v>25295</v>
      </c>
      <c r="BF1387" t="str">
        <f>HYPERLINK("http://dx.doi.org/10.1109/TPAMI.2023.3298721","http://dx.doi.org/10.1109/TPAMI.2023.3298721")</f>
        <v>http://dx.doi.org/10.1109/TPAMI.2023.3298721</v>
      </c>
      <c r="BG1387" t="s">
        <v>74</v>
      </c>
      <c r="BH1387" t="s">
        <v>74</v>
      </c>
      <c r="BI1387">
        <v>18</v>
      </c>
      <c r="BJ1387" t="s">
        <v>6627</v>
      </c>
      <c r="BK1387" t="s">
        <v>130</v>
      </c>
      <c r="BL1387" t="s">
        <v>906</v>
      </c>
      <c r="BM1387" t="s">
        <v>8203</v>
      </c>
      <c r="BN1387" t="s">
        <v>74</v>
      </c>
      <c r="BO1387" t="s">
        <v>646</v>
      </c>
      <c r="BP1387" t="s">
        <v>74</v>
      </c>
      <c r="BQ1387" t="s">
        <v>74</v>
      </c>
      <c r="BR1387" t="s">
        <v>101</v>
      </c>
      <c r="BS1387" t="s">
        <v>25296</v>
      </c>
      <c r="BT1387" t="str">
        <f>HYPERLINK("https%3A%2F%2Fwww.webofscience.com%2Fwos%2Fwoscc%2Ffull-record%2FWOS:001104973300024","View Full Record in Web of Science")</f>
        <v>View Full Record in Web of Science</v>
      </c>
    </row>
    <row r="1388" spans="1:72" x14ac:dyDescent="0.2">
      <c r="A1388" t="s">
        <v>72</v>
      </c>
      <c r="B1388" t="s">
        <v>25297</v>
      </c>
      <c r="C1388" t="s">
        <v>74</v>
      </c>
      <c r="D1388" t="s">
        <v>74</v>
      </c>
      <c r="E1388" t="s">
        <v>284</v>
      </c>
      <c r="F1388" t="s">
        <v>25298</v>
      </c>
      <c r="G1388" t="s">
        <v>74</v>
      </c>
      <c r="H1388" t="s">
        <v>74</v>
      </c>
      <c r="I1388" t="s">
        <v>25299</v>
      </c>
      <c r="J1388" t="s">
        <v>25300</v>
      </c>
      <c r="K1388" t="s">
        <v>74</v>
      </c>
      <c r="L1388" t="s">
        <v>74</v>
      </c>
      <c r="M1388" t="s">
        <v>79</v>
      </c>
      <c r="N1388" t="s">
        <v>80</v>
      </c>
      <c r="O1388" t="s">
        <v>25301</v>
      </c>
      <c r="P1388" t="s">
        <v>25302</v>
      </c>
      <c r="Q1388" t="s">
        <v>25303</v>
      </c>
      <c r="R1388" t="s">
        <v>25304</v>
      </c>
      <c r="S1388" t="s">
        <v>74</v>
      </c>
      <c r="T1388" t="s">
        <v>74</v>
      </c>
      <c r="U1388" t="s">
        <v>74</v>
      </c>
      <c r="V1388" t="s">
        <v>25305</v>
      </c>
      <c r="W1388" t="s">
        <v>25306</v>
      </c>
      <c r="X1388" t="s">
        <v>25307</v>
      </c>
      <c r="Y1388" t="s">
        <v>25308</v>
      </c>
      <c r="Z1388" t="s">
        <v>25309</v>
      </c>
      <c r="AA1388" t="s">
        <v>25310</v>
      </c>
      <c r="AB1388" t="s">
        <v>74</v>
      </c>
      <c r="AC1388" t="s">
        <v>25311</v>
      </c>
      <c r="AD1388" t="s">
        <v>25312</v>
      </c>
      <c r="AE1388" t="s">
        <v>25313</v>
      </c>
      <c r="AF1388" t="s">
        <v>74</v>
      </c>
      <c r="AG1388">
        <v>55</v>
      </c>
      <c r="AH1388">
        <v>0</v>
      </c>
      <c r="AI1388">
        <v>0</v>
      </c>
      <c r="AJ1388">
        <v>0</v>
      </c>
      <c r="AK1388">
        <v>0</v>
      </c>
      <c r="AL1388" t="s">
        <v>638</v>
      </c>
      <c r="AM1388" t="s">
        <v>639</v>
      </c>
      <c r="AN1388" t="s">
        <v>640</v>
      </c>
      <c r="AO1388" t="s">
        <v>74</v>
      </c>
      <c r="AP1388" t="s">
        <v>74</v>
      </c>
      <c r="AQ1388" t="s">
        <v>25314</v>
      </c>
      <c r="AR1388" t="s">
        <v>74</v>
      </c>
      <c r="AS1388" t="s">
        <v>74</v>
      </c>
      <c r="AT1388" t="s">
        <v>74</v>
      </c>
      <c r="AU1388">
        <v>2023</v>
      </c>
      <c r="AV1388" t="s">
        <v>74</v>
      </c>
      <c r="AW1388" t="s">
        <v>74</v>
      </c>
      <c r="AX1388" t="s">
        <v>74</v>
      </c>
      <c r="AY1388" t="s">
        <v>74</v>
      </c>
      <c r="AZ1388" t="s">
        <v>74</v>
      </c>
      <c r="BA1388" t="s">
        <v>74</v>
      </c>
      <c r="BB1388">
        <v>291</v>
      </c>
      <c r="BC1388">
        <v>305</v>
      </c>
      <c r="BD1388" t="s">
        <v>74</v>
      </c>
      <c r="BE1388" t="s">
        <v>25315</v>
      </c>
      <c r="BF1388" t="str">
        <f>HYPERLINK("http://dx.doi.org/10.1109/SaTML54575.2023.00027","http://dx.doi.org/10.1109/SaTML54575.2023.00027")</f>
        <v>http://dx.doi.org/10.1109/SaTML54575.2023.00027</v>
      </c>
      <c r="BG1388" t="s">
        <v>74</v>
      </c>
      <c r="BH1388" t="s">
        <v>74</v>
      </c>
      <c r="BI1388">
        <v>15</v>
      </c>
      <c r="BJ1388" t="s">
        <v>1069</v>
      </c>
      <c r="BK1388" t="s">
        <v>98</v>
      </c>
      <c r="BL1388" t="s">
        <v>99</v>
      </c>
      <c r="BM1388" t="s">
        <v>25316</v>
      </c>
      <c r="BN1388" t="s">
        <v>74</v>
      </c>
      <c r="BO1388" t="s">
        <v>646</v>
      </c>
      <c r="BP1388" t="s">
        <v>74</v>
      </c>
      <c r="BQ1388" t="s">
        <v>74</v>
      </c>
      <c r="BR1388" t="s">
        <v>101</v>
      </c>
      <c r="BS1388" t="s">
        <v>25317</v>
      </c>
      <c r="BT1388" t="str">
        <f>HYPERLINK("https%3A%2F%2Fwww.webofscience.com%2Fwos%2Fwoscc%2Ffull-record%2FWOS:001012311500017","View Full Record in Web of Science")</f>
        <v>View Full Record in Web of Science</v>
      </c>
    </row>
    <row r="1389" spans="1:72" x14ac:dyDescent="0.2">
      <c r="A1389" t="s">
        <v>72</v>
      </c>
      <c r="B1389" t="s">
        <v>25318</v>
      </c>
      <c r="C1389" t="s">
        <v>74</v>
      </c>
      <c r="D1389" t="s">
        <v>74</v>
      </c>
      <c r="E1389" t="s">
        <v>75</v>
      </c>
      <c r="F1389" t="s">
        <v>25319</v>
      </c>
      <c r="G1389" t="s">
        <v>74</v>
      </c>
      <c r="H1389" t="s">
        <v>74</v>
      </c>
      <c r="I1389" t="s">
        <v>25320</v>
      </c>
      <c r="J1389" t="s">
        <v>2961</v>
      </c>
      <c r="K1389" t="s">
        <v>74</v>
      </c>
      <c r="L1389" t="s">
        <v>74</v>
      </c>
      <c r="M1389" t="s">
        <v>79</v>
      </c>
      <c r="N1389" t="s">
        <v>80</v>
      </c>
      <c r="O1389" t="s">
        <v>2962</v>
      </c>
      <c r="P1389" t="s">
        <v>2963</v>
      </c>
      <c r="Q1389" t="s">
        <v>2964</v>
      </c>
      <c r="R1389" t="s">
        <v>2965</v>
      </c>
      <c r="S1389" t="s">
        <v>74</v>
      </c>
      <c r="T1389" t="s">
        <v>25321</v>
      </c>
      <c r="U1389" t="s">
        <v>74</v>
      </c>
      <c r="V1389" t="s">
        <v>25322</v>
      </c>
      <c r="W1389" t="s">
        <v>25323</v>
      </c>
      <c r="X1389" t="s">
        <v>9982</v>
      </c>
      <c r="Y1389" t="s">
        <v>25324</v>
      </c>
      <c r="Z1389" t="s">
        <v>25325</v>
      </c>
      <c r="AA1389" t="s">
        <v>74</v>
      </c>
      <c r="AB1389" t="s">
        <v>74</v>
      </c>
      <c r="AC1389" t="s">
        <v>74</v>
      </c>
      <c r="AD1389" t="s">
        <v>74</v>
      </c>
      <c r="AE1389" t="s">
        <v>74</v>
      </c>
      <c r="AF1389" t="s">
        <v>74</v>
      </c>
      <c r="AG1389">
        <v>28</v>
      </c>
      <c r="AH1389">
        <v>0</v>
      </c>
      <c r="AI1389">
        <v>0</v>
      </c>
      <c r="AJ1389">
        <v>1</v>
      </c>
      <c r="AK1389">
        <v>1</v>
      </c>
      <c r="AL1389" t="s">
        <v>92</v>
      </c>
      <c r="AM1389" t="s">
        <v>93</v>
      </c>
      <c r="AN1389" t="s">
        <v>94</v>
      </c>
      <c r="AO1389" t="s">
        <v>74</v>
      </c>
      <c r="AP1389" t="s">
        <v>74</v>
      </c>
      <c r="AQ1389" t="s">
        <v>2972</v>
      </c>
      <c r="AR1389" t="s">
        <v>74</v>
      </c>
      <c r="AS1389" t="s">
        <v>74</v>
      </c>
      <c r="AT1389" t="s">
        <v>74</v>
      </c>
      <c r="AU1389">
        <v>2023</v>
      </c>
      <c r="AV1389" t="s">
        <v>74</v>
      </c>
      <c r="AW1389" t="s">
        <v>74</v>
      </c>
      <c r="AX1389" t="s">
        <v>74</v>
      </c>
      <c r="AY1389" t="s">
        <v>74</v>
      </c>
      <c r="AZ1389" t="s">
        <v>74</v>
      </c>
      <c r="BA1389" t="s">
        <v>74</v>
      </c>
      <c r="BB1389">
        <v>90</v>
      </c>
      <c r="BC1389">
        <v>93</v>
      </c>
      <c r="BD1389" t="s">
        <v>74</v>
      </c>
      <c r="BE1389" t="s">
        <v>25326</v>
      </c>
      <c r="BF1389" t="str">
        <f>HYPERLINK("http://dx.doi.org/10.1145/3543873.3587320","http://dx.doi.org/10.1145/3543873.3587320")</f>
        <v>http://dx.doi.org/10.1145/3543873.3587320</v>
      </c>
      <c r="BG1389" t="s">
        <v>74</v>
      </c>
      <c r="BH1389" t="s">
        <v>74</v>
      </c>
      <c r="BI1389">
        <v>4</v>
      </c>
      <c r="BJ1389" t="s">
        <v>1069</v>
      </c>
      <c r="BK1389" t="s">
        <v>98</v>
      </c>
      <c r="BL1389" t="s">
        <v>99</v>
      </c>
      <c r="BM1389" t="s">
        <v>2974</v>
      </c>
      <c r="BN1389" t="s">
        <v>74</v>
      </c>
      <c r="BO1389" t="s">
        <v>646</v>
      </c>
      <c r="BP1389" t="s">
        <v>74</v>
      </c>
      <c r="BQ1389" t="s">
        <v>74</v>
      </c>
      <c r="BR1389" t="s">
        <v>101</v>
      </c>
      <c r="BS1389" t="s">
        <v>25327</v>
      </c>
      <c r="BT1389" t="str">
        <f>HYPERLINK("https%3A%2F%2Fwww.webofscience.com%2Fwos%2Fwoscc%2Ffull-record%2FWOS:001124276300022","View Full Record in Web of Science")</f>
        <v>View Full Record in Web of Science</v>
      </c>
    </row>
    <row r="1390" spans="1:72" x14ac:dyDescent="0.2">
      <c r="A1390" t="s">
        <v>103</v>
      </c>
      <c r="B1390" t="s">
        <v>25328</v>
      </c>
      <c r="C1390" t="s">
        <v>74</v>
      </c>
      <c r="D1390" t="s">
        <v>74</v>
      </c>
      <c r="E1390" t="s">
        <v>74</v>
      </c>
      <c r="F1390" t="s">
        <v>25329</v>
      </c>
      <c r="G1390" t="s">
        <v>74</v>
      </c>
      <c r="H1390" t="s">
        <v>74</v>
      </c>
      <c r="I1390" t="s">
        <v>25330</v>
      </c>
      <c r="J1390" t="s">
        <v>3782</v>
      </c>
      <c r="K1390" t="s">
        <v>74</v>
      </c>
      <c r="L1390" t="s">
        <v>74</v>
      </c>
      <c r="M1390" t="s">
        <v>79</v>
      </c>
      <c r="N1390" t="s">
        <v>108</v>
      </c>
      <c r="O1390" t="s">
        <v>74</v>
      </c>
      <c r="P1390" t="s">
        <v>74</v>
      </c>
      <c r="Q1390" t="s">
        <v>74</v>
      </c>
      <c r="R1390" t="s">
        <v>74</v>
      </c>
      <c r="S1390" t="s">
        <v>74</v>
      </c>
      <c r="T1390" t="s">
        <v>25331</v>
      </c>
      <c r="U1390" t="s">
        <v>25332</v>
      </c>
      <c r="V1390" t="s">
        <v>25333</v>
      </c>
      <c r="W1390" t="s">
        <v>25334</v>
      </c>
      <c r="X1390" t="s">
        <v>25335</v>
      </c>
      <c r="Y1390" t="s">
        <v>25336</v>
      </c>
      <c r="Z1390" t="s">
        <v>25337</v>
      </c>
      <c r="AA1390" t="s">
        <v>74</v>
      </c>
      <c r="AB1390" t="s">
        <v>25338</v>
      </c>
      <c r="AC1390" t="s">
        <v>25339</v>
      </c>
      <c r="AD1390" t="s">
        <v>25340</v>
      </c>
      <c r="AE1390" t="s">
        <v>25341</v>
      </c>
      <c r="AF1390" t="s">
        <v>74</v>
      </c>
      <c r="AG1390">
        <v>117</v>
      </c>
      <c r="AH1390">
        <v>2</v>
      </c>
      <c r="AI1390">
        <v>2</v>
      </c>
      <c r="AJ1390">
        <v>3</v>
      </c>
      <c r="AK1390">
        <v>3</v>
      </c>
      <c r="AL1390" t="s">
        <v>1379</v>
      </c>
      <c r="AM1390" t="s">
        <v>1380</v>
      </c>
      <c r="AN1390" t="s">
        <v>1381</v>
      </c>
      <c r="AO1390" t="s">
        <v>3794</v>
      </c>
      <c r="AP1390" t="s">
        <v>3795</v>
      </c>
      <c r="AQ1390" t="s">
        <v>74</v>
      </c>
      <c r="AR1390" t="s">
        <v>3796</v>
      </c>
      <c r="AS1390" t="s">
        <v>3797</v>
      </c>
      <c r="AT1390" t="s">
        <v>74</v>
      </c>
      <c r="AU1390">
        <v>2023</v>
      </c>
      <c r="AV1390">
        <v>25</v>
      </c>
      <c r="AW1390" t="s">
        <v>74</v>
      </c>
      <c r="AX1390" t="s">
        <v>74</v>
      </c>
      <c r="AY1390" t="s">
        <v>74</v>
      </c>
      <c r="AZ1390" t="s">
        <v>74</v>
      </c>
      <c r="BA1390" t="s">
        <v>74</v>
      </c>
      <c r="BB1390">
        <v>7837</v>
      </c>
      <c r="BC1390">
        <v>7850</v>
      </c>
      <c r="BD1390" t="s">
        <v>74</v>
      </c>
      <c r="BE1390" t="s">
        <v>25342</v>
      </c>
      <c r="BF1390" t="str">
        <f>HYPERLINK("http://dx.doi.org/10.1109/TMM.2022.3229976","http://dx.doi.org/10.1109/TMM.2022.3229976")</f>
        <v>http://dx.doi.org/10.1109/TMM.2022.3229976</v>
      </c>
      <c r="BG1390" t="s">
        <v>74</v>
      </c>
      <c r="BH1390" t="s">
        <v>74</v>
      </c>
      <c r="BI1390">
        <v>14</v>
      </c>
      <c r="BJ1390" t="s">
        <v>3799</v>
      </c>
      <c r="BK1390" t="s">
        <v>130</v>
      </c>
      <c r="BL1390" t="s">
        <v>644</v>
      </c>
      <c r="BM1390" t="s">
        <v>25343</v>
      </c>
      <c r="BN1390" t="s">
        <v>74</v>
      </c>
      <c r="BO1390" t="s">
        <v>646</v>
      </c>
      <c r="BP1390" t="s">
        <v>74</v>
      </c>
      <c r="BQ1390" t="s">
        <v>74</v>
      </c>
      <c r="BR1390" t="s">
        <v>101</v>
      </c>
      <c r="BS1390" t="s">
        <v>25344</v>
      </c>
      <c r="BT1390" t="str">
        <f>HYPERLINK("https%3A%2F%2Fwww.webofscience.com%2Fwos%2Fwoscc%2Ffull-record%2FWOS:001121212400018","View Full Record in Web of Science")</f>
        <v>View Full Record in Web of Science</v>
      </c>
    </row>
    <row r="1391" spans="1:72" x14ac:dyDescent="0.2">
      <c r="A1391" t="s">
        <v>72</v>
      </c>
      <c r="B1391" t="s">
        <v>25345</v>
      </c>
      <c r="C1391" t="s">
        <v>74</v>
      </c>
      <c r="D1391" t="s">
        <v>74</v>
      </c>
      <c r="E1391" t="s">
        <v>284</v>
      </c>
      <c r="F1391" t="s">
        <v>25346</v>
      </c>
      <c r="G1391" t="s">
        <v>74</v>
      </c>
      <c r="H1391" t="s">
        <v>74</v>
      </c>
      <c r="I1391" t="s">
        <v>25347</v>
      </c>
      <c r="J1391" t="s">
        <v>21627</v>
      </c>
      <c r="K1391" t="s">
        <v>21628</v>
      </c>
      <c r="L1391" t="s">
        <v>74</v>
      </c>
      <c r="M1391" t="s">
        <v>79</v>
      </c>
      <c r="N1391" t="s">
        <v>80</v>
      </c>
      <c r="O1391" t="s">
        <v>21629</v>
      </c>
      <c r="P1391" t="s">
        <v>21630</v>
      </c>
      <c r="Q1391" t="s">
        <v>3660</v>
      </c>
      <c r="R1391" t="s">
        <v>21631</v>
      </c>
      <c r="S1391" t="s">
        <v>74</v>
      </c>
      <c r="T1391" t="s">
        <v>74</v>
      </c>
      <c r="U1391" t="s">
        <v>74</v>
      </c>
      <c r="V1391" t="s">
        <v>25348</v>
      </c>
      <c r="W1391" t="s">
        <v>25349</v>
      </c>
      <c r="X1391" t="s">
        <v>25350</v>
      </c>
      <c r="Y1391" t="s">
        <v>25351</v>
      </c>
      <c r="Z1391" t="s">
        <v>25352</v>
      </c>
      <c r="AA1391" t="s">
        <v>74</v>
      </c>
      <c r="AB1391" t="s">
        <v>74</v>
      </c>
      <c r="AC1391" t="s">
        <v>25353</v>
      </c>
      <c r="AD1391" t="s">
        <v>25354</v>
      </c>
      <c r="AE1391" t="s">
        <v>25355</v>
      </c>
      <c r="AF1391" t="s">
        <v>74</v>
      </c>
      <c r="AG1391">
        <v>41</v>
      </c>
      <c r="AH1391">
        <v>0</v>
      </c>
      <c r="AI1391">
        <v>0</v>
      </c>
      <c r="AJ1391">
        <v>0</v>
      </c>
      <c r="AK1391">
        <v>0</v>
      </c>
      <c r="AL1391" t="s">
        <v>284</v>
      </c>
      <c r="AM1391" t="s">
        <v>93</v>
      </c>
      <c r="AN1391" t="s">
        <v>299</v>
      </c>
      <c r="AO1391" t="s">
        <v>21641</v>
      </c>
      <c r="AP1391" t="s">
        <v>21642</v>
      </c>
      <c r="AQ1391" t="s">
        <v>21643</v>
      </c>
      <c r="AR1391" t="s">
        <v>21644</v>
      </c>
      <c r="AS1391" t="s">
        <v>74</v>
      </c>
      <c r="AT1391" t="s">
        <v>74</v>
      </c>
      <c r="AU1391">
        <v>2023</v>
      </c>
      <c r="AV1391" t="s">
        <v>74</v>
      </c>
      <c r="AW1391" t="s">
        <v>74</v>
      </c>
      <c r="AX1391" t="s">
        <v>74</v>
      </c>
      <c r="AY1391" t="s">
        <v>74</v>
      </c>
      <c r="AZ1391" t="s">
        <v>74</v>
      </c>
      <c r="BA1391" t="s">
        <v>74</v>
      </c>
      <c r="BB1391">
        <v>5674</v>
      </c>
      <c r="BC1391">
        <v>5680</v>
      </c>
      <c r="BD1391" t="s">
        <v>74</v>
      </c>
      <c r="BE1391" t="s">
        <v>25356</v>
      </c>
      <c r="BF1391" t="str">
        <f>HYPERLINK("http://dx.doi.org/10.1109/ICRA48891.2023.10161427","http://dx.doi.org/10.1109/ICRA48891.2023.10161427")</f>
        <v>http://dx.doi.org/10.1109/ICRA48891.2023.10161427</v>
      </c>
      <c r="BG1391" t="s">
        <v>74</v>
      </c>
      <c r="BH1391" t="s">
        <v>74</v>
      </c>
      <c r="BI1391">
        <v>7</v>
      </c>
      <c r="BJ1391" t="s">
        <v>21646</v>
      </c>
      <c r="BK1391" t="s">
        <v>98</v>
      </c>
      <c r="BL1391" t="s">
        <v>21647</v>
      </c>
      <c r="BM1391" t="s">
        <v>21648</v>
      </c>
      <c r="BN1391" t="s">
        <v>74</v>
      </c>
      <c r="BO1391" t="s">
        <v>646</v>
      </c>
      <c r="BP1391" t="s">
        <v>74</v>
      </c>
      <c r="BQ1391" t="s">
        <v>74</v>
      </c>
      <c r="BR1391" t="s">
        <v>101</v>
      </c>
      <c r="BS1391" t="s">
        <v>25357</v>
      </c>
      <c r="BT1391" t="str">
        <f>HYPERLINK("https%3A%2F%2Fwww.webofscience.com%2Fwos%2Fwoscc%2Ffull-record%2FWOS:001036713004093","View Full Record in Web of Science")</f>
        <v>View Full Record in Web of Science</v>
      </c>
    </row>
    <row r="1392" spans="1:72" x14ac:dyDescent="0.2">
      <c r="A1392" t="s">
        <v>103</v>
      </c>
      <c r="B1392" t="s">
        <v>25358</v>
      </c>
      <c r="C1392" t="s">
        <v>74</v>
      </c>
      <c r="D1392" t="s">
        <v>74</v>
      </c>
      <c r="E1392" t="s">
        <v>74</v>
      </c>
      <c r="F1392" t="s">
        <v>25359</v>
      </c>
      <c r="G1392" t="s">
        <v>74</v>
      </c>
      <c r="H1392" t="s">
        <v>74</v>
      </c>
      <c r="I1392" t="s">
        <v>25360</v>
      </c>
      <c r="J1392" t="s">
        <v>18651</v>
      </c>
      <c r="K1392" t="s">
        <v>74</v>
      </c>
      <c r="L1392" t="s">
        <v>74</v>
      </c>
      <c r="M1392" t="s">
        <v>79</v>
      </c>
      <c r="N1392" t="s">
        <v>138</v>
      </c>
      <c r="O1392" t="s">
        <v>74</v>
      </c>
      <c r="P1392" t="s">
        <v>74</v>
      </c>
      <c r="Q1392" t="s">
        <v>74</v>
      </c>
      <c r="R1392" t="s">
        <v>74</v>
      </c>
      <c r="S1392" t="s">
        <v>74</v>
      </c>
      <c r="T1392" t="s">
        <v>25361</v>
      </c>
      <c r="U1392" t="s">
        <v>74</v>
      </c>
      <c r="V1392" t="s">
        <v>25362</v>
      </c>
      <c r="W1392" t="s">
        <v>25363</v>
      </c>
      <c r="X1392" t="s">
        <v>6615</v>
      </c>
      <c r="Y1392" t="s">
        <v>25364</v>
      </c>
      <c r="Z1392" t="s">
        <v>25365</v>
      </c>
      <c r="AA1392" t="s">
        <v>74</v>
      </c>
      <c r="AB1392" t="s">
        <v>25366</v>
      </c>
      <c r="AC1392" t="s">
        <v>25367</v>
      </c>
      <c r="AD1392" t="s">
        <v>25368</v>
      </c>
      <c r="AE1392" t="s">
        <v>25369</v>
      </c>
      <c r="AF1392" t="s">
        <v>74</v>
      </c>
      <c r="AG1392">
        <v>89</v>
      </c>
      <c r="AH1392">
        <v>0</v>
      </c>
      <c r="AI1392">
        <v>0</v>
      </c>
      <c r="AJ1392">
        <v>3</v>
      </c>
      <c r="AK1392">
        <v>3</v>
      </c>
      <c r="AL1392" t="s">
        <v>343</v>
      </c>
      <c r="AM1392" t="s">
        <v>521</v>
      </c>
      <c r="AN1392" t="s">
        <v>522</v>
      </c>
      <c r="AO1392" t="s">
        <v>18663</v>
      </c>
      <c r="AP1392" t="s">
        <v>18664</v>
      </c>
      <c r="AQ1392" t="s">
        <v>74</v>
      </c>
      <c r="AR1392" t="s">
        <v>18665</v>
      </c>
      <c r="AS1392" t="s">
        <v>18666</v>
      </c>
      <c r="AT1392" t="s">
        <v>17520</v>
      </c>
      <c r="AU1392">
        <v>2023</v>
      </c>
      <c r="AV1392" t="s">
        <v>74</v>
      </c>
      <c r="AW1392" t="s">
        <v>74</v>
      </c>
      <c r="AX1392" t="s">
        <v>74</v>
      </c>
      <c r="AY1392" t="s">
        <v>74</v>
      </c>
      <c r="AZ1392" t="s">
        <v>74</v>
      </c>
      <c r="BA1392" t="s">
        <v>74</v>
      </c>
      <c r="BB1392" t="s">
        <v>74</v>
      </c>
      <c r="BC1392" t="s">
        <v>74</v>
      </c>
      <c r="BD1392" t="s">
        <v>74</v>
      </c>
      <c r="BE1392" t="s">
        <v>25370</v>
      </c>
      <c r="BF1392" t="str">
        <f>HYPERLINK("http://dx.doi.org/10.1007/s11263-023-01903-w","http://dx.doi.org/10.1007/s11263-023-01903-w")</f>
        <v>http://dx.doi.org/10.1007/s11263-023-01903-w</v>
      </c>
      <c r="BG1392" t="s">
        <v>74</v>
      </c>
      <c r="BH1392" t="s">
        <v>278</v>
      </c>
      <c r="BI1392">
        <v>21</v>
      </c>
      <c r="BJ1392" t="s">
        <v>304</v>
      </c>
      <c r="BK1392" t="s">
        <v>130</v>
      </c>
      <c r="BL1392" t="s">
        <v>99</v>
      </c>
      <c r="BM1392" t="s">
        <v>25371</v>
      </c>
      <c r="BN1392" t="s">
        <v>74</v>
      </c>
      <c r="BO1392" t="s">
        <v>646</v>
      </c>
      <c r="BP1392" t="s">
        <v>74</v>
      </c>
      <c r="BQ1392" t="s">
        <v>74</v>
      </c>
      <c r="BR1392" t="s">
        <v>101</v>
      </c>
      <c r="BS1392" t="s">
        <v>25372</v>
      </c>
      <c r="BT1392" t="str">
        <f>HYPERLINK("https%3A%2F%2Fwww.webofscience.com%2Fwos%2Fwoscc%2Ffull-record%2FWOS:001073433200002","View Full Record in Web of Science")</f>
        <v>View Full Record in Web of Science</v>
      </c>
    </row>
    <row r="1393" spans="1:72" x14ac:dyDescent="0.2">
      <c r="A1393" t="s">
        <v>72</v>
      </c>
      <c r="B1393" t="s">
        <v>25373</v>
      </c>
      <c r="C1393" t="s">
        <v>74</v>
      </c>
      <c r="D1393" t="s">
        <v>74</v>
      </c>
      <c r="E1393" t="s">
        <v>92</v>
      </c>
      <c r="F1393" t="s">
        <v>25374</v>
      </c>
      <c r="G1393" t="s">
        <v>74</v>
      </c>
      <c r="H1393" t="s">
        <v>74</v>
      </c>
      <c r="I1393" t="s">
        <v>25375</v>
      </c>
      <c r="J1393" t="s">
        <v>25376</v>
      </c>
      <c r="K1393" t="s">
        <v>74</v>
      </c>
      <c r="L1393" t="s">
        <v>74</v>
      </c>
      <c r="M1393" t="s">
        <v>79</v>
      </c>
      <c r="N1393" t="s">
        <v>80</v>
      </c>
      <c r="O1393" t="s">
        <v>25377</v>
      </c>
      <c r="P1393" t="s">
        <v>21849</v>
      </c>
      <c r="Q1393" t="s">
        <v>25378</v>
      </c>
      <c r="R1393" t="s">
        <v>25379</v>
      </c>
      <c r="S1393" t="s">
        <v>25380</v>
      </c>
      <c r="T1393" t="s">
        <v>25381</v>
      </c>
      <c r="U1393" t="s">
        <v>74</v>
      </c>
      <c r="V1393" t="s">
        <v>25382</v>
      </c>
      <c r="W1393" t="s">
        <v>25383</v>
      </c>
      <c r="X1393" t="s">
        <v>25384</v>
      </c>
      <c r="Y1393" t="s">
        <v>25385</v>
      </c>
      <c r="Z1393" t="s">
        <v>74</v>
      </c>
      <c r="AA1393" t="s">
        <v>74</v>
      </c>
      <c r="AB1393" t="s">
        <v>25386</v>
      </c>
      <c r="AC1393" t="s">
        <v>25387</v>
      </c>
      <c r="AD1393" t="s">
        <v>25388</v>
      </c>
      <c r="AE1393" t="s">
        <v>25389</v>
      </c>
      <c r="AF1393" t="s">
        <v>74</v>
      </c>
      <c r="AG1393">
        <v>89</v>
      </c>
      <c r="AH1393">
        <v>2</v>
      </c>
      <c r="AI1393">
        <v>2</v>
      </c>
      <c r="AJ1393">
        <v>7</v>
      </c>
      <c r="AK1393">
        <v>7</v>
      </c>
      <c r="AL1393" t="s">
        <v>92</v>
      </c>
      <c r="AM1393" t="s">
        <v>93</v>
      </c>
      <c r="AN1393" t="s">
        <v>94</v>
      </c>
      <c r="AO1393" t="s">
        <v>74</v>
      </c>
      <c r="AP1393" t="s">
        <v>74</v>
      </c>
      <c r="AQ1393" t="s">
        <v>25390</v>
      </c>
      <c r="AR1393" t="s">
        <v>74</v>
      </c>
      <c r="AS1393" t="s">
        <v>74</v>
      </c>
      <c r="AT1393" t="s">
        <v>74</v>
      </c>
      <c r="AU1393">
        <v>2023</v>
      </c>
      <c r="AV1393" t="s">
        <v>74</v>
      </c>
      <c r="AW1393" t="s">
        <v>74</v>
      </c>
      <c r="AX1393" t="s">
        <v>74</v>
      </c>
      <c r="AY1393" t="s">
        <v>74</v>
      </c>
      <c r="AZ1393" t="s">
        <v>74</v>
      </c>
      <c r="BA1393" t="s">
        <v>74</v>
      </c>
      <c r="BB1393">
        <v>233</v>
      </c>
      <c r="BC1393">
        <v>248</v>
      </c>
      <c r="BD1393" t="s">
        <v>74</v>
      </c>
      <c r="BE1393" t="s">
        <v>25391</v>
      </c>
      <c r="BF1393" t="str">
        <f>HYPERLINK("http://dx.doi.org/10.1145/3552326.3587438","http://dx.doi.org/10.1145/3552326.3587438")</f>
        <v>http://dx.doi.org/10.1145/3552326.3587438</v>
      </c>
      <c r="BG1393" t="s">
        <v>74</v>
      </c>
      <c r="BH1393" t="s">
        <v>74</v>
      </c>
      <c r="BI1393">
        <v>16</v>
      </c>
      <c r="BJ1393" t="s">
        <v>10428</v>
      </c>
      <c r="BK1393" t="s">
        <v>98</v>
      </c>
      <c r="BL1393" t="s">
        <v>99</v>
      </c>
      <c r="BM1393" t="s">
        <v>25392</v>
      </c>
      <c r="BN1393" t="s">
        <v>74</v>
      </c>
      <c r="BO1393" t="s">
        <v>3333</v>
      </c>
      <c r="BP1393" t="s">
        <v>74</v>
      </c>
      <c r="BQ1393" t="s">
        <v>74</v>
      </c>
      <c r="BR1393" t="s">
        <v>101</v>
      </c>
      <c r="BS1393" t="s">
        <v>25393</v>
      </c>
      <c r="BT1393" t="str">
        <f>HYPERLINK("https%3A%2F%2Fwww.webofscience.com%2Fwos%2Fwoscc%2Ffull-record%2FWOS:001062106700015","View Full Record in Web of Science")</f>
        <v>View Full Record in Web of Science</v>
      </c>
    </row>
    <row r="1394" spans="1:72" x14ac:dyDescent="0.2">
      <c r="A1394" t="s">
        <v>103</v>
      </c>
      <c r="B1394" t="s">
        <v>25394</v>
      </c>
      <c r="C1394" t="s">
        <v>74</v>
      </c>
      <c r="D1394" t="s">
        <v>74</v>
      </c>
      <c r="E1394" t="s">
        <v>74</v>
      </c>
      <c r="F1394" t="s">
        <v>25395</v>
      </c>
      <c r="G1394" t="s">
        <v>74</v>
      </c>
      <c r="H1394" t="s">
        <v>74</v>
      </c>
      <c r="I1394" t="s">
        <v>25396</v>
      </c>
      <c r="J1394" t="s">
        <v>824</v>
      </c>
      <c r="K1394" t="s">
        <v>74</v>
      </c>
      <c r="L1394" t="s">
        <v>74</v>
      </c>
      <c r="M1394" t="s">
        <v>79</v>
      </c>
      <c r="N1394" t="s">
        <v>108</v>
      </c>
      <c r="O1394" t="s">
        <v>74</v>
      </c>
      <c r="P1394" t="s">
        <v>74</v>
      </c>
      <c r="Q1394" t="s">
        <v>74</v>
      </c>
      <c r="R1394" t="s">
        <v>74</v>
      </c>
      <c r="S1394" t="s">
        <v>74</v>
      </c>
      <c r="T1394" t="s">
        <v>25397</v>
      </c>
      <c r="U1394" t="s">
        <v>25398</v>
      </c>
      <c r="V1394" t="s">
        <v>25399</v>
      </c>
      <c r="W1394" t="s">
        <v>25400</v>
      </c>
      <c r="X1394" t="s">
        <v>25401</v>
      </c>
      <c r="Y1394" t="s">
        <v>25402</v>
      </c>
      <c r="Z1394" t="s">
        <v>25403</v>
      </c>
      <c r="AA1394" t="s">
        <v>74</v>
      </c>
      <c r="AB1394" t="s">
        <v>74</v>
      </c>
      <c r="AC1394" t="s">
        <v>25404</v>
      </c>
      <c r="AD1394" t="s">
        <v>25405</v>
      </c>
      <c r="AE1394" t="s">
        <v>25406</v>
      </c>
      <c r="AF1394" t="s">
        <v>74</v>
      </c>
      <c r="AG1394">
        <v>66</v>
      </c>
      <c r="AH1394">
        <v>2</v>
      </c>
      <c r="AI1394">
        <v>2</v>
      </c>
      <c r="AJ1394">
        <v>30</v>
      </c>
      <c r="AK1394">
        <v>30</v>
      </c>
      <c r="AL1394" t="s">
        <v>833</v>
      </c>
      <c r="AM1394" t="s">
        <v>834</v>
      </c>
      <c r="AN1394" t="s">
        <v>835</v>
      </c>
      <c r="AO1394" t="s">
        <v>836</v>
      </c>
      <c r="AP1394" t="s">
        <v>837</v>
      </c>
      <c r="AQ1394" t="s">
        <v>74</v>
      </c>
      <c r="AR1394" t="s">
        <v>838</v>
      </c>
      <c r="AS1394" t="s">
        <v>839</v>
      </c>
      <c r="AT1394" t="s">
        <v>74</v>
      </c>
      <c r="AU1394">
        <v>2023</v>
      </c>
      <c r="AV1394">
        <v>39</v>
      </c>
      <c r="AW1394">
        <v>5</v>
      </c>
      <c r="AX1394" t="s">
        <v>74</v>
      </c>
      <c r="AY1394" t="s">
        <v>74</v>
      </c>
      <c r="AZ1394" t="s">
        <v>74</v>
      </c>
      <c r="BA1394" t="s">
        <v>74</v>
      </c>
      <c r="BB1394">
        <v>40</v>
      </c>
      <c r="BC1394">
        <v>58</v>
      </c>
      <c r="BD1394" t="s">
        <v>74</v>
      </c>
      <c r="BE1394" t="s">
        <v>25407</v>
      </c>
      <c r="BF1394" t="str">
        <f>HYPERLINK("http://dx.doi.org/10.14742/ajet.8923","http://dx.doi.org/10.14742/ajet.8923")</f>
        <v>http://dx.doi.org/10.14742/ajet.8923</v>
      </c>
      <c r="BG1394" t="s">
        <v>74</v>
      </c>
      <c r="BH1394" t="s">
        <v>74</v>
      </c>
      <c r="BI1394">
        <v>19</v>
      </c>
      <c r="BJ1394" t="s">
        <v>423</v>
      </c>
      <c r="BK1394" t="s">
        <v>159</v>
      </c>
      <c r="BL1394" t="s">
        <v>423</v>
      </c>
      <c r="BM1394" t="s">
        <v>841</v>
      </c>
      <c r="BN1394" t="s">
        <v>74</v>
      </c>
      <c r="BO1394" t="s">
        <v>425</v>
      </c>
      <c r="BP1394" t="s">
        <v>74</v>
      </c>
      <c r="BQ1394" t="s">
        <v>74</v>
      </c>
      <c r="BR1394" t="s">
        <v>101</v>
      </c>
      <c r="BS1394" t="s">
        <v>25408</v>
      </c>
      <c r="BT1394" t="str">
        <f>HYPERLINK("https%3A%2F%2Fwww.webofscience.com%2Fwos%2Fwoscc%2Ffull-record%2FWOS:001132966400003","View Full Record in Web of Science")</f>
        <v>View Full Record in Web of Science</v>
      </c>
    </row>
    <row r="1395" spans="1:72" x14ac:dyDescent="0.2">
      <c r="A1395" t="s">
        <v>103</v>
      </c>
      <c r="B1395" t="s">
        <v>25409</v>
      </c>
      <c r="C1395" t="s">
        <v>74</v>
      </c>
      <c r="D1395" t="s">
        <v>74</v>
      </c>
      <c r="E1395" t="s">
        <v>74</v>
      </c>
      <c r="F1395" t="s">
        <v>25410</v>
      </c>
      <c r="G1395" t="s">
        <v>74</v>
      </c>
      <c r="H1395" t="s">
        <v>74</v>
      </c>
      <c r="I1395" t="s">
        <v>25411</v>
      </c>
      <c r="J1395" t="s">
        <v>12753</v>
      </c>
      <c r="K1395" t="s">
        <v>74</v>
      </c>
      <c r="L1395" t="s">
        <v>74</v>
      </c>
      <c r="M1395" t="s">
        <v>79</v>
      </c>
      <c r="N1395" t="s">
        <v>108</v>
      </c>
      <c r="O1395" t="s">
        <v>74</v>
      </c>
      <c r="P1395" t="s">
        <v>74</v>
      </c>
      <c r="Q1395" t="s">
        <v>74</v>
      </c>
      <c r="R1395" t="s">
        <v>74</v>
      </c>
      <c r="S1395" t="s">
        <v>74</v>
      </c>
      <c r="T1395" t="s">
        <v>25412</v>
      </c>
      <c r="U1395" t="s">
        <v>74</v>
      </c>
      <c r="V1395" t="s">
        <v>25413</v>
      </c>
      <c r="W1395" t="s">
        <v>25414</v>
      </c>
      <c r="X1395" t="s">
        <v>25415</v>
      </c>
      <c r="Y1395" t="s">
        <v>25416</v>
      </c>
      <c r="Z1395" t="s">
        <v>25417</v>
      </c>
      <c r="AA1395" t="s">
        <v>74</v>
      </c>
      <c r="AB1395" t="s">
        <v>74</v>
      </c>
      <c r="AC1395" t="s">
        <v>25418</v>
      </c>
      <c r="AD1395" t="s">
        <v>25419</v>
      </c>
      <c r="AE1395" t="s">
        <v>25420</v>
      </c>
      <c r="AF1395" t="s">
        <v>74</v>
      </c>
      <c r="AG1395">
        <v>63</v>
      </c>
      <c r="AH1395">
        <v>0</v>
      </c>
      <c r="AI1395">
        <v>0</v>
      </c>
      <c r="AJ1395">
        <v>7</v>
      </c>
      <c r="AK1395">
        <v>7</v>
      </c>
      <c r="AL1395" t="s">
        <v>270</v>
      </c>
      <c r="AM1395" t="s">
        <v>1424</v>
      </c>
      <c r="AN1395" t="s">
        <v>1425</v>
      </c>
      <c r="AO1395" t="s">
        <v>12766</v>
      </c>
      <c r="AP1395" t="s">
        <v>12767</v>
      </c>
      <c r="AQ1395" t="s">
        <v>74</v>
      </c>
      <c r="AR1395" t="s">
        <v>12768</v>
      </c>
      <c r="AS1395" t="s">
        <v>12769</v>
      </c>
      <c r="AT1395" t="s">
        <v>445</v>
      </c>
      <c r="AU1395">
        <v>2024</v>
      </c>
      <c r="AV1395">
        <v>148</v>
      </c>
      <c r="AW1395" t="s">
        <v>74</v>
      </c>
      <c r="AX1395" t="s">
        <v>74</v>
      </c>
      <c r="AY1395" t="s">
        <v>74</v>
      </c>
      <c r="AZ1395" t="s">
        <v>74</v>
      </c>
      <c r="BA1395" t="s">
        <v>74</v>
      </c>
      <c r="BB1395" t="s">
        <v>74</v>
      </c>
      <c r="BC1395" t="s">
        <v>74</v>
      </c>
      <c r="BD1395">
        <v>110174</v>
      </c>
      <c r="BE1395" t="s">
        <v>25421</v>
      </c>
      <c r="BF1395" t="str">
        <f>HYPERLINK("http://dx.doi.org/10.1016/j.patcog.2023.110174","http://dx.doi.org/10.1016/j.patcog.2023.110174")</f>
        <v>http://dx.doi.org/10.1016/j.patcog.2023.110174</v>
      </c>
      <c r="BG1395" t="s">
        <v>74</v>
      </c>
      <c r="BH1395" t="s">
        <v>128</v>
      </c>
      <c r="BI1395">
        <v>13</v>
      </c>
      <c r="BJ1395" t="s">
        <v>6627</v>
      </c>
      <c r="BK1395" t="s">
        <v>130</v>
      </c>
      <c r="BL1395" t="s">
        <v>906</v>
      </c>
      <c r="BM1395" t="s">
        <v>25422</v>
      </c>
      <c r="BN1395" t="s">
        <v>74</v>
      </c>
      <c r="BO1395" t="s">
        <v>74</v>
      </c>
      <c r="BP1395" t="s">
        <v>74</v>
      </c>
      <c r="BQ1395" t="s">
        <v>74</v>
      </c>
      <c r="BR1395" t="s">
        <v>101</v>
      </c>
      <c r="BS1395" t="s">
        <v>25423</v>
      </c>
      <c r="BT1395" t="str">
        <f>HYPERLINK("https%3A%2F%2Fwww.webofscience.com%2Fwos%2Fwoscc%2Ffull-record%2FWOS:001135273400001","View Full Record in Web of Science")</f>
        <v>View Full Record in Web of Science</v>
      </c>
    </row>
    <row r="1396" spans="1:72" x14ac:dyDescent="0.2">
      <c r="A1396" t="s">
        <v>103</v>
      </c>
      <c r="B1396" t="s">
        <v>25424</v>
      </c>
      <c r="C1396" t="s">
        <v>74</v>
      </c>
      <c r="D1396" t="s">
        <v>74</v>
      </c>
      <c r="E1396" t="s">
        <v>74</v>
      </c>
      <c r="F1396" t="s">
        <v>25425</v>
      </c>
      <c r="G1396" t="s">
        <v>74</v>
      </c>
      <c r="H1396" t="s">
        <v>74</v>
      </c>
      <c r="I1396" t="s">
        <v>25426</v>
      </c>
      <c r="J1396" t="s">
        <v>10184</v>
      </c>
      <c r="K1396" t="s">
        <v>74</v>
      </c>
      <c r="L1396" t="s">
        <v>74</v>
      </c>
      <c r="M1396" t="s">
        <v>79</v>
      </c>
      <c r="N1396" t="s">
        <v>138</v>
      </c>
      <c r="O1396" t="s">
        <v>74</v>
      </c>
      <c r="P1396" t="s">
        <v>74</v>
      </c>
      <c r="Q1396" t="s">
        <v>74</v>
      </c>
      <c r="R1396" t="s">
        <v>74</v>
      </c>
      <c r="S1396" t="s">
        <v>74</v>
      </c>
      <c r="T1396" t="s">
        <v>74</v>
      </c>
      <c r="U1396" t="s">
        <v>11896</v>
      </c>
      <c r="V1396" t="s">
        <v>25427</v>
      </c>
      <c r="W1396" t="s">
        <v>25428</v>
      </c>
      <c r="X1396" t="s">
        <v>19932</v>
      </c>
      <c r="Y1396" t="s">
        <v>25429</v>
      </c>
      <c r="Z1396" t="s">
        <v>25430</v>
      </c>
      <c r="AA1396" t="s">
        <v>74</v>
      </c>
      <c r="AB1396" t="s">
        <v>25431</v>
      </c>
      <c r="AC1396" t="s">
        <v>25432</v>
      </c>
      <c r="AD1396" t="s">
        <v>25433</v>
      </c>
      <c r="AE1396" t="s">
        <v>25434</v>
      </c>
      <c r="AF1396" t="s">
        <v>74</v>
      </c>
      <c r="AG1396">
        <v>44</v>
      </c>
      <c r="AH1396">
        <v>1</v>
      </c>
      <c r="AI1396">
        <v>1</v>
      </c>
      <c r="AJ1396">
        <v>13</v>
      </c>
      <c r="AK1396">
        <v>13</v>
      </c>
      <c r="AL1396" t="s">
        <v>1880</v>
      </c>
      <c r="AM1396" t="s">
        <v>369</v>
      </c>
      <c r="AN1396" t="s">
        <v>1881</v>
      </c>
      <c r="AO1396" t="s">
        <v>74</v>
      </c>
      <c r="AP1396" t="s">
        <v>10196</v>
      </c>
      <c r="AQ1396" t="s">
        <v>74</v>
      </c>
      <c r="AR1396" t="s">
        <v>10197</v>
      </c>
      <c r="AS1396" t="s">
        <v>10198</v>
      </c>
      <c r="AT1396" t="s">
        <v>25435</v>
      </c>
      <c r="AU1396">
        <v>2023</v>
      </c>
      <c r="AV1396" t="s">
        <v>74</v>
      </c>
      <c r="AW1396" t="s">
        <v>74</v>
      </c>
      <c r="AX1396" t="s">
        <v>74</v>
      </c>
      <c r="AY1396" t="s">
        <v>74</v>
      </c>
      <c r="AZ1396" t="s">
        <v>74</v>
      </c>
      <c r="BA1396" t="s">
        <v>74</v>
      </c>
      <c r="BB1396" t="s">
        <v>74</v>
      </c>
      <c r="BC1396" t="s">
        <v>74</v>
      </c>
      <c r="BD1396" t="s">
        <v>74</v>
      </c>
      <c r="BE1396" t="s">
        <v>25436</v>
      </c>
      <c r="BF1396" t="str">
        <f>HYPERLINK("http://dx.doi.org/10.1038/s42256-023-00764-9","http://dx.doi.org/10.1038/s42256-023-00764-9")</f>
        <v>http://dx.doi.org/10.1038/s42256-023-00764-9</v>
      </c>
      <c r="BG1396" t="s">
        <v>74</v>
      </c>
      <c r="BH1396" t="s">
        <v>128</v>
      </c>
      <c r="BI1396">
        <v>10</v>
      </c>
      <c r="BJ1396" t="s">
        <v>1069</v>
      </c>
      <c r="BK1396" t="s">
        <v>130</v>
      </c>
      <c r="BL1396" t="s">
        <v>99</v>
      </c>
      <c r="BM1396" t="s">
        <v>25437</v>
      </c>
      <c r="BN1396" t="s">
        <v>74</v>
      </c>
      <c r="BO1396" t="s">
        <v>646</v>
      </c>
      <c r="BP1396" t="s">
        <v>74</v>
      </c>
      <c r="BQ1396" t="s">
        <v>74</v>
      </c>
      <c r="BR1396" t="s">
        <v>101</v>
      </c>
      <c r="BS1396" t="s">
        <v>25438</v>
      </c>
      <c r="BT1396" t="str">
        <f>HYPERLINK("https%3A%2F%2Fwww.webofscience.com%2Fwos%2Fwoscc%2Ffull-record%2FWOS:001113197500001","View Full Record in Web of Science")</f>
        <v>View Full Record in Web of Science</v>
      </c>
    </row>
    <row r="1397" spans="1:72" x14ac:dyDescent="0.2">
      <c r="A1397" t="s">
        <v>103</v>
      </c>
      <c r="B1397" t="s">
        <v>25439</v>
      </c>
      <c r="C1397" t="s">
        <v>74</v>
      </c>
      <c r="D1397" t="s">
        <v>74</v>
      </c>
      <c r="E1397" t="s">
        <v>74</v>
      </c>
      <c r="F1397" t="s">
        <v>25440</v>
      </c>
      <c r="G1397" t="s">
        <v>74</v>
      </c>
      <c r="H1397" t="s">
        <v>74</v>
      </c>
      <c r="I1397" t="s">
        <v>25441</v>
      </c>
      <c r="J1397" t="s">
        <v>25442</v>
      </c>
      <c r="K1397" t="s">
        <v>74</v>
      </c>
      <c r="L1397" t="s">
        <v>74</v>
      </c>
      <c r="M1397" t="s">
        <v>79</v>
      </c>
      <c r="N1397" t="s">
        <v>108</v>
      </c>
      <c r="O1397" t="s">
        <v>74</v>
      </c>
      <c r="P1397" t="s">
        <v>74</v>
      </c>
      <c r="Q1397" t="s">
        <v>74</v>
      </c>
      <c r="R1397" t="s">
        <v>74</v>
      </c>
      <c r="S1397" t="s">
        <v>74</v>
      </c>
      <c r="T1397" t="s">
        <v>25443</v>
      </c>
      <c r="U1397" t="s">
        <v>25444</v>
      </c>
      <c r="V1397" t="s">
        <v>25445</v>
      </c>
      <c r="W1397" t="s">
        <v>25446</v>
      </c>
      <c r="X1397" t="s">
        <v>25447</v>
      </c>
      <c r="Y1397" t="s">
        <v>25448</v>
      </c>
      <c r="Z1397" t="s">
        <v>25449</v>
      </c>
      <c r="AA1397" t="s">
        <v>25450</v>
      </c>
      <c r="AB1397" t="s">
        <v>25451</v>
      </c>
      <c r="AC1397" t="s">
        <v>25452</v>
      </c>
      <c r="AD1397" t="s">
        <v>25453</v>
      </c>
      <c r="AE1397" t="s">
        <v>25454</v>
      </c>
      <c r="AF1397" t="s">
        <v>74</v>
      </c>
      <c r="AG1397">
        <v>27</v>
      </c>
      <c r="AH1397">
        <v>0</v>
      </c>
      <c r="AI1397">
        <v>0</v>
      </c>
      <c r="AJ1397">
        <v>4</v>
      </c>
      <c r="AK1397">
        <v>6</v>
      </c>
      <c r="AL1397" t="s">
        <v>14682</v>
      </c>
      <c r="AM1397" t="s">
        <v>6998</v>
      </c>
      <c r="AN1397" t="s">
        <v>14683</v>
      </c>
      <c r="AO1397" t="s">
        <v>25455</v>
      </c>
      <c r="AP1397" t="s">
        <v>25456</v>
      </c>
      <c r="AQ1397" t="s">
        <v>74</v>
      </c>
      <c r="AR1397" t="s">
        <v>25457</v>
      </c>
      <c r="AS1397" t="s">
        <v>25458</v>
      </c>
      <c r="AT1397" t="s">
        <v>9007</v>
      </c>
      <c r="AU1397">
        <v>2023</v>
      </c>
      <c r="AV1397">
        <v>64</v>
      </c>
      <c r="AW1397">
        <v>6</v>
      </c>
      <c r="AX1397" t="s">
        <v>74</v>
      </c>
      <c r="AY1397" t="s">
        <v>74</v>
      </c>
      <c r="AZ1397" t="s">
        <v>74</v>
      </c>
      <c r="BA1397" t="s">
        <v>74</v>
      </c>
      <c r="BB1397">
        <v>951</v>
      </c>
      <c r="BC1397">
        <v>959</v>
      </c>
      <c r="BD1397" t="s">
        <v>74</v>
      </c>
      <c r="BE1397" t="s">
        <v>25459</v>
      </c>
      <c r="BF1397" t="str">
        <f>HYPERLINK("http://dx.doi.org/10.2967/jnumed.122.264826","http://dx.doi.org/10.2967/jnumed.122.264826")</f>
        <v>http://dx.doi.org/10.2967/jnumed.122.264826</v>
      </c>
      <c r="BG1397" t="s">
        <v>74</v>
      </c>
      <c r="BH1397" t="s">
        <v>74</v>
      </c>
      <c r="BI1397">
        <v>9</v>
      </c>
      <c r="BJ1397" t="s">
        <v>5360</v>
      </c>
      <c r="BK1397" t="s">
        <v>130</v>
      </c>
      <c r="BL1397" t="s">
        <v>5360</v>
      </c>
      <c r="BM1397" t="s">
        <v>25460</v>
      </c>
      <c r="BN1397">
        <v>37169532</v>
      </c>
      <c r="BO1397" t="s">
        <v>17828</v>
      </c>
      <c r="BP1397" t="s">
        <v>74</v>
      </c>
      <c r="BQ1397" t="s">
        <v>74</v>
      </c>
      <c r="BR1397" t="s">
        <v>101</v>
      </c>
      <c r="BS1397" t="s">
        <v>25461</v>
      </c>
      <c r="BT1397" t="str">
        <f>HYPERLINK("https%3A%2F%2Fwww.webofscience.com%2Fwos%2Fwoscc%2Ffull-record%2FWOS:001030803100021","View Full Record in Web of Science")</f>
        <v>View Full Record in Web of Science</v>
      </c>
    </row>
    <row r="1398" spans="1:72" x14ac:dyDescent="0.2">
      <c r="A1398" t="s">
        <v>103</v>
      </c>
      <c r="B1398" t="s">
        <v>25462</v>
      </c>
      <c r="C1398" t="s">
        <v>74</v>
      </c>
      <c r="D1398" t="s">
        <v>74</v>
      </c>
      <c r="E1398" t="s">
        <v>74</v>
      </c>
      <c r="F1398" t="s">
        <v>25463</v>
      </c>
      <c r="G1398" t="s">
        <v>74</v>
      </c>
      <c r="H1398" t="s">
        <v>74</v>
      </c>
      <c r="I1398" t="s">
        <v>25464</v>
      </c>
      <c r="J1398" t="s">
        <v>1370</v>
      </c>
      <c r="K1398" t="s">
        <v>74</v>
      </c>
      <c r="L1398" t="s">
        <v>74</v>
      </c>
      <c r="M1398" t="s">
        <v>79</v>
      </c>
      <c r="N1398" t="s">
        <v>108</v>
      </c>
      <c r="O1398" t="s">
        <v>74</v>
      </c>
      <c r="P1398" t="s">
        <v>74</v>
      </c>
      <c r="Q1398" t="s">
        <v>74</v>
      </c>
      <c r="R1398" t="s">
        <v>74</v>
      </c>
      <c r="S1398" t="s">
        <v>74</v>
      </c>
      <c r="T1398" t="s">
        <v>25465</v>
      </c>
      <c r="U1398" t="s">
        <v>74</v>
      </c>
      <c r="V1398" t="s">
        <v>25466</v>
      </c>
      <c r="W1398" t="s">
        <v>25467</v>
      </c>
      <c r="X1398" t="s">
        <v>25468</v>
      </c>
      <c r="Y1398" t="s">
        <v>25469</v>
      </c>
      <c r="Z1398" t="s">
        <v>25470</v>
      </c>
      <c r="AA1398" t="s">
        <v>25471</v>
      </c>
      <c r="AB1398" t="s">
        <v>25472</v>
      </c>
      <c r="AC1398" t="s">
        <v>25473</v>
      </c>
      <c r="AD1398" t="s">
        <v>20565</v>
      </c>
      <c r="AE1398" t="s">
        <v>25474</v>
      </c>
      <c r="AF1398" t="s">
        <v>74</v>
      </c>
      <c r="AG1398">
        <v>36</v>
      </c>
      <c r="AH1398">
        <v>0</v>
      </c>
      <c r="AI1398">
        <v>0</v>
      </c>
      <c r="AJ1398">
        <v>6</v>
      </c>
      <c r="AK1398">
        <v>6</v>
      </c>
      <c r="AL1398" t="s">
        <v>1379</v>
      </c>
      <c r="AM1398" t="s">
        <v>1380</v>
      </c>
      <c r="AN1398" t="s">
        <v>1381</v>
      </c>
      <c r="AO1398" t="s">
        <v>1382</v>
      </c>
      <c r="AP1398" t="s">
        <v>74</v>
      </c>
      <c r="AQ1398" t="s">
        <v>74</v>
      </c>
      <c r="AR1398" t="s">
        <v>1370</v>
      </c>
      <c r="AS1398" t="s">
        <v>1383</v>
      </c>
      <c r="AT1398" t="s">
        <v>74</v>
      </c>
      <c r="AU1398">
        <v>2023</v>
      </c>
      <c r="AV1398">
        <v>11</v>
      </c>
      <c r="AW1398" t="s">
        <v>74</v>
      </c>
      <c r="AX1398" t="s">
        <v>74</v>
      </c>
      <c r="AY1398" t="s">
        <v>74</v>
      </c>
      <c r="AZ1398" t="s">
        <v>74</v>
      </c>
      <c r="BA1398" t="s">
        <v>74</v>
      </c>
      <c r="BB1398">
        <v>136541</v>
      </c>
      <c r="BC1398">
        <v>136551</v>
      </c>
      <c r="BD1398" t="s">
        <v>74</v>
      </c>
      <c r="BE1398" t="s">
        <v>25475</v>
      </c>
      <c r="BF1398" t="str">
        <f>HYPERLINK("http://dx.doi.org/10.1109/ACCESS.2023.3337430","http://dx.doi.org/10.1109/ACCESS.2023.3337430")</f>
        <v>http://dx.doi.org/10.1109/ACCESS.2023.3337430</v>
      </c>
      <c r="BG1398" t="s">
        <v>74</v>
      </c>
      <c r="BH1398" t="s">
        <v>74</v>
      </c>
      <c r="BI1398">
        <v>11</v>
      </c>
      <c r="BJ1398" t="s">
        <v>1385</v>
      </c>
      <c r="BK1398" t="s">
        <v>130</v>
      </c>
      <c r="BL1398" t="s">
        <v>1386</v>
      </c>
      <c r="BM1398" t="s">
        <v>25476</v>
      </c>
      <c r="BN1398" t="s">
        <v>74</v>
      </c>
      <c r="BO1398" t="s">
        <v>425</v>
      </c>
      <c r="BP1398" t="s">
        <v>74</v>
      </c>
      <c r="BQ1398" t="s">
        <v>74</v>
      </c>
      <c r="BR1398" t="s">
        <v>101</v>
      </c>
      <c r="BS1398" t="s">
        <v>25477</v>
      </c>
      <c r="BT1398" t="str">
        <f>HYPERLINK("https%3A%2F%2Fwww.webofscience.com%2Fwos%2Fwoscc%2Ffull-record%2FWOS:001119829600001","View Full Record in Web of Science")</f>
        <v>View Full Record in Web of Science</v>
      </c>
    </row>
    <row r="1399" spans="1:72" x14ac:dyDescent="0.2">
      <c r="A1399" t="s">
        <v>103</v>
      </c>
      <c r="B1399" t="s">
        <v>25478</v>
      </c>
      <c r="C1399" t="s">
        <v>74</v>
      </c>
      <c r="D1399" t="s">
        <v>74</v>
      </c>
      <c r="E1399" t="s">
        <v>74</v>
      </c>
      <c r="F1399" t="s">
        <v>25479</v>
      </c>
      <c r="G1399" t="s">
        <v>74</v>
      </c>
      <c r="H1399" t="s">
        <v>74</v>
      </c>
      <c r="I1399" t="s">
        <v>25480</v>
      </c>
      <c r="J1399" t="s">
        <v>25481</v>
      </c>
      <c r="K1399" t="s">
        <v>74</v>
      </c>
      <c r="L1399" t="s">
        <v>74</v>
      </c>
      <c r="M1399" t="s">
        <v>79</v>
      </c>
      <c r="N1399" t="s">
        <v>108</v>
      </c>
      <c r="O1399" t="s">
        <v>74</v>
      </c>
      <c r="P1399" t="s">
        <v>74</v>
      </c>
      <c r="Q1399" t="s">
        <v>74</v>
      </c>
      <c r="R1399" t="s">
        <v>74</v>
      </c>
      <c r="S1399" t="s">
        <v>74</v>
      </c>
      <c r="T1399" t="s">
        <v>74</v>
      </c>
      <c r="U1399" t="s">
        <v>25482</v>
      </c>
      <c r="V1399" t="s">
        <v>25483</v>
      </c>
      <c r="W1399" t="s">
        <v>25484</v>
      </c>
      <c r="X1399" t="s">
        <v>25485</v>
      </c>
      <c r="Y1399" t="s">
        <v>25486</v>
      </c>
      <c r="Z1399" t="s">
        <v>25487</v>
      </c>
      <c r="AA1399" t="s">
        <v>74</v>
      </c>
      <c r="AB1399" t="s">
        <v>25488</v>
      </c>
      <c r="AC1399" t="s">
        <v>25489</v>
      </c>
      <c r="AD1399" t="s">
        <v>25490</v>
      </c>
      <c r="AE1399" t="s">
        <v>25491</v>
      </c>
      <c r="AF1399" t="s">
        <v>74</v>
      </c>
      <c r="AG1399">
        <v>85</v>
      </c>
      <c r="AH1399">
        <v>3</v>
      </c>
      <c r="AI1399">
        <v>3</v>
      </c>
      <c r="AJ1399">
        <v>1</v>
      </c>
      <c r="AK1399">
        <v>2</v>
      </c>
      <c r="AL1399" t="s">
        <v>25492</v>
      </c>
      <c r="AM1399" t="s">
        <v>765</v>
      </c>
      <c r="AN1399" t="s">
        <v>25493</v>
      </c>
      <c r="AO1399" t="s">
        <v>25494</v>
      </c>
      <c r="AP1399" t="s">
        <v>74</v>
      </c>
      <c r="AQ1399" t="s">
        <v>74</v>
      </c>
      <c r="AR1399" t="s">
        <v>25495</v>
      </c>
      <c r="AS1399" t="s">
        <v>25496</v>
      </c>
      <c r="AT1399" t="s">
        <v>2582</v>
      </c>
      <c r="AU1399">
        <v>2023</v>
      </c>
      <c r="AV1399">
        <v>14</v>
      </c>
      <c r="AW1399">
        <v>6</v>
      </c>
      <c r="AX1399" t="s">
        <v>74</v>
      </c>
      <c r="AY1399" t="s">
        <v>74</v>
      </c>
      <c r="AZ1399" t="s">
        <v>74</v>
      </c>
      <c r="BA1399" t="s">
        <v>74</v>
      </c>
      <c r="BB1399" t="s">
        <v>74</v>
      </c>
      <c r="BC1399" t="s">
        <v>74</v>
      </c>
      <c r="BD1399">
        <v>154</v>
      </c>
      <c r="BE1399" t="s">
        <v>25497</v>
      </c>
      <c r="BF1399" t="str">
        <f>HYPERLINK("http://dx.doi.org/10.21468/SciPostPhys.14.6.154","http://dx.doi.org/10.21468/SciPostPhys.14.6.154")</f>
        <v>http://dx.doi.org/10.21468/SciPostPhys.14.6.154</v>
      </c>
      <c r="BG1399" t="s">
        <v>74</v>
      </c>
      <c r="BH1399" t="s">
        <v>74</v>
      </c>
      <c r="BI1399">
        <v>22</v>
      </c>
      <c r="BJ1399" t="s">
        <v>10510</v>
      </c>
      <c r="BK1399" t="s">
        <v>130</v>
      </c>
      <c r="BL1399" t="s">
        <v>6827</v>
      </c>
      <c r="BM1399" t="s">
        <v>25498</v>
      </c>
      <c r="BN1399" t="s">
        <v>74</v>
      </c>
      <c r="BO1399" t="s">
        <v>1711</v>
      </c>
      <c r="BP1399" t="s">
        <v>74</v>
      </c>
      <c r="BQ1399" t="s">
        <v>74</v>
      </c>
      <c r="BR1399" t="s">
        <v>101</v>
      </c>
      <c r="BS1399" t="s">
        <v>25499</v>
      </c>
      <c r="BT1399" t="str">
        <f>HYPERLINK("https%3A%2F%2Fwww.webofscience.com%2Fwos%2Fwoscc%2Ffull-record%2FWOS:001011238300001","View Full Record in Web of Science")</f>
        <v>View Full Record in Web of Science</v>
      </c>
    </row>
    <row r="1400" spans="1:72" x14ac:dyDescent="0.2">
      <c r="A1400" t="s">
        <v>103</v>
      </c>
      <c r="B1400" t="s">
        <v>25500</v>
      </c>
      <c r="C1400" t="s">
        <v>74</v>
      </c>
      <c r="D1400" t="s">
        <v>74</v>
      </c>
      <c r="E1400" t="s">
        <v>74</v>
      </c>
      <c r="F1400" t="s">
        <v>25501</v>
      </c>
      <c r="G1400" t="s">
        <v>74</v>
      </c>
      <c r="H1400" t="s">
        <v>74</v>
      </c>
      <c r="I1400" t="s">
        <v>25502</v>
      </c>
      <c r="J1400" t="s">
        <v>25503</v>
      </c>
      <c r="K1400" t="s">
        <v>74</v>
      </c>
      <c r="L1400" t="s">
        <v>74</v>
      </c>
      <c r="M1400" t="s">
        <v>79</v>
      </c>
      <c r="N1400" t="s">
        <v>108</v>
      </c>
      <c r="O1400" t="s">
        <v>74</v>
      </c>
      <c r="P1400" t="s">
        <v>74</v>
      </c>
      <c r="Q1400" t="s">
        <v>74</v>
      </c>
      <c r="R1400" t="s">
        <v>74</v>
      </c>
      <c r="S1400" t="s">
        <v>74</v>
      </c>
      <c r="T1400" t="s">
        <v>25504</v>
      </c>
      <c r="U1400" t="s">
        <v>25505</v>
      </c>
      <c r="V1400" t="s">
        <v>25506</v>
      </c>
      <c r="W1400" t="s">
        <v>25507</v>
      </c>
      <c r="X1400" t="s">
        <v>74</v>
      </c>
      <c r="Y1400" t="s">
        <v>25508</v>
      </c>
      <c r="Z1400" t="s">
        <v>25509</v>
      </c>
      <c r="AA1400" t="s">
        <v>74</v>
      </c>
      <c r="AB1400" t="s">
        <v>74</v>
      </c>
      <c r="AC1400" t="s">
        <v>74</v>
      </c>
      <c r="AD1400" t="s">
        <v>74</v>
      </c>
      <c r="AE1400" t="s">
        <v>74</v>
      </c>
      <c r="AF1400" t="s">
        <v>74</v>
      </c>
      <c r="AG1400">
        <v>33</v>
      </c>
      <c r="AH1400">
        <v>1</v>
      </c>
      <c r="AI1400">
        <v>1</v>
      </c>
      <c r="AJ1400">
        <v>1</v>
      </c>
      <c r="AK1400">
        <v>7</v>
      </c>
      <c r="AL1400" t="s">
        <v>14889</v>
      </c>
      <c r="AM1400" t="s">
        <v>5726</v>
      </c>
      <c r="AN1400" t="s">
        <v>14890</v>
      </c>
      <c r="AO1400" t="s">
        <v>25510</v>
      </c>
      <c r="AP1400" t="s">
        <v>25511</v>
      </c>
      <c r="AQ1400" t="s">
        <v>74</v>
      </c>
      <c r="AR1400" t="s">
        <v>25512</v>
      </c>
      <c r="AS1400" t="s">
        <v>25513</v>
      </c>
      <c r="AT1400" t="s">
        <v>6625</v>
      </c>
      <c r="AU1400">
        <v>2023</v>
      </c>
      <c r="AV1400">
        <v>32</v>
      </c>
      <c r="AW1400">
        <v>2</v>
      </c>
      <c r="AX1400" t="s">
        <v>74</v>
      </c>
      <c r="AY1400" t="s">
        <v>74</v>
      </c>
      <c r="AZ1400" t="s">
        <v>74</v>
      </c>
      <c r="BA1400" t="s">
        <v>74</v>
      </c>
      <c r="BB1400" t="s">
        <v>74</v>
      </c>
      <c r="BC1400" t="s">
        <v>74</v>
      </c>
      <c r="BD1400">
        <v>23039</v>
      </c>
      <c r="BE1400" t="s">
        <v>25514</v>
      </c>
      <c r="BF1400" t="str">
        <f>HYPERLINK("http://dx.doi.org/10.1117/1.JEI.32.2.023039","http://dx.doi.org/10.1117/1.JEI.32.2.023039")</f>
        <v>http://dx.doi.org/10.1117/1.JEI.32.2.023039</v>
      </c>
      <c r="BG1400" t="s">
        <v>74</v>
      </c>
      <c r="BH1400" t="s">
        <v>74</v>
      </c>
      <c r="BI1400">
        <v>10</v>
      </c>
      <c r="BJ1400" t="s">
        <v>25515</v>
      </c>
      <c r="BK1400" t="s">
        <v>130</v>
      </c>
      <c r="BL1400" t="s">
        <v>25516</v>
      </c>
      <c r="BM1400" t="s">
        <v>25517</v>
      </c>
      <c r="BN1400" t="s">
        <v>74</v>
      </c>
      <c r="BO1400" t="s">
        <v>161</v>
      </c>
      <c r="BP1400" t="s">
        <v>74</v>
      </c>
      <c r="BQ1400" t="s">
        <v>74</v>
      </c>
      <c r="BR1400" t="s">
        <v>101</v>
      </c>
      <c r="BS1400" t="s">
        <v>25518</v>
      </c>
      <c r="BT1400" t="str">
        <f>HYPERLINK("https%3A%2F%2Fwww.webofscience.com%2Fwos%2Fwoscc%2Ffull-record%2FWOS:000981645700057","View Full Record in Web of Science")</f>
        <v>View Full Record in Web of Science</v>
      </c>
    </row>
    <row r="1401" spans="1:72" x14ac:dyDescent="0.2">
      <c r="A1401" t="s">
        <v>103</v>
      </c>
      <c r="B1401" t="s">
        <v>25519</v>
      </c>
      <c r="C1401" t="s">
        <v>74</v>
      </c>
      <c r="D1401" t="s">
        <v>74</v>
      </c>
      <c r="E1401" t="s">
        <v>74</v>
      </c>
      <c r="F1401" t="s">
        <v>25520</v>
      </c>
      <c r="G1401" t="s">
        <v>74</v>
      </c>
      <c r="H1401" t="s">
        <v>74</v>
      </c>
      <c r="I1401" t="s">
        <v>25521</v>
      </c>
      <c r="J1401" t="s">
        <v>25522</v>
      </c>
      <c r="K1401" t="s">
        <v>74</v>
      </c>
      <c r="L1401" t="s">
        <v>74</v>
      </c>
      <c r="M1401" t="s">
        <v>79</v>
      </c>
      <c r="N1401" t="s">
        <v>108</v>
      </c>
      <c r="O1401" t="s">
        <v>74</v>
      </c>
      <c r="P1401" t="s">
        <v>74</v>
      </c>
      <c r="Q1401" t="s">
        <v>74</v>
      </c>
      <c r="R1401" t="s">
        <v>74</v>
      </c>
      <c r="S1401" t="s">
        <v>74</v>
      </c>
      <c r="T1401" t="s">
        <v>25523</v>
      </c>
      <c r="U1401" t="s">
        <v>74</v>
      </c>
      <c r="V1401" t="s">
        <v>25524</v>
      </c>
      <c r="W1401" t="s">
        <v>25525</v>
      </c>
      <c r="X1401" t="s">
        <v>25526</v>
      </c>
      <c r="Y1401" t="s">
        <v>25527</v>
      </c>
      <c r="Z1401" t="s">
        <v>25528</v>
      </c>
      <c r="AA1401" t="s">
        <v>25529</v>
      </c>
      <c r="AB1401" t="s">
        <v>25530</v>
      </c>
      <c r="AC1401" t="s">
        <v>25531</v>
      </c>
      <c r="AD1401" t="s">
        <v>25532</v>
      </c>
      <c r="AE1401" t="s">
        <v>25533</v>
      </c>
      <c r="AF1401" t="s">
        <v>74</v>
      </c>
      <c r="AG1401">
        <v>52</v>
      </c>
      <c r="AH1401">
        <v>1</v>
      </c>
      <c r="AI1401">
        <v>1</v>
      </c>
      <c r="AJ1401">
        <v>12</v>
      </c>
      <c r="AK1401">
        <v>21</v>
      </c>
      <c r="AL1401" t="s">
        <v>4378</v>
      </c>
      <c r="AM1401" t="s">
        <v>4379</v>
      </c>
      <c r="AN1401" t="s">
        <v>4380</v>
      </c>
      <c r="AO1401" t="s">
        <v>25534</v>
      </c>
      <c r="AP1401" t="s">
        <v>25535</v>
      </c>
      <c r="AQ1401" t="s">
        <v>74</v>
      </c>
      <c r="AR1401" t="s">
        <v>25536</v>
      </c>
      <c r="AS1401" t="s">
        <v>25537</v>
      </c>
      <c r="AT1401" t="s">
        <v>615</v>
      </c>
      <c r="AU1401">
        <v>2023</v>
      </c>
      <c r="AV1401">
        <v>95</v>
      </c>
      <c r="AW1401">
        <v>7</v>
      </c>
      <c r="AX1401" t="s">
        <v>74</v>
      </c>
      <c r="AY1401" t="s">
        <v>74</v>
      </c>
      <c r="AZ1401" t="s">
        <v>253</v>
      </c>
      <c r="BA1401" t="s">
        <v>74</v>
      </c>
      <c r="BB1401">
        <v>1077</v>
      </c>
      <c r="BC1401">
        <v>1082</v>
      </c>
      <c r="BD1401" t="s">
        <v>74</v>
      </c>
      <c r="BE1401" t="s">
        <v>25538</v>
      </c>
      <c r="BF1401" t="str">
        <f>HYPERLINK("http://dx.doi.org/10.1002/cite.202200238","http://dx.doi.org/10.1002/cite.202200238")</f>
        <v>http://dx.doi.org/10.1002/cite.202200238</v>
      </c>
      <c r="BG1401" t="s">
        <v>74</v>
      </c>
      <c r="BH1401" t="s">
        <v>793</v>
      </c>
      <c r="BI1401">
        <v>6</v>
      </c>
      <c r="BJ1401" t="s">
        <v>16713</v>
      </c>
      <c r="BK1401" t="s">
        <v>130</v>
      </c>
      <c r="BL1401" t="s">
        <v>2823</v>
      </c>
      <c r="BM1401" t="s">
        <v>25539</v>
      </c>
      <c r="BN1401" t="s">
        <v>74</v>
      </c>
      <c r="BO1401" t="s">
        <v>2310</v>
      </c>
      <c r="BP1401" t="s">
        <v>74</v>
      </c>
      <c r="BQ1401" t="s">
        <v>74</v>
      </c>
      <c r="BR1401" t="s">
        <v>101</v>
      </c>
      <c r="BS1401" t="s">
        <v>25540</v>
      </c>
      <c r="BT1401" t="str">
        <f>HYPERLINK("https%3A%2F%2Fwww.webofscience.com%2Fwos%2Fwoscc%2Ffull-record%2FWOS:000970744500001","View Full Record in Web of Science")</f>
        <v>View Full Record in Web of Science</v>
      </c>
    </row>
    <row r="1402" spans="1:72" x14ac:dyDescent="0.2">
      <c r="A1402" t="s">
        <v>103</v>
      </c>
      <c r="B1402" t="s">
        <v>25541</v>
      </c>
      <c r="C1402" t="s">
        <v>74</v>
      </c>
      <c r="D1402" t="s">
        <v>74</v>
      </c>
      <c r="E1402" t="s">
        <v>74</v>
      </c>
      <c r="F1402" t="s">
        <v>25542</v>
      </c>
      <c r="G1402" t="s">
        <v>74</v>
      </c>
      <c r="H1402" t="s">
        <v>74</v>
      </c>
      <c r="I1402" t="s">
        <v>25543</v>
      </c>
      <c r="J1402" t="s">
        <v>7643</v>
      </c>
      <c r="K1402" t="s">
        <v>74</v>
      </c>
      <c r="L1402" t="s">
        <v>74</v>
      </c>
      <c r="M1402" t="s">
        <v>79</v>
      </c>
      <c r="N1402" t="s">
        <v>108</v>
      </c>
      <c r="O1402" t="s">
        <v>74</v>
      </c>
      <c r="P1402" t="s">
        <v>74</v>
      </c>
      <c r="Q1402" t="s">
        <v>74</v>
      </c>
      <c r="R1402" t="s">
        <v>74</v>
      </c>
      <c r="S1402" t="s">
        <v>74</v>
      </c>
      <c r="T1402" t="s">
        <v>25544</v>
      </c>
      <c r="U1402" t="s">
        <v>25545</v>
      </c>
      <c r="V1402" t="s">
        <v>25546</v>
      </c>
      <c r="W1402" t="s">
        <v>25547</v>
      </c>
      <c r="X1402" t="s">
        <v>25548</v>
      </c>
      <c r="Y1402" t="s">
        <v>25549</v>
      </c>
      <c r="Z1402" t="s">
        <v>25550</v>
      </c>
      <c r="AA1402" t="s">
        <v>25551</v>
      </c>
      <c r="AB1402" t="s">
        <v>25552</v>
      </c>
      <c r="AC1402" t="s">
        <v>25553</v>
      </c>
      <c r="AD1402" t="s">
        <v>25554</v>
      </c>
      <c r="AE1402" t="s">
        <v>25555</v>
      </c>
      <c r="AF1402" t="s">
        <v>74</v>
      </c>
      <c r="AG1402">
        <v>41</v>
      </c>
      <c r="AH1402">
        <v>2</v>
      </c>
      <c r="AI1402">
        <v>2</v>
      </c>
      <c r="AJ1402">
        <v>1</v>
      </c>
      <c r="AK1402">
        <v>12</v>
      </c>
      <c r="AL1402" t="s">
        <v>1152</v>
      </c>
      <c r="AM1402" t="s">
        <v>93</v>
      </c>
      <c r="AN1402" t="s">
        <v>25556</v>
      </c>
      <c r="AO1402" t="s">
        <v>7655</v>
      </c>
      <c r="AP1402" t="s">
        <v>7656</v>
      </c>
      <c r="AQ1402" t="s">
        <v>74</v>
      </c>
      <c r="AR1402" t="s">
        <v>7657</v>
      </c>
      <c r="AS1402" t="s">
        <v>7658</v>
      </c>
      <c r="AT1402" t="s">
        <v>25557</v>
      </c>
      <c r="AU1402">
        <v>2023</v>
      </c>
      <c r="AV1402">
        <v>37</v>
      </c>
      <c r="AW1402" t="s">
        <v>74</v>
      </c>
      <c r="AX1402" t="s">
        <v>74</v>
      </c>
      <c r="AY1402" t="s">
        <v>74</v>
      </c>
      <c r="AZ1402" t="s">
        <v>74</v>
      </c>
      <c r="BA1402" t="s">
        <v>74</v>
      </c>
      <c r="BB1402" t="s">
        <v>74</v>
      </c>
      <c r="BC1402" t="s">
        <v>74</v>
      </c>
      <c r="BD1402" t="s">
        <v>25558</v>
      </c>
      <c r="BE1402" t="s">
        <v>25559</v>
      </c>
      <c r="BF1402" t="str">
        <f>HYPERLINK("http://dx.doi.org/10.1017/S0890060422000191","http://dx.doi.org/10.1017/S0890060422000191")</f>
        <v>http://dx.doi.org/10.1017/S0890060422000191</v>
      </c>
      <c r="BG1402" t="s">
        <v>74</v>
      </c>
      <c r="BH1402" t="s">
        <v>74</v>
      </c>
      <c r="BI1402">
        <v>37</v>
      </c>
      <c r="BJ1402" t="s">
        <v>7662</v>
      </c>
      <c r="BK1402" t="s">
        <v>130</v>
      </c>
      <c r="BL1402" t="s">
        <v>906</v>
      </c>
      <c r="BM1402" t="s">
        <v>25560</v>
      </c>
      <c r="BN1402" t="s">
        <v>74</v>
      </c>
      <c r="BO1402" t="s">
        <v>1237</v>
      </c>
      <c r="BP1402" t="s">
        <v>74</v>
      </c>
      <c r="BQ1402" t="s">
        <v>74</v>
      </c>
      <c r="BR1402" t="s">
        <v>101</v>
      </c>
      <c r="BS1402" t="s">
        <v>25561</v>
      </c>
      <c r="BT1402" t="str">
        <f>HYPERLINK("https%3A%2F%2Fwww.webofscience.com%2Fwos%2Fwoscc%2Ffull-record%2FWOS:000912762200001","View Full Record in Web of Science")</f>
        <v>View Full Record in Web of Science</v>
      </c>
    </row>
    <row r="1403" spans="1:72" x14ac:dyDescent="0.2">
      <c r="A1403" t="s">
        <v>72</v>
      </c>
      <c r="B1403" t="s">
        <v>25562</v>
      </c>
      <c r="C1403" t="s">
        <v>74</v>
      </c>
      <c r="D1403" t="s">
        <v>74</v>
      </c>
      <c r="E1403" t="s">
        <v>284</v>
      </c>
      <c r="F1403" t="s">
        <v>25563</v>
      </c>
      <c r="G1403" t="s">
        <v>74</v>
      </c>
      <c r="H1403" t="s">
        <v>74</v>
      </c>
      <c r="I1403" t="s">
        <v>25564</v>
      </c>
      <c r="J1403" t="s">
        <v>8245</v>
      </c>
      <c r="K1403" t="s">
        <v>8246</v>
      </c>
      <c r="L1403" t="s">
        <v>74</v>
      </c>
      <c r="M1403" t="s">
        <v>79</v>
      </c>
      <c r="N1403" t="s">
        <v>80</v>
      </c>
      <c r="O1403" t="s">
        <v>8247</v>
      </c>
      <c r="P1403" t="s">
        <v>8248</v>
      </c>
      <c r="Q1403" t="s">
        <v>6017</v>
      </c>
      <c r="R1403" t="s">
        <v>8249</v>
      </c>
      <c r="S1403" t="s">
        <v>74</v>
      </c>
      <c r="T1403" t="s">
        <v>74</v>
      </c>
      <c r="U1403" t="s">
        <v>74</v>
      </c>
      <c r="V1403" t="s">
        <v>25565</v>
      </c>
      <c r="W1403" t="s">
        <v>25566</v>
      </c>
      <c r="X1403" t="s">
        <v>25567</v>
      </c>
      <c r="Y1403" t="s">
        <v>25568</v>
      </c>
      <c r="Z1403" t="s">
        <v>74</v>
      </c>
      <c r="AA1403" t="s">
        <v>74</v>
      </c>
      <c r="AB1403" t="s">
        <v>74</v>
      </c>
      <c r="AC1403" t="s">
        <v>74</v>
      </c>
      <c r="AD1403" t="s">
        <v>74</v>
      </c>
      <c r="AE1403" t="s">
        <v>74</v>
      </c>
      <c r="AF1403" t="s">
        <v>74</v>
      </c>
      <c r="AG1403">
        <v>45</v>
      </c>
      <c r="AH1403">
        <v>0</v>
      </c>
      <c r="AI1403">
        <v>0</v>
      </c>
      <c r="AJ1403">
        <v>3</v>
      </c>
      <c r="AK1403">
        <v>3</v>
      </c>
      <c r="AL1403" t="s">
        <v>638</v>
      </c>
      <c r="AM1403" t="s">
        <v>639</v>
      </c>
      <c r="AN1403" t="s">
        <v>640</v>
      </c>
      <c r="AO1403" t="s">
        <v>8260</v>
      </c>
      <c r="AP1403" t="s">
        <v>74</v>
      </c>
      <c r="AQ1403" t="s">
        <v>8261</v>
      </c>
      <c r="AR1403" t="s">
        <v>8262</v>
      </c>
      <c r="AS1403" t="s">
        <v>74</v>
      </c>
      <c r="AT1403" t="s">
        <v>74</v>
      </c>
      <c r="AU1403">
        <v>2023</v>
      </c>
      <c r="AV1403" t="s">
        <v>74</v>
      </c>
      <c r="AW1403" t="s">
        <v>74</v>
      </c>
      <c r="AX1403" t="s">
        <v>74</v>
      </c>
      <c r="AY1403" t="s">
        <v>74</v>
      </c>
      <c r="AZ1403" t="s">
        <v>74</v>
      </c>
      <c r="BA1403" t="s">
        <v>74</v>
      </c>
      <c r="BB1403">
        <v>23611</v>
      </c>
      <c r="BC1403">
        <v>23620</v>
      </c>
      <c r="BD1403" t="s">
        <v>74</v>
      </c>
      <c r="BE1403" t="s">
        <v>25569</v>
      </c>
      <c r="BF1403" t="str">
        <f>HYPERLINK("http://dx.doi.org/10.1109/CVPR52729.2023.02261","http://dx.doi.org/10.1109/CVPR52729.2023.02261")</f>
        <v>http://dx.doi.org/10.1109/CVPR52729.2023.02261</v>
      </c>
      <c r="BG1403" t="s">
        <v>74</v>
      </c>
      <c r="BH1403" t="s">
        <v>74</v>
      </c>
      <c r="BI1403">
        <v>10</v>
      </c>
      <c r="BJ1403" t="s">
        <v>304</v>
      </c>
      <c r="BK1403" t="s">
        <v>98</v>
      </c>
      <c r="BL1403" t="s">
        <v>99</v>
      </c>
      <c r="BM1403" t="s">
        <v>9731</v>
      </c>
      <c r="BN1403" t="s">
        <v>74</v>
      </c>
      <c r="BO1403" t="s">
        <v>646</v>
      </c>
      <c r="BP1403" t="s">
        <v>74</v>
      </c>
      <c r="BQ1403" t="s">
        <v>74</v>
      </c>
      <c r="BR1403" t="s">
        <v>101</v>
      </c>
      <c r="BS1403" t="s">
        <v>25570</v>
      </c>
      <c r="BT1403" t="str">
        <f>HYPERLINK("https%3A%2F%2Fwww.webofscience.com%2Fwos%2Fwoscc%2Ffull-record%2FWOS:001062531307090","View Full Record in Web of Science")</f>
        <v>View Full Record in Web of Science</v>
      </c>
    </row>
    <row r="1404" spans="1:72" x14ac:dyDescent="0.2">
      <c r="A1404" t="s">
        <v>103</v>
      </c>
      <c r="B1404" t="s">
        <v>25571</v>
      </c>
      <c r="C1404" t="s">
        <v>74</v>
      </c>
      <c r="D1404" t="s">
        <v>74</v>
      </c>
      <c r="E1404" t="s">
        <v>74</v>
      </c>
      <c r="F1404" t="s">
        <v>25572</v>
      </c>
      <c r="G1404" t="s">
        <v>74</v>
      </c>
      <c r="H1404" t="s">
        <v>74</v>
      </c>
      <c r="I1404" t="s">
        <v>25573</v>
      </c>
      <c r="J1404" t="s">
        <v>10184</v>
      </c>
      <c r="K1404" t="s">
        <v>74</v>
      </c>
      <c r="L1404" t="s">
        <v>74</v>
      </c>
      <c r="M1404" t="s">
        <v>79</v>
      </c>
      <c r="N1404" t="s">
        <v>108</v>
      </c>
      <c r="O1404" t="s">
        <v>74</v>
      </c>
      <c r="P1404" t="s">
        <v>74</v>
      </c>
      <c r="Q1404" t="s">
        <v>74</v>
      </c>
      <c r="R1404" t="s">
        <v>74</v>
      </c>
      <c r="S1404" t="s">
        <v>74</v>
      </c>
      <c r="T1404" t="s">
        <v>74</v>
      </c>
      <c r="U1404" t="s">
        <v>25574</v>
      </c>
      <c r="V1404" t="s">
        <v>25575</v>
      </c>
      <c r="W1404" t="s">
        <v>25576</v>
      </c>
      <c r="X1404" t="s">
        <v>25577</v>
      </c>
      <c r="Y1404" t="s">
        <v>25578</v>
      </c>
      <c r="Z1404" t="s">
        <v>25579</v>
      </c>
      <c r="AA1404" t="s">
        <v>25580</v>
      </c>
      <c r="AB1404" t="s">
        <v>25581</v>
      </c>
      <c r="AC1404" t="s">
        <v>25582</v>
      </c>
      <c r="AD1404" t="s">
        <v>25583</v>
      </c>
      <c r="AE1404" t="s">
        <v>25584</v>
      </c>
      <c r="AF1404" t="s">
        <v>74</v>
      </c>
      <c r="AG1404">
        <v>74</v>
      </c>
      <c r="AH1404">
        <v>5</v>
      </c>
      <c r="AI1404">
        <v>5</v>
      </c>
      <c r="AJ1404">
        <v>36</v>
      </c>
      <c r="AK1404">
        <v>40</v>
      </c>
      <c r="AL1404" t="s">
        <v>1880</v>
      </c>
      <c r="AM1404" t="s">
        <v>369</v>
      </c>
      <c r="AN1404" t="s">
        <v>1881</v>
      </c>
      <c r="AO1404" t="s">
        <v>74</v>
      </c>
      <c r="AP1404" t="s">
        <v>10196</v>
      </c>
      <c r="AQ1404" t="s">
        <v>74</v>
      </c>
      <c r="AR1404" t="s">
        <v>10197</v>
      </c>
      <c r="AS1404" t="s">
        <v>10198</v>
      </c>
      <c r="AT1404" t="s">
        <v>771</v>
      </c>
      <c r="AU1404">
        <v>2023</v>
      </c>
      <c r="AV1404">
        <v>5</v>
      </c>
      <c r="AW1404">
        <v>9</v>
      </c>
      <c r="AX1404" t="s">
        <v>74</v>
      </c>
      <c r="AY1404" t="s">
        <v>74</v>
      </c>
      <c r="AZ1404" t="s">
        <v>74</v>
      </c>
      <c r="BA1404" t="s">
        <v>74</v>
      </c>
      <c r="BB1404">
        <v>1020</v>
      </c>
      <c r="BC1404">
        <v>1030</v>
      </c>
      <c r="BD1404" t="s">
        <v>74</v>
      </c>
      <c r="BE1404" t="s">
        <v>25585</v>
      </c>
      <c r="BF1404" t="str">
        <f>HYPERLINK("http://dx.doi.org/10.1038/s42256-023-00712-7","http://dx.doi.org/10.1038/s42256-023-00712-7")</f>
        <v>http://dx.doi.org/10.1038/s42256-023-00712-7</v>
      </c>
      <c r="BG1404" t="s">
        <v>74</v>
      </c>
      <c r="BH1404" t="s">
        <v>278</v>
      </c>
      <c r="BI1404">
        <v>11</v>
      </c>
      <c r="BJ1404" t="s">
        <v>1069</v>
      </c>
      <c r="BK1404" t="s">
        <v>130</v>
      </c>
      <c r="BL1404" t="s">
        <v>99</v>
      </c>
      <c r="BM1404" t="s">
        <v>25586</v>
      </c>
      <c r="BN1404" t="s">
        <v>74</v>
      </c>
      <c r="BO1404" t="s">
        <v>74</v>
      </c>
      <c r="BP1404" t="s">
        <v>74</v>
      </c>
      <c r="BQ1404" t="s">
        <v>74</v>
      </c>
      <c r="BR1404" t="s">
        <v>101</v>
      </c>
      <c r="BS1404" t="s">
        <v>25587</v>
      </c>
      <c r="BT1404" t="str">
        <f>HYPERLINK("https%3A%2F%2Fwww.webofscience.com%2Fwos%2Fwoscc%2Ffull-record%2FWOS:001060239200002","View Full Record in Web of Science")</f>
        <v>View Full Record in Web of Science</v>
      </c>
    </row>
    <row r="1405" spans="1:72" x14ac:dyDescent="0.2">
      <c r="A1405" t="s">
        <v>103</v>
      </c>
      <c r="B1405" t="s">
        <v>25588</v>
      </c>
      <c r="C1405" t="s">
        <v>74</v>
      </c>
      <c r="D1405" t="s">
        <v>74</v>
      </c>
      <c r="E1405" t="s">
        <v>74</v>
      </c>
      <c r="F1405" t="s">
        <v>25589</v>
      </c>
      <c r="G1405" t="s">
        <v>74</v>
      </c>
      <c r="H1405" t="s">
        <v>74</v>
      </c>
      <c r="I1405" t="s">
        <v>25590</v>
      </c>
      <c r="J1405" t="s">
        <v>11101</v>
      </c>
      <c r="K1405" t="s">
        <v>74</v>
      </c>
      <c r="L1405" t="s">
        <v>74</v>
      </c>
      <c r="M1405" t="s">
        <v>79</v>
      </c>
      <c r="N1405" t="s">
        <v>108</v>
      </c>
      <c r="O1405" t="s">
        <v>74</v>
      </c>
      <c r="P1405" t="s">
        <v>74</v>
      </c>
      <c r="Q1405" t="s">
        <v>74</v>
      </c>
      <c r="R1405" t="s">
        <v>74</v>
      </c>
      <c r="S1405" t="s">
        <v>74</v>
      </c>
      <c r="T1405" t="s">
        <v>74</v>
      </c>
      <c r="U1405" t="s">
        <v>25591</v>
      </c>
      <c r="V1405" t="s">
        <v>25592</v>
      </c>
      <c r="W1405" t="s">
        <v>25593</v>
      </c>
      <c r="X1405" t="s">
        <v>25594</v>
      </c>
      <c r="Y1405" t="s">
        <v>25595</v>
      </c>
      <c r="Z1405" t="s">
        <v>25596</v>
      </c>
      <c r="AA1405" t="s">
        <v>25597</v>
      </c>
      <c r="AB1405" t="s">
        <v>25598</v>
      </c>
      <c r="AC1405" t="s">
        <v>25599</v>
      </c>
      <c r="AD1405" t="s">
        <v>25600</v>
      </c>
      <c r="AE1405" t="s">
        <v>25601</v>
      </c>
      <c r="AF1405" t="s">
        <v>74</v>
      </c>
      <c r="AG1405">
        <v>48</v>
      </c>
      <c r="AH1405">
        <v>0</v>
      </c>
      <c r="AI1405">
        <v>0</v>
      </c>
      <c r="AJ1405">
        <v>3</v>
      </c>
      <c r="AK1405">
        <v>6</v>
      </c>
      <c r="AL1405" t="s">
        <v>1880</v>
      </c>
      <c r="AM1405" t="s">
        <v>369</v>
      </c>
      <c r="AN1405" t="s">
        <v>1881</v>
      </c>
      <c r="AO1405" t="s">
        <v>74</v>
      </c>
      <c r="AP1405" t="s">
        <v>11109</v>
      </c>
      <c r="AQ1405" t="s">
        <v>74</v>
      </c>
      <c r="AR1405" t="s">
        <v>11110</v>
      </c>
      <c r="AS1405" t="s">
        <v>11111</v>
      </c>
      <c r="AT1405" t="s">
        <v>12789</v>
      </c>
      <c r="AU1405">
        <v>2023</v>
      </c>
      <c r="AV1405">
        <v>9</v>
      </c>
      <c r="AW1405">
        <v>1</v>
      </c>
      <c r="AX1405" t="s">
        <v>74</v>
      </c>
      <c r="AY1405" t="s">
        <v>74</v>
      </c>
      <c r="AZ1405" t="s">
        <v>74</v>
      </c>
      <c r="BA1405" t="s">
        <v>74</v>
      </c>
      <c r="BB1405" t="s">
        <v>74</v>
      </c>
      <c r="BC1405" t="s">
        <v>74</v>
      </c>
      <c r="BD1405">
        <v>121</v>
      </c>
      <c r="BE1405" t="s">
        <v>25602</v>
      </c>
      <c r="BF1405" t="str">
        <f>HYPERLINK("http://dx.doi.org/10.1038/s41524-023-01080-x","http://dx.doi.org/10.1038/s41524-023-01080-x")</f>
        <v>http://dx.doi.org/10.1038/s41524-023-01080-x</v>
      </c>
      <c r="BG1405" t="s">
        <v>74</v>
      </c>
      <c r="BH1405" t="s">
        <v>74</v>
      </c>
      <c r="BI1405">
        <v>12</v>
      </c>
      <c r="BJ1405" t="s">
        <v>11114</v>
      </c>
      <c r="BK1405" t="s">
        <v>130</v>
      </c>
      <c r="BL1405" t="s">
        <v>11115</v>
      </c>
      <c r="BM1405" t="s">
        <v>25603</v>
      </c>
      <c r="BN1405" t="s">
        <v>74</v>
      </c>
      <c r="BO1405" t="s">
        <v>425</v>
      </c>
      <c r="BP1405" t="s">
        <v>74</v>
      </c>
      <c r="BQ1405" t="s">
        <v>74</v>
      </c>
      <c r="BR1405" t="s">
        <v>101</v>
      </c>
      <c r="BS1405" t="s">
        <v>25604</v>
      </c>
      <c r="BT1405" t="str">
        <f>HYPERLINK("https%3A%2F%2Fwww.webofscience.com%2Fwos%2Fwoscc%2Ffull-record%2FWOS:001024344700001","View Full Record in Web of Science")</f>
        <v>View Full Record in Web of Science</v>
      </c>
    </row>
    <row r="1406" spans="1:72" x14ac:dyDescent="0.2">
      <c r="A1406" t="s">
        <v>103</v>
      </c>
      <c r="B1406" t="s">
        <v>25605</v>
      </c>
      <c r="C1406" t="s">
        <v>74</v>
      </c>
      <c r="D1406" t="s">
        <v>74</v>
      </c>
      <c r="E1406" t="s">
        <v>74</v>
      </c>
      <c r="F1406" t="s">
        <v>25606</v>
      </c>
      <c r="G1406" t="s">
        <v>74</v>
      </c>
      <c r="H1406" t="s">
        <v>74</v>
      </c>
      <c r="I1406" t="s">
        <v>25607</v>
      </c>
      <c r="J1406" t="s">
        <v>22717</v>
      </c>
      <c r="K1406" t="s">
        <v>74</v>
      </c>
      <c r="L1406" t="s">
        <v>74</v>
      </c>
      <c r="M1406" t="s">
        <v>79</v>
      </c>
      <c r="N1406" t="s">
        <v>108</v>
      </c>
      <c r="O1406" t="s">
        <v>74</v>
      </c>
      <c r="P1406" t="s">
        <v>74</v>
      </c>
      <c r="Q1406" t="s">
        <v>74</v>
      </c>
      <c r="R1406" t="s">
        <v>74</v>
      </c>
      <c r="S1406" t="s">
        <v>74</v>
      </c>
      <c r="T1406" t="s">
        <v>25608</v>
      </c>
      <c r="U1406" t="s">
        <v>25609</v>
      </c>
      <c r="V1406" t="s">
        <v>25610</v>
      </c>
      <c r="W1406" t="s">
        <v>25611</v>
      </c>
      <c r="X1406" t="s">
        <v>74</v>
      </c>
      <c r="Y1406" t="s">
        <v>25612</v>
      </c>
      <c r="Z1406" t="s">
        <v>25613</v>
      </c>
      <c r="AA1406" t="s">
        <v>74</v>
      </c>
      <c r="AB1406" t="s">
        <v>74</v>
      </c>
      <c r="AC1406" t="s">
        <v>74</v>
      </c>
      <c r="AD1406" t="s">
        <v>74</v>
      </c>
      <c r="AE1406" t="s">
        <v>74</v>
      </c>
      <c r="AF1406" t="s">
        <v>74</v>
      </c>
      <c r="AG1406">
        <v>36</v>
      </c>
      <c r="AH1406">
        <v>0</v>
      </c>
      <c r="AI1406">
        <v>0</v>
      </c>
      <c r="AJ1406">
        <v>16</v>
      </c>
      <c r="AK1406">
        <v>24</v>
      </c>
      <c r="AL1406" t="s">
        <v>764</v>
      </c>
      <c r="AM1406" t="s">
        <v>765</v>
      </c>
      <c r="AN1406" t="s">
        <v>766</v>
      </c>
      <c r="AO1406" t="s">
        <v>22727</v>
      </c>
      <c r="AP1406" t="s">
        <v>22728</v>
      </c>
      <c r="AQ1406" t="s">
        <v>74</v>
      </c>
      <c r="AR1406" t="s">
        <v>22729</v>
      </c>
      <c r="AS1406" t="s">
        <v>22730</v>
      </c>
      <c r="AT1406" t="s">
        <v>771</v>
      </c>
      <c r="AU1406">
        <v>2023</v>
      </c>
      <c r="AV1406">
        <v>137</v>
      </c>
      <c r="AW1406" t="s">
        <v>74</v>
      </c>
      <c r="AX1406" t="s">
        <v>74</v>
      </c>
      <c r="AY1406" t="s">
        <v>74</v>
      </c>
      <c r="AZ1406" t="s">
        <v>74</v>
      </c>
      <c r="BA1406" t="s">
        <v>74</v>
      </c>
      <c r="BB1406" t="s">
        <v>74</v>
      </c>
      <c r="BC1406" t="s">
        <v>74</v>
      </c>
      <c r="BD1406">
        <v>104771</v>
      </c>
      <c r="BE1406" t="s">
        <v>25614</v>
      </c>
      <c r="BF1406" t="str">
        <f>HYPERLINK("http://dx.doi.org/10.1016/j.imavis.2023.104771","http://dx.doi.org/10.1016/j.imavis.2023.104771")</f>
        <v>http://dx.doi.org/10.1016/j.imavis.2023.104771</v>
      </c>
      <c r="BG1406" t="s">
        <v>74</v>
      </c>
      <c r="BH1406" t="s">
        <v>229</v>
      </c>
      <c r="BI1406">
        <v>21</v>
      </c>
      <c r="BJ1406" t="s">
        <v>22732</v>
      </c>
      <c r="BK1406" t="s">
        <v>130</v>
      </c>
      <c r="BL1406" t="s">
        <v>22733</v>
      </c>
      <c r="BM1406" t="s">
        <v>25615</v>
      </c>
      <c r="BN1406" t="s">
        <v>74</v>
      </c>
      <c r="BO1406" t="s">
        <v>646</v>
      </c>
      <c r="BP1406" t="s">
        <v>74</v>
      </c>
      <c r="BQ1406" t="s">
        <v>74</v>
      </c>
      <c r="BR1406" t="s">
        <v>101</v>
      </c>
      <c r="BS1406" t="s">
        <v>25616</v>
      </c>
      <c r="BT1406" t="str">
        <f>HYPERLINK("https%3A%2F%2Fwww.webofscience.com%2Fwos%2Fwoscc%2Ffull-record%2FWOS:001051527200001","View Full Record in Web of Science")</f>
        <v>View Full Record in Web of Science</v>
      </c>
    </row>
    <row r="1407" spans="1:72" x14ac:dyDescent="0.2">
      <c r="A1407" t="s">
        <v>103</v>
      </c>
      <c r="B1407" t="s">
        <v>25617</v>
      </c>
      <c r="C1407" t="s">
        <v>74</v>
      </c>
      <c r="D1407" t="s">
        <v>74</v>
      </c>
      <c r="E1407" t="s">
        <v>74</v>
      </c>
      <c r="F1407" t="s">
        <v>25618</v>
      </c>
      <c r="G1407" t="s">
        <v>74</v>
      </c>
      <c r="H1407" t="s">
        <v>74</v>
      </c>
      <c r="I1407" t="s">
        <v>25619</v>
      </c>
      <c r="J1407" t="s">
        <v>4935</v>
      </c>
      <c r="K1407" t="s">
        <v>74</v>
      </c>
      <c r="L1407" t="s">
        <v>74</v>
      </c>
      <c r="M1407" t="s">
        <v>79</v>
      </c>
      <c r="N1407" t="s">
        <v>108</v>
      </c>
      <c r="O1407" t="s">
        <v>74</v>
      </c>
      <c r="P1407" t="s">
        <v>74</v>
      </c>
      <c r="Q1407" t="s">
        <v>74</v>
      </c>
      <c r="R1407" t="s">
        <v>74</v>
      </c>
      <c r="S1407" t="s">
        <v>74</v>
      </c>
      <c r="T1407" t="s">
        <v>74</v>
      </c>
      <c r="U1407" t="s">
        <v>11395</v>
      </c>
      <c r="V1407" t="s">
        <v>25620</v>
      </c>
      <c r="W1407" t="s">
        <v>25621</v>
      </c>
      <c r="X1407" t="s">
        <v>25622</v>
      </c>
      <c r="Y1407" t="s">
        <v>25623</v>
      </c>
      <c r="Z1407" t="s">
        <v>25624</v>
      </c>
      <c r="AA1407" t="s">
        <v>74</v>
      </c>
      <c r="AB1407" t="s">
        <v>25625</v>
      </c>
      <c r="AC1407" t="s">
        <v>25626</v>
      </c>
      <c r="AD1407" t="s">
        <v>25627</v>
      </c>
      <c r="AE1407" t="s">
        <v>25628</v>
      </c>
      <c r="AF1407" t="s">
        <v>74</v>
      </c>
      <c r="AG1407">
        <v>56</v>
      </c>
      <c r="AH1407">
        <v>2</v>
      </c>
      <c r="AI1407">
        <v>2</v>
      </c>
      <c r="AJ1407">
        <v>1</v>
      </c>
      <c r="AK1407">
        <v>2</v>
      </c>
      <c r="AL1407" t="s">
        <v>1880</v>
      </c>
      <c r="AM1407" t="s">
        <v>369</v>
      </c>
      <c r="AN1407" t="s">
        <v>1881</v>
      </c>
      <c r="AO1407" t="s">
        <v>4942</v>
      </c>
      <c r="AP1407" t="s">
        <v>74</v>
      </c>
      <c r="AQ1407" t="s">
        <v>74</v>
      </c>
      <c r="AR1407" t="s">
        <v>4943</v>
      </c>
      <c r="AS1407" t="s">
        <v>4944</v>
      </c>
      <c r="AT1407" t="s">
        <v>14706</v>
      </c>
      <c r="AU1407">
        <v>2023</v>
      </c>
      <c r="AV1407">
        <v>6</v>
      </c>
      <c r="AW1407">
        <v>1</v>
      </c>
      <c r="AX1407" t="s">
        <v>74</v>
      </c>
      <c r="AY1407" t="s">
        <v>74</v>
      </c>
      <c r="AZ1407" t="s">
        <v>74</v>
      </c>
      <c r="BA1407" t="s">
        <v>74</v>
      </c>
      <c r="BB1407" t="s">
        <v>74</v>
      </c>
      <c r="BC1407" t="s">
        <v>74</v>
      </c>
      <c r="BD1407">
        <v>83</v>
      </c>
      <c r="BE1407" t="s">
        <v>25629</v>
      </c>
      <c r="BF1407" t="str">
        <f>HYPERLINK("http://dx.doi.org/10.1038/s41746-023-00822-x","http://dx.doi.org/10.1038/s41746-023-00822-x")</f>
        <v>http://dx.doi.org/10.1038/s41746-023-00822-x</v>
      </c>
      <c r="BG1407" t="s">
        <v>74</v>
      </c>
      <c r="BH1407" t="s">
        <v>74</v>
      </c>
      <c r="BI1407">
        <v>12</v>
      </c>
      <c r="BJ1407" t="s">
        <v>4947</v>
      </c>
      <c r="BK1407" t="s">
        <v>130</v>
      </c>
      <c r="BL1407" t="s">
        <v>4947</v>
      </c>
      <c r="BM1407" t="s">
        <v>25630</v>
      </c>
      <c r="BN1407">
        <v>37120594</v>
      </c>
      <c r="BO1407" t="s">
        <v>18767</v>
      </c>
      <c r="BP1407" t="s">
        <v>74</v>
      </c>
      <c r="BQ1407" t="s">
        <v>74</v>
      </c>
      <c r="BR1407" t="s">
        <v>101</v>
      </c>
      <c r="BS1407" t="s">
        <v>25631</v>
      </c>
      <c r="BT1407" t="str">
        <f>HYPERLINK("https%3A%2F%2Fwww.webofscience.com%2Fwos%2Fwoscc%2Ffull-record%2FWOS:000978596300002","View Full Record in Web of Science")</f>
        <v>View Full Record in Web of Science</v>
      </c>
    </row>
    <row r="1408" spans="1:72" x14ac:dyDescent="0.2">
      <c r="A1408" t="s">
        <v>72</v>
      </c>
      <c r="B1408" t="s">
        <v>25632</v>
      </c>
      <c r="C1408" t="s">
        <v>74</v>
      </c>
      <c r="D1408" t="s">
        <v>74</v>
      </c>
      <c r="E1408" t="s">
        <v>284</v>
      </c>
      <c r="F1408" t="s">
        <v>25633</v>
      </c>
      <c r="G1408" t="s">
        <v>74</v>
      </c>
      <c r="H1408" t="s">
        <v>74</v>
      </c>
      <c r="I1408" t="s">
        <v>25634</v>
      </c>
      <c r="J1408" t="s">
        <v>8245</v>
      </c>
      <c r="K1408" t="s">
        <v>8246</v>
      </c>
      <c r="L1408" t="s">
        <v>74</v>
      </c>
      <c r="M1408" t="s">
        <v>79</v>
      </c>
      <c r="N1408" t="s">
        <v>80</v>
      </c>
      <c r="O1408" t="s">
        <v>8247</v>
      </c>
      <c r="P1408" t="s">
        <v>8248</v>
      </c>
      <c r="Q1408" t="s">
        <v>6017</v>
      </c>
      <c r="R1408" t="s">
        <v>8249</v>
      </c>
      <c r="S1408" t="s">
        <v>74</v>
      </c>
      <c r="T1408" t="s">
        <v>74</v>
      </c>
      <c r="U1408" t="s">
        <v>74</v>
      </c>
      <c r="V1408" t="s">
        <v>25635</v>
      </c>
      <c r="W1408" t="s">
        <v>25636</v>
      </c>
      <c r="X1408" t="s">
        <v>320</v>
      </c>
      <c r="Y1408" t="s">
        <v>25637</v>
      </c>
      <c r="Z1408" t="s">
        <v>25638</v>
      </c>
      <c r="AA1408" t="s">
        <v>25639</v>
      </c>
      <c r="AB1408" t="s">
        <v>25640</v>
      </c>
      <c r="AC1408" t="s">
        <v>25641</v>
      </c>
      <c r="AD1408" t="s">
        <v>25642</v>
      </c>
      <c r="AE1408" t="s">
        <v>25643</v>
      </c>
      <c r="AF1408" t="s">
        <v>74</v>
      </c>
      <c r="AG1408">
        <v>59</v>
      </c>
      <c r="AH1408">
        <v>0</v>
      </c>
      <c r="AI1408">
        <v>0</v>
      </c>
      <c r="AJ1408">
        <v>5</v>
      </c>
      <c r="AK1408">
        <v>5</v>
      </c>
      <c r="AL1408" t="s">
        <v>638</v>
      </c>
      <c r="AM1408" t="s">
        <v>639</v>
      </c>
      <c r="AN1408" t="s">
        <v>640</v>
      </c>
      <c r="AO1408" t="s">
        <v>8260</v>
      </c>
      <c r="AP1408" t="s">
        <v>74</v>
      </c>
      <c r="AQ1408" t="s">
        <v>8261</v>
      </c>
      <c r="AR1408" t="s">
        <v>8262</v>
      </c>
      <c r="AS1408" t="s">
        <v>74</v>
      </c>
      <c r="AT1408" t="s">
        <v>74</v>
      </c>
      <c r="AU1408">
        <v>2023</v>
      </c>
      <c r="AV1408" t="s">
        <v>74</v>
      </c>
      <c r="AW1408" t="s">
        <v>74</v>
      </c>
      <c r="AX1408" t="s">
        <v>74</v>
      </c>
      <c r="AY1408" t="s">
        <v>74</v>
      </c>
      <c r="AZ1408" t="s">
        <v>74</v>
      </c>
      <c r="BA1408" t="s">
        <v>74</v>
      </c>
      <c r="BB1408">
        <v>12705</v>
      </c>
      <c r="BC1408">
        <v>12714</v>
      </c>
      <c r="BD1408" t="s">
        <v>74</v>
      </c>
      <c r="BE1408" t="s">
        <v>25644</v>
      </c>
      <c r="BF1408" t="str">
        <f>HYPERLINK("http://dx.doi.org/10.1109/CVPR52729.2023.01222","http://dx.doi.org/10.1109/CVPR52729.2023.01222")</f>
        <v>http://dx.doi.org/10.1109/CVPR52729.2023.01222</v>
      </c>
      <c r="BG1408" t="s">
        <v>74</v>
      </c>
      <c r="BH1408" t="s">
        <v>74</v>
      </c>
      <c r="BI1408">
        <v>10</v>
      </c>
      <c r="BJ1408" t="s">
        <v>304</v>
      </c>
      <c r="BK1408" t="s">
        <v>98</v>
      </c>
      <c r="BL1408" t="s">
        <v>99</v>
      </c>
      <c r="BM1408" t="s">
        <v>8264</v>
      </c>
      <c r="BN1408" t="s">
        <v>74</v>
      </c>
      <c r="BO1408" t="s">
        <v>74</v>
      </c>
      <c r="BP1408" t="s">
        <v>74</v>
      </c>
      <c r="BQ1408" t="s">
        <v>74</v>
      </c>
      <c r="BR1408" t="s">
        <v>101</v>
      </c>
      <c r="BS1408" t="s">
        <v>25645</v>
      </c>
      <c r="BT1408" t="str">
        <f>HYPERLINK("https%3A%2F%2Fwww.webofscience.com%2Fwos%2Fwoscc%2Ffull-record%2FWOS:001062522105003","View Full Record in Web of Science")</f>
        <v>View Full Record in Web of Science</v>
      </c>
    </row>
    <row r="1409" spans="1:72" x14ac:dyDescent="0.2">
      <c r="A1409" t="s">
        <v>72</v>
      </c>
      <c r="B1409" t="s">
        <v>25646</v>
      </c>
      <c r="C1409" t="s">
        <v>74</v>
      </c>
      <c r="D1409" t="s">
        <v>74</v>
      </c>
      <c r="E1409" t="s">
        <v>284</v>
      </c>
      <c r="F1409" t="s">
        <v>25647</v>
      </c>
      <c r="G1409" t="s">
        <v>74</v>
      </c>
      <c r="H1409" t="s">
        <v>74</v>
      </c>
      <c r="I1409" t="s">
        <v>25648</v>
      </c>
      <c r="J1409" t="s">
        <v>8245</v>
      </c>
      <c r="K1409" t="s">
        <v>8246</v>
      </c>
      <c r="L1409" t="s">
        <v>74</v>
      </c>
      <c r="M1409" t="s">
        <v>79</v>
      </c>
      <c r="N1409" t="s">
        <v>80</v>
      </c>
      <c r="O1409" t="s">
        <v>8247</v>
      </c>
      <c r="P1409" t="s">
        <v>8248</v>
      </c>
      <c r="Q1409" t="s">
        <v>6017</v>
      </c>
      <c r="R1409" t="s">
        <v>8249</v>
      </c>
      <c r="S1409" t="s">
        <v>74</v>
      </c>
      <c r="T1409" t="s">
        <v>74</v>
      </c>
      <c r="U1409" t="s">
        <v>74</v>
      </c>
      <c r="V1409" t="s">
        <v>25649</v>
      </c>
      <c r="W1409" t="s">
        <v>25650</v>
      </c>
      <c r="X1409" t="s">
        <v>25651</v>
      </c>
      <c r="Y1409" t="s">
        <v>25652</v>
      </c>
      <c r="Z1409" t="s">
        <v>74</v>
      </c>
      <c r="AA1409" t="s">
        <v>74</v>
      </c>
      <c r="AB1409" t="s">
        <v>74</v>
      </c>
      <c r="AC1409" t="s">
        <v>25653</v>
      </c>
      <c r="AD1409" t="s">
        <v>25654</v>
      </c>
      <c r="AE1409" t="s">
        <v>25655</v>
      </c>
      <c r="AF1409" t="s">
        <v>74</v>
      </c>
      <c r="AG1409">
        <v>68</v>
      </c>
      <c r="AH1409">
        <v>0</v>
      </c>
      <c r="AI1409">
        <v>0</v>
      </c>
      <c r="AJ1409">
        <v>3</v>
      </c>
      <c r="AK1409">
        <v>3</v>
      </c>
      <c r="AL1409" t="s">
        <v>638</v>
      </c>
      <c r="AM1409" t="s">
        <v>639</v>
      </c>
      <c r="AN1409" t="s">
        <v>640</v>
      </c>
      <c r="AO1409" t="s">
        <v>8260</v>
      </c>
      <c r="AP1409" t="s">
        <v>74</v>
      </c>
      <c r="AQ1409" t="s">
        <v>8261</v>
      </c>
      <c r="AR1409" t="s">
        <v>8262</v>
      </c>
      <c r="AS1409" t="s">
        <v>74</v>
      </c>
      <c r="AT1409" t="s">
        <v>74</v>
      </c>
      <c r="AU1409">
        <v>2023</v>
      </c>
      <c r="AV1409" t="s">
        <v>74</v>
      </c>
      <c r="AW1409" t="s">
        <v>74</v>
      </c>
      <c r="AX1409" t="s">
        <v>74</v>
      </c>
      <c r="AY1409" t="s">
        <v>74</v>
      </c>
      <c r="AZ1409" t="s">
        <v>74</v>
      </c>
      <c r="BA1409" t="s">
        <v>74</v>
      </c>
      <c r="BB1409">
        <v>15062</v>
      </c>
      <c r="BC1409">
        <v>15071</v>
      </c>
      <c r="BD1409" t="s">
        <v>74</v>
      </c>
      <c r="BE1409" t="s">
        <v>25656</v>
      </c>
      <c r="BF1409" t="str">
        <f>HYPERLINK("http://dx.doi.org/10.1109/CVPR52729.2023.01446","http://dx.doi.org/10.1109/CVPR52729.2023.01446")</f>
        <v>http://dx.doi.org/10.1109/CVPR52729.2023.01446</v>
      </c>
      <c r="BG1409" t="s">
        <v>74</v>
      </c>
      <c r="BH1409" t="s">
        <v>74</v>
      </c>
      <c r="BI1409">
        <v>10</v>
      </c>
      <c r="BJ1409" t="s">
        <v>304</v>
      </c>
      <c r="BK1409" t="s">
        <v>98</v>
      </c>
      <c r="BL1409" t="s">
        <v>99</v>
      </c>
      <c r="BM1409" t="s">
        <v>8264</v>
      </c>
      <c r="BN1409" t="s">
        <v>74</v>
      </c>
      <c r="BO1409" t="s">
        <v>646</v>
      </c>
      <c r="BP1409" t="s">
        <v>74</v>
      </c>
      <c r="BQ1409" t="s">
        <v>74</v>
      </c>
      <c r="BR1409" t="s">
        <v>101</v>
      </c>
      <c r="BS1409" t="s">
        <v>25657</v>
      </c>
      <c r="BT1409" t="str">
        <f>HYPERLINK("https%3A%2F%2Fwww.webofscience.com%2Fwos%2Fwoscc%2Ffull-record%2FWOS:001062522107037","View Full Record in Web of Science")</f>
        <v>View Full Record in Web of Science</v>
      </c>
    </row>
    <row r="1410" spans="1:72" x14ac:dyDescent="0.2">
      <c r="A1410" t="s">
        <v>72</v>
      </c>
      <c r="B1410" t="s">
        <v>25658</v>
      </c>
      <c r="C1410" t="s">
        <v>74</v>
      </c>
      <c r="D1410" t="s">
        <v>74</v>
      </c>
      <c r="E1410" t="s">
        <v>284</v>
      </c>
      <c r="F1410" t="s">
        <v>25659</v>
      </c>
      <c r="G1410" t="s">
        <v>74</v>
      </c>
      <c r="H1410" t="s">
        <v>74</v>
      </c>
      <c r="I1410" t="s">
        <v>25660</v>
      </c>
      <c r="J1410" t="s">
        <v>10100</v>
      </c>
      <c r="K1410" t="s">
        <v>8246</v>
      </c>
      <c r="L1410" t="s">
        <v>74</v>
      </c>
      <c r="M1410" t="s">
        <v>79</v>
      </c>
      <c r="N1410" t="s">
        <v>80</v>
      </c>
      <c r="O1410" t="s">
        <v>8247</v>
      </c>
      <c r="P1410" t="s">
        <v>8248</v>
      </c>
      <c r="Q1410" t="s">
        <v>6017</v>
      </c>
      <c r="R1410" t="s">
        <v>8249</v>
      </c>
      <c r="S1410" t="s">
        <v>74</v>
      </c>
      <c r="T1410" t="s">
        <v>74</v>
      </c>
      <c r="U1410" t="s">
        <v>74</v>
      </c>
      <c r="V1410" t="s">
        <v>25661</v>
      </c>
      <c r="W1410" t="s">
        <v>25662</v>
      </c>
      <c r="X1410" t="s">
        <v>74</v>
      </c>
      <c r="Y1410" t="s">
        <v>25663</v>
      </c>
      <c r="Z1410" t="s">
        <v>74</v>
      </c>
      <c r="AA1410" t="s">
        <v>74</v>
      </c>
      <c r="AB1410" t="s">
        <v>74</v>
      </c>
      <c r="AC1410" t="s">
        <v>74</v>
      </c>
      <c r="AD1410" t="s">
        <v>74</v>
      </c>
      <c r="AE1410" t="s">
        <v>74</v>
      </c>
      <c r="AF1410" t="s">
        <v>74</v>
      </c>
      <c r="AG1410">
        <v>55</v>
      </c>
      <c r="AH1410">
        <v>0</v>
      </c>
      <c r="AI1410">
        <v>0</v>
      </c>
      <c r="AJ1410">
        <v>2</v>
      </c>
      <c r="AK1410">
        <v>2</v>
      </c>
      <c r="AL1410" t="s">
        <v>638</v>
      </c>
      <c r="AM1410" t="s">
        <v>639</v>
      </c>
      <c r="AN1410" t="s">
        <v>640</v>
      </c>
      <c r="AO1410" t="s">
        <v>8260</v>
      </c>
      <c r="AP1410" t="s">
        <v>74</v>
      </c>
      <c r="AQ1410" t="s">
        <v>8261</v>
      </c>
      <c r="AR1410" t="s">
        <v>8262</v>
      </c>
      <c r="AS1410" t="s">
        <v>74</v>
      </c>
      <c r="AT1410" t="s">
        <v>74</v>
      </c>
      <c r="AU1410">
        <v>2023</v>
      </c>
      <c r="AV1410" t="s">
        <v>74</v>
      </c>
      <c r="AW1410" t="s">
        <v>74</v>
      </c>
      <c r="AX1410" t="s">
        <v>74</v>
      </c>
      <c r="AY1410" t="s">
        <v>74</v>
      </c>
      <c r="AZ1410" t="s">
        <v>74</v>
      </c>
      <c r="BA1410" t="s">
        <v>74</v>
      </c>
      <c r="BB1410">
        <v>1962</v>
      </c>
      <c r="BC1410">
        <v>1971</v>
      </c>
      <c r="BD1410" t="s">
        <v>74</v>
      </c>
      <c r="BE1410" t="s">
        <v>25664</v>
      </c>
      <c r="BF1410" t="str">
        <f>HYPERLINK("http://dx.doi.org/10.1109/CVPR52729.2023.00195","http://dx.doi.org/10.1109/CVPR52729.2023.00195")</f>
        <v>http://dx.doi.org/10.1109/CVPR52729.2023.00195</v>
      </c>
      <c r="BG1410" t="s">
        <v>74</v>
      </c>
      <c r="BH1410" t="s">
        <v>74</v>
      </c>
      <c r="BI1410">
        <v>10</v>
      </c>
      <c r="BJ1410" t="s">
        <v>10109</v>
      </c>
      <c r="BK1410" t="s">
        <v>98</v>
      </c>
      <c r="BL1410" t="s">
        <v>99</v>
      </c>
      <c r="BM1410" t="s">
        <v>10110</v>
      </c>
      <c r="BN1410" t="s">
        <v>74</v>
      </c>
      <c r="BO1410" t="s">
        <v>646</v>
      </c>
      <c r="BP1410" t="s">
        <v>74</v>
      </c>
      <c r="BQ1410" t="s">
        <v>74</v>
      </c>
      <c r="BR1410" t="s">
        <v>101</v>
      </c>
      <c r="BS1410" t="s">
        <v>25665</v>
      </c>
      <c r="BT1410" t="str">
        <f>HYPERLINK("https%3A%2F%2Fwww.webofscience.com%2Fwos%2Fwoscc%2Ffull-record%2FWOS:001058542602028","View Full Record in Web of Science")</f>
        <v>View Full Record in Web of Science</v>
      </c>
    </row>
    <row r="1411" spans="1:72" x14ac:dyDescent="0.2">
      <c r="A1411" t="s">
        <v>103</v>
      </c>
      <c r="B1411" t="s">
        <v>25666</v>
      </c>
      <c r="C1411" t="s">
        <v>74</v>
      </c>
      <c r="D1411" t="s">
        <v>74</v>
      </c>
      <c r="E1411" t="s">
        <v>74</v>
      </c>
      <c r="F1411" t="s">
        <v>25667</v>
      </c>
      <c r="G1411" t="s">
        <v>74</v>
      </c>
      <c r="H1411" t="s">
        <v>74</v>
      </c>
      <c r="I1411" t="s">
        <v>25668</v>
      </c>
      <c r="J1411" t="s">
        <v>25481</v>
      </c>
      <c r="K1411" t="s">
        <v>74</v>
      </c>
      <c r="L1411" t="s">
        <v>74</v>
      </c>
      <c r="M1411" t="s">
        <v>79</v>
      </c>
      <c r="N1411" t="s">
        <v>108</v>
      </c>
      <c r="O1411" t="s">
        <v>74</v>
      </c>
      <c r="P1411" t="s">
        <v>74</v>
      </c>
      <c r="Q1411" t="s">
        <v>74</v>
      </c>
      <c r="R1411" t="s">
        <v>74</v>
      </c>
      <c r="S1411" t="s">
        <v>74</v>
      </c>
      <c r="T1411" t="s">
        <v>74</v>
      </c>
      <c r="U1411" t="s">
        <v>25669</v>
      </c>
      <c r="V1411" t="s">
        <v>25670</v>
      </c>
      <c r="W1411" t="s">
        <v>25671</v>
      </c>
      <c r="X1411" t="s">
        <v>25672</v>
      </c>
      <c r="Y1411" t="s">
        <v>25673</v>
      </c>
      <c r="Z1411" t="s">
        <v>74</v>
      </c>
      <c r="AA1411" t="s">
        <v>74</v>
      </c>
      <c r="AB1411" t="s">
        <v>25674</v>
      </c>
      <c r="AC1411" t="s">
        <v>25675</v>
      </c>
      <c r="AD1411" t="s">
        <v>25676</v>
      </c>
      <c r="AE1411" t="s">
        <v>25677</v>
      </c>
      <c r="AF1411" t="s">
        <v>74</v>
      </c>
      <c r="AG1411">
        <v>94</v>
      </c>
      <c r="AH1411">
        <v>3</v>
      </c>
      <c r="AI1411">
        <v>3</v>
      </c>
      <c r="AJ1411">
        <v>0</v>
      </c>
      <c r="AK1411">
        <v>0</v>
      </c>
      <c r="AL1411" t="s">
        <v>25492</v>
      </c>
      <c r="AM1411" t="s">
        <v>765</v>
      </c>
      <c r="AN1411" t="s">
        <v>25493</v>
      </c>
      <c r="AO1411" t="s">
        <v>25494</v>
      </c>
      <c r="AP1411" t="s">
        <v>74</v>
      </c>
      <c r="AQ1411" t="s">
        <v>74</v>
      </c>
      <c r="AR1411" t="s">
        <v>25495</v>
      </c>
      <c r="AS1411" t="s">
        <v>25496</v>
      </c>
      <c r="AT1411" t="s">
        <v>771</v>
      </c>
      <c r="AU1411">
        <v>2023</v>
      </c>
      <c r="AV1411">
        <v>15</v>
      </c>
      <c r="AW1411">
        <v>3</v>
      </c>
      <c r="AX1411" t="s">
        <v>74</v>
      </c>
      <c r="AY1411" t="s">
        <v>74</v>
      </c>
      <c r="AZ1411" t="s">
        <v>74</v>
      </c>
      <c r="BA1411" t="s">
        <v>74</v>
      </c>
      <c r="BB1411" t="s">
        <v>74</v>
      </c>
      <c r="BC1411" t="s">
        <v>74</v>
      </c>
      <c r="BD1411">
        <v>94</v>
      </c>
      <c r="BE1411" t="s">
        <v>25678</v>
      </c>
      <c r="BF1411" t="str">
        <f>HYPERLINK("http://dx.doi.org/10.21468/SciPostPhys.15.3.094","http://dx.doi.org/10.21468/SciPostPhys.15.3.094")</f>
        <v>http://dx.doi.org/10.21468/SciPostPhys.15.3.094</v>
      </c>
      <c r="BG1411" t="s">
        <v>74</v>
      </c>
      <c r="BH1411" t="s">
        <v>74</v>
      </c>
      <c r="BI1411">
        <v>24</v>
      </c>
      <c r="BJ1411" t="s">
        <v>10510</v>
      </c>
      <c r="BK1411" t="s">
        <v>130</v>
      </c>
      <c r="BL1411" t="s">
        <v>6827</v>
      </c>
      <c r="BM1411" t="s">
        <v>25679</v>
      </c>
      <c r="BN1411" t="s">
        <v>74</v>
      </c>
      <c r="BO1411" t="s">
        <v>1071</v>
      </c>
      <c r="BP1411" t="s">
        <v>74</v>
      </c>
      <c r="BQ1411" t="s">
        <v>74</v>
      </c>
      <c r="BR1411" t="s">
        <v>101</v>
      </c>
      <c r="BS1411" t="s">
        <v>25680</v>
      </c>
      <c r="BT1411" t="str">
        <f>HYPERLINK("https%3A%2F%2Fwww.webofscience.com%2Fwos%2Fwoscc%2Ffull-record%2FWOS:001076779200001","View Full Record in Web of Science")</f>
        <v>View Full Record in Web of Science</v>
      </c>
    </row>
    <row r="1412" spans="1:72" x14ac:dyDescent="0.2">
      <c r="A1412" t="s">
        <v>103</v>
      </c>
      <c r="B1412" t="s">
        <v>25681</v>
      </c>
      <c r="C1412" t="s">
        <v>74</v>
      </c>
      <c r="D1412" t="s">
        <v>74</v>
      </c>
      <c r="E1412" t="s">
        <v>74</v>
      </c>
      <c r="F1412" t="s">
        <v>25682</v>
      </c>
      <c r="G1412" t="s">
        <v>74</v>
      </c>
      <c r="H1412" t="s">
        <v>74</v>
      </c>
      <c r="I1412" t="s">
        <v>25683</v>
      </c>
      <c r="J1412" t="s">
        <v>6393</v>
      </c>
      <c r="K1412" t="s">
        <v>74</v>
      </c>
      <c r="L1412" t="s">
        <v>74</v>
      </c>
      <c r="M1412" t="s">
        <v>79</v>
      </c>
      <c r="N1412" t="s">
        <v>138</v>
      </c>
      <c r="O1412" t="s">
        <v>74</v>
      </c>
      <c r="P1412" t="s">
        <v>74</v>
      </c>
      <c r="Q1412" t="s">
        <v>74</v>
      </c>
      <c r="R1412" t="s">
        <v>74</v>
      </c>
      <c r="S1412" t="s">
        <v>74</v>
      </c>
      <c r="T1412" t="s">
        <v>25684</v>
      </c>
      <c r="U1412" t="s">
        <v>74</v>
      </c>
      <c r="V1412" t="s">
        <v>25685</v>
      </c>
      <c r="W1412" t="s">
        <v>25686</v>
      </c>
      <c r="X1412" t="s">
        <v>25687</v>
      </c>
      <c r="Y1412" t="s">
        <v>25688</v>
      </c>
      <c r="Z1412" t="s">
        <v>25689</v>
      </c>
      <c r="AA1412" t="s">
        <v>74</v>
      </c>
      <c r="AB1412" t="s">
        <v>74</v>
      </c>
      <c r="AC1412" t="s">
        <v>74</v>
      </c>
      <c r="AD1412" t="s">
        <v>74</v>
      </c>
      <c r="AE1412" t="s">
        <v>74</v>
      </c>
      <c r="AF1412" t="s">
        <v>74</v>
      </c>
      <c r="AG1412">
        <v>41</v>
      </c>
      <c r="AH1412">
        <v>0</v>
      </c>
      <c r="AI1412">
        <v>0</v>
      </c>
      <c r="AJ1412">
        <v>6</v>
      </c>
      <c r="AK1412">
        <v>6</v>
      </c>
      <c r="AL1412" t="s">
        <v>343</v>
      </c>
      <c r="AM1412" t="s">
        <v>521</v>
      </c>
      <c r="AN1412" t="s">
        <v>522</v>
      </c>
      <c r="AO1412" t="s">
        <v>6402</v>
      </c>
      <c r="AP1412" t="s">
        <v>6403</v>
      </c>
      <c r="AQ1412" t="s">
        <v>74</v>
      </c>
      <c r="AR1412" t="s">
        <v>6404</v>
      </c>
      <c r="AS1412" t="s">
        <v>6405</v>
      </c>
      <c r="AT1412" t="s">
        <v>1603</v>
      </c>
      <c r="AU1412">
        <v>2023</v>
      </c>
      <c r="AV1412" t="s">
        <v>74</v>
      </c>
      <c r="AW1412" t="s">
        <v>74</v>
      </c>
      <c r="AX1412" t="s">
        <v>74</v>
      </c>
      <c r="AY1412" t="s">
        <v>74</v>
      </c>
      <c r="AZ1412" t="s">
        <v>74</v>
      </c>
      <c r="BA1412" t="s">
        <v>74</v>
      </c>
      <c r="BB1412" t="s">
        <v>74</v>
      </c>
      <c r="BC1412" t="s">
        <v>74</v>
      </c>
      <c r="BD1412" t="s">
        <v>74</v>
      </c>
      <c r="BE1412" t="s">
        <v>25690</v>
      </c>
      <c r="BF1412" t="str">
        <f>HYPERLINK("http://dx.doi.org/10.1007/s11227-023-05795-y","http://dx.doi.org/10.1007/s11227-023-05795-y")</f>
        <v>http://dx.doi.org/10.1007/s11227-023-05795-y</v>
      </c>
      <c r="BG1412" t="s">
        <v>74</v>
      </c>
      <c r="BH1412" t="s">
        <v>157</v>
      </c>
      <c r="BI1412">
        <v>31</v>
      </c>
      <c r="BJ1412" t="s">
        <v>6407</v>
      </c>
      <c r="BK1412" t="s">
        <v>130</v>
      </c>
      <c r="BL1412" t="s">
        <v>906</v>
      </c>
      <c r="BM1412" t="s">
        <v>25691</v>
      </c>
      <c r="BN1412" t="s">
        <v>74</v>
      </c>
      <c r="BO1412" t="s">
        <v>74</v>
      </c>
      <c r="BP1412" t="s">
        <v>74</v>
      </c>
      <c r="BQ1412" t="s">
        <v>74</v>
      </c>
      <c r="BR1412" t="s">
        <v>101</v>
      </c>
      <c r="BS1412" t="s">
        <v>25692</v>
      </c>
      <c r="BT1412" t="str">
        <f>HYPERLINK("https%3A%2F%2Fwww.webofscience.com%2Fwos%2Fwoscc%2Ffull-record%2FWOS:001113330200001","View Full Record in Web of Science")</f>
        <v>View Full Record in Web of Science</v>
      </c>
    </row>
    <row r="1413" spans="1:72" x14ac:dyDescent="0.2">
      <c r="A1413" t="s">
        <v>72</v>
      </c>
      <c r="B1413" t="s">
        <v>25693</v>
      </c>
      <c r="C1413" t="s">
        <v>74</v>
      </c>
      <c r="D1413" t="s">
        <v>74</v>
      </c>
      <c r="E1413" t="s">
        <v>284</v>
      </c>
      <c r="F1413" t="s">
        <v>25694</v>
      </c>
      <c r="G1413" t="s">
        <v>74</v>
      </c>
      <c r="H1413" t="s">
        <v>74</v>
      </c>
      <c r="I1413" t="s">
        <v>25695</v>
      </c>
      <c r="J1413" t="s">
        <v>6787</v>
      </c>
      <c r="K1413" t="s">
        <v>6788</v>
      </c>
      <c r="L1413" t="s">
        <v>74</v>
      </c>
      <c r="M1413" t="s">
        <v>79</v>
      </c>
      <c r="N1413" t="s">
        <v>80</v>
      </c>
      <c r="O1413" t="s">
        <v>6789</v>
      </c>
      <c r="P1413" t="s">
        <v>6790</v>
      </c>
      <c r="Q1413" t="s">
        <v>2167</v>
      </c>
      <c r="R1413" t="s">
        <v>6791</v>
      </c>
      <c r="S1413" t="s">
        <v>74</v>
      </c>
      <c r="T1413" t="s">
        <v>74</v>
      </c>
      <c r="U1413" t="s">
        <v>74</v>
      </c>
      <c r="V1413" t="s">
        <v>25696</v>
      </c>
      <c r="W1413" t="s">
        <v>25697</v>
      </c>
      <c r="X1413" t="s">
        <v>25698</v>
      </c>
      <c r="Y1413" t="s">
        <v>25699</v>
      </c>
      <c r="Z1413" t="s">
        <v>25700</v>
      </c>
      <c r="AA1413" t="s">
        <v>25701</v>
      </c>
      <c r="AB1413" t="s">
        <v>25702</v>
      </c>
      <c r="AC1413" t="s">
        <v>25703</v>
      </c>
      <c r="AD1413" t="s">
        <v>25703</v>
      </c>
      <c r="AE1413" t="s">
        <v>25704</v>
      </c>
      <c r="AF1413" t="s">
        <v>74</v>
      </c>
      <c r="AG1413">
        <v>16</v>
      </c>
      <c r="AH1413">
        <v>0</v>
      </c>
      <c r="AI1413">
        <v>0</v>
      </c>
      <c r="AJ1413">
        <v>0</v>
      </c>
      <c r="AK1413">
        <v>0</v>
      </c>
      <c r="AL1413" t="s">
        <v>284</v>
      </c>
      <c r="AM1413" t="s">
        <v>93</v>
      </c>
      <c r="AN1413" t="s">
        <v>299</v>
      </c>
      <c r="AO1413" t="s">
        <v>6801</v>
      </c>
      <c r="AP1413" t="s">
        <v>6802</v>
      </c>
      <c r="AQ1413" t="s">
        <v>6803</v>
      </c>
      <c r="AR1413" t="s">
        <v>6804</v>
      </c>
      <c r="AS1413" t="s">
        <v>74</v>
      </c>
      <c r="AT1413" t="s">
        <v>74</v>
      </c>
      <c r="AU1413">
        <v>2023</v>
      </c>
      <c r="AV1413" t="s">
        <v>74</v>
      </c>
      <c r="AW1413" t="s">
        <v>74</v>
      </c>
      <c r="AX1413" t="s">
        <v>74</v>
      </c>
      <c r="AY1413" t="s">
        <v>74</v>
      </c>
      <c r="AZ1413" t="s">
        <v>74</v>
      </c>
      <c r="BA1413" t="s">
        <v>74</v>
      </c>
      <c r="BB1413" t="s">
        <v>74</v>
      </c>
      <c r="BC1413" t="s">
        <v>74</v>
      </c>
      <c r="BD1413" t="s">
        <v>74</v>
      </c>
      <c r="BE1413" t="s">
        <v>25705</v>
      </c>
      <c r="BF1413" t="str">
        <f>HYPERLINK("http://dx.doi.org/10.1109/EMBC40787.2023.10340469","http://dx.doi.org/10.1109/EMBC40787.2023.10340469")</f>
        <v>http://dx.doi.org/10.1109/EMBC40787.2023.10340469</v>
      </c>
      <c r="BG1413" t="s">
        <v>74</v>
      </c>
      <c r="BH1413" t="s">
        <v>74</v>
      </c>
      <c r="BI1413">
        <v>4</v>
      </c>
      <c r="BJ1413" t="s">
        <v>6806</v>
      </c>
      <c r="BK1413" t="s">
        <v>98</v>
      </c>
      <c r="BL1413" t="s">
        <v>906</v>
      </c>
      <c r="BM1413" t="s">
        <v>6807</v>
      </c>
      <c r="BN1413">
        <v>38083494</v>
      </c>
      <c r="BO1413" t="s">
        <v>74</v>
      </c>
      <c r="BP1413" t="s">
        <v>74</v>
      </c>
      <c r="BQ1413" t="s">
        <v>74</v>
      </c>
      <c r="BR1413" t="s">
        <v>101</v>
      </c>
      <c r="BS1413" t="s">
        <v>25706</v>
      </c>
      <c r="BT1413" t="str">
        <f>HYPERLINK("https%3A%2F%2Fwww.webofscience.com%2Fwos%2Fwoscc%2Ffull-record%2FWOS:001133788302056","View Full Record in Web of Science")</f>
        <v>View Full Record in Web of Science</v>
      </c>
    </row>
    <row r="1414" spans="1:72" x14ac:dyDescent="0.2">
      <c r="A1414" t="s">
        <v>103</v>
      </c>
      <c r="B1414" t="s">
        <v>25707</v>
      </c>
      <c r="C1414" t="s">
        <v>74</v>
      </c>
      <c r="D1414" t="s">
        <v>74</v>
      </c>
      <c r="E1414" t="s">
        <v>74</v>
      </c>
      <c r="F1414" t="s">
        <v>25708</v>
      </c>
      <c r="G1414" t="s">
        <v>74</v>
      </c>
      <c r="H1414" t="s">
        <v>74</v>
      </c>
      <c r="I1414" t="s">
        <v>25709</v>
      </c>
      <c r="J1414" t="s">
        <v>6611</v>
      </c>
      <c r="K1414" t="s">
        <v>74</v>
      </c>
      <c r="L1414" t="s">
        <v>74</v>
      </c>
      <c r="M1414" t="s">
        <v>79</v>
      </c>
      <c r="N1414" t="s">
        <v>108</v>
      </c>
      <c r="O1414" t="s">
        <v>74</v>
      </c>
      <c r="P1414" t="s">
        <v>74</v>
      </c>
      <c r="Q1414" t="s">
        <v>74</v>
      </c>
      <c r="R1414" t="s">
        <v>74</v>
      </c>
      <c r="S1414" t="s">
        <v>74</v>
      </c>
      <c r="T1414" t="s">
        <v>25710</v>
      </c>
      <c r="U1414" t="s">
        <v>25711</v>
      </c>
      <c r="V1414" t="s">
        <v>25712</v>
      </c>
      <c r="W1414" t="s">
        <v>25713</v>
      </c>
      <c r="X1414" t="s">
        <v>25714</v>
      </c>
      <c r="Y1414" t="s">
        <v>25715</v>
      </c>
      <c r="Z1414" t="s">
        <v>25716</v>
      </c>
      <c r="AA1414" t="s">
        <v>24063</v>
      </c>
      <c r="AB1414" t="s">
        <v>25717</v>
      </c>
      <c r="AC1414" t="s">
        <v>25718</v>
      </c>
      <c r="AD1414" t="s">
        <v>25719</v>
      </c>
      <c r="AE1414" t="s">
        <v>25720</v>
      </c>
      <c r="AF1414" t="s">
        <v>74</v>
      </c>
      <c r="AG1414">
        <v>61</v>
      </c>
      <c r="AH1414">
        <v>1</v>
      </c>
      <c r="AI1414">
        <v>1</v>
      </c>
      <c r="AJ1414">
        <v>1</v>
      </c>
      <c r="AK1414">
        <v>11</v>
      </c>
      <c r="AL1414" t="s">
        <v>638</v>
      </c>
      <c r="AM1414" t="s">
        <v>639</v>
      </c>
      <c r="AN1414" t="s">
        <v>1557</v>
      </c>
      <c r="AO1414" t="s">
        <v>6621</v>
      </c>
      <c r="AP1414" t="s">
        <v>6622</v>
      </c>
      <c r="AQ1414" t="s">
        <v>74</v>
      </c>
      <c r="AR1414" t="s">
        <v>6623</v>
      </c>
      <c r="AS1414" t="s">
        <v>6624</v>
      </c>
      <c r="AT1414" t="s">
        <v>20086</v>
      </c>
      <c r="AU1414">
        <v>2023</v>
      </c>
      <c r="AV1414">
        <v>45</v>
      </c>
      <c r="AW1414">
        <v>1</v>
      </c>
      <c r="AX1414" t="s">
        <v>74</v>
      </c>
      <c r="AY1414" t="s">
        <v>74</v>
      </c>
      <c r="AZ1414" t="s">
        <v>74</v>
      </c>
      <c r="BA1414" t="s">
        <v>74</v>
      </c>
      <c r="BB1414">
        <v>841</v>
      </c>
      <c r="BC1414">
        <v>851</v>
      </c>
      <c r="BD1414" t="s">
        <v>74</v>
      </c>
      <c r="BE1414" t="s">
        <v>25721</v>
      </c>
      <c r="BF1414" t="str">
        <f>HYPERLINK("http://dx.doi.org/10.1109/TPAMI.2022.3147798","http://dx.doi.org/10.1109/TPAMI.2022.3147798")</f>
        <v>http://dx.doi.org/10.1109/TPAMI.2022.3147798</v>
      </c>
      <c r="BG1414" t="s">
        <v>74</v>
      </c>
      <c r="BH1414" t="s">
        <v>74</v>
      </c>
      <c r="BI1414">
        <v>11</v>
      </c>
      <c r="BJ1414" t="s">
        <v>6627</v>
      </c>
      <c r="BK1414" t="s">
        <v>130</v>
      </c>
      <c r="BL1414" t="s">
        <v>906</v>
      </c>
      <c r="BM1414" t="s">
        <v>25722</v>
      </c>
      <c r="BN1414">
        <v>35104212</v>
      </c>
      <c r="BO1414" t="s">
        <v>646</v>
      </c>
      <c r="BP1414" t="s">
        <v>74</v>
      </c>
      <c r="BQ1414" t="s">
        <v>74</v>
      </c>
      <c r="BR1414" t="s">
        <v>101</v>
      </c>
      <c r="BS1414" t="s">
        <v>25723</v>
      </c>
      <c r="BT1414" t="str">
        <f>HYPERLINK("https%3A%2F%2Fwww.webofscience.com%2Fwos%2Fwoscc%2Ffull-record%2FWOS:000899419900053","View Full Record in Web of Science")</f>
        <v>View Full Record in Web of Science</v>
      </c>
    </row>
    <row r="1415" spans="1:72" x14ac:dyDescent="0.2">
      <c r="A1415" t="s">
        <v>103</v>
      </c>
      <c r="B1415" t="s">
        <v>25724</v>
      </c>
      <c r="C1415" t="s">
        <v>74</v>
      </c>
      <c r="D1415" t="s">
        <v>74</v>
      </c>
      <c r="E1415" t="s">
        <v>74</v>
      </c>
      <c r="F1415" t="s">
        <v>25725</v>
      </c>
      <c r="G1415" t="s">
        <v>74</v>
      </c>
      <c r="H1415" t="s">
        <v>74</v>
      </c>
      <c r="I1415" t="s">
        <v>25726</v>
      </c>
      <c r="J1415" t="s">
        <v>25727</v>
      </c>
      <c r="K1415" t="s">
        <v>74</v>
      </c>
      <c r="L1415" t="s">
        <v>74</v>
      </c>
      <c r="M1415" t="s">
        <v>79</v>
      </c>
      <c r="N1415" t="s">
        <v>108</v>
      </c>
      <c r="O1415" t="s">
        <v>74</v>
      </c>
      <c r="P1415" t="s">
        <v>74</v>
      </c>
      <c r="Q1415" t="s">
        <v>74</v>
      </c>
      <c r="R1415" t="s">
        <v>74</v>
      </c>
      <c r="S1415" t="s">
        <v>74</v>
      </c>
      <c r="T1415" t="s">
        <v>25728</v>
      </c>
      <c r="U1415" t="s">
        <v>74</v>
      </c>
      <c r="V1415" t="s">
        <v>25729</v>
      </c>
      <c r="W1415" t="s">
        <v>25730</v>
      </c>
      <c r="X1415" t="s">
        <v>25731</v>
      </c>
      <c r="Y1415" t="s">
        <v>25732</v>
      </c>
      <c r="Z1415" t="s">
        <v>25733</v>
      </c>
      <c r="AA1415" t="s">
        <v>74</v>
      </c>
      <c r="AB1415" t="s">
        <v>74</v>
      </c>
      <c r="AC1415" t="s">
        <v>74</v>
      </c>
      <c r="AD1415" t="s">
        <v>74</v>
      </c>
      <c r="AE1415" t="s">
        <v>74</v>
      </c>
      <c r="AF1415" t="s">
        <v>74</v>
      </c>
      <c r="AG1415">
        <v>25</v>
      </c>
      <c r="AH1415">
        <v>1</v>
      </c>
      <c r="AI1415">
        <v>1</v>
      </c>
      <c r="AJ1415">
        <v>4</v>
      </c>
      <c r="AK1415">
        <v>7</v>
      </c>
      <c r="AL1415" t="s">
        <v>119</v>
      </c>
      <c r="AM1415" t="s">
        <v>120</v>
      </c>
      <c r="AN1415" t="s">
        <v>121</v>
      </c>
      <c r="AO1415" t="s">
        <v>25734</v>
      </c>
      <c r="AP1415" t="s">
        <v>25735</v>
      </c>
      <c r="AQ1415" t="s">
        <v>74</v>
      </c>
      <c r="AR1415" t="s">
        <v>25736</v>
      </c>
      <c r="AS1415" t="s">
        <v>25737</v>
      </c>
      <c r="AT1415" t="s">
        <v>771</v>
      </c>
      <c r="AU1415">
        <v>2023</v>
      </c>
      <c r="AV1415">
        <v>110</v>
      </c>
      <c r="AW1415" t="s">
        <v>74</v>
      </c>
      <c r="AX1415" t="s">
        <v>74</v>
      </c>
      <c r="AY1415" t="s">
        <v>74</v>
      </c>
      <c r="AZ1415" t="s">
        <v>74</v>
      </c>
      <c r="BA1415" t="s">
        <v>74</v>
      </c>
      <c r="BB1415" t="s">
        <v>74</v>
      </c>
      <c r="BC1415" t="s">
        <v>74</v>
      </c>
      <c r="BD1415">
        <v>108839</v>
      </c>
      <c r="BE1415" t="s">
        <v>25738</v>
      </c>
      <c r="BF1415" t="str">
        <f>HYPERLINK("http://dx.doi.org/10.1016/j.compeleceng.2023.108839","http://dx.doi.org/10.1016/j.compeleceng.2023.108839")</f>
        <v>http://dx.doi.org/10.1016/j.compeleceng.2023.108839</v>
      </c>
      <c r="BG1415" t="s">
        <v>74</v>
      </c>
      <c r="BH1415" t="s">
        <v>229</v>
      </c>
      <c r="BI1415">
        <v>15</v>
      </c>
      <c r="BJ1415" t="s">
        <v>25739</v>
      </c>
      <c r="BK1415" t="s">
        <v>130</v>
      </c>
      <c r="BL1415" t="s">
        <v>906</v>
      </c>
      <c r="BM1415" t="s">
        <v>25740</v>
      </c>
      <c r="BN1415" t="s">
        <v>74</v>
      </c>
      <c r="BO1415" t="s">
        <v>74</v>
      </c>
      <c r="BP1415" t="s">
        <v>74</v>
      </c>
      <c r="BQ1415" t="s">
        <v>74</v>
      </c>
      <c r="BR1415" t="s">
        <v>101</v>
      </c>
      <c r="BS1415" t="s">
        <v>25741</v>
      </c>
      <c r="BT1415" t="str">
        <f>HYPERLINK("https%3A%2F%2Fwww.webofscience.com%2Fwos%2Fwoscc%2Ffull-record%2FWOS:001044379700001","View Full Record in Web of Science")</f>
        <v>View Full Record in Web of Science</v>
      </c>
    </row>
    <row r="1416" spans="1:72" x14ac:dyDescent="0.2">
      <c r="A1416" t="s">
        <v>103</v>
      </c>
      <c r="B1416" t="s">
        <v>25742</v>
      </c>
      <c r="C1416" t="s">
        <v>74</v>
      </c>
      <c r="D1416" t="s">
        <v>74</v>
      </c>
      <c r="E1416" t="s">
        <v>74</v>
      </c>
      <c r="F1416" t="s">
        <v>25743</v>
      </c>
      <c r="G1416" t="s">
        <v>74</v>
      </c>
      <c r="H1416" t="s">
        <v>74</v>
      </c>
      <c r="I1416" t="s">
        <v>25744</v>
      </c>
      <c r="J1416" t="s">
        <v>6611</v>
      </c>
      <c r="K1416" t="s">
        <v>74</v>
      </c>
      <c r="L1416" t="s">
        <v>74</v>
      </c>
      <c r="M1416" t="s">
        <v>79</v>
      </c>
      <c r="N1416" t="s">
        <v>108</v>
      </c>
      <c r="O1416" t="s">
        <v>74</v>
      </c>
      <c r="P1416" t="s">
        <v>74</v>
      </c>
      <c r="Q1416" t="s">
        <v>74</v>
      </c>
      <c r="R1416" t="s">
        <v>74</v>
      </c>
      <c r="S1416" t="s">
        <v>74</v>
      </c>
      <c r="T1416" t="s">
        <v>25745</v>
      </c>
      <c r="U1416" t="s">
        <v>74</v>
      </c>
      <c r="V1416" t="s">
        <v>25746</v>
      </c>
      <c r="W1416" t="s">
        <v>25747</v>
      </c>
      <c r="X1416" t="s">
        <v>9584</v>
      </c>
      <c r="Y1416" t="s">
        <v>25748</v>
      </c>
      <c r="Z1416" t="s">
        <v>25749</v>
      </c>
      <c r="AA1416" t="s">
        <v>74</v>
      </c>
      <c r="AB1416" t="s">
        <v>25750</v>
      </c>
      <c r="AC1416" t="s">
        <v>25751</v>
      </c>
      <c r="AD1416" t="s">
        <v>25752</v>
      </c>
      <c r="AE1416" t="s">
        <v>25753</v>
      </c>
      <c r="AF1416" t="s">
        <v>74</v>
      </c>
      <c r="AG1416">
        <v>59</v>
      </c>
      <c r="AH1416">
        <v>1</v>
      </c>
      <c r="AI1416">
        <v>1</v>
      </c>
      <c r="AJ1416">
        <v>6</v>
      </c>
      <c r="AK1416">
        <v>7</v>
      </c>
      <c r="AL1416" t="s">
        <v>638</v>
      </c>
      <c r="AM1416" t="s">
        <v>639</v>
      </c>
      <c r="AN1416" t="s">
        <v>1557</v>
      </c>
      <c r="AO1416" t="s">
        <v>6621</v>
      </c>
      <c r="AP1416" t="s">
        <v>6622</v>
      </c>
      <c r="AQ1416" t="s">
        <v>74</v>
      </c>
      <c r="AR1416" t="s">
        <v>6623</v>
      </c>
      <c r="AS1416" t="s">
        <v>6624</v>
      </c>
      <c r="AT1416" t="s">
        <v>467</v>
      </c>
      <c r="AU1416">
        <v>2023</v>
      </c>
      <c r="AV1416">
        <v>45</v>
      </c>
      <c r="AW1416">
        <v>10</v>
      </c>
      <c r="AX1416" t="s">
        <v>74</v>
      </c>
      <c r="AY1416" t="s">
        <v>74</v>
      </c>
      <c r="AZ1416" t="s">
        <v>74</v>
      </c>
      <c r="BA1416" t="s">
        <v>74</v>
      </c>
      <c r="BB1416">
        <v>12179</v>
      </c>
      <c r="BC1416">
        <v>12191</v>
      </c>
      <c r="BD1416" t="s">
        <v>74</v>
      </c>
      <c r="BE1416" t="s">
        <v>25754</v>
      </c>
      <c r="BF1416" t="str">
        <f>HYPERLINK("http://dx.doi.org/10.1109/TPAMI.2023.3283551","http://dx.doi.org/10.1109/TPAMI.2023.3283551")</f>
        <v>http://dx.doi.org/10.1109/TPAMI.2023.3283551</v>
      </c>
      <c r="BG1416" t="s">
        <v>74</v>
      </c>
      <c r="BH1416" t="s">
        <v>74</v>
      </c>
      <c r="BI1416">
        <v>13</v>
      </c>
      <c r="BJ1416" t="s">
        <v>6627</v>
      </c>
      <c r="BK1416" t="s">
        <v>130</v>
      </c>
      <c r="BL1416" t="s">
        <v>906</v>
      </c>
      <c r="BM1416" t="s">
        <v>19257</v>
      </c>
      <c r="BN1416">
        <v>37352089</v>
      </c>
      <c r="BO1416" t="s">
        <v>646</v>
      </c>
      <c r="BP1416" t="s">
        <v>74</v>
      </c>
      <c r="BQ1416" t="s">
        <v>74</v>
      </c>
      <c r="BR1416" t="s">
        <v>101</v>
      </c>
      <c r="BS1416" t="s">
        <v>25755</v>
      </c>
      <c r="BT1416" t="str">
        <f>HYPERLINK("https%3A%2F%2Fwww.webofscience.com%2Fwos%2Fwoscc%2Ffull-record%2FWOS:001068816800042","View Full Record in Web of Science")</f>
        <v>View Full Record in Web of Science</v>
      </c>
    </row>
    <row r="1417" spans="1:72" x14ac:dyDescent="0.2">
      <c r="A1417" t="s">
        <v>103</v>
      </c>
      <c r="B1417" t="s">
        <v>25756</v>
      </c>
      <c r="C1417" t="s">
        <v>74</v>
      </c>
      <c r="D1417" t="s">
        <v>74</v>
      </c>
      <c r="E1417" t="s">
        <v>74</v>
      </c>
      <c r="F1417" t="s">
        <v>25757</v>
      </c>
      <c r="G1417" t="s">
        <v>74</v>
      </c>
      <c r="H1417" t="s">
        <v>74</v>
      </c>
      <c r="I1417" t="s">
        <v>25758</v>
      </c>
      <c r="J1417" t="s">
        <v>25759</v>
      </c>
      <c r="K1417" t="s">
        <v>74</v>
      </c>
      <c r="L1417" t="s">
        <v>74</v>
      </c>
      <c r="M1417" t="s">
        <v>79</v>
      </c>
      <c r="N1417" t="s">
        <v>108</v>
      </c>
      <c r="O1417" t="s">
        <v>74</v>
      </c>
      <c r="P1417" t="s">
        <v>74</v>
      </c>
      <c r="Q1417" t="s">
        <v>74</v>
      </c>
      <c r="R1417" t="s">
        <v>74</v>
      </c>
      <c r="S1417" t="s">
        <v>74</v>
      </c>
      <c r="T1417" t="s">
        <v>25760</v>
      </c>
      <c r="U1417" t="s">
        <v>74</v>
      </c>
      <c r="V1417" t="s">
        <v>25761</v>
      </c>
      <c r="W1417" t="s">
        <v>25762</v>
      </c>
      <c r="X1417" t="s">
        <v>74</v>
      </c>
      <c r="Y1417" t="s">
        <v>16381</v>
      </c>
      <c r="Z1417" t="s">
        <v>16382</v>
      </c>
      <c r="AA1417" t="s">
        <v>25763</v>
      </c>
      <c r="AB1417" t="s">
        <v>25764</v>
      </c>
      <c r="AC1417" t="s">
        <v>74</v>
      </c>
      <c r="AD1417" t="s">
        <v>74</v>
      </c>
      <c r="AE1417" t="s">
        <v>74</v>
      </c>
      <c r="AF1417" t="s">
        <v>74</v>
      </c>
      <c r="AG1417">
        <v>22</v>
      </c>
      <c r="AH1417">
        <v>12</v>
      </c>
      <c r="AI1417">
        <v>12</v>
      </c>
      <c r="AJ1417">
        <v>11</v>
      </c>
      <c r="AK1417">
        <v>19</v>
      </c>
      <c r="AL1417" t="s">
        <v>25765</v>
      </c>
      <c r="AM1417" t="s">
        <v>25766</v>
      </c>
      <c r="AN1417" t="s">
        <v>25767</v>
      </c>
      <c r="AO1417" t="s">
        <v>25768</v>
      </c>
      <c r="AP1417" t="s">
        <v>25769</v>
      </c>
      <c r="AQ1417" t="s">
        <v>74</v>
      </c>
      <c r="AR1417" t="s">
        <v>25770</v>
      </c>
      <c r="AS1417" t="s">
        <v>25771</v>
      </c>
      <c r="AT1417" t="s">
        <v>1561</v>
      </c>
      <c r="AU1417">
        <v>2023</v>
      </c>
      <c r="AV1417">
        <v>14</v>
      </c>
      <c r="AW1417">
        <v>4</v>
      </c>
      <c r="AX1417" t="s">
        <v>74</v>
      </c>
      <c r="AY1417" t="s">
        <v>74</v>
      </c>
      <c r="AZ1417" t="s">
        <v>74</v>
      </c>
      <c r="BA1417" t="s">
        <v>74</v>
      </c>
      <c r="BB1417">
        <v>482</v>
      </c>
      <c r="BC1417">
        <v>486</v>
      </c>
      <c r="BD1417" t="s">
        <v>74</v>
      </c>
      <c r="BE1417" t="s">
        <v>25772</v>
      </c>
      <c r="BF1417" t="str">
        <f>HYPERLINK("http://dx.doi.org/10.4103/idoj.idoj_72_23","http://dx.doi.org/10.4103/idoj.idoj_72_23")</f>
        <v>http://dx.doi.org/10.4103/idoj.idoj_72_23</v>
      </c>
      <c r="BG1417" t="s">
        <v>74</v>
      </c>
      <c r="BH1417" t="s">
        <v>74</v>
      </c>
      <c r="BI1417">
        <v>5</v>
      </c>
      <c r="BJ1417" t="s">
        <v>13950</v>
      </c>
      <c r="BK1417" t="s">
        <v>352</v>
      </c>
      <c r="BL1417" t="s">
        <v>13950</v>
      </c>
      <c r="BM1417" t="s">
        <v>25773</v>
      </c>
      <c r="BN1417">
        <v>37521213</v>
      </c>
      <c r="BO1417" t="s">
        <v>4185</v>
      </c>
      <c r="BP1417" t="s">
        <v>74</v>
      </c>
      <c r="BQ1417" t="s">
        <v>74</v>
      </c>
      <c r="BR1417" t="s">
        <v>101</v>
      </c>
      <c r="BS1417" t="s">
        <v>25774</v>
      </c>
      <c r="BT1417" t="str">
        <f>HYPERLINK("https%3A%2F%2Fwww.webofscience.com%2Fwos%2Fwoscc%2Ffull-record%2FWOS:001046483900005","View Full Record in Web of Science")</f>
        <v>View Full Record in Web of Science</v>
      </c>
    </row>
    <row r="1418" spans="1:72" x14ac:dyDescent="0.2">
      <c r="A1418" t="s">
        <v>72</v>
      </c>
      <c r="B1418" t="s">
        <v>25775</v>
      </c>
      <c r="C1418" t="s">
        <v>74</v>
      </c>
      <c r="D1418" t="s">
        <v>74</v>
      </c>
      <c r="E1418" t="s">
        <v>284</v>
      </c>
      <c r="F1418" t="s">
        <v>25776</v>
      </c>
      <c r="G1418" t="s">
        <v>74</v>
      </c>
      <c r="H1418" t="s">
        <v>74</v>
      </c>
      <c r="I1418" t="s">
        <v>25777</v>
      </c>
      <c r="J1418" t="s">
        <v>21627</v>
      </c>
      <c r="K1418" t="s">
        <v>21628</v>
      </c>
      <c r="L1418" t="s">
        <v>74</v>
      </c>
      <c r="M1418" t="s">
        <v>79</v>
      </c>
      <c r="N1418" t="s">
        <v>80</v>
      </c>
      <c r="O1418" t="s">
        <v>21629</v>
      </c>
      <c r="P1418" t="s">
        <v>21630</v>
      </c>
      <c r="Q1418" t="s">
        <v>3660</v>
      </c>
      <c r="R1418" t="s">
        <v>21631</v>
      </c>
      <c r="S1418" t="s">
        <v>74</v>
      </c>
      <c r="T1418" t="s">
        <v>74</v>
      </c>
      <c r="U1418" t="s">
        <v>74</v>
      </c>
      <c r="V1418" t="s">
        <v>25778</v>
      </c>
      <c r="W1418" t="s">
        <v>25779</v>
      </c>
      <c r="X1418" t="s">
        <v>22938</v>
      </c>
      <c r="Y1418" t="s">
        <v>25780</v>
      </c>
      <c r="Z1418" t="s">
        <v>25781</v>
      </c>
      <c r="AA1418" t="s">
        <v>74</v>
      </c>
      <c r="AB1418" t="s">
        <v>74</v>
      </c>
      <c r="AC1418" t="s">
        <v>25782</v>
      </c>
      <c r="AD1418" t="s">
        <v>25783</v>
      </c>
      <c r="AE1418" t="s">
        <v>25784</v>
      </c>
      <c r="AF1418" t="s">
        <v>74</v>
      </c>
      <c r="AG1418">
        <v>63</v>
      </c>
      <c r="AH1418">
        <v>0</v>
      </c>
      <c r="AI1418">
        <v>0</v>
      </c>
      <c r="AJ1418">
        <v>0</v>
      </c>
      <c r="AK1418">
        <v>0</v>
      </c>
      <c r="AL1418" t="s">
        <v>284</v>
      </c>
      <c r="AM1418" t="s">
        <v>93</v>
      </c>
      <c r="AN1418" t="s">
        <v>299</v>
      </c>
      <c r="AO1418" t="s">
        <v>21641</v>
      </c>
      <c r="AP1418" t="s">
        <v>21642</v>
      </c>
      <c r="AQ1418" t="s">
        <v>21643</v>
      </c>
      <c r="AR1418" t="s">
        <v>21644</v>
      </c>
      <c r="AS1418" t="s">
        <v>74</v>
      </c>
      <c r="AT1418" t="s">
        <v>74</v>
      </c>
      <c r="AU1418">
        <v>2023</v>
      </c>
      <c r="AV1418" t="s">
        <v>74</v>
      </c>
      <c r="AW1418" t="s">
        <v>74</v>
      </c>
      <c r="AX1418" t="s">
        <v>74</v>
      </c>
      <c r="AY1418" t="s">
        <v>74</v>
      </c>
      <c r="AZ1418" t="s">
        <v>74</v>
      </c>
      <c r="BA1418" t="s">
        <v>74</v>
      </c>
      <c r="BB1418">
        <v>5923</v>
      </c>
      <c r="BC1418">
        <v>5930</v>
      </c>
      <c r="BD1418" t="s">
        <v>74</v>
      </c>
      <c r="BE1418" t="s">
        <v>25785</v>
      </c>
      <c r="BF1418" t="str">
        <f>HYPERLINK("http://dx.doi.org/10.1109/ICRA48891.2023.10161569","http://dx.doi.org/10.1109/ICRA48891.2023.10161569")</f>
        <v>http://dx.doi.org/10.1109/ICRA48891.2023.10161569</v>
      </c>
      <c r="BG1418" t="s">
        <v>74</v>
      </c>
      <c r="BH1418" t="s">
        <v>74</v>
      </c>
      <c r="BI1418">
        <v>8</v>
      </c>
      <c r="BJ1418" t="s">
        <v>21646</v>
      </c>
      <c r="BK1418" t="s">
        <v>98</v>
      </c>
      <c r="BL1418" t="s">
        <v>21647</v>
      </c>
      <c r="BM1418" t="s">
        <v>21648</v>
      </c>
      <c r="BN1418" t="s">
        <v>74</v>
      </c>
      <c r="BO1418" t="s">
        <v>646</v>
      </c>
      <c r="BP1418" t="s">
        <v>74</v>
      </c>
      <c r="BQ1418" t="s">
        <v>74</v>
      </c>
      <c r="BR1418" t="s">
        <v>101</v>
      </c>
      <c r="BS1418" t="s">
        <v>25786</v>
      </c>
      <c r="BT1418" t="str">
        <f>HYPERLINK("https%3A%2F%2Fwww.webofscience.com%2Fwos%2Fwoscc%2Ffull-record%2FWOS:001036713004128","View Full Record in Web of Science")</f>
        <v>View Full Record in Web of Science</v>
      </c>
    </row>
    <row r="1419" spans="1:72" x14ac:dyDescent="0.2">
      <c r="A1419" t="s">
        <v>103</v>
      </c>
      <c r="B1419" t="s">
        <v>25787</v>
      </c>
      <c r="C1419" t="s">
        <v>74</v>
      </c>
      <c r="D1419" t="s">
        <v>74</v>
      </c>
      <c r="E1419" t="s">
        <v>74</v>
      </c>
      <c r="F1419" t="s">
        <v>25788</v>
      </c>
      <c r="G1419" t="s">
        <v>74</v>
      </c>
      <c r="H1419" t="s">
        <v>74</v>
      </c>
      <c r="I1419" t="s">
        <v>25789</v>
      </c>
      <c r="J1419" t="s">
        <v>16627</v>
      </c>
      <c r="K1419" t="s">
        <v>74</v>
      </c>
      <c r="L1419" t="s">
        <v>74</v>
      </c>
      <c r="M1419" t="s">
        <v>79</v>
      </c>
      <c r="N1419" t="s">
        <v>108</v>
      </c>
      <c r="O1419" t="s">
        <v>74</v>
      </c>
      <c r="P1419" t="s">
        <v>74</v>
      </c>
      <c r="Q1419" t="s">
        <v>74</v>
      </c>
      <c r="R1419" t="s">
        <v>74</v>
      </c>
      <c r="S1419" t="s">
        <v>74</v>
      </c>
      <c r="T1419" t="s">
        <v>25790</v>
      </c>
      <c r="U1419" t="s">
        <v>25791</v>
      </c>
      <c r="V1419" t="s">
        <v>25792</v>
      </c>
      <c r="W1419" t="s">
        <v>25793</v>
      </c>
      <c r="X1419" t="s">
        <v>16743</v>
      </c>
      <c r="Y1419" t="s">
        <v>25794</v>
      </c>
      <c r="Z1419" t="s">
        <v>25795</v>
      </c>
      <c r="AA1419" t="s">
        <v>74</v>
      </c>
      <c r="AB1419" t="s">
        <v>25796</v>
      </c>
      <c r="AC1419" t="s">
        <v>25797</v>
      </c>
      <c r="AD1419" t="s">
        <v>25798</v>
      </c>
      <c r="AE1419" t="s">
        <v>25799</v>
      </c>
      <c r="AF1419" t="s">
        <v>74</v>
      </c>
      <c r="AG1419">
        <v>53</v>
      </c>
      <c r="AH1419">
        <v>0</v>
      </c>
      <c r="AI1419">
        <v>0</v>
      </c>
      <c r="AJ1419">
        <v>9</v>
      </c>
      <c r="AK1419">
        <v>9</v>
      </c>
      <c r="AL1419" t="s">
        <v>939</v>
      </c>
      <c r="AM1419" t="s">
        <v>940</v>
      </c>
      <c r="AN1419" t="s">
        <v>941</v>
      </c>
      <c r="AO1419" t="s">
        <v>74</v>
      </c>
      <c r="AP1419" t="s">
        <v>16640</v>
      </c>
      <c r="AQ1419" t="s">
        <v>74</v>
      </c>
      <c r="AR1419" t="s">
        <v>16641</v>
      </c>
      <c r="AS1419" t="s">
        <v>5858</v>
      </c>
      <c r="AT1419" t="s">
        <v>771</v>
      </c>
      <c r="AU1419">
        <v>2023</v>
      </c>
      <c r="AV1419">
        <v>11</v>
      </c>
      <c r="AW1419">
        <v>17</v>
      </c>
      <c r="AX1419" t="s">
        <v>74</v>
      </c>
      <c r="AY1419" t="s">
        <v>74</v>
      </c>
      <c r="AZ1419" t="s">
        <v>74</v>
      </c>
      <c r="BA1419" t="s">
        <v>74</v>
      </c>
      <c r="BB1419" t="s">
        <v>74</v>
      </c>
      <c r="BC1419" t="s">
        <v>74</v>
      </c>
      <c r="BD1419">
        <v>3644</v>
      </c>
      <c r="BE1419" t="s">
        <v>25800</v>
      </c>
      <c r="BF1419" t="str">
        <f>HYPERLINK("http://dx.doi.org/10.3390/math11173644","http://dx.doi.org/10.3390/math11173644")</f>
        <v>http://dx.doi.org/10.3390/math11173644</v>
      </c>
      <c r="BG1419" t="s">
        <v>74</v>
      </c>
      <c r="BH1419" t="s">
        <v>74</v>
      </c>
      <c r="BI1419">
        <v>45</v>
      </c>
      <c r="BJ1419" t="s">
        <v>5858</v>
      </c>
      <c r="BK1419" t="s">
        <v>130</v>
      </c>
      <c r="BL1419" t="s">
        <v>5858</v>
      </c>
      <c r="BM1419" t="s">
        <v>25801</v>
      </c>
      <c r="BN1419" t="s">
        <v>74</v>
      </c>
      <c r="BO1419" t="s">
        <v>425</v>
      </c>
      <c r="BP1419" t="s">
        <v>74</v>
      </c>
      <c r="BQ1419" t="s">
        <v>74</v>
      </c>
      <c r="BR1419" t="s">
        <v>101</v>
      </c>
      <c r="BS1419" t="s">
        <v>25802</v>
      </c>
      <c r="BT1419" t="str">
        <f>HYPERLINK("https%3A%2F%2Fwww.webofscience.com%2Fwos%2Fwoscc%2Ffull-record%2FWOS:001062460400001","View Full Record in Web of Science")</f>
        <v>View Full Record in Web of Science</v>
      </c>
    </row>
    <row r="1420" spans="1:72" x14ac:dyDescent="0.2">
      <c r="A1420" t="s">
        <v>103</v>
      </c>
      <c r="B1420" t="s">
        <v>25803</v>
      </c>
      <c r="C1420" t="s">
        <v>74</v>
      </c>
      <c r="D1420" t="s">
        <v>74</v>
      </c>
      <c r="E1420" t="s">
        <v>74</v>
      </c>
      <c r="F1420" t="s">
        <v>25804</v>
      </c>
      <c r="G1420" t="s">
        <v>74</v>
      </c>
      <c r="H1420" t="s">
        <v>74</v>
      </c>
      <c r="I1420" t="s">
        <v>25805</v>
      </c>
      <c r="J1420" t="s">
        <v>4686</v>
      </c>
      <c r="K1420" t="s">
        <v>74</v>
      </c>
      <c r="L1420" t="s">
        <v>74</v>
      </c>
      <c r="M1420" t="s">
        <v>79</v>
      </c>
      <c r="N1420" t="s">
        <v>108</v>
      </c>
      <c r="O1420" t="s">
        <v>74</v>
      </c>
      <c r="P1420" t="s">
        <v>74</v>
      </c>
      <c r="Q1420" t="s">
        <v>74</v>
      </c>
      <c r="R1420" t="s">
        <v>74</v>
      </c>
      <c r="S1420" t="s">
        <v>74</v>
      </c>
      <c r="T1420" t="s">
        <v>25806</v>
      </c>
      <c r="U1420" t="s">
        <v>74</v>
      </c>
      <c r="V1420" t="s">
        <v>25807</v>
      </c>
      <c r="W1420" t="s">
        <v>25808</v>
      </c>
      <c r="X1420" t="s">
        <v>25809</v>
      </c>
      <c r="Y1420" t="s">
        <v>25810</v>
      </c>
      <c r="Z1420" t="s">
        <v>25811</v>
      </c>
      <c r="AA1420" t="s">
        <v>74</v>
      </c>
      <c r="AB1420" t="s">
        <v>25812</v>
      </c>
      <c r="AC1420" t="s">
        <v>74</v>
      </c>
      <c r="AD1420" t="s">
        <v>74</v>
      </c>
      <c r="AE1420" t="s">
        <v>74</v>
      </c>
      <c r="AF1420" t="s">
        <v>74</v>
      </c>
      <c r="AG1420">
        <v>22</v>
      </c>
      <c r="AH1420">
        <v>3</v>
      </c>
      <c r="AI1420">
        <v>3</v>
      </c>
      <c r="AJ1420">
        <v>9</v>
      </c>
      <c r="AK1420">
        <v>9</v>
      </c>
      <c r="AL1420" t="s">
        <v>2032</v>
      </c>
      <c r="AM1420" t="s">
        <v>149</v>
      </c>
      <c r="AN1420" t="s">
        <v>2033</v>
      </c>
      <c r="AO1420" t="s">
        <v>74</v>
      </c>
      <c r="AP1420" t="s">
        <v>4694</v>
      </c>
      <c r="AQ1420" t="s">
        <v>74</v>
      </c>
      <c r="AR1420" t="s">
        <v>4695</v>
      </c>
      <c r="AS1420" t="s">
        <v>4696</v>
      </c>
      <c r="AT1420" t="s">
        <v>9467</v>
      </c>
      <c r="AU1420">
        <v>2023</v>
      </c>
      <c r="AV1420">
        <v>15</v>
      </c>
      <c r="AW1420">
        <v>9</v>
      </c>
      <c r="AX1420" t="s">
        <v>74</v>
      </c>
      <c r="AY1420" t="s">
        <v>74</v>
      </c>
      <c r="AZ1420" t="s">
        <v>74</v>
      </c>
      <c r="BA1420" t="s">
        <v>74</v>
      </c>
      <c r="BB1420" t="s">
        <v>74</v>
      </c>
      <c r="BC1420" t="s">
        <v>74</v>
      </c>
      <c r="BD1420" t="s">
        <v>25813</v>
      </c>
      <c r="BE1420" t="s">
        <v>25814</v>
      </c>
      <c r="BF1420" t="str">
        <f>HYPERLINK("http://dx.doi.org/10.7759/cureus.45700","http://dx.doi.org/10.7759/cureus.45700")</f>
        <v>http://dx.doi.org/10.7759/cureus.45700</v>
      </c>
      <c r="BG1420" t="s">
        <v>74</v>
      </c>
      <c r="BH1420" t="s">
        <v>74</v>
      </c>
      <c r="BI1420">
        <v>12</v>
      </c>
      <c r="BJ1420" t="s">
        <v>3440</v>
      </c>
      <c r="BK1420" t="s">
        <v>352</v>
      </c>
      <c r="BL1420" t="s">
        <v>3441</v>
      </c>
      <c r="BM1420" t="s">
        <v>25815</v>
      </c>
      <c r="BN1420">
        <v>37868408</v>
      </c>
      <c r="BO1420" t="s">
        <v>1728</v>
      </c>
      <c r="BP1420" t="s">
        <v>74</v>
      </c>
      <c r="BQ1420" t="s">
        <v>74</v>
      </c>
      <c r="BR1420" t="s">
        <v>101</v>
      </c>
      <c r="BS1420" t="s">
        <v>25816</v>
      </c>
      <c r="BT1420" t="str">
        <f>HYPERLINK("https%3A%2F%2Fwww.webofscience.com%2Fwos%2Fwoscc%2Ffull-record%2FWOS:001088059800036","View Full Record in Web of Science")</f>
        <v>View Full Record in Web of Science</v>
      </c>
    </row>
    <row r="1421" spans="1:72" x14ac:dyDescent="0.2">
      <c r="A1421" t="s">
        <v>103</v>
      </c>
      <c r="B1421" t="s">
        <v>25817</v>
      </c>
      <c r="C1421" t="s">
        <v>74</v>
      </c>
      <c r="D1421" t="s">
        <v>74</v>
      </c>
      <c r="E1421" t="s">
        <v>74</v>
      </c>
      <c r="F1421" t="s">
        <v>25818</v>
      </c>
      <c r="G1421" t="s">
        <v>74</v>
      </c>
      <c r="H1421" t="s">
        <v>74</v>
      </c>
      <c r="I1421" t="s">
        <v>25819</v>
      </c>
      <c r="J1421" t="s">
        <v>4108</v>
      </c>
      <c r="K1421" t="s">
        <v>74</v>
      </c>
      <c r="L1421" t="s">
        <v>74</v>
      </c>
      <c r="M1421" t="s">
        <v>79</v>
      </c>
      <c r="N1421" t="s">
        <v>138</v>
      </c>
      <c r="O1421" t="s">
        <v>74</v>
      </c>
      <c r="P1421" t="s">
        <v>74</v>
      </c>
      <c r="Q1421" t="s">
        <v>74</v>
      </c>
      <c r="R1421" t="s">
        <v>74</v>
      </c>
      <c r="S1421" t="s">
        <v>74</v>
      </c>
      <c r="T1421" t="s">
        <v>25820</v>
      </c>
      <c r="U1421" t="s">
        <v>25821</v>
      </c>
      <c r="V1421" t="s">
        <v>25822</v>
      </c>
      <c r="W1421" t="s">
        <v>25823</v>
      </c>
      <c r="X1421" t="s">
        <v>25824</v>
      </c>
      <c r="Y1421" t="s">
        <v>25825</v>
      </c>
      <c r="Z1421" t="s">
        <v>25826</v>
      </c>
      <c r="AA1421" t="s">
        <v>74</v>
      </c>
      <c r="AB1421" t="s">
        <v>25827</v>
      </c>
      <c r="AC1421" t="s">
        <v>74</v>
      </c>
      <c r="AD1421" t="s">
        <v>74</v>
      </c>
      <c r="AE1421" t="s">
        <v>74</v>
      </c>
      <c r="AF1421" t="s">
        <v>74</v>
      </c>
      <c r="AG1421">
        <v>55</v>
      </c>
      <c r="AH1421">
        <v>0</v>
      </c>
      <c r="AI1421">
        <v>0</v>
      </c>
      <c r="AJ1421">
        <v>4</v>
      </c>
      <c r="AK1421">
        <v>4</v>
      </c>
      <c r="AL1421" t="s">
        <v>343</v>
      </c>
      <c r="AM1421" t="s">
        <v>521</v>
      </c>
      <c r="AN1421" t="s">
        <v>522</v>
      </c>
      <c r="AO1421" t="s">
        <v>4115</v>
      </c>
      <c r="AP1421" t="s">
        <v>4116</v>
      </c>
      <c r="AQ1421" t="s">
        <v>74</v>
      </c>
      <c r="AR1421" t="s">
        <v>4117</v>
      </c>
      <c r="AS1421" t="s">
        <v>4118</v>
      </c>
      <c r="AT1421" t="s">
        <v>25828</v>
      </c>
      <c r="AU1421">
        <v>2023</v>
      </c>
      <c r="AV1421" t="s">
        <v>74</v>
      </c>
      <c r="AW1421" t="s">
        <v>74</v>
      </c>
      <c r="AX1421" t="s">
        <v>74</v>
      </c>
      <c r="AY1421" t="s">
        <v>74</v>
      </c>
      <c r="AZ1421" t="s">
        <v>74</v>
      </c>
      <c r="BA1421" t="s">
        <v>74</v>
      </c>
      <c r="BB1421" t="s">
        <v>74</v>
      </c>
      <c r="BC1421" t="s">
        <v>74</v>
      </c>
      <c r="BD1421" t="s">
        <v>74</v>
      </c>
      <c r="BE1421" t="s">
        <v>25829</v>
      </c>
      <c r="BF1421" t="str">
        <f>HYPERLINK("http://dx.doi.org/10.1007/s11042-023-16625-x","http://dx.doi.org/10.1007/s11042-023-16625-x")</f>
        <v>http://dx.doi.org/10.1007/s11042-023-16625-x</v>
      </c>
      <c r="BG1421" t="s">
        <v>74</v>
      </c>
      <c r="BH1421" t="s">
        <v>278</v>
      </c>
      <c r="BI1421">
        <v>23</v>
      </c>
      <c r="BJ1421" t="s">
        <v>4120</v>
      </c>
      <c r="BK1421" t="s">
        <v>130</v>
      </c>
      <c r="BL1421" t="s">
        <v>906</v>
      </c>
      <c r="BM1421" t="s">
        <v>25830</v>
      </c>
      <c r="BN1421" t="s">
        <v>74</v>
      </c>
      <c r="BO1421" t="s">
        <v>74</v>
      </c>
      <c r="BP1421" t="s">
        <v>74</v>
      </c>
      <c r="BQ1421" t="s">
        <v>74</v>
      </c>
      <c r="BR1421" t="s">
        <v>101</v>
      </c>
      <c r="BS1421" t="s">
        <v>25831</v>
      </c>
      <c r="BT1421" t="str">
        <f>HYPERLINK("https%3A%2F%2Fwww.webofscience.com%2Fwos%2Fwoscc%2Ffull-record%2FWOS:001060763900008","View Full Record in Web of Science")</f>
        <v>View Full Record in Web of Science</v>
      </c>
    </row>
    <row r="1422" spans="1:72" x14ac:dyDescent="0.2">
      <c r="A1422" t="s">
        <v>72</v>
      </c>
      <c r="B1422" t="s">
        <v>25832</v>
      </c>
      <c r="C1422" t="s">
        <v>74</v>
      </c>
      <c r="D1422" t="s">
        <v>25833</v>
      </c>
      <c r="E1422" t="s">
        <v>74</v>
      </c>
      <c r="F1422" t="s">
        <v>25834</v>
      </c>
      <c r="G1422" t="s">
        <v>74</v>
      </c>
      <c r="H1422" t="s">
        <v>74</v>
      </c>
      <c r="I1422" t="s">
        <v>25835</v>
      </c>
      <c r="J1422" t="s">
        <v>25836</v>
      </c>
      <c r="K1422" t="s">
        <v>5714</v>
      </c>
      <c r="L1422" t="s">
        <v>74</v>
      </c>
      <c r="M1422" t="s">
        <v>79</v>
      </c>
      <c r="N1422" t="s">
        <v>80</v>
      </c>
      <c r="O1422" t="s">
        <v>25837</v>
      </c>
      <c r="P1422" t="s">
        <v>627</v>
      </c>
      <c r="Q1422" t="s">
        <v>5717</v>
      </c>
      <c r="R1422" t="s">
        <v>25838</v>
      </c>
      <c r="S1422" t="s">
        <v>74</v>
      </c>
      <c r="T1422" t="s">
        <v>25839</v>
      </c>
      <c r="U1422" t="s">
        <v>25840</v>
      </c>
      <c r="V1422" t="s">
        <v>25841</v>
      </c>
      <c r="W1422" t="s">
        <v>25842</v>
      </c>
      <c r="X1422" t="s">
        <v>25843</v>
      </c>
      <c r="Y1422" t="s">
        <v>25844</v>
      </c>
      <c r="Z1422" t="s">
        <v>25845</v>
      </c>
      <c r="AA1422" t="s">
        <v>25846</v>
      </c>
      <c r="AB1422" t="s">
        <v>25847</v>
      </c>
      <c r="AC1422" t="s">
        <v>25848</v>
      </c>
      <c r="AD1422" t="s">
        <v>25849</v>
      </c>
      <c r="AE1422" t="s">
        <v>25850</v>
      </c>
      <c r="AF1422" t="s">
        <v>74</v>
      </c>
      <c r="AG1422">
        <v>55</v>
      </c>
      <c r="AH1422">
        <v>0</v>
      </c>
      <c r="AI1422">
        <v>0</v>
      </c>
      <c r="AJ1422">
        <v>0</v>
      </c>
      <c r="AK1422">
        <v>1</v>
      </c>
      <c r="AL1422" t="s">
        <v>5725</v>
      </c>
      <c r="AM1422" t="s">
        <v>5726</v>
      </c>
      <c r="AN1422" t="s">
        <v>5727</v>
      </c>
      <c r="AO1422" t="s">
        <v>5728</v>
      </c>
      <c r="AP1422" t="s">
        <v>5729</v>
      </c>
      <c r="AQ1422" t="s">
        <v>25851</v>
      </c>
      <c r="AR1422" t="s">
        <v>5731</v>
      </c>
      <c r="AS1422" t="s">
        <v>74</v>
      </c>
      <c r="AT1422" t="s">
        <v>74</v>
      </c>
      <c r="AU1422">
        <v>2023</v>
      </c>
      <c r="AV1422">
        <v>12538</v>
      </c>
      <c r="AW1422" t="s">
        <v>74</v>
      </c>
      <c r="AX1422" t="s">
        <v>74</v>
      </c>
      <c r="AY1422" t="s">
        <v>74</v>
      </c>
      <c r="AZ1422" t="s">
        <v>74</v>
      </c>
      <c r="BA1422" t="s">
        <v>74</v>
      </c>
      <c r="BB1422" t="s">
        <v>74</v>
      </c>
      <c r="BC1422" t="s">
        <v>74</v>
      </c>
      <c r="BD1422" t="s">
        <v>25852</v>
      </c>
      <c r="BE1422" t="s">
        <v>25853</v>
      </c>
      <c r="BF1422" t="str">
        <f>HYPERLINK("http://dx.doi.org/10.1117/12.2663901","http://dx.doi.org/10.1117/12.2663901")</f>
        <v>http://dx.doi.org/10.1117/12.2663901</v>
      </c>
      <c r="BG1422" t="s">
        <v>74</v>
      </c>
      <c r="BH1422" t="s">
        <v>74</v>
      </c>
      <c r="BI1422">
        <v>12</v>
      </c>
      <c r="BJ1422" t="s">
        <v>1069</v>
      </c>
      <c r="BK1422" t="s">
        <v>98</v>
      </c>
      <c r="BL1422" t="s">
        <v>99</v>
      </c>
      <c r="BM1422" t="s">
        <v>25854</v>
      </c>
      <c r="BN1422" t="s">
        <v>74</v>
      </c>
      <c r="BO1422" t="s">
        <v>646</v>
      </c>
      <c r="BP1422" t="s">
        <v>74</v>
      </c>
      <c r="BQ1422" t="s">
        <v>74</v>
      </c>
      <c r="BR1422" t="s">
        <v>101</v>
      </c>
      <c r="BS1422" t="s">
        <v>25855</v>
      </c>
      <c r="BT1422" t="str">
        <f>HYPERLINK("https%3A%2F%2Fwww.webofscience.com%2Fwos%2Fwoscc%2Ffull-record%2FWOS:001022151100036","View Full Record in Web of Science")</f>
        <v>View Full Record in Web of Science</v>
      </c>
    </row>
    <row r="1423" spans="1:72" x14ac:dyDescent="0.2">
      <c r="A1423" t="s">
        <v>72</v>
      </c>
      <c r="B1423" t="s">
        <v>25856</v>
      </c>
      <c r="C1423" t="s">
        <v>74</v>
      </c>
      <c r="D1423" t="s">
        <v>74</v>
      </c>
      <c r="E1423" t="s">
        <v>284</v>
      </c>
      <c r="F1423" t="s">
        <v>25857</v>
      </c>
      <c r="G1423" t="s">
        <v>74</v>
      </c>
      <c r="H1423" t="s">
        <v>74</v>
      </c>
      <c r="I1423" t="s">
        <v>25858</v>
      </c>
      <c r="J1423" t="s">
        <v>10100</v>
      </c>
      <c r="K1423" t="s">
        <v>8246</v>
      </c>
      <c r="L1423" t="s">
        <v>74</v>
      </c>
      <c r="M1423" t="s">
        <v>79</v>
      </c>
      <c r="N1423" t="s">
        <v>80</v>
      </c>
      <c r="O1423" t="s">
        <v>8247</v>
      </c>
      <c r="P1423" t="s">
        <v>8248</v>
      </c>
      <c r="Q1423" t="s">
        <v>6017</v>
      </c>
      <c r="R1423" t="s">
        <v>8249</v>
      </c>
      <c r="S1423" t="s">
        <v>74</v>
      </c>
      <c r="T1423" t="s">
        <v>74</v>
      </c>
      <c r="U1423" t="s">
        <v>74</v>
      </c>
      <c r="V1423" t="s">
        <v>25859</v>
      </c>
      <c r="W1423" t="s">
        <v>25860</v>
      </c>
      <c r="X1423" t="s">
        <v>25861</v>
      </c>
      <c r="Y1423" t="s">
        <v>25862</v>
      </c>
      <c r="Z1423" t="s">
        <v>74</v>
      </c>
      <c r="AA1423" t="s">
        <v>74</v>
      </c>
      <c r="AB1423" t="s">
        <v>74</v>
      </c>
      <c r="AC1423" t="s">
        <v>74</v>
      </c>
      <c r="AD1423" t="s">
        <v>74</v>
      </c>
      <c r="AE1423" t="s">
        <v>74</v>
      </c>
      <c r="AF1423" t="s">
        <v>74</v>
      </c>
      <c r="AG1423">
        <v>63</v>
      </c>
      <c r="AH1423">
        <v>2</v>
      </c>
      <c r="AI1423">
        <v>2</v>
      </c>
      <c r="AJ1423">
        <v>4</v>
      </c>
      <c r="AK1423">
        <v>4</v>
      </c>
      <c r="AL1423" t="s">
        <v>638</v>
      </c>
      <c r="AM1423" t="s">
        <v>639</v>
      </c>
      <c r="AN1423" t="s">
        <v>640</v>
      </c>
      <c r="AO1423" t="s">
        <v>8260</v>
      </c>
      <c r="AP1423" t="s">
        <v>74</v>
      </c>
      <c r="AQ1423" t="s">
        <v>8261</v>
      </c>
      <c r="AR1423" t="s">
        <v>8262</v>
      </c>
      <c r="AS1423" t="s">
        <v>74</v>
      </c>
      <c r="AT1423" t="s">
        <v>74</v>
      </c>
      <c r="AU1423">
        <v>2023</v>
      </c>
      <c r="AV1423" t="s">
        <v>74</v>
      </c>
      <c r="AW1423" t="s">
        <v>74</v>
      </c>
      <c r="AX1423" t="s">
        <v>74</v>
      </c>
      <c r="AY1423" t="s">
        <v>74</v>
      </c>
      <c r="AZ1423" t="s">
        <v>74</v>
      </c>
      <c r="BA1423" t="s">
        <v>74</v>
      </c>
      <c r="BB1423">
        <v>2493</v>
      </c>
      <c r="BC1423">
        <v>2502</v>
      </c>
      <c r="BD1423" t="s">
        <v>74</v>
      </c>
      <c r="BE1423" t="s">
        <v>25863</v>
      </c>
      <c r="BF1423" t="str">
        <f>HYPERLINK("http://dx.doi.org/10.1109/CVPR52729.2023.00246","http://dx.doi.org/10.1109/CVPR52729.2023.00246")</f>
        <v>http://dx.doi.org/10.1109/CVPR52729.2023.00246</v>
      </c>
      <c r="BG1423" t="s">
        <v>74</v>
      </c>
      <c r="BH1423" t="s">
        <v>74</v>
      </c>
      <c r="BI1423">
        <v>10</v>
      </c>
      <c r="BJ1423" t="s">
        <v>10109</v>
      </c>
      <c r="BK1423" t="s">
        <v>98</v>
      </c>
      <c r="BL1423" t="s">
        <v>99</v>
      </c>
      <c r="BM1423" t="s">
        <v>10110</v>
      </c>
      <c r="BN1423" t="s">
        <v>74</v>
      </c>
      <c r="BO1423" t="s">
        <v>646</v>
      </c>
      <c r="BP1423" t="s">
        <v>74</v>
      </c>
      <c r="BQ1423" t="s">
        <v>74</v>
      </c>
      <c r="BR1423" t="s">
        <v>101</v>
      </c>
      <c r="BS1423" t="s">
        <v>25864</v>
      </c>
      <c r="BT1423" t="str">
        <f>HYPERLINK("https%3A%2F%2Fwww.webofscience.com%2Fwos%2Fwoscc%2Ffull-record%2FWOS:001058542602079","View Full Record in Web of Science")</f>
        <v>View Full Record in Web of Science</v>
      </c>
    </row>
    <row r="1424" spans="1:72" x14ac:dyDescent="0.2">
      <c r="A1424" t="s">
        <v>103</v>
      </c>
      <c r="B1424" t="s">
        <v>25865</v>
      </c>
      <c r="C1424" t="s">
        <v>74</v>
      </c>
      <c r="D1424" t="s">
        <v>74</v>
      </c>
      <c r="E1424" t="s">
        <v>74</v>
      </c>
      <c r="F1424" t="s">
        <v>25866</v>
      </c>
      <c r="G1424" t="s">
        <v>74</v>
      </c>
      <c r="H1424" t="s">
        <v>74</v>
      </c>
      <c r="I1424" t="s">
        <v>25867</v>
      </c>
      <c r="J1424" t="s">
        <v>25868</v>
      </c>
      <c r="K1424" t="s">
        <v>74</v>
      </c>
      <c r="L1424" t="s">
        <v>74</v>
      </c>
      <c r="M1424" t="s">
        <v>79</v>
      </c>
      <c r="N1424" t="s">
        <v>108</v>
      </c>
      <c r="O1424" t="s">
        <v>74</v>
      </c>
      <c r="P1424" t="s">
        <v>74</v>
      </c>
      <c r="Q1424" t="s">
        <v>74</v>
      </c>
      <c r="R1424" t="s">
        <v>74</v>
      </c>
      <c r="S1424" t="s">
        <v>74</v>
      </c>
      <c r="T1424" t="s">
        <v>25869</v>
      </c>
      <c r="U1424" t="s">
        <v>25870</v>
      </c>
      <c r="V1424" t="s">
        <v>25871</v>
      </c>
      <c r="W1424" t="s">
        <v>25872</v>
      </c>
      <c r="X1424" t="s">
        <v>25873</v>
      </c>
      <c r="Y1424" t="s">
        <v>25874</v>
      </c>
      <c r="Z1424" t="s">
        <v>25875</v>
      </c>
      <c r="AA1424" t="s">
        <v>74</v>
      </c>
      <c r="AB1424" t="s">
        <v>74</v>
      </c>
      <c r="AC1424" t="s">
        <v>74</v>
      </c>
      <c r="AD1424" t="s">
        <v>74</v>
      </c>
      <c r="AE1424" t="s">
        <v>74</v>
      </c>
      <c r="AF1424" t="s">
        <v>74</v>
      </c>
      <c r="AG1424">
        <v>43</v>
      </c>
      <c r="AH1424">
        <v>1</v>
      </c>
      <c r="AI1424">
        <v>1</v>
      </c>
      <c r="AJ1424">
        <v>10</v>
      </c>
      <c r="AK1424">
        <v>11</v>
      </c>
      <c r="AL1424" t="s">
        <v>764</v>
      </c>
      <c r="AM1424" t="s">
        <v>765</v>
      </c>
      <c r="AN1424" t="s">
        <v>766</v>
      </c>
      <c r="AO1424" t="s">
        <v>25876</v>
      </c>
      <c r="AP1424" t="s">
        <v>25877</v>
      </c>
      <c r="AQ1424" t="s">
        <v>74</v>
      </c>
      <c r="AR1424" t="s">
        <v>25878</v>
      </c>
      <c r="AS1424" t="s">
        <v>25879</v>
      </c>
      <c r="AT1424" t="s">
        <v>615</v>
      </c>
      <c r="AU1424">
        <v>2023</v>
      </c>
      <c r="AV1424">
        <v>146</v>
      </c>
      <c r="AW1424" t="s">
        <v>74</v>
      </c>
      <c r="AX1424" t="s">
        <v>74</v>
      </c>
      <c r="AY1424" t="s">
        <v>74</v>
      </c>
      <c r="AZ1424" t="s">
        <v>74</v>
      </c>
      <c r="BA1424" t="s">
        <v>74</v>
      </c>
      <c r="BB1424" t="s">
        <v>74</v>
      </c>
      <c r="BC1424" t="s">
        <v>74</v>
      </c>
      <c r="BD1424">
        <v>102150</v>
      </c>
      <c r="BE1424" t="s">
        <v>25880</v>
      </c>
      <c r="BF1424" t="str">
        <f>HYPERLINK("http://dx.doi.org/10.1016/j.datak.2023.102150","http://dx.doi.org/10.1016/j.datak.2023.102150")</f>
        <v>http://dx.doi.org/10.1016/j.datak.2023.102150</v>
      </c>
      <c r="BG1424" t="s">
        <v>74</v>
      </c>
      <c r="BH1424" t="s">
        <v>2889</v>
      </c>
      <c r="BI1424">
        <v>18</v>
      </c>
      <c r="BJ1424" t="s">
        <v>883</v>
      </c>
      <c r="BK1424" t="s">
        <v>130</v>
      </c>
      <c r="BL1424" t="s">
        <v>99</v>
      </c>
      <c r="BM1424" t="s">
        <v>25881</v>
      </c>
      <c r="BN1424" t="s">
        <v>74</v>
      </c>
      <c r="BO1424" t="s">
        <v>74</v>
      </c>
      <c r="BP1424" t="s">
        <v>74</v>
      </c>
      <c r="BQ1424" t="s">
        <v>74</v>
      </c>
      <c r="BR1424" t="s">
        <v>101</v>
      </c>
      <c r="BS1424" t="s">
        <v>25882</v>
      </c>
      <c r="BT1424" t="str">
        <f>HYPERLINK("https%3A%2F%2Fwww.webofscience.com%2Fwos%2Fwoscc%2Ffull-record%2FWOS:001013756100001","View Full Record in Web of Science")</f>
        <v>View Full Record in Web of Science</v>
      </c>
    </row>
    <row r="1425" spans="1:72" x14ac:dyDescent="0.2">
      <c r="A1425" t="s">
        <v>103</v>
      </c>
      <c r="B1425" t="s">
        <v>25883</v>
      </c>
      <c r="C1425" t="s">
        <v>74</v>
      </c>
      <c r="D1425" t="s">
        <v>74</v>
      </c>
      <c r="E1425" t="s">
        <v>74</v>
      </c>
      <c r="F1425" t="s">
        <v>25884</v>
      </c>
      <c r="G1425" t="s">
        <v>74</v>
      </c>
      <c r="H1425" t="s">
        <v>74</v>
      </c>
      <c r="I1425" t="s">
        <v>25885</v>
      </c>
      <c r="J1425" t="s">
        <v>25886</v>
      </c>
      <c r="K1425" t="s">
        <v>74</v>
      </c>
      <c r="L1425" t="s">
        <v>74</v>
      </c>
      <c r="M1425" t="s">
        <v>79</v>
      </c>
      <c r="N1425" t="s">
        <v>108</v>
      </c>
      <c r="O1425" t="s">
        <v>74</v>
      </c>
      <c r="P1425" t="s">
        <v>74</v>
      </c>
      <c r="Q1425" t="s">
        <v>74</v>
      </c>
      <c r="R1425" t="s">
        <v>74</v>
      </c>
      <c r="S1425" t="s">
        <v>74</v>
      </c>
      <c r="T1425" t="s">
        <v>25887</v>
      </c>
      <c r="U1425" t="s">
        <v>74</v>
      </c>
      <c r="V1425" t="s">
        <v>25888</v>
      </c>
      <c r="W1425" t="s">
        <v>25889</v>
      </c>
      <c r="X1425" t="s">
        <v>25890</v>
      </c>
      <c r="Y1425" t="s">
        <v>25891</v>
      </c>
      <c r="Z1425" t="s">
        <v>25892</v>
      </c>
      <c r="AA1425" t="s">
        <v>25893</v>
      </c>
      <c r="AB1425" t="s">
        <v>25894</v>
      </c>
      <c r="AC1425" t="s">
        <v>25895</v>
      </c>
      <c r="AD1425" t="s">
        <v>25895</v>
      </c>
      <c r="AE1425" t="s">
        <v>3401</v>
      </c>
      <c r="AF1425" t="s">
        <v>74</v>
      </c>
      <c r="AG1425">
        <v>33</v>
      </c>
      <c r="AH1425">
        <v>0</v>
      </c>
      <c r="AI1425">
        <v>0</v>
      </c>
      <c r="AJ1425">
        <v>0</v>
      </c>
      <c r="AK1425">
        <v>0</v>
      </c>
      <c r="AL1425" t="s">
        <v>939</v>
      </c>
      <c r="AM1425" t="s">
        <v>940</v>
      </c>
      <c r="AN1425" t="s">
        <v>941</v>
      </c>
      <c r="AO1425" t="s">
        <v>74</v>
      </c>
      <c r="AP1425" t="s">
        <v>25896</v>
      </c>
      <c r="AQ1425" t="s">
        <v>74</v>
      </c>
      <c r="AR1425" t="s">
        <v>25886</v>
      </c>
      <c r="AS1425" t="s">
        <v>25897</v>
      </c>
      <c r="AT1425" t="s">
        <v>527</v>
      </c>
      <c r="AU1425">
        <v>2023</v>
      </c>
      <c r="AV1425">
        <v>11</v>
      </c>
      <c r="AW1425">
        <v>12</v>
      </c>
      <c r="AX1425" t="s">
        <v>74</v>
      </c>
      <c r="AY1425" t="s">
        <v>74</v>
      </c>
      <c r="AZ1425" t="s">
        <v>74</v>
      </c>
      <c r="BA1425" t="s">
        <v>74</v>
      </c>
      <c r="BB1425" t="s">
        <v>74</v>
      </c>
      <c r="BC1425" t="s">
        <v>74</v>
      </c>
      <c r="BD1425">
        <v>246</v>
      </c>
      <c r="BE1425" t="s">
        <v>25898</v>
      </c>
      <c r="BF1425" t="str">
        <f>HYPERLINK("http://dx.doi.org/10.3390/computation11120246","http://dx.doi.org/10.3390/computation11120246")</f>
        <v>http://dx.doi.org/10.3390/computation11120246</v>
      </c>
      <c r="BG1425" t="s">
        <v>74</v>
      </c>
      <c r="BH1425" t="s">
        <v>74</v>
      </c>
      <c r="BI1425">
        <v>14</v>
      </c>
      <c r="BJ1425" t="s">
        <v>25899</v>
      </c>
      <c r="BK1425" t="s">
        <v>352</v>
      </c>
      <c r="BL1425" t="s">
        <v>5858</v>
      </c>
      <c r="BM1425" t="s">
        <v>25900</v>
      </c>
      <c r="BN1425" t="s">
        <v>74</v>
      </c>
      <c r="BO1425" t="s">
        <v>425</v>
      </c>
      <c r="BP1425" t="s">
        <v>74</v>
      </c>
      <c r="BQ1425" t="s">
        <v>74</v>
      </c>
      <c r="BR1425" t="s">
        <v>101</v>
      </c>
      <c r="BS1425" t="s">
        <v>25901</v>
      </c>
      <c r="BT1425" t="str">
        <f>HYPERLINK("https%3A%2F%2Fwww.webofscience.com%2Fwos%2Fwoscc%2Ffull-record%2FWOS:001131244200001","View Full Record in Web of Science")</f>
        <v>View Full Record in Web of Science</v>
      </c>
    </row>
    <row r="1426" spans="1:72" x14ac:dyDescent="0.2">
      <c r="A1426" t="s">
        <v>72</v>
      </c>
      <c r="B1426" t="s">
        <v>25902</v>
      </c>
      <c r="C1426" t="s">
        <v>74</v>
      </c>
      <c r="D1426" t="s">
        <v>19386</v>
      </c>
      <c r="E1426" t="s">
        <v>74</v>
      </c>
      <c r="F1426" t="s">
        <v>25903</v>
      </c>
      <c r="G1426" t="s">
        <v>74</v>
      </c>
      <c r="H1426" t="s">
        <v>74</v>
      </c>
      <c r="I1426" t="s">
        <v>25904</v>
      </c>
      <c r="J1426" t="s">
        <v>19389</v>
      </c>
      <c r="K1426" t="s">
        <v>1034</v>
      </c>
      <c r="L1426" t="s">
        <v>74</v>
      </c>
      <c r="M1426" t="s">
        <v>79</v>
      </c>
      <c r="N1426" t="s">
        <v>80</v>
      </c>
      <c r="O1426" t="s">
        <v>19390</v>
      </c>
      <c r="P1426" t="s">
        <v>19391</v>
      </c>
      <c r="Q1426" t="s">
        <v>4739</v>
      </c>
      <c r="R1426" t="s">
        <v>19392</v>
      </c>
      <c r="S1426" t="s">
        <v>74</v>
      </c>
      <c r="T1426" t="s">
        <v>25905</v>
      </c>
      <c r="U1426" t="s">
        <v>74</v>
      </c>
      <c r="V1426" t="s">
        <v>25906</v>
      </c>
      <c r="W1426" t="s">
        <v>25907</v>
      </c>
      <c r="X1426" t="s">
        <v>25908</v>
      </c>
      <c r="Y1426" t="s">
        <v>25909</v>
      </c>
      <c r="Z1426" t="s">
        <v>25910</v>
      </c>
      <c r="AA1426" t="s">
        <v>74</v>
      </c>
      <c r="AB1426" t="s">
        <v>25911</v>
      </c>
      <c r="AC1426" t="s">
        <v>74</v>
      </c>
      <c r="AD1426" t="s">
        <v>74</v>
      </c>
      <c r="AE1426" t="s">
        <v>74</v>
      </c>
      <c r="AF1426" t="s">
        <v>74</v>
      </c>
      <c r="AG1426">
        <v>21</v>
      </c>
      <c r="AH1426">
        <v>0</v>
      </c>
      <c r="AI1426">
        <v>0</v>
      </c>
      <c r="AJ1426">
        <v>2</v>
      </c>
      <c r="AK1426">
        <v>2</v>
      </c>
      <c r="AL1426" t="s">
        <v>325</v>
      </c>
      <c r="AM1426" t="s">
        <v>245</v>
      </c>
      <c r="AN1426" t="s">
        <v>246</v>
      </c>
      <c r="AO1426" t="s">
        <v>1042</v>
      </c>
      <c r="AP1426" t="s">
        <v>327</v>
      </c>
      <c r="AQ1426" t="s">
        <v>19399</v>
      </c>
      <c r="AR1426" t="s">
        <v>1044</v>
      </c>
      <c r="AS1426" t="s">
        <v>74</v>
      </c>
      <c r="AT1426" t="s">
        <v>74</v>
      </c>
      <c r="AU1426">
        <v>2023</v>
      </c>
      <c r="AV1426">
        <v>13539</v>
      </c>
      <c r="AW1426" t="s">
        <v>74</v>
      </c>
      <c r="AX1426" t="s">
        <v>74</v>
      </c>
      <c r="AY1426" t="s">
        <v>74</v>
      </c>
      <c r="AZ1426" t="s">
        <v>74</v>
      </c>
      <c r="BA1426" t="s">
        <v>74</v>
      </c>
      <c r="BB1426">
        <v>321</v>
      </c>
      <c r="BC1426">
        <v>331</v>
      </c>
      <c r="BD1426" t="s">
        <v>74</v>
      </c>
      <c r="BE1426" t="s">
        <v>25912</v>
      </c>
      <c r="BF1426" t="str">
        <f>HYPERLINK("http://dx.doi.org/10.1007/978-3-031-19907-3_31","http://dx.doi.org/10.1007/978-3-031-19907-3_31")</f>
        <v>http://dx.doi.org/10.1007/978-3-031-19907-3_31</v>
      </c>
      <c r="BG1426" t="s">
        <v>74</v>
      </c>
      <c r="BH1426" t="s">
        <v>74</v>
      </c>
      <c r="BI1426">
        <v>11</v>
      </c>
      <c r="BJ1426" t="s">
        <v>304</v>
      </c>
      <c r="BK1426" t="s">
        <v>98</v>
      </c>
      <c r="BL1426" t="s">
        <v>99</v>
      </c>
      <c r="BM1426" t="s">
        <v>19401</v>
      </c>
      <c r="BN1426" t="s">
        <v>74</v>
      </c>
      <c r="BO1426" t="s">
        <v>208</v>
      </c>
      <c r="BP1426" t="s">
        <v>74</v>
      </c>
      <c r="BQ1426" t="s">
        <v>74</v>
      </c>
      <c r="BR1426" t="s">
        <v>101</v>
      </c>
      <c r="BS1426" t="s">
        <v>25913</v>
      </c>
      <c r="BT1426" t="str">
        <f>HYPERLINK("https%3A%2F%2Fwww.webofscience.com%2Fwos%2Fwoscc%2Ffull-record%2FWOS:000971476600031","View Full Record in Web of Science")</f>
        <v>View Full Record in Web of Science</v>
      </c>
    </row>
    <row r="1427" spans="1:72" x14ac:dyDescent="0.2">
      <c r="A1427" t="s">
        <v>103</v>
      </c>
      <c r="B1427" t="s">
        <v>25914</v>
      </c>
      <c r="C1427" t="s">
        <v>74</v>
      </c>
      <c r="D1427" t="s">
        <v>74</v>
      </c>
      <c r="E1427" t="s">
        <v>74</v>
      </c>
      <c r="F1427" t="s">
        <v>25915</v>
      </c>
      <c r="G1427" t="s">
        <v>74</v>
      </c>
      <c r="H1427" t="s">
        <v>74</v>
      </c>
      <c r="I1427" t="s">
        <v>25916</v>
      </c>
      <c r="J1427" t="s">
        <v>25917</v>
      </c>
      <c r="K1427" t="s">
        <v>74</v>
      </c>
      <c r="L1427" t="s">
        <v>74</v>
      </c>
      <c r="M1427" t="s">
        <v>79</v>
      </c>
      <c r="N1427" t="s">
        <v>138</v>
      </c>
      <c r="O1427" t="s">
        <v>74</v>
      </c>
      <c r="P1427" t="s">
        <v>74</v>
      </c>
      <c r="Q1427" t="s">
        <v>74</v>
      </c>
      <c r="R1427" t="s">
        <v>74</v>
      </c>
      <c r="S1427" t="s">
        <v>74</v>
      </c>
      <c r="T1427" t="s">
        <v>25918</v>
      </c>
      <c r="U1427" t="s">
        <v>25919</v>
      </c>
      <c r="V1427" t="s">
        <v>25920</v>
      </c>
      <c r="W1427" t="s">
        <v>25921</v>
      </c>
      <c r="X1427" t="s">
        <v>25922</v>
      </c>
      <c r="Y1427" t="s">
        <v>25923</v>
      </c>
      <c r="Z1427" t="s">
        <v>25924</v>
      </c>
      <c r="AA1427" t="s">
        <v>74</v>
      </c>
      <c r="AB1427" t="s">
        <v>74</v>
      </c>
      <c r="AC1427" t="s">
        <v>25925</v>
      </c>
      <c r="AD1427" t="s">
        <v>25925</v>
      </c>
      <c r="AE1427" t="s">
        <v>25926</v>
      </c>
      <c r="AF1427" t="s">
        <v>74</v>
      </c>
      <c r="AG1427">
        <v>53</v>
      </c>
      <c r="AH1427">
        <v>0</v>
      </c>
      <c r="AI1427">
        <v>0</v>
      </c>
      <c r="AJ1427">
        <v>6</v>
      </c>
      <c r="AK1427">
        <v>6</v>
      </c>
      <c r="AL1427" t="s">
        <v>438</v>
      </c>
      <c r="AM1427" t="s">
        <v>439</v>
      </c>
      <c r="AN1427" t="s">
        <v>440</v>
      </c>
      <c r="AO1427" t="s">
        <v>25927</v>
      </c>
      <c r="AP1427" t="s">
        <v>25928</v>
      </c>
      <c r="AQ1427" t="s">
        <v>74</v>
      </c>
      <c r="AR1427" t="s">
        <v>25929</v>
      </c>
      <c r="AS1427" t="s">
        <v>25930</v>
      </c>
      <c r="AT1427" t="s">
        <v>10037</v>
      </c>
      <c r="AU1427">
        <v>2023</v>
      </c>
      <c r="AV1427" t="s">
        <v>74</v>
      </c>
      <c r="AW1427" t="s">
        <v>74</v>
      </c>
      <c r="AX1427" t="s">
        <v>74</v>
      </c>
      <c r="AY1427" t="s">
        <v>74</v>
      </c>
      <c r="AZ1427" t="s">
        <v>74</v>
      </c>
      <c r="BA1427" t="s">
        <v>74</v>
      </c>
      <c r="BB1427" t="s">
        <v>74</v>
      </c>
      <c r="BC1427" t="s">
        <v>74</v>
      </c>
      <c r="BD1427" t="s">
        <v>74</v>
      </c>
      <c r="BE1427" t="s">
        <v>25931</v>
      </c>
      <c r="BF1427" t="str">
        <f>HYPERLINK("http://dx.doi.org/10.1177/00905917231200826","http://dx.doi.org/10.1177/00905917231200826")</f>
        <v>http://dx.doi.org/10.1177/00905917231200826</v>
      </c>
      <c r="BG1427" t="s">
        <v>74</v>
      </c>
      <c r="BH1427" t="s">
        <v>1886</v>
      </c>
      <c r="BI1427">
        <v>33</v>
      </c>
      <c r="BJ1427" t="s">
        <v>1605</v>
      </c>
      <c r="BK1427" t="s">
        <v>159</v>
      </c>
      <c r="BL1427" t="s">
        <v>1136</v>
      </c>
      <c r="BM1427" t="s">
        <v>25932</v>
      </c>
      <c r="BN1427" t="s">
        <v>74</v>
      </c>
      <c r="BO1427" t="s">
        <v>161</v>
      </c>
      <c r="BP1427" t="s">
        <v>74</v>
      </c>
      <c r="BQ1427" t="s">
        <v>74</v>
      </c>
      <c r="BR1427" t="s">
        <v>101</v>
      </c>
      <c r="BS1427" t="s">
        <v>25933</v>
      </c>
      <c r="BT1427" t="str">
        <f>HYPERLINK("https%3A%2F%2Fwww.webofscience.com%2Fwos%2Fwoscc%2Ffull-record%2FWOS:001087029700001","View Full Record in Web of Science")</f>
        <v>View Full Record in Web of Science</v>
      </c>
    </row>
    <row r="1428" spans="1:72" x14ac:dyDescent="0.2">
      <c r="A1428" t="s">
        <v>103</v>
      </c>
      <c r="B1428" t="s">
        <v>25934</v>
      </c>
      <c r="C1428" t="s">
        <v>74</v>
      </c>
      <c r="D1428" t="s">
        <v>74</v>
      </c>
      <c r="E1428" t="s">
        <v>74</v>
      </c>
      <c r="F1428" t="s">
        <v>25935</v>
      </c>
      <c r="G1428" t="s">
        <v>74</v>
      </c>
      <c r="H1428" t="s">
        <v>74</v>
      </c>
      <c r="I1428" t="s">
        <v>25936</v>
      </c>
      <c r="J1428" t="s">
        <v>25937</v>
      </c>
      <c r="K1428" t="s">
        <v>74</v>
      </c>
      <c r="L1428" t="s">
        <v>74</v>
      </c>
      <c r="M1428" t="s">
        <v>79</v>
      </c>
      <c r="N1428" t="s">
        <v>108</v>
      </c>
      <c r="O1428" t="s">
        <v>74</v>
      </c>
      <c r="P1428" t="s">
        <v>74</v>
      </c>
      <c r="Q1428" t="s">
        <v>74</v>
      </c>
      <c r="R1428" t="s">
        <v>74</v>
      </c>
      <c r="S1428" t="s">
        <v>74</v>
      </c>
      <c r="T1428" t="s">
        <v>74</v>
      </c>
      <c r="U1428" t="s">
        <v>25938</v>
      </c>
      <c r="V1428" t="s">
        <v>25939</v>
      </c>
      <c r="W1428" t="s">
        <v>25940</v>
      </c>
      <c r="X1428" t="s">
        <v>25941</v>
      </c>
      <c r="Y1428" t="s">
        <v>25942</v>
      </c>
      <c r="Z1428" t="s">
        <v>25943</v>
      </c>
      <c r="AA1428" t="s">
        <v>25944</v>
      </c>
      <c r="AB1428" t="s">
        <v>25945</v>
      </c>
      <c r="AC1428" t="s">
        <v>25946</v>
      </c>
      <c r="AD1428" t="s">
        <v>25947</v>
      </c>
      <c r="AE1428" t="s">
        <v>25948</v>
      </c>
      <c r="AF1428" t="s">
        <v>74</v>
      </c>
      <c r="AG1428">
        <v>76</v>
      </c>
      <c r="AH1428">
        <v>2</v>
      </c>
      <c r="AI1428">
        <v>2</v>
      </c>
      <c r="AJ1428">
        <v>3</v>
      </c>
      <c r="AK1428">
        <v>3</v>
      </c>
      <c r="AL1428" t="s">
        <v>8598</v>
      </c>
      <c r="AM1428" t="s">
        <v>8599</v>
      </c>
      <c r="AN1428" t="s">
        <v>8600</v>
      </c>
      <c r="AO1428" t="s">
        <v>25949</v>
      </c>
      <c r="AP1428" t="s">
        <v>25950</v>
      </c>
      <c r="AQ1428" t="s">
        <v>74</v>
      </c>
      <c r="AR1428" t="s">
        <v>25951</v>
      </c>
      <c r="AS1428" t="s">
        <v>25952</v>
      </c>
      <c r="AT1428" t="s">
        <v>25953</v>
      </c>
      <c r="AU1428">
        <v>2023</v>
      </c>
      <c r="AV1428">
        <v>131</v>
      </c>
      <c r="AW1428">
        <v>12</v>
      </c>
      <c r="AX1428" t="s">
        <v>74</v>
      </c>
      <c r="AY1428" t="s">
        <v>74</v>
      </c>
      <c r="AZ1428" t="s">
        <v>74</v>
      </c>
      <c r="BA1428" t="s">
        <v>74</v>
      </c>
      <c r="BB1428" t="s">
        <v>74</v>
      </c>
      <c r="BC1428" t="s">
        <v>74</v>
      </c>
      <c r="BD1428">
        <v>126501</v>
      </c>
      <c r="BE1428" t="s">
        <v>25954</v>
      </c>
      <c r="BF1428" t="str">
        <f>HYPERLINK("http://dx.doi.org/10.1103/PhysRevLett.131.126501","http://dx.doi.org/10.1103/PhysRevLett.131.126501")</f>
        <v>http://dx.doi.org/10.1103/PhysRevLett.131.126501</v>
      </c>
      <c r="BG1428" t="s">
        <v>74</v>
      </c>
      <c r="BH1428" t="s">
        <v>74</v>
      </c>
      <c r="BI1428">
        <v>8</v>
      </c>
      <c r="BJ1428" t="s">
        <v>10510</v>
      </c>
      <c r="BK1428" t="s">
        <v>130</v>
      </c>
      <c r="BL1428" t="s">
        <v>6827</v>
      </c>
      <c r="BM1428" t="s">
        <v>25955</v>
      </c>
      <c r="BN1428">
        <v>37802941</v>
      </c>
      <c r="BO1428" t="s">
        <v>646</v>
      </c>
      <c r="BP1428" t="s">
        <v>74</v>
      </c>
      <c r="BQ1428" t="s">
        <v>74</v>
      </c>
      <c r="BR1428" t="s">
        <v>101</v>
      </c>
      <c r="BS1428" t="s">
        <v>25956</v>
      </c>
      <c r="BT1428" t="str">
        <f>HYPERLINK("https%3A%2F%2Fwww.webofscience.com%2Fwos%2Fwoscc%2Ffull-record%2FWOS:001162946100001","View Full Record in Web of Science")</f>
        <v>View Full Record in Web of Science</v>
      </c>
    </row>
    <row r="1429" spans="1:72" x14ac:dyDescent="0.2">
      <c r="A1429" t="s">
        <v>72</v>
      </c>
      <c r="B1429" t="s">
        <v>25957</v>
      </c>
      <c r="C1429" t="s">
        <v>74</v>
      </c>
      <c r="D1429" t="s">
        <v>25958</v>
      </c>
      <c r="E1429" t="s">
        <v>74</v>
      </c>
      <c r="F1429" t="s">
        <v>25959</v>
      </c>
      <c r="G1429" t="s">
        <v>74</v>
      </c>
      <c r="H1429" t="s">
        <v>74</v>
      </c>
      <c r="I1429" t="s">
        <v>25960</v>
      </c>
      <c r="J1429" t="s">
        <v>25961</v>
      </c>
      <c r="K1429" t="s">
        <v>312</v>
      </c>
      <c r="L1429" t="s">
        <v>74</v>
      </c>
      <c r="M1429" t="s">
        <v>79</v>
      </c>
      <c r="N1429" t="s">
        <v>80</v>
      </c>
      <c r="O1429" t="s">
        <v>25962</v>
      </c>
      <c r="P1429" t="s">
        <v>5125</v>
      </c>
      <c r="Q1429" t="s">
        <v>25963</v>
      </c>
      <c r="R1429" t="s">
        <v>74</v>
      </c>
      <c r="S1429" t="s">
        <v>74</v>
      </c>
      <c r="T1429" t="s">
        <v>25964</v>
      </c>
      <c r="U1429" t="s">
        <v>25965</v>
      </c>
      <c r="V1429" t="s">
        <v>25966</v>
      </c>
      <c r="W1429" t="s">
        <v>25967</v>
      </c>
      <c r="X1429" t="s">
        <v>25968</v>
      </c>
      <c r="Y1429" t="s">
        <v>25969</v>
      </c>
      <c r="Z1429" t="s">
        <v>25970</v>
      </c>
      <c r="AA1429" t="s">
        <v>74</v>
      </c>
      <c r="AB1429" t="s">
        <v>74</v>
      </c>
      <c r="AC1429" t="s">
        <v>74</v>
      </c>
      <c r="AD1429" t="s">
        <v>74</v>
      </c>
      <c r="AE1429" t="s">
        <v>74</v>
      </c>
      <c r="AF1429" t="s">
        <v>74</v>
      </c>
      <c r="AG1429">
        <v>37</v>
      </c>
      <c r="AH1429">
        <v>0</v>
      </c>
      <c r="AI1429">
        <v>0</v>
      </c>
      <c r="AJ1429">
        <v>2</v>
      </c>
      <c r="AK1429">
        <v>2</v>
      </c>
      <c r="AL1429" t="s">
        <v>325</v>
      </c>
      <c r="AM1429" t="s">
        <v>245</v>
      </c>
      <c r="AN1429" t="s">
        <v>246</v>
      </c>
      <c r="AO1429" t="s">
        <v>326</v>
      </c>
      <c r="AP1429" t="s">
        <v>327</v>
      </c>
      <c r="AQ1429" t="s">
        <v>25971</v>
      </c>
      <c r="AR1429" t="s">
        <v>329</v>
      </c>
      <c r="AS1429" t="s">
        <v>74</v>
      </c>
      <c r="AT1429" t="s">
        <v>74</v>
      </c>
      <c r="AU1429">
        <v>2023</v>
      </c>
      <c r="AV1429">
        <v>14259</v>
      </c>
      <c r="AW1429" t="s">
        <v>74</v>
      </c>
      <c r="AX1429" t="s">
        <v>74</v>
      </c>
      <c r="AY1429" t="s">
        <v>74</v>
      </c>
      <c r="AZ1429" t="s">
        <v>74</v>
      </c>
      <c r="BA1429" t="s">
        <v>74</v>
      </c>
      <c r="BB1429">
        <v>63</v>
      </c>
      <c r="BC1429">
        <v>76</v>
      </c>
      <c r="BD1429" t="s">
        <v>74</v>
      </c>
      <c r="BE1429" t="s">
        <v>25972</v>
      </c>
      <c r="BF1429" t="str">
        <f>HYPERLINK("http://dx.doi.org/10.1007/978-3-031-44223-0_6","http://dx.doi.org/10.1007/978-3-031-44223-0_6")</f>
        <v>http://dx.doi.org/10.1007/978-3-031-44223-0_6</v>
      </c>
      <c r="BG1429" t="s">
        <v>74</v>
      </c>
      <c r="BH1429" t="s">
        <v>74</v>
      </c>
      <c r="BI1429">
        <v>14</v>
      </c>
      <c r="BJ1429" t="s">
        <v>331</v>
      </c>
      <c r="BK1429" t="s">
        <v>98</v>
      </c>
      <c r="BL1429" t="s">
        <v>99</v>
      </c>
      <c r="BM1429" t="s">
        <v>25973</v>
      </c>
      <c r="BN1429" t="s">
        <v>74</v>
      </c>
      <c r="BO1429" t="s">
        <v>646</v>
      </c>
      <c r="BP1429" t="s">
        <v>74</v>
      </c>
      <c r="BQ1429" t="s">
        <v>74</v>
      </c>
      <c r="BR1429" t="s">
        <v>101</v>
      </c>
      <c r="BS1429" t="s">
        <v>25974</v>
      </c>
      <c r="BT1429" t="str">
        <f>HYPERLINK("https%3A%2F%2Fwww.webofscience.com%2Fwos%2Fwoscc%2Ffull-record%2FWOS:001156951000006","View Full Record in Web of Science")</f>
        <v>View Full Record in Web of Science</v>
      </c>
    </row>
    <row r="1430" spans="1:72" x14ac:dyDescent="0.2">
      <c r="A1430" t="s">
        <v>103</v>
      </c>
      <c r="B1430" t="s">
        <v>25975</v>
      </c>
      <c r="C1430" t="s">
        <v>74</v>
      </c>
      <c r="D1430" t="s">
        <v>74</v>
      </c>
      <c r="E1430" t="s">
        <v>74</v>
      </c>
      <c r="F1430" t="s">
        <v>25976</v>
      </c>
      <c r="G1430" t="s">
        <v>74</v>
      </c>
      <c r="H1430" t="s">
        <v>74</v>
      </c>
      <c r="I1430" t="s">
        <v>25977</v>
      </c>
      <c r="J1430" t="s">
        <v>21131</v>
      </c>
      <c r="K1430" t="s">
        <v>74</v>
      </c>
      <c r="L1430" t="s">
        <v>74</v>
      </c>
      <c r="M1430" t="s">
        <v>79</v>
      </c>
      <c r="N1430" t="s">
        <v>108</v>
      </c>
      <c r="O1430" t="s">
        <v>74</v>
      </c>
      <c r="P1430" t="s">
        <v>74</v>
      </c>
      <c r="Q1430" t="s">
        <v>74</v>
      </c>
      <c r="R1430" t="s">
        <v>74</v>
      </c>
      <c r="S1430" t="s">
        <v>74</v>
      </c>
      <c r="T1430" t="s">
        <v>74</v>
      </c>
      <c r="U1430" t="s">
        <v>25978</v>
      </c>
      <c r="V1430" t="s">
        <v>25979</v>
      </c>
      <c r="W1430" t="s">
        <v>25980</v>
      </c>
      <c r="X1430" t="s">
        <v>25981</v>
      </c>
      <c r="Y1430" t="s">
        <v>25982</v>
      </c>
      <c r="Z1430" t="s">
        <v>25983</v>
      </c>
      <c r="AA1430" t="s">
        <v>25984</v>
      </c>
      <c r="AB1430" t="s">
        <v>25985</v>
      </c>
      <c r="AC1430" t="s">
        <v>25986</v>
      </c>
      <c r="AD1430" t="s">
        <v>25987</v>
      </c>
      <c r="AE1430" t="s">
        <v>25988</v>
      </c>
      <c r="AF1430" t="s">
        <v>74</v>
      </c>
      <c r="AG1430">
        <v>94</v>
      </c>
      <c r="AH1430">
        <v>0</v>
      </c>
      <c r="AI1430">
        <v>0</v>
      </c>
      <c r="AJ1430">
        <v>32</v>
      </c>
      <c r="AK1430">
        <v>32</v>
      </c>
      <c r="AL1430" t="s">
        <v>3980</v>
      </c>
      <c r="AM1430" t="s">
        <v>1153</v>
      </c>
      <c r="AN1430" t="s">
        <v>3981</v>
      </c>
      <c r="AO1430" t="s">
        <v>21141</v>
      </c>
      <c r="AP1430" t="s">
        <v>21142</v>
      </c>
      <c r="AQ1430" t="s">
        <v>74</v>
      </c>
      <c r="AR1430" t="s">
        <v>21143</v>
      </c>
      <c r="AS1430" t="s">
        <v>21144</v>
      </c>
      <c r="AT1430" t="s">
        <v>2154</v>
      </c>
      <c r="AU1430">
        <v>2023</v>
      </c>
      <c r="AV1430">
        <v>14</v>
      </c>
      <c r="AW1430">
        <v>43</v>
      </c>
      <c r="AX1430" t="s">
        <v>74</v>
      </c>
      <c r="AY1430" t="s">
        <v>74</v>
      </c>
      <c r="AZ1430" t="s">
        <v>74</v>
      </c>
      <c r="BA1430" t="s">
        <v>74</v>
      </c>
      <c r="BB1430">
        <v>12166</v>
      </c>
      <c r="BC1430">
        <v>12181</v>
      </c>
      <c r="BD1430" t="s">
        <v>74</v>
      </c>
      <c r="BE1430" t="s">
        <v>25989</v>
      </c>
      <c r="BF1430" t="str">
        <f>HYPERLINK("http://dx.doi.org/10.1039/d3sc04091g","http://dx.doi.org/10.1039/d3sc04091g")</f>
        <v>http://dx.doi.org/10.1039/d3sc04091g</v>
      </c>
      <c r="BG1430" t="s">
        <v>74</v>
      </c>
      <c r="BH1430" t="s">
        <v>1886</v>
      </c>
      <c r="BI1430">
        <v>16</v>
      </c>
      <c r="BJ1430" t="s">
        <v>11005</v>
      </c>
      <c r="BK1430" t="s">
        <v>130</v>
      </c>
      <c r="BL1430" t="s">
        <v>11006</v>
      </c>
      <c r="BM1430" t="s">
        <v>25990</v>
      </c>
      <c r="BN1430">
        <v>37969589</v>
      </c>
      <c r="BO1430" t="s">
        <v>425</v>
      </c>
      <c r="BP1430" t="s">
        <v>74</v>
      </c>
      <c r="BQ1430" t="s">
        <v>74</v>
      </c>
      <c r="BR1430" t="s">
        <v>101</v>
      </c>
      <c r="BS1430" t="s">
        <v>25991</v>
      </c>
      <c r="BT1430" t="str">
        <f>HYPERLINK("https%3A%2F%2Fwww.webofscience.com%2Fwos%2Fwoscc%2Ffull-record%2FWOS:001086470800001","View Full Record in Web of Science")</f>
        <v>View Full Record in Web of Science</v>
      </c>
    </row>
    <row r="1431" spans="1:72" x14ac:dyDescent="0.2">
      <c r="A1431" t="s">
        <v>103</v>
      </c>
      <c r="B1431" t="s">
        <v>25992</v>
      </c>
      <c r="C1431" t="s">
        <v>74</v>
      </c>
      <c r="D1431" t="s">
        <v>74</v>
      </c>
      <c r="E1431" t="s">
        <v>74</v>
      </c>
      <c r="F1431" t="s">
        <v>25993</v>
      </c>
      <c r="G1431" t="s">
        <v>74</v>
      </c>
      <c r="H1431" t="s">
        <v>74</v>
      </c>
      <c r="I1431" t="s">
        <v>25994</v>
      </c>
      <c r="J1431" t="s">
        <v>18651</v>
      </c>
      <c r="K1431" t="s">
        <v>74</v>
      </c>
      <c r="L1431" t="s">
        <v>74</v>
      </c>
      <c r="M1431" t="s">
        <v>79</v>
      </c>
      <c r="N1431" t="s">
        <v>108</v>
      </c>
      <c r="O1431" t="s">
        <v>74</v>
      </c>
      <c r="P1431" t="s">
        <v>74</v>
      </c>
      <c r="Q1431" t="s">
        <v>74</v>
      </c>
      <c r="R1431" t="s">
        <v>74</v>
      </c>
      <c r="S1431" t="s">
        <v>74</v>
      </c>
      <c r="T1431" t="s">
        <v>25995</v>
      </c>
      <c r="U1431" t="s">
        <v>74</v>
      </c>
      <c r="V1431" t="s">
        <v>25996</v>
      </c>
      <c r="W1431" t="s">
        <v>25997</v>
      </c>
      <c r="X1431" t="s">
        <v>25998</v>
      </c>
      <c r="Y1431" t="s">
        <v>25999</v>
      </c>
      <c r="Z1431" t="s">
        <v>26000</v>
      </c>
      <c r="AA1431" t="s">
        <v>74</v>
      </c>
      <c r="AB1431" t="s">
        <v>74</v>
      </c>
      <c r="AC1431" t="s">
        <v>26001</v>
      </c>
      <c r="AD1431" t="s">
        <v>26002</v>
      </c>
      <c r="AE1431" t="s">
        <v>26003</v>
      </c>
      <c r="AF1431" t="s">
        <v>74</v>
      </c>
      <c r="AG1431">
        <v>116</v>
      </c>
      <c r="AH1431">
        <v>0</v>
      </c>
      <c r="AI1431">
        <v>0</v>
      </c>
      <c r="AJ1431">
        <v>5</v>
      </c>
      <c r="AK1431">
        <v>8</v>
      </c>
      <c r="AL1431" t="s">
        <v>343</v>
      </c>
      <c r="AM1431" t="s">
        <v>521</v>
      </c>
      <c r="AN1431" t="s">
        <v>522</v>
      </c>
      <c r="AO1431" t="s">
        <v>18663</v>
      </c>
      <c r="AP1431" t="s">
        <v>18664</v>
      </c>
      <c r="AQ1431" t="s">
        <v>74</v>
      </c>
      <c r="AR1431" t="s">
        <v>18665</v>
      </c>
      <c r="AS1431" t="s">
        <v>18666</v>
      </c>
      <c r="AT1431" t="s">
        <v>467</v>
      </c>
      <c r="AU1431">
        <v>2023</v>
      </c>
      <c r="AV1431">
        <v>131</v>
      </c>
      <c r="AW1431">
        <v>10</v>
      </c>
      <c r="AX1431" t="s">
        <v>74</v>
      </c>
      <c r="AY1431" t="s">
        <v>74</v>
      </c>
      <c r="AZ1431" t="s">
        <v>74</v>
      </c>
      <c r="BA1431" t="s">
        <v>74</v>
      </c>
      <c r="BB1431">
        <v>2699</v>
      </c>
      <c r="BC1431">
        <v>2722</v>
      </c>
      <c r="BD1431" t="s">
        <v>74</v>
      </c>
      <c r="BE1431" t="s">
        <v>26004</v>
      </c>
      <c r="BF1431" t="str">
        <f>HYPERLINK("http://dx.doi.org/10.1007/s11263-023-01832-8","http://dx.doi.org/10.1007/s11263-023-01832-8")</f>
        <v>http://dx.doi.org/10.1007/s11263-023-01832-8</v>
      </c>
      <c r="BG1431" t="s">
        <v>74</v>
      </c>
      <c r="BH1431" t="s">
        <v>1910</v>
      </c>
      <c r="BI1431">
        <v>24</v>
      </c>
      <c r="BJ1431" t="s">
        <v>304</v>
      </c>
      <c r="BK1431" t="s">
        <v>130</v>
      </c>
      <c r="BL1431" t="s">
        <v>99</v>
      </c>
      <c r="BM1431" t="s">
        <v>18668</v>
      </c>
      <c r="BN1431" t="s">
        <v>74</v>
      </c>
      <c r="BO1431" t="s">
        <v>646</v>
      </c>
      <c r="BP1431" t="s">
        <v>74</v>
      </c>
      <c r="BQ1431" t="s">
        <v>74</v>
      </c>
      <c r="BR1431" t="s">
        <v>101</v>
      </c>
      <c r="BS1431" t="s">
        <v>26005</v>
      </c>
      <c r="BT1431" t="str">
        <f>HYPERLINK("https%3A%2F%2Fwww.webofscience.com%2Fwos%2Fwoscc%2Ffull-record%2FWOS:001009995500001","View Full Record in Web of Science")</f>
        <v>View Full Record in Web of Science</v>
      </c>
    </row>
    <row r="1432" spans="1:72" x14ac:dyDescent="0.2">
      <c r="A1432" t="s">
        <v>72</v>
      </c>
      <c r="B1432" t="s">
        <v>26006</v>
      </c>
      <c r="C1432" t="s">
        <v>74</v>
      </c>
      <c r="D1432" t="s">
        <v>4124</v>
      </c>
      <c r="E1432" t="s">
        <v>74</v>
      </c>
      <c r="F1432" t="s">
        <v>26007</v>
      </c>
      <c r="G1432" t="s">
        <v>74</v>
      </c>
      <c r="H1432" t="s">
        <v>74</v>
      </c>
      <c r="I1432" t="s">
        <v>26008</v>
      </c>
      <c r="J1432" t="s">
        <v>4127</v>
      </c>
      <c r="K1432" t="s">
        <v>4128</v>
      </c>
      <c r="L1432" t="s">
        <v>74</v>
      </c>
      <c r="M1432" t="s">
        <v>79</v>
      </c>
      <c r="N1432" t="s">
        <v>80</v>
      </c>
      <c r="O1432" t="s">
        <v>4129</v>
      </c>
      <c r="P1432" t="s">
        <v>4130</v>
      </c>
      <c r="Q1432" t="s">
        <v>4131</v>
      </c>
      <c r="R1432" t="s">
        <v>4132</v>
      </c>
      <c r="S1432" t="s">
        <v>74</v>
      </c>
      <c r="T1432" t="s">
        <v>26009</v>
      </c>
      <c r="U1432" t="s">
        <v>74</v>
      </c>
      <c r="V1432" t="s">
        <v>26010</v>
      </c>
      <c r="W1432" t="s">
        <v>26011</v>
      </c>
      <c r="X1432" t="s">
        <v>26012</v>
      </c>
      <c r="Y1432" t="s">
        <v>26013</v>
      </c>
      <c r="Z1432" t="s">
        <v>26014</v>
      </c>
      <c r="AA1432" t="s">
        <v>74</v>
      </c>
      <c r="AB1432" t="s">
        <v>74</v>
      </c>
      <c r="AC1432" t="s">
        <v>26015</v>
      </c>
      <c r="AD1432" t="s">
        <v>26016</v>
      </c>
      <c r="AE1432" t="s">
        <v>26017</v>
      </c>
      <c r="AF1432" t="s">
        <v>74</v>
      </c>
      <c r="AG1432">
        <v>24</v>
      </c>
      <c r="AH1432">
        <v>0</v>
      </c>
      <c r="AI1432">
        <v>0</v>
      </c>
      <c r="AJ1432">
        <v>0</v>
      </c>
      <c r="AK1432">
        <v>0</v>
      </c>
      <c r="AL1432" t="s">
        <v>284</v>
      </c>
      <c r="AM1432" t="s">
        <v>93</v>
      </c>
      <c r="AN1432" t="s">
        <v>299</v>
      </c>
      <c r="AO1432" t="s">
        <v>4144</v>
      </c>
      <c r="AP1432" t="s">
        <v>74</v>
      </c>
      <c r="AQ1432" t="s">
        <v>4145</v>
      </c>
      <c r="AR1432" t="s">
        <v>4146</v>
      </c>
      <c r="AS1432" t="s">
        <v>74</v>
      </c>
      <c r="AT1432" t="s">
        <v>74</v>
      </c>
      <c r="AU1432">
        <v>2023</v>
      </c>
      <c r="AV1432" t="s">
        <v>74</v>
      </c>
      <c r="AW1432" t="s">
        <v>74</v>
      </c>
      <c r="AX1432" t="s">
        <v>74</v>
      </c>
      <c r="AY1432" t="s">
        <v>74</v>
      </c>
      <c r="AZ1432" t="s">
        <v>74</v>
      </c>
      <c r="BA1432" t="s">
        <v>74</v>
      </c>
      <c r="BB1432" t="s">
        <v>74</v>
      </c>
      <c r="BC1432" t="s">
        <v>74</v>
      </c>
      <c r="BD1432" t="s">
        <v>74</v>
      </c>
      <c r="BE1432" t="s">
        <v>74</v>
      </c>
      <c r="BF1432" t="s">
        <v>74</v>
      </c>
      <c r="BG1432" t="s">
        <v>74</v>
      </c>
      <c r="BH1432" t="s">
        <v>74</v>
      </c>
      <c r="BI1432">
        <v>9</v>
      </c>
      <c r="BJ1432" t="s">
        <v>1385</v>
      </c>
      <c r="BK1432" t="s">
        <v>98</v>
      </c>
      <c r="BL1432" t="s">
        <v>1386</v>
      </c>
      <c r="BM1432" t="s">
        <v>4147</v>
      </c>
      <c r="BN1432" t="s">
        <v>74</v>
      </c>
      <c r="BO1432" t="s">
        <v>74</v>
      </c>
      <c r="BP1432" t="s">
        <v>74</v>
      </c>
      <c r="BQ1432" t="s">
        <v>74</v>
      </c>
      <c r="BR1432" t="s">
        <v>101</v>
      </c>
      <c r="BS1432" t="s">
        <v>26018</v>
      </c>
      <c r="BT1432" t="str">
        <f>HYPERLINK("https%3A%2F%2Fwww.webofscience.com%2Fwos%2Fwoscc%2Ffull-record%2FWOS:001117985100043","View Full Record in Web of Science")</f>
        <v>View Full Record in Web of Science</v>
      </c>
    </row>
    <row r="1433" spans="1:72" x14ac:dyDescent="0.2">
      <c r="A1433" t="s">
        <v>72</v>
      </c>
      <c r="B1433" t="s">
        <v>26019</v>
      </c>
      <c r="C1433" t="s">
        <v>74</v>
      </c>
      <c r="D1433" t="s">
        <v>74</v>
      </c>
      <c r="E1433" t="s">
        <v>284</v>
      </c>
      <c r="F1433" t="s">
        <v>26020</v>
      </c>
      <c r="G1433" t="s">
        <v>74</v>
      </c>
      <c r="H1433" t="s">
        <v>74</v>
      </c>
      <c r="I1433" t="s">
        <v>26021</v>
      </c>
      <c r="J1433" t="s">
        <v>26022</v>
      </c>
      <c r="K1433" t="s">
        <v>26023</v>
      </c>
      <c r="L1433" t="s">
        <v>74</v>
      </c>
      <c r="M1433" t="s">
        <v>79</v>
      </c>
      <c r="N1433" t="s">
        <v>80</v>
      </c>
      <c r="O1433" t="s">
        <v>26024</v>
      </c>
      <c r="P1433" t="s">
        <v>26025</v>
      </c>
      <c r="Q1433" t="s">
        <v>850</v>
      </c>
      <c r="R1433" t="s">
        <v>26026</v>
      </c>
      <c r="S1433" t="s">
        <v>74</v>
      </c>
      <c r="T1433" t="s">
        <v>26027</v>
      </c>
      <c r="U1433" t="s">
        <v>74</v>
      </c>
      <c r="V1433" t="s">
        <v>26028</v>
      </c>
      <c r="W1433" t="s">
        <v>26029</v>
      </c>
      <c r="X1433" t="s">
        <v>26030</v>
      </c>
      <c r="Y1433" t="s">
        <v>26031</v>
      </c>
      <c r="Z1433" t="s">
        <v>7139</v>
      </c>
      <c r="AA1433" t="s">
        <v>74</v>
      </c>
      <c r="AB1433" t="s">
        <v>74</v>
      </c>
      <c r="AC1433" t="s">
        <v>26032</v>
      </c>
      <c r="AD1433" t="s">
        <v>26033</v>
      </c>
      <c r="AE1433" t="s">
        <v>26034</v>
      </c>
      <c r="AF1433" t="s">
        <v>74</v>
      </c>
      <c r="AG1433">
        <v>16</v>
      </c>
      <c r="AH1433">
        <v>0</v>
      </c>
      <c r="AI1433">
        <v>0</v>
      </c>
      <c r="AJ1433">
        <v>0</v>
      </c>
      <c r="AK1433">
        <v>0</v>
      </c>
      <c r="AL1433" t="s">
        <v>284</v>
      </c>
      <c r="AM1433" t="s">
        <v>93</v>
      </c>
      <c r="AN1433" t="s">
        <v>299</v>
      </c>
      <c r="AO1433" t="s">
        <v>26035</v>
      </c>
      <c r="AP1433" t="s">
        <v>74</v>
      </c>
      <c r="AQ1433" t="s">
        <v>26036</v>
      </c>
      <c r="AR1433" t="s">
        <v>26037</v>
      </c>
      <c r="AS1433" t="s">
        <v>74</v>
      </c>
      <c r="AT1433" t="s">
        <v>74</v>
      </c>
      <c r="AU1433">
        <v>2023</v>
      </c>
      <c r="AV1433" t="s">
        <v>74</v>
      </c>
      <c r="AW1433" t="s">
        <v>74</v>
      </c>
      <c r="AX1433" t="s">
        <v>74</v>
      </c>
      <c r="AY1433" t="s">
        <v>74</v>
      </c>
      <c r="AZ1433" t="s">
        <v>74</v>
      </c>
      <c r="BA1433" t="s">
        <v>74</v>
      </c>
      <c r="BB1433" t="s">
        <v>74</v>
      </c>
      <c r="BC1433" t="s">
        <v>74</v>
      </c>
      <c r="BD1433" t="s">
        <v>74</v>
      </c>
      <c r="BE1433" t="s">
        <v>26038</v>
      </c>
      <c r="BF1433" t="str">
        <f>HYPERLINK("http://dx.doi.org/10.1109/VTC2023-Fall60731.2023.10333643","http://dx.doi.org/10.1109/VTC2023-Fall60731.2023.10333643")</f>
        <v>http://dx.doi.org/10.1109/VTC2023-Fall60731.2023.10333643</v>
      </c>
      <c r="BG1433" t="s">
        <v>74</v>
      </c>
      <c r="BH1433" t="s">
        <v>74</v>
      </c>
      <c r="BI1433">
        <v>5</v>
      </c>
      <c r="BJ1433" t="s">
        <v>26039</v>
      </c>
      <c r="BK1433" t="s">
        <v>98</v>
      </c>
      <c r="BL1433" t="s">
        <v>131</v>
      </c>
      <c r="BM1433" t="s">
        <v>26040</v>
      </c>
      <c r="BN1433" t="s">
        <v>74</v>
      </c>
      <c r="BO1433" t="s">
        <v>74</v>
      </c>
      <c r="BP1433" t="s">
        <v>74</v>
      </c>
      <c r="BQ1433" t="s">
        <v>74</v>
      </c>
      <c r="BR1433" t="s">
        <v>101</v>
      </c>
      <c r="BS1433" t="s">
        <v>26041</v>
      </c>
      <c r="BT1433" t="str">
        <f>HYPERLINK("https%3A%2F%2Fwww.webofscience.com%2Fwos%2Fwoscc%2Ffull-record%2FWOS:001133762500254","View Full Record in Web of Science")</f>
        <v>View Full Record in Web of Science</v>
      </c>
    </row>
    <row r="1434" spans="1:72" x14ac:dyDescent="0.2">
      <c r="A1434" t="s">
        <v>72</v>
      </c>
      <c r="B1434" t="s">
        <v>8188</v>
      </c>
      <c r="C1434" t="s">
        <v>74</v>
      </c>
      <c r="D1434" t="s">
        <v>74</v>
      </c>
      <c r="E1434" t="s">
        <v>284</v>
      </c>
      <c r="F1434" t="s">
        <v>8189</v>
      </c>
      <c r="G1434" t="s">
        <v>74</v>
      </c>
      <c r="H1434" t="s">
        <v>74</v>
      </c>
      <c r="I1434" t="s">
        <v>26042</v>
      </c>
      <c r="J1434" t="s">
        <v>8245</v>
      </c>
      <c r="K1434" t="s">
        <v>8246</v>
      </c>
      <c r="L1434" t="s">
        <v>74</v>
      </c>
      <c r="M1434" t="s">
        <v>79</v>
      </c>
      <c r="N1434" t="s">
        <v>80</v>
      </c>
      <c r="O1434" t="s">
        <v>8247</v>
      </c>
      <c r="P1434" t="s">
        <v>8248</v>
      </c>
      <c r="Q1434" t="s">
        <v>6017</v>
      </c>
      <c r="R1434" t="s">
        <v>8249</v>
      </c>
      <c r="S1434" t="s">
        <v>74</v>
      </c>
      <c r="T1434" t="s">
        <v>74</v>
      </c>
      <c r="U1434" t="s">
        <v>74</v>
      </c>
      <c r="V1434" t="s">
        <v>26043</v>
      </c>
      <c r="W1434" t="s">
        <v>26044</v>
      </c>
      <c r="X1434" t="s">
        <v>8195</v>
      </c>
      <c r="Y1434" t="s">
        <v>26045</v>
      </c>
      <c r="Z1434" t="s">
        <v>26046</v>
      </c>
      <c r="AA1434" t="s">
        <v>74</v>
      </c>
      <c r="AB1434" t="s">
        <v>74</v>
      </c>
      <c r="AC1434" t="s">
        <v>74</v>
      </c>
      <c r="AD1434" t="s">
        <v>74</v>
      </c>
      <c r="AE1434" t="s">
        <v>74</v>
      </c>
      <c r="AF1434" t="s">
        <v>74</v>
      </c>
      <c r="AG1434">
        <v>62</v>
      </c>
      <c r="AH1434">
        <v>0</v>
      </c>
      <c r="AI1434">
        <v>0</v>
      </c>
      <c r="AJ1434">
        <v>0</v>
      </c>
      <c r="AK1434">
        <v>0</v>
      </c>
      <c r="AL1434" t="s">
        <v>638</v>
      </c>
      <c r="AM1434" t="s">
        <v>639</v>
      </c>
      <c r="AN1434" t="s">
        <v>640</v>
      </c>
      <c r="AO1434" t="s">
        <v>8260</v>
      </c>
      <c r="AP1434" t="s">
        <v>74</v>
      </c>
      <c r="AQ1434" t="s">
        <v>8261</v>
      </c>
      <c r="AR1434" t="s">
        <v>8262</v>
      </c>
      <c r="AS1434" t="s">
        <v>74</v>
      </c>
      <c r="AT1434" t="s">
        <v>74</v>
      </c>
      <c r="AU1434">
        <v>2023</v>
      </c>
      <c r="AV1434" t="s">
        <v>74</v>
      </c>
      <c r="AW1434" t="s">
        <v>74</v>
      </c>
      <c r="AX1434" t="s">
        <v>74</v>
      </c>
      <c r="AY1434" t="s">
        <v>74</v>
      </c>
      <c r="AZ1434" t="s">
        <v>74</v>
      </c>
      <c r="BA1434" t="s">
        <v>74</v>
      </c>
      <c r="BB1434">
        <v>12343</v>
      </c>
      <c r="BC1434">
        <v>12352</v>
      </c>
      <c r="BD1434" t="s">
        <v>74</v>
      </c>
      <c r="BE1434" t="s">
        <v>26047</v>
      </c>
      <c r="BF1434" t="str">
        <f>HYPERLINK("http://dx.doi.org/10.1109/CVPR52729.2023.01188","http://dx.doi.org/10.1109/CVPR52729.2023.01188")</f>
        <v>http://dx.doi.org/10.1109/CVPR52729.2023.01188</v>
      </c>
      <c r="BG1434" t="s">
        <v>74</v>
      </c>
      <c r="BH1434" t="s">
        <v>74</v>
      </c>
      <c r="BI1434">
        <v>10</v>
      </c>
      <c r="BJ1434" t="s">
        <v>304</v>
      </c>
      <c r="BK1434" t="s">
        <v>98</v>
      </c>
      <c r="BL1434" t="s">
        <v>99</v>
      </c>
      <c r="BM1434" t="s">
        <v>8264</v>
      </c>
      <c r="BN1434" t="s">
        <v>74</v>
      </c>
      <c r="BO1434" t="s">
        <v>646</v>
      </c>
      <c r="BP1434" t="s">
        <v>74</v>
      </c>
      <c r="BQ1434" t="s">
        <v>74</v>
      </c>
      <c r="BR1434" t="s">
        <v>101</v>
      </c>
      <c r="BS1434" t="s">
        <v>26048</v>
      </c>
      <c r="BT1434" t="str">
        <f>HYPERLINK("https%3A%2F%2Fwww.webofscience.com%2Fwos%2Fwoscc%2Ffull-record%2FWOS:001062522104064","View Full Record in Web of Science")</f>
        <v>View Full Record in Web of Science</v>
      </c>
    </row>
    <row r="1435" spans="1:72" x14ac:dyDescent="0.2">
      <c r="A1435" t="s">
        <v>72</v>
      </c>
      <c r="B1435" t="s">
        <v>26049</v>
      </c>
      <c r="C1435" t="s">
        <v>74</v>
      </c>
      <c r="D1435" t="s">
        <v>8562</v>
      </c>
      <c r="E1435" t="s">
        <v>74</v>
      </c>
      <c r="F1435" t="s">
        <v>26050</v>
      </c>
      <c r="G1435" t="s">
        <v>74</v>
      </c>
      <c r="H1435" t="s">
        <v>74</v>
      </c>
      <c r="I1435" t="s">
        <v>26051</v>
      </c>
      <c r="J1435" t="s">
        <v>26052</v>
      </c>
      <c r="K1435" t="s">
        <v>1034</v>
      </c>
      <c r="L1435" t="s">
        <v>74</v>
      </c>
      <c r="M1435" t="s">
        <v>79</v>
      </c>
      <c r="N1435" t="s">
        <v>80</v>
      </c>
      <c r="O1435" t="s">
        <v>8566</v>
      </c>
      <c r="P1435" t="s">
        <v>8567</v>
      </c>
      <c r="Q1435" t="s">
        <v>8568</v>
      </c>
      <c r="R1435" t="s">
        <v>8569</v>
      </c>
      <c r="S1435" t="s">
        <v>74</v>
      </c>
      <c r="T1435" t="s">
        <v>26053</v>
      </c>
      <c r="U1435" t="s">
        <v>74</v>
      </c>
      <c r="V1435" t="s">
        <v>26054</v>
      </c>
      <c r="W1435" t="s">
        <v>26055</v>
      </c>
      <c r="X1435" t="s">
        <v>26056</v>
      </c>
      <c r="Y1435" t="s">
        <v>26057</v>
      </c>
      <c r="Z1435" t="s">
        <v>26058</v>
      </c>
      <c r="AA1435" t="s">
        <v>74</v>
      </c>
      <c r="AB1435" t="s">
        <v>26059</v>
      </c>
      <c r="AC1435" t="s">
        <v>74</v>
      </c>
      <c r="AD1435" t="s">
        <v>74</v>
      </c>
      <c r="AE1435" t="s">
        <v>74</v>
      </c>
      <c r="AF1435" t="s">
        <v>74</v>
      </c>
      <c r="AG1435">
        <v>27</v>
      </c>
      <c r="AH1435">
        <v>0</v>
      </c>
      <c r="AI1435">
        <v>0</v>
      </c>
      <c r="AJ1435">
        <v>0</v>
      </c>
      <c r="AK1435">
        <v>1</v>
      </c>
      <c r="AL1435" t="s">
        <v>325</v>
      </c>
      <c r="AM1435" t="s">
        <v>245</v>
      </c>
      <c r="AN1435" t="s">
        <v>246</v>
      </c>
      <c r="AO1435" t="s">
        <v>1042</v>
      </c>
      <c r="AP1435" t="s">
        <v>327</v>
      </c>
      <c r="AQ1435" t="s">
        <v>26060</v>
      </c>
      <c r="AR1435" t="s">
        <v>1044</v>
      </c>
      <c r="AS1435" t="s">
        <v>74</v>
      </c>
      <c r="AT1435" t="s">
        <v>74</v>
      </c>
      <c r="AU1435">
        <v>2023</v>
      </c>
      <c r="AV1435">
        <v>13713</v>
      </c>
      <c r="AW1435" t="s">
        <v>74</v>
      </c>
      <c r="AX1435" t="s">
        <v>74</v>
      </c>
      <c r="AY1435" t="s">
        <v>74</v>
      </c>
      <c r="AZ1435" t="s">
        <v>74</v>
      </c>
      <c r="BA1435" t="s">
        <v>74</v>
      </c>
      <c r="BB1435">
        <v>437</v>
      </c>
      <c r="BC1435">
        <v>453</v>
      </c>
      <c r="BD1435" t="s">
        <v>74</v>
      </c>
      <c r="BE1435" t="s">
        <v>26061</v>
      </c>
      <c r="BF1435" t="str">
        <f>HYPERLINK("http://dx.doi.org/10.1007/978-3-031-26387-3_27","http://dx.doi.org/10.1007/978-3-031-26387-3_27")</f>
        <v>http://dx.doi.org/10.1007/978-3-031-26387-3_27</v>
      </c>
      <c r="BG1435" t="s">
        <v>74</v>
      </c>
      <c r="BH1435" t="s">
        <v>74</v>
      </c>
      <c r="BI1435">
        <v>17</v>
      </c>
      <c r="BJ1435" t="s">
        <v>3012</v>
      </c>
      <c r="BK1435" t="s">
        <v>98</v>
      </c>
      <c r="BL1435" t="s">
        <v>99</v>
      </c>
      <c r="BM1435" t="s">
        <v>26062</v>
      </c>
      <c r="BN1435" t="s">
        <v>74</v>
      </c>
      <c r="BO1435" t="s">
        <v>646</v>
      </c>
      <c r="BP1435" t="s">
        <v>74</v>
      </c>
      <c r="BQ1435" t="s">
        <v>74</v>
      </c>
      <c r="BR1435" t="s">
        <v>101</v>
      </c>
      <c r="BS1435" t="s">
        <v>26063</v>
      </c>
      <c r="BT1435" t="str">
        <f>HYPERLINK("https%3A%2F%2Fwww.webofscience.com%2Fwos%2Fwoscc%2Ffull-record%2FWOS:000999035400027","View Full Record in Web of Science")</f>
        <v>View Full Record in Web of Science</v>
      </c>
    </row>
    <row r="1436" spans="1:72" x14ac:dyDescent="0.2">
      <c r="A1436" t="s">
        <v>72</v>
      </c>
      <c r="B1436" t="s">
        <v>26064</v>
      </c>
      <c r="C1436" t="s">
        <v>74</v>
      </c>
      <c r="D1436" t="s">
        <v>8562</v>
      </c>
      <c r="E1436" t="s">
        <v>74</v>
      </c>
      <c r="F1436" t="s">
        <v>26065</v>
      </c>
      <c r="G1436" t="s">
        <v>74</v>
      </c>
      <c r="H1436" t="s">
        <v>74</v>
      </c>
      <c r="I1436" t="s">
        <v>26066</v>
      </c>
      <c r="J1436" t="s">
        <v>26067</v>
      </c>
      <c r="K1436" t="s">
        <v>1034</v>
      </c>
      <c r="L1436" t="s">
        <v>74</v>
      </c>
      <c r="M1436" t="s">
        <v>79</v>
      </c>
      <c r="N1436" t="s">
        <v>80</v>
      </c>
      <c r="O1436" t="s">
        <v>8566</v>
      </c>
      <c r="P1436" t="s">
        <v>8567</v>
      </c>
      <c r="Q1436" t="s">
        <v>8568</v>
      </c>
      <c r="R1436" t="s">
        <v>8569</v>
      </c>
      <c r="S1436" t="s">
        <v>74</v>
      </c>
      <c r="T1436" t="s">
        <v>26068</v>
      </c>
      <c r="U1436" t="s">
        <v>74</v>
      </c>
      <c r="V1436" t="s">
        <v>26069</v>
      </c>
      <c r="W1436" t="s">
        <v>26070</v>
      </c>
      <c r="X1436" t="s">
        <v>26071</v>
      </c>
      <c r="Y1436" t="s">
        <v>26072</v>
      </c>
      <c r="Z1436" t="s">
        <v>26073</v>
      </c>
      <c r="AA1436" t="s">
        <v>26074</v>
      </c>
      <c r="AB1436" t="s">
        <v>74</v>
      </c>
      <c r="AC1436" t="s">
        <v>26075</v>
      </c>
      <c r="AD1436" t="s">
        <v>26076</v>
      </c>
      <c r="AE1436" t="s">
        <v>26077</v>
      </c>
      <c r="AF1436" t="s">
        <v>74</v>
      </c>
      <c r="AG1436">
        <v>35</v>
      </c>
      <c r="AH1436">
        <v>0</v>
      </c>
      <c r="AI1436">
        <v>0</v>
      </c>
      <c r="AJ1436">
        <v>1</v>
      </c>
      <c r="AK1436">
        <v>1</v>
      </c>
      <c r="AL1436" t="s">
        <v>325</v>
      </c>
      <c r="AM1436" t="s">
        <v>245</v>
      </c>
      <c r="AN1436" t="s">
        <v>246</v>
      </c>
      <c r="AO1436" t="s">
        <v>1042</v>
      </c>
      <c r="AP1436" t="s">
        <v>327</v>
      </c>
      <c r="AQ1436" t="s">
        <v>26078</v>
      </c>
      <c r="AR1436" t="s">
        <v>1044</v>
      </c>
      <c r="AS1436" t="s">
        <v>74</v>
      </c>
      <c r="AT1436" t="s">
        <v>74</v>
      </c>
      <c r="AU1436">
        <v>2023</v>
      </c>
      <c r="AV1436">
        <v>13714</v>
      </c>
      <c r="AW1436" t="s">
        <v>74</v>
      </c>
      <c r="AX1436" t="s">
        <v>74</v>
      </c>
      <c r="AY1436" t="s">
        <v>74</v>
      </c>
      <c r="AZ1436" t="s">
        <v>74</v>
      </c>
      <c r="BA1436" t="s">
        <v>74</v>
      </c>
      <c r="BB1436">
        <v>20</v>
      </c>
      <c r="BC1436">
        <v>36</v>
      </c>
      <c r="BD1436" t="s">
        <v>74</v>
      </c>
      <c r="BE1436" t="s">
        <v>26079</v>
      </c>
      <c r="BF1436" t="str">
        <f>HYPERLINK("http://dx.doi.org/10.1007/978-3-031-26390-3_2","http://dx.doi.org/10.1007/978-3-031-26390-3_2")</f>
        <v>http://dx.doi.org/10.1007/978-3-031-26390-3_2</v>
      </c>
      <c r="BG1436" t="s">
        <v>74</v>
      </c>
      <c r="BH1436" t="s">
        <v>74</v>
      </c>
      <c r="BI1436">
        <v>17</v>
      </c>
      <c r="BJ1436" t="s">
        <v>1851</v>
      </c>
      <c r="BK1436" t="s">
        <v>98</v>
      </c>
      <c r="BL1436" t="s">
        <v>99</v>
      </c>
      <c r="BM1436" t="s">
        <v>26080</v>
      </c>
      <c r="BN1436" t="s">
        <v>74</v>
      </c>
      <c r="BO1436" t="s">
        <v>74</v>
      </c>
      <c r="BP1436" t="s">
        <v>74</v>
      </c>
      <c r="BQ1436" t="s">
        <v>74</v>
      </c>
      <c r="BR1436" t="s">
        <v>101</v>
      </c>
      <c r="BS1436" t="s">
        <v>26081</v>
      </c>
      <c r="BT1436" t="str">
        <f>HYPERLINK("https%3A%2F%2Fwww.webofscience.com%2Fwos%2Fwoscc%2Ffull-record%2FWOS:000999041300002","View Full Record in Web of Science")</f>
        <v>View Full Record in Web of Science</v>
      </c>
    </row>
    <row r="1437" spans="1:72" x14ac:dyDescent="0.2">
      <c r="A1437" t="s">
        <v>103</v>
      </c>
      <c r="B1437" t="s">
        <v>26082</v>
      </c>
      <c r="C1437" t="s">
        <v>74</v>
      </c>
      <c r="D1437" t="s">
        <v>74</v>
      </c>
      <c r="E1437" t="s">
        <v>74</v>
      </c>
      <c r="F1437" t="s">
        <v>26083</v>
      </c>
      <c r="G1437" t="s">
        <v>74</v>
      </c>
      <c r="H1437" t="s">
        <v>74</v>
      </c>
      <c r="I1437" t="s">
        <v>26084</v>
      </c>
      <c r="J1437" t="s">
        <v>14494</v>
      </c>
      <c r="K1437" t="s">
        <v>74</v>
      </c>
      <c r="L1437" t="s">
        <v>74</v>
      </c>
      <c r="M1437" t="s">
        <v>79</v>
      </c>
      <c r="N1437" t="s">
        <v>108</v>
      </c>
      <c r="O1437" t="s">
        <v>74</v>
      </c>
      <c r="P1437" t="s">
        <v>74</v>
      </c>
      <c r="Q1437" t="s">
        <v>74</v>
      </c>
      <c r="R1437" t="s">
        <v>74</v>
      </c>
      <c r="S1437" t="s">
        <v>74</v>
      </c>
      <c r="T1437" t="s">
        <v>26085</v>
      </c>
      <c r="U1437" t="s">
        <v>74</v>
      </c>
      <c r="V1437" t="s">
        <v>26086</v>
      </c>
      <c r="W1437" t="s">
        <v>26087</v>
      </c>
      <c r="X1437" t="s">
        <v>26088</v>
      </c>
      <c r="Y1437" t="s">
        <v>26089</v>
      </c>
      <c r="Z1437" t="s">
        <v>26090</v>
      </c>
      <c r="AA1437" t="s">
        <v>74</v>
      </c>
      <c r="AB1437" t="s">
        <v>74</v>
      </c>
      <c r="AC1437" t="s">
        <v>74</v>
      </c>
      <c r="AD1437" t="s">
        <v>74</v>
      </c>
      <c r="AE1437" t="s">
        <v>74</v>
      </c>
      <c r="AF1437" t="s">
        <v>74</v>
      </c>
      <c r="AG1437">
        <v>0</v>
      </c>
      <c r="AH1437">
        <v>0</v>
      </c>
      <c r="AI1437">
        <v>0</v>
      </c>
      <c r="AJ1437">
        <v>2</v>
      </c>
      <c r="AK1437">
        <v>2</v>
      </c>
      <c r="AL1437" t="s">
        <v>10360</v>
      </c>
      <c r="AM1437" t="s">
        <v>10361</v>
      </c>
      <c r="AN1437" t="s">
        <v>10362</v>
      </c>
      <c r="AO1437" t="s">
        <v>14507</v>
      </c>
      <c r="AP1437" t="s">
        <v>14508</v>
      </c>
      <c r="AQ1437" t="s">
        <v>74</v>
      </c>
      <c r="AR1437" t="s">
        <v>14509</v>
      </c>
      <c r="AS1437" t="s">
        <v>14510</v>
      </c>
      <c r="AT1437" t="s">
        <v>74</v>
      </c>
      <c r="AU1437">
        <v>2023</v>
      </c>
      <c r="AV1437">
        <v>77</v>
      </c>
      <c r="AW1437">
        <v>3</v>
      </c>
      <c r="AX1437" t="s">
        <v>74</v>
      </c>
      <c r="AY1437" t="s">
        <v>74</v>
      </c>
      <c r="AZ1437" t="s">
        <v>74</v>
      </c>
      <c r="BA1437" t="s">
        <v>74</v>
      </c>
      <c r="BB1437">
        <v>3119</v>
      </c>
      <c r="BC1437">
        <v>3138</v>
      </c>
      <c r="BD1437" t="s">
        <v>74</v>
      </c>
      <c r="BE1437" t="s">
        <v>26091</v>
      </c>
      <c r="BF1437" t="str">
        <f>HYPERLINK("http://dx.doi.org/10.32604/cmc.2023.043797","http://dx.doi.org/10.32604/cmc.2023.043797")</f>
        <v>http://dx.doi.org/10.32604/cmc.2023.043797</v>
      </c>
      <c r="BG1437" t="s">
        <v>74</v>
      </c>
      <c r="BH1437" t="s">
        <v>74</v>
      </c>
      <c r="BI1437">
        <v>20</v>
      </c>
      <c r="BJ1437" t="s">
        <v>14512</v>
      </c>
      <c r="BK1437" t="s">
        <v>130</v>
      </c>
      <c r="BL1437" t="s">
        <v>14513</v>
      </c>
      <c r="BM1437" t="s">
        <v>26092</v>
      </c>
      <c r="BN1437" t="s">
        <v>74</v>
      </c>
      <c r="BO1437" t="s">
        <v>1711</v>
      </c>
      <c r="BP1437" t="s">
        <v>74</v>
      </c>
      <c r="BQ1437" t="s">
        <v>74</v>
      </c>
      <c r="BR1437" t="s">
        <v>101</v>
      </c>
      <c r="BS1437" t="s">
        <v>26093</v>
      </c>
      <c r="BT1437" t="str">
        <f>HYPERLINK("https%3A%2F%2Fwww.webofscience.com%2Fwos%2Fwoscc%2Ffull-record%2FWOS:001156830100022","View Full Record in Web of Science")</f>
        <v>View Full Record in Web of Science</v>
      </c>
    </row>
    <row r="1438" spans="1:72" x14ac:dyDescent="0.2">
      <c r="A1438" t="s">
        <v>72</v>
      </c>
      <c r="B1438" t="s">
        <v>26094</v>
      </c>
      <c r="C1438" t="s">
        <v>74</v>
      </c>
      <c r="D1438" t="s">
        <v>74</v>
      </c>
      <c r="E1438" t="s">
        <v>284</v>
      </c>
      <c r="F1438" t="s">
        <v>26095</v>
      </c>
      <c r="G1438" t="s">
        <v>74</v>
      </c>
      <c r="H1438" t="s">
        <v>74</v>
      </c>
      <c r="I1438" t="s">
        <v>26096</v>
      </c>
      <c r="J1438" t="s">
        <v>8245</v>
      </c>
      <c r="K1438" t="s">
        <v>8246</v>
      </c>
      <c r="L1438" t="s">
        <v>74</v>
      </c>
      <c r="M1438" t="s">
        <v>79</v>
      </c>
      <c r="N1438" t="s">
        <v>80</v>
      </c>
      <c r="O1438" t="s">
        <v>8247</v>
      </c>
      <c r="P1438" t="s">
        <v>8248</v>
      </c>
      <c r="Q1438" t="s">
        <v>6017</v>
      </c>
      <c r="R1438" t="s">
        <v>8249</v>
      </c>
      <c r="S1438" t="s">
        <v>74</v>
      </c>
      <c r="T1438" t="s">
        <v>74</v>
      </c>
      <c r="U1438" t="s">
        <v>26097</v>
      </c>
      <c r="V1438" t="s">
        <v>26098</v>
      </c>
      <c r="W1438" t="s">
        <v>26099</v>
      </c>
      <c r="X1438" t="s">
        <v>26100</v>
      </c>
      <c r="Y1438" t="s">
        <v>26101</v>
      </c>
      <c r="Z1438" t="s">
        <v>74</v>
      </c>
      <c r="AA1438" t="s">
        <v>74</v>
      </c>
      <c r="AB1438" t="s">
        <v>74</v>
      </c>
      <c r="AC1438" t="s">
        <v>74</v>
      </c>
      <c r="AD1438" t="s">
        <v>74</v>
      </c>
      <c r="AE1438" t="s">
        <v>74</v>
      </c>
      <c r="AF1438" t="s">
        <v>74</v>
      </c>
      <c r="AG1438">
        <v>100</v>
      </c>
      <c r="AH1438">
        <v>0</v>
      </c>
      <c r="AI1438">
        <v>0</v>
      </c>
      <c r="AJ1438">
        <v>7</v>
      </c>
      <c r="AK1438">
        <v>7</v>
      </c>
      <c r="AL1438" t="s">
        <v>638</v>
      </c>
      <c r="AM1438" t="s">
        <v>639</v>
      </c>
      <c r="AN1438" t="s">
        <v>640</v>
      </c>
      <c r="AO1438" t="s">
        <v>8260</v>
      </c>
      <c r="AP1438" t="s">
        <v>74</v>
      </c>
      <c r="AQ1438" t="s">
        <v>8261</v>
      </c>
      <c r="AR1438" t="s">
        <v>8262</v>
      </c>
      <c r="AS1438" t="s">
        <v>74</v>
      </c>
      <c r="AT1438" t="s">
        <v>74</v>
      </c>
      <c r="AU1438">
        <v>2023</v>
      </c>
      <c r="AV1438" t="s">
        <v>74</v>
      </c>
      <c r="AW1438" t="s">
        <v>74</v>
      </c>
      <c r="AX1438" t="s">
        <v>74</v>
      </c>
      <c r="AY1438" t="s">
        <v>74</v>
      </c>
      <c r="AZ1438" t="s">
        <v>74</v>
      </c>
      <c r="BA1438" t="s">
        <v>74</v>
      </c>
      <c r="BB1438">
        <v>21337</v>
      </c>
      <c r="BC1438">
        <v>21348</v>
      </c>
      <c r="BD1438" t="s">
        <v>74</v>
      </c>
      <c r="BE1438" t="s">
        <v>26102</v>
      </c>
      <c r="BF1438" t="str">
        <f>HYPERLINK("http://dx.doi.org/10.1109/CVPR52729.2023.02044","http://dx.doi.org/10.1109/CVPR52729.2023.02044")</f>
        <v>http://dx.doi.org/10.1109/CVPR52729.2023.02044</v>
      </c>
      <c r="BG1438" t="s">
        <v>74</v>
      </c>
      <c r="BH1438" t="s">
        <v>74</v>
      </c>
      <c r="BI1438">
        <v>12</v>
      </c>
      <c r="BJ1438" t="s">
        <v>304</v>
      </c>
      <c r="BK1438" t="s">
        <v>98</v>
      </c>
      <c r="BL1438" t="s">
        <v>99</v>
      </c>
      <c r="BM1438" t="s">
        <v>9731</v>
      </c>
      <c r="BN1438" t="s">
        <v>74</v>
      </c>
      <c r="BO1438" t="s">
        <v>646</v>
      </c>
      <c r="BP1438" t="s">
        <v>74</v>
      </c>
      <c r="BQ1438" t="s">
        <v>74</v>
      </c>
      <c r="BR1438" t="s">
        <v>101</v>
      </c>
      <c r="BS1438" t="s">
        <v>26103</v>
      </c>
      <c r="BT1438" t="str">
        <f>HYPERLINK("https%3A%2F%2Fwww.webofscience.com%2Fwos%2Fwoscc%2Ffull-record%2FWOS:001062531305065","View Full Record in Web of Science")</f>
        <v>View Full Record in Web of Science</v>
      </c>
    </row>
    <row r="1439" spans="1:72" x14ac:dyDescent="0.2">
      <c r="A1439" t="s">
        <v>72</v>
      </c>
      <c r="B1439" t="s">
        <v>26104</v>
      </c>
      <c r="C1439" t="s">
        <v>74</v>
      </c>
      <c r="D1439" t="s">
        <v>26105</v>
      </c>
      <c r="E1439" t="s">
        <v>74</v>
      </c>
      <c r="F1439" t="s">
        <v>26106</v>
      </c>
      <c r="G1439" t="s">
        <v>74</v>
      </c>
      <c r="H1439" t="s">
        <v>74</v>
      </c>
      <c r="I1439" t="s">
        <v>26107</v>
      </c>
      <c r="J1439" t="s">
        <v>26108</v>
      </c>
      <c r="K1439" t="s">
        <v>312</v>
      </c>
      <c r="L1439" t="s">
        <v>74</v>
      </c>
      <c r="M1439" t="s">
        <v>79</v>
      </c>
      <c r="N1439" t="s">
        <v>80</v>
      </c>
      <c r="O1439" t="s">
        <v>26109</v>
      </c>
      <c r="P1439" t="s">
        <v>1490</v>
      </c>
      <c r="Q1439" t="s">
        <v>16217</v>
      </c>
      <c r="R1439" t="s">
        <v>74</v>
      </c>
      <c r="S1439" t="s">
        <v>74</v>
      </c>
      <c r="T1439" t="s">
        <v>26110</v>
      </c>
      <c r="U1439" t="s">
        <v>74</v>
      </c>
      <c r="V1439" t="s">
        <v>26111</v>
      </c>
      <c r="W1439" t="s">
        <v>26112</v>
      </c>
      <c r="X1439" t="s">
        <v>26113</v>
      </c>
      <c r="Y1439" t="s">
        <v>26114</v>
      </c>
      <c r="Z1439" t="s">
        <v>26115</v>
      </c>
      <c r="AA1439" t="s">
        <v>74</v>
      </c>
      <c r="AB1439" t="s">
        <v>26116</v>
      </c>
      <c r="AC1439" t="s">
        <v>26117</v>
      </c>
      <c r="AD1439" t="s">
        <v>26118</v>
      </c>
      <c r="AE1439" t="s">
        <v>26119</v>
      </c>
      <c r="AF1439" t="s">
        <v>74</v>
      </c>
      <c r="AG1439">
        <v>29</v>
      </c>
      <c r="AH1439">
        <v>0</v>
      </c>
      <c r="AI1439">
        <v>0</v>
      </c>
      <c r="AJ1439">
        <v>0</v>
      </c>
      <c r="AK1439">
        <v>0</v>
      </c>
      <c r="AL1439" t="s">
        <v>325</v>
      </c>
      <c r="AM1439" t="s">
        <v>245</v>
      </c>
      <c r="AN1439" t="s">
        <v>246</v>
      </c>
      <c r="AO1439" t="s">
        <v>326</v>
      </c>
      <c r="AP1439" t="s">
        <v>327</v>
      </c>
      <c r="AQ1439" t="s">
        <v>26120</v>
      </c>
      <c r="AR1439" t="s">
        <v>329</v>
      </c>
      <c r="AS1439" t="s">
        <v>74</v>
      </c>
      <c r="AT1439" t="s">
        <v>74</v>
      </c>
      <c r="AU1439">
        <v>2023</v>
      </c>
      <c r="AV1439">
        <v>14253</v>
      </c>
      <c r="AW1439" t="s">
        <v>74</v>
      </c>
      <c r="AX1439" t="s">
        <v>74</v>
      </c>
      <c r="AY1439" t="s">
        <v>74</v>
      </c>
      <c r="AZ1439" t="s">
        <v>74</v>
      </c>
      <c r="BA1439" t="s">
        <v>74</v>
      </c>
      <c r="BB1439">
        <v>230</v>
      </c>
      <c r="BC1439">
        <v>242</v>
      </c>
      <c r="BD1439" t="s">
        <v>74</v>
      </c>
      <c r="BE1439" t="s">
        <v>26121</v>
      </c>
      <c r="BF1439" t="str">
        <f>HYPERLINK("http://dx.doi.org/10.1007/978-3-031-44137-0_20","http://dx.doi.org/10.1007/978-3-031-44137-0_20")</f>
        <v>http://dx.doi.org/10.1007/978-3-031-44137-0_20</v>
      </c>
      <c r="BG1439" t="s">
        <v>74</v>
      </c>
      <c r="BH1439" t="s">
        <v>74</v>
      </c>
      <c r="BI1439">
        <v>13</v>
      </c>
      <c r="BJ1439" t="s">
        <v>26122</v>
      </c>
      <c r="BK1439" t="s">
        <v>98</v>
      </c>
      <c r="BL1439" t="s">
        <v>2179</v>
      </c>
      <c r="BM1439" t="s">
        <v>26123</v>
      </c>
      <c r="BN1439" t="s">
        <v>74</v>
      </c>
      <c r="BO1439" t="s">
        <v>74</v>
      </c>
      <c r="BP1439" t="s">
        <v>74</v>
      </c>
      <c r="BQ1439" t="s">
        <v>74</v>
      </c>
      <c r="BR1439" t="s">
        <v>101</v>
      </c>
      <c r="BS1439" t="s">
        <v>26124</v>
      </c>
      <c r="BT1439" t="str">
        <f>HYPERLINK("https%3A%2F%2Fwww.webofscience.com%2Fwos%2Fwoscc%2Ffull-record%2FWOS:001160756900020","View Full Record in Web of Science")</f>
        <v>View Full Record in Web of Science</v>
      </c>
    </row>
    <row r="1440" spans="1:72" x14ac:dyDescent="0.2">
      <c r="A1440" t="s">
        <v>103</v>
      </c>
      <c r="B1440" t="s">
        <v>26125</v>
      </c>
      <c r="C1440" t="s">
        <v>74</v>
      </c>
      <c r="D1440" t="s">
        <v>74</v>
      </c>
      <c r="E1440" t="s">
        <v>74</v>
      </c>
      <c r="F1440" t="s">
        <v>26126</v>
      </c>
      <c r="G1440" t="s">
        <v>74</v>
      </c>
      <c r="H1440" t="s">
        <v>74</v>
      </c>
      <c r="I1440" t="s">
        <v>26127</v>
      </c>
      <c r="J1440" t="s">
        <v>26128</v>
      </c>
      <c r="K1440" t="s">
        <v>74</v>
      </c>
      <c r="L1440" t="s">
        <v>74</v>
      </c>
      <c r="M1440" t="s">
        <v>79</v>
      </c>
      <c r="N1440" t="s">
        <v>108</v>
      </c>
      <c r="O1440" t="s">
        <v>74</v>
      </c>
      <c r="P1440" t="s">
        <v>74</v>
      </c>
      <c r="Q1440" t="s">
        <v>74</v>
      </c>
      <c r="R1440" t="s">
        <v>74</v>
      </c>
      <c r="S1440" t="s">
        <v>74</v>
      </c>
      <c r="T1440" t="s">
        <v>26129</v>
      </c>
      <c r="U1440" t="s">
        <v>74</v>
      </c>
      <c r="V1440" t="s">
        <v>26130</v>
      </c>
      <c r="W1440" t="s">
        <v>26131</v>
      </c>
      <c r="X1440" t="s">
        <v>26132</v>
      </c>
      <c r="Y1440" t="s">
        <v>26133</v>
      </c>
      <c r="Z1440" t="s">
        <v>26134</v>
      </c>
      <c r="AA1440" t="s">
        <v>74</v>
      </c>
      <c r="AB1440" t="s">
        <v>74</v>
      </c>
      <c r="AC1440" t="s">
        <v>26135</v>
      </c>
      <c r="AD1440" t="s">
        <v>26136</v>
      </c>
      <c r="AE1440" t="s">
        <v>26137</v>
      </c>
      <c r="AF1440" t="s">
        <v>74</v>
      </c>
      <c r="AG1440">
        <v>37</v>
      </c>
      <c r="AH1440">
        <v>0</v>
      </c>
      <c r="AI1440">
        <v>0</v>
      </c>
      <c r="AJ1440">
        <v>5</v>
      </c>
      <c r="AK1440">
        <v>7</v>
      </c>
      <c r="AL1440" t="s">
        <v>764</v>
      </c>
      <c r="AM1440" t="s">
        <v>765</v>
      </c>
      <c r="AN1440" t="s">
        <v>766</v>
      </c>
      <c r="AO1440" t="s">
        <v>26138</v>
      </c>
      <c r="AP1440" t="s">
        <v>74</v>
      </c>
      <c r="AQ1440" t="s">
        <v>74</v>
      </c>
      <c r="AR1440" t="s">
        <v>26128</v>
      </c>
      <c r="AS1440" t="s">
        <v>26139</v>
      </c>
      <c r="AT1440" t="s">
        <v>4461</v>
      </c>
      <c r="AU1440">
        <v>2023</v>
      </c>
      <c r="AV1440">
        <v>22</v>
      </c>
      <c r="AW1440" t="s">
        <v>74</v>
      </c>
      <c r="AX1440" t="s">
        <v>74</v>
      </c>
      <c r="AY1440" t="s">
        <v>74</v>
      </c>
      <c r="AZ1440" t="s">
        <v>74</v>
      </c>
      <c r="BA1440" t="s">
        <v>74</v>
      </c>
      <c r="BB1440" t="s">
        <v>74</v>
      </c>
      <c r="BC1440" t="s">
        <v>74</v>
      </c>
      <c r="BD1440">
        <v>101395</v>
      </c>
      <c r="BE1440" t="s">
        <v>26140</v>
      </c>
      <c r="BF1440" t="str">
        <f>HYPERLINK("http://dx.doi.org/10.1016/j.softx.2023.101395","http://dx.doi.org/10.1016/j.softx.2023.101395")</f>
        <v>http://dx.doi.org/10.1016/j.softx.2023.101395</v>
      </c>
      <c r="BG1440" t="s">
        <v>74</v>
      </c>
      <c r="BH1440" t="s">
        <v>2889</v>
      </c>
      <c r="BI1440">
        <v>7</v>
      </c>
      <c r="BJ1440" t="s">
        <v>1563</v>
      </c>
      <c r="BK1440" t="s">
        <v>130</v>
      </c>
      <c r="BL1440" t="s">
        <v>99</v>
      </c>
      <c r="BM1440" t="s">
        <v>26141</v>
      </c>
      <c r="BN1440" t="s">
        <v>74</v>
      </c>
      <c r="BO1440" t="s">
        <v>425</v>
      </c>
      <c r="BP1440" t="s">
        <v>74</v>
      </c>
      <c r="BQ1440" t="s">
        <v>74</v>
      </c>
      <c r="BR1440" t="s">
        <v>101</v>
      </c>
      <c r="BS1440" t="s">
        <v>26142</v>
      </c>
      <c r="BT1440" t="str">
        <f>HYPERLINK("https%3A%2F%2Fwww.webofscience.com%2Fwos%2Fwoscc%2Ffull-record%2FWOS:001006846900001","View Full Record in Web of Science")</f>
        <v>View Full Record in Web of Science</v>
      </c>
    </row>
    <row r="1441" spans="1:72" x14ac:dyDescent="0.2">
      <c r="A1441" t="s">
        <v>72</v>
      </c>
      <c r="B1441" t="s">
        <v>26143</v>
      </c>
      <c r="C1441" t="s">
        <v>74</v>
      </c>
      <c r="D1441" t="s">
        <v>6011</v>
      </c>
      <c r="E1441" t="s">
        <v>74</v>
      </c>
      <c r="F1441" t="s">
        <v>26144</v>
      </c>
      <c r="G1441" t="s">
        <v>74</v>
      </c>
      <c r="H1441" t="s">
        <v>74</v>
      </c>
      <c r="I1441" t="s">
        <v>26145</v>
      </c>
      <c r="J1441" t="s">
        <v>26146</v>
      </c>
      <c r="K1441" t="s">
        <v>312</v>
      </c>
      <c r="L1441" t="s">
        <v>74</v>
      </c>
      <c r="M1441" t="s">
        <v>79</v>
      </c>
      <c r="N1441" t="s">
        <v>80</v>
      </c>
      <c r="O1441" t="s">
        <v>6015</v>
      </c>
      <c r="P1441" t="s">
        <v>6016</v>
      </c>
      <c r="Q1441" t="s">
        <v>6017</v>
      </c>
      <c r="R1441" t="s">
        <v>74</v>
      </c>
      <c r="S1441" t="s">
        <v>74</v>
      </c>
      <c r="T1441" t="s">
        <v>26147</v>
      </c>
      <c r="U1441" t="s">
        <v>26148</v>
      </c>
      <c r="V1441" t="s">
        <v>26149</v>
      </c>
      <c r="W1441" t="s">
        <v>26150</v>
      </c>
      <c r="X1441" t="s">
        <v>26151</v>
      </c>
      <c r="Y1441" t="s">
        <v>26152</v>
      </c>
      <c r="Z1441" t="s">
        <v>26153</v>
      </c>
      <c r="AA1441" t="s">
        <v>74</v>
      </c>
      <c r="AB1441" t="s">
        <v>74</v>
      </c>
      <c r="AC1441" t="s">
        <v>26154</v>
      </c>
      <c r="AD1441" t="s">
        <v>26155</v>
      </c>
      <c r="AE1441" t="s">
        <v>26156</v>
      </c>
      <c r="AF1441" t="s">
        <v>74</v>
      </c>
      <c r="AG1441">
        <v>23</v>
      </c>
      <c r="AH1441">
        <v>0</v>
      </c>
      <c r="AI1441">
        <v>0</v>
      </c>
      <c r="AJ1441">
        <v>2</v>
      </c>
      <c r="AK1441">
        <v>2</v>
      </c>
      <c r="AL1441" t="s">
        <v>325</v>
      </c>
      <c r="AM1441" t="s">
        <v>245</v>
      </c>
      <c r="AN1441" t="s">
        <v>246</v>
      </c>
      <c r="AO1441" t="s">
        <v>326</v>
      </c>
      <c r="AP1441" t="s">
        <v>327</v>
      </c>
      <c r="AQ1441" t="s">
        <v>26157</v>
      </c>
      <c r="AR1441" t="s">
        <v>329</v>
      </c>
      <c r="AS1441" t="s">
        <v>74</v>
      </c>
      <c r="AT1441" t="s">
        <v>74</v>
      </c>
      <c r="AU1441">
        <v>2023</v>
      </c>
      <c r="AV1441">
        <v>14222</v>
      </c>
      <c r="AW1441" t="s">
        <v>74</v>
      </c>
      <c r="AX1441" t="s">
        <v>74</v>
      </c>
      <c r="AY1441" t="s">
        <v>74</v>
      </c>
      <c r="AZ1441" t="s">
        <v>74</v>
      </c>
      <c r="BA1441" t="s">
        <v>74</v>
      </c>
      <c r="BB1441">
        <v>77</v>
      </c>
      <c r="BC1441">
        <v>86</v>
      </c>
      <c r="BD1441" t="s">
        <v>74</v>
      </c>
      <c r="BE1441" t="s">
        <v>26158</v>
      </c>
      <c r="BF1441" t="str">
        <f>HYPERLINK("http://dx.doi.org/10.1007/978-3-031-43898-1_8","http://dx.doi.org/10.1007/978-3-031-43898-1_8")</f>
        <v>http://dx.doi.org/10.1007/978-3-031-43898-1_8</v>
      </c>
      <c r="BG1441" t="s">
        <v>74</v>
      </c>
      <c r="BH1441" t="s">
        <v>74</v>
      </c>
      <c r="BI1441">
        <v>10</v>
      </c>
      <c r="BJ1441" t="s">
        <v>6029</v>
      </c>
      <c r="BK1441" t="s">
        <v>98</v>
      </c>
      <c r="BL1441" t="s">
        <v>6030</v>
      </c>
      <c r="BM1441" t="s">
        <v>26159</v>
      </c>
      <c r="BN1441" t="s">
        <v>74</v>
      </c>
      <c r="BO1441" t="s">
        <v>74</v>
      </c>
      <c r="BP1441" t="s">
        <v>74</v>
      </c>
      <c r="BQ1441" t="s">
        <v>74</v>
      </c>
      <c r="BR1441" t="s">
        <v>101</v>
      </c>
      <c r="BS1441" t="s">
        <v>26160</v>
      </c>
      <c r="BT1441" t="str">
        <f>HYPERLINK("https%3A%2F%2Fwww.webofscience.com%2Fwos%2Fwoscc%2Ffull-record%2FWOS:001109627700008","View Full Record in Web of Science")</f>
        <v>View Full Record in Web of Science</v>
      </c>
    </row>
    <row r="1442" spans="1:72" x14ac:dyDescent="0.2">
      <c r="A1442" t="s">
        <v>103</v>
      </c>
      <c r="B1442" t="s">
        <v>26161</v>
      </c>
      <c r="C1442" t="s">
        <v>74</v>
      </c>
      <c r="D1442" t="s">
        <v>74</v>
      </c>
      <c r="E1442" t="s">
        <v>74</v>
      </c>
      <c r="F1442" t="s">
        <v>26162</v>
      </c>
      <c r="G1442" t="s">
        <v>74</v>
      </c>
      <c r="H1442" t="s">
        <v>74</v>
      </c>
      <c r="I1442" t="s">
        <v>26163</v>
      </c>
      <c r="J1442" t="s">
        <v>9880</v>
      </c>
      <c r="K1442" t="s">
        <v>74</v>
      </c>
      <c r="L1442" t="s">
        <v>74</v>
      </c>
      <c r="M1442" t="s">
        <v>79</v>
      </c>
      <c r="N1442" t="s">
        <v>108</v>
      </c>
      <c r="O1442" t="s">
        <v>74</v>
      </c>
      <c r="P1442" t="s">
        <v>74</v>
      </c>
      <c r="Q1442" t="s">
        <v>74</v>
      </c>
      <c r="R1442" t="s">
        <v>74</v>
      </c>
      <c r="S1442" t="s">
        <v>74</v>
      </c>
      <c r="T1442" t="s">
        <v>26164</v>
      </c>
      <c r="U1442" t="s">
        <v>74</v>
      </c>
      <c r="V1442" t="s">
        <v>26165</v>
      </c>
      <c r="W1442" t="s">
        <v>26166</v>
      </c>
      <c r="X1442" t="s">
        <v>26167</v>
      </c>
      <c r="Y1442" t="s">
        <v>26168</v>
      </c>
      <c r="Z1442" t="s">
        <v>74</v>
      </c>
      <c r="AA1442" t="s">
        <v>26169</v>
      </c>
      <c r="AB1442" t="s">
        <v>26170</v>
      </c>
      <c r="AC1442" t="s">
        <v>26171</v>
      </c>
      <c r="AD1442" t="s">
        <v>26172</v>
      </c>
      <c r="AE1442" t="s">
        <v>26173</v>
      </c>
      <c r="AF1442" t="s">
        <v>74</v>
      </c>
      <c r="AG1442">
        <v>37</v>
      </c>
      <c r="AH1442">
        <v>0</v>
      </c>
      <c r="AI1442">
        <v>0</v>
      </c>
      <c r="AJ1442">
        <v>0</v>
      </c>
      <c r="AK1442">
        <v>0</v>
      </c>
      <c r="AL1442" t="s">
        <v>3165</v>
      </c>
      <c r="AM1442" t="s">
        <v>3166</v>
      </c>
      <c r="AN1442" t="s">
        <v>3167</v>
      </c>
      <c r="AO1442" t="s">
        <v>9889</v>
      </c>
      <c r="AP1442" t="s">
        <v>9890</v>
      </c>
      <c r="AQ1442" t="s">
        <v>74</v>
      </c>
      <c r="AR1442" t="s">
        <v>9891</v>
      </c>
      <c r="AS1442" t="s">
        <v>9892</v>
      </c>
      <c r="AT1442" t="s">
        <v>467</v>
      </c>
      <c r="AU1442">
        <v>2023</v>
      </c>
      <c r="AV1442">
        <v>42</v>
      </c>
      <c r="AW1442">
        <v>7</v>
      </c>
      <c r="AX1442" t="s">
        <v>74</v>
      </c>
      <c r="AY1442" t="s">
        <v>74</v>
      </c>
      <c r="AZ1442" t="s">
        <v>74</v>
      </c>
      <c r="BA1442" t="s">
        <v>74</v>
      </c>
      <c r="BB1442" t="s">
        <v>74</v>
      </c>
      <c r="BC1442" t="s">
        <v>74</v>
      </c>
      <c r="BD1442" t="s">
        <v>74</v>
      </c>
      <c r="BE1442" t="s">
        <v>26174</v>
      </c>
      <c r="BF1442" t="str">
        <f>HYPERLINK("http://dx.doi.org/10.1111/cgf.14936","http://dx.doi.org/10.1111/cgf.14936")</f>
        <v>http://dx.doi.org/10.1111/cgf.14936</v>
      </c>
      <c r="BG1442" t="s">
        <v>74</v>
      </c>
      <c r="BH1442" t="s">
        <v>157</v>
      </c>
      <c r="BI1442">
        <v>12</v>
      </c>
      <c r="BJ1442" t="s">
        <v>1563</v>
      </c>
      <c r="BK1442" t="s">
        <v>130</v>
      </c>
      <c r="BL1442" t="s">
        <v>99</v>
      </c>
      <c r="BM1442" t="s">
        <v>26175</v>
      </c>
      <c r="BN1442" t="s">
        <v>74</v>
      </c>
      <c r="BO1442" t="s">
        <v>1237</v>
      </c>
      <c r="BP1442" t="s">
        <v>74</v>
      </c>
      <c r="BQ1442" t="s">
        <v>74</v>
      </c>
      <c r="BR1442" t="s">
        <v>101</v>
      </c>
      <c r="BS1442" t="s">
        <v>26176</v>
      </c>
      <c r="BT1442" t="str">
        <f>HYPERLINK("https%3A%2F%2Fwww.webofscience.com%2Fwos%2Fwoscc%2Ffull-record%2FWOS:001099823600001","View Full Record in Web of Science")</f>
        <v>View Full Record in Web of Science</v>
      </c>
    </row>
    <row r="1443" spans="1:72" x14ac:dyDescent="0.2">
      <c r="A1443" t="s">
        <v>72</v>
      </c>
      <c r="B1443" t="s">
        <v>26177</v>
      </c>
      <c r="C1443" t="s">
        <v>74</v>
      </c>
      <c r="D1443" t="s">
        <v>74</v>
      </c>
      <c r="E1443" t="s">
        <v>284</v>
      </c>
      <c r="F1443" t="s">
        <v>26178</v>
      </c>
      <c r="G1443" t="s">
        <v>74</v>
      </c>
      <c r="H1443" t="s">
        <v>74</v>
      </c>
      <c r="I1443" t="s">
        <v>26179</v>
      </c>
      <c r="J1443" t="s">
        <v>26180</v>
      </c>
      <c r="K1443" t="s">
        <v>26181</v>
      </c>
      <c r="L1443" t="s">
        <v>74</v>
      </c>
      <c r="M1443" t="s">
        <v>79</v>
      </c>
      <c r="N1443" t="s">
        <v>80</v>
      </c>
      <c r="O1443" t="s">
        <v>26182</v>
      </c>
      <c r="P1443" t="s">
        <v>26183</v>
      </c>
      <c r="Q1443" t="s">
        <v>26184</v>
      </c>
      <c r="R1443" t="s">
        <v>26185</v>
      </c>
      <c r="S1443" t="s">
        <v>74</v>
      </c>
      <c r="T1443" t="s">
        <v>74</v>
      </c>
      <c r="U1443" t="s">
        <v>74</v>
      </c>
      <c r="V1443" t="s">
        <v>26186</v>
      </c>
      <c r="W1443" t="s">
        <v>26187</v>
      </c>
      <c r="X1443" t="s">
        <v>26188</v>
      </c>
      <c r="Y1443" t="s">
        <v>26189</v>
      </c>
      <c r="Z1443" t="s">
        <v>74</v>
      </c>
      <c r="AA1443" t="s">
        <v>74</v>
      </c>
      <c r="AB1443" t="s">
        <v>26190</v>
      </c>
      <c r="AC1443" t="s">
        <v>26191</v>
      </c>
      <c r="AD1443" t="s">
        <v>26192</v>
      </c>
      <c r="AE1443" t="s">
        <v>26193</v>
      </c>
      <c r="AF1443" t="s">
        <v>74</v>
      </c>
      <c r="AG1443">
        <v>20</v>
      </c>
      <c r="AH1443">
        <v>0</v>
      </c>
      <c r="AI1443">
        <v>0</v>
      </c>
      <c r="AJ1443">
        <v>1</v>
      </c>
      <c r="AK1443">
        <v>1</v>
      </c>
      <c r="AL1443" t="s">
        <v>284</v>
      </c>
      <c r="AM1443" t="s">
        <v>93</v>
      </c>
      <c r="AN1443" t="s">
        <v>299</v>
      </c>
      <c r="AO1443" t="s">
        <v>26194</v>
      </c>
      <c r="AP1443" t="s">
        <v>74</v>
      </c>
      <c r="AQ1443" t="s">
        <v>26195</v>
      </c>
      <c r="AR1443" t="s">
        <v>26196</v>
      </c>
      <c r="AS1443" t="s">
        <v>74</v>
      </c>
      <c r="AT1443" t="s">
        <v>74</v>
      </c>
      <c r="AU1443">
        <v>2023</v>
      </c>
      <c r="AV1443" t="s">
        <v>74</v>
      </c>
      <c r="AW1443" t="s">
        <v>74</v>
      </c>
      <c r="AX1443" t="s">
        <v>74</v>
      </c>
      <c r="AY1443" t="s">
        <v>74</v>
      </c>
      <c r="AZ1443" t="s">
        <v>74</v>
      </c>
      <c r="BA1443" t="s">
        <v>74</v>
      </c>
      <c r="BB1443" t="s">
        <v>74</v>
      </c>
      <c r="BC1443" t="s">
        <v>74</v>
      </c>
      <c r="BD1443" t="s">
        <v>74</v>
      </c>
      <c r="BE1443" t="s">
        <v>26197</v>
      </c>
      <c r="BF1443" t="str">
        <f>HYPERLINK("http://dx.doi.org/10.1109/ISBI53787.2023.10230752","http://dx.doi.org/10.1109/ISBI53787.2023.10230752")</f>
        <v>http://dx.doi.org/10.1109/ISBI53787.2023.10230752</v>
      </c>
      <c r="BG1443" t="s">
        <v>74</v>
      </c>
      <c r="BH1443" t="s">
        <v>74</v>
      </c>
      <c r="BI1443">
        <v>5</v>
      </c>
      <c r="BJ1443" t="s">
        <v>26198</v>
      </c>
      <c r="BK1443" t="s">
        <v>98</v>
      </c>
      <c r="BL1443" t="s">
        <v>10749</v>
      </c>
      <c r="BM1443" t="s">
        <v>26199</v>
      </c>
      <c r="BN1443" t="s">
        <v>74</v>
      </c>
      <c r="BO1443" t="s">
        <v>646</v>
      </c>
      <c r="BP1443" t="s">
        <v>74</v>
      </c>
      <c r="BQ1443" t="s">
        <v>74</v>
      </c>
      <c r="BR1443" t="s">
        <v>101</v>
      </c>
      <c r="BS1443" t="s">
        <v>26200</v>
      </c>
      <c r="BT1443" t="str">
        <f>HYPERLINK("https%3A%2F%2Fwww.webofscience.com%2Fwos%2Fwoscc%2Ffull-record%2FWOS:001062050500429","View Full Record in Web of Science")</f>
        <v>View Full Record in Web of Science</v>
      </c>
    </row>
    <row r="1444" spans="1:72" x14ac:dyDescent="0.2">
      <c r="A1444" t="s">
        <v>72</v>
      </c>
      <c r="B1444" t="s">
        <v>26201</v>
      </c>
      <c r="C1444" t="s">
        <v>74</v>
      </c>
      <c r="D1444" t="s">
        <v>74</v>
      </c>
      <c r="E1444" t="s">
        <v>284</v>
      </c>
      <c r="F1444" t="s">
        <v>26202</v>
      </c>
      <c r="G1444" t="s">
        <v>74</v>
      </c>
      <c r="H1444" t="s">
        <v>74</v>
      </c>
      <c r="I1444" t="s">
        <v>26203</v>
      </c>
      <c r="J1444" t="s">
        <v>11081</v>
      </c>
      <c r="K1444" t="s">
        <v>11082</v>
      </c>
      <c r="L1444" t="s">
        <v>74</v>
      </c>
      <c r="M1444" t="s">
        <v>79</v>
      </c>
      <c r="N1444" t="s">
        <v>80</v>
      </c>
      <c r="O1444" t="s">
        <v>11083</v>
      </c>
      <c r="P1444" t="s">
        <v>11084</v>
      </c>
      <c r="Q1444" t="s">
        <v>11085</v>
      </c>
      <c r="R1444" t="s">
        <v>11086</v>
      </c>
      <c r="S1444" t="s">
        <v>74</v>
      </c>
      <c r="T1444" t="s">
        <v>74</v>
      </c>
      <c r="U1444" t="s">
        <v>74</v>
      </c>
      <c r="V1444" t="s">
        <v>26204</v>
      </c>
      <c r="W1444" t="s">
        <v>26205</v>
      </c>
      <c r="X1444" t="s">
        <v>26206</v>
      </c>
      <c r="Y1444" t="s">
        <v>26207</v>
      </c>
      <c r="Z1444" t="s">
        <v>74</v>
      </c>
      <c r="AA1444" t="s">
        <v>74</v>
      </c>
      <c r="AB1444" t="s">
        <v>74</v>
      </c>
      <c r="AC1444" t="s">
        <v>26208</v>
      </c>
      <c r="AD1444" t="s">
        <v>26209</v>
      </c>
      <c r="AE1444" t="s">
        <v>26210</v>
      </c>
      <c r="AF1444" t="s">
        <v>74</v>
      </c>
      <c r="AG1444">
        <v>60</v>
      </c>
      <c r="AH1444">
        <v>0</v>
      </c>
      <c r="AI1444">
        <v>0</v>
      </c>
      <c r="AJ1444">
        <v>0</v>
      </c>
      <c r="AK1444">
        <v>0</v>
      </c>
      <c r="AL1444" t="s">
        <v>638</v>
      </c>
      <c r="AM1444" t="s">
        <v>639</v>
      </c>
      <c r="AN1444" t="s">
        <v>640</v>
      </c>
      <c r="AO1444" t="s">
        <v>11091</v>
      </c>
      <c r="AP1444" t="s">
        <v>74</v>
      </c>
      <c r="AQ1444" t="s">
        <v>11092</v>
      </c>
      <c r="AR1444" t="s">
        <v>11093</v>
      </c>
      <c r="AS1444" t="s">
        <v>74</v>
      </c>
      <c r="AT1444" t="s">
        <v>74</v>
      </c>
      <c r="AU1444">
        <v>2023</v>
      </c>
      <c r="AV1444" t="s">
        <v>74</v>
      </c>
      <c r="AW1444" t="s">
        <v>74</v>
      </c>
      <c r="AX1444" t="s">
        <v>74</v>
      </c>
      <c r="AY1444" t="s">
        <v>74</v>
      </c>
      <c r="AZ1444" t="s">
        <v>74</v>
      </c>
      <c r="BA1444" t="s">
        <v>74</v>
      </c>
      <c r="BB1444">
        <v>4223</v>
      </c>
      <c r="BC1444">
        <v>4233</v>
      </c>
      <c r="BD1444" t="s">
        <v>74</v>
      </c>
      <c r="BE1444" t="s">
        <v>26211</v>
      </c>
      <c r="BF1444" t="str">
        <f>HYPERLINK("http://dx.doi.org/10.1109/ICCVW60793.2023.00456","http://dx.doi.org/10.1109/ICCVW60793.2023.00456")</f>
        <v>http://dx.doi.org/10.1109/ICCVW60793.2023.00456</v>
      </c>
      <c r="BG1444" t="s">
        <v>74</v>
      </c>
      <c r="BH1444" t="s">
        <v>74</v>
      </c>
      <c r="BI1444">
        <v>11</v>
      </c>
      <c r="BJ1444" t="s">
        <v>11095</v>
      </c>
      <c r="BK1444" t="s">
        <v>98</v>
      </c>
      <c r="BL1444" t="s">
        <v>2179</v>
      </c>
      <c r="BM1444" t="s">
        <v>11096</v>
      </c>
      <c r="BN1444" t="s">
        <v>74</v>
      </c>
      <c r="BO1444" t="s">
        <v>646</v>
      </c>
      <c r="BP1444" t="s">
        <v>74</v>
      </c>
      <c r="BQ1444" t="s">
        <v>74</v>
      </c>
      <c r="BR1444" t="s">
        <v>101</v>
      </c>
      <c r="BS1444" t="s">
        <v>26212</v>
      </c>
      <c r="BT1444" t="str">
        <f>HYPERLINK("https%3A%2F%2Fwww.webofscience.com%2Fwos%2Fwoscc%2Ffull-record%2FWOS:001156680304035","View Full Record in Web of Science")</f>
        <v>View Full Record in Web of Science</v>
      </c>
    </row>
    <row r="1445" spans="1:72" x14ac:dyDescent="0.2">
      <c r="A1445" t="s">
        <v>103</v>
      </c>
      <c r="B1445" t="s">
        <v>26213</v>
      </c>
      <c r="C1445" t="s">
        <v>74</v>
      </c>
      <c r="D1445" t="s">
        <v>74</v>
      </c>
      <c r="E1445" t="s">
        <v>74</v>
      </c>
      <c r="F1445" t="s">
        <v>26214</v>
      </c>
      <c r="G1445" t="s">
        <v>74</v>
      </c>
      <c r="H1445" t="s">
        <v>74</v>
      </c>
      <c r="I1445" t="s">
        <v>26215</v>
      </c>
      <c r="J1445" t="s">
        <v>26216</v>
      </c>
      <c r="K1445" t="s">
        <v>74</v>
      </c>
      <c r="L1445" t="s">
        <v>74</v>
      </c>
      <c r="M1445" t="s">
        <v>79</v>
      </c>
      <c r="N1445" t="s">
        <v>108</v>
      </c>
      <c r="O1445" t="s">
        <v>74</v>
      </c>
      <c r="P1445" t="s">
        <v>74</v>
      </c>
      <c r="Q1445" t="s">
        <v>74</v>
      </c>
      <c r="R1445" t="s">
        <v>74</v>
      </c>
      <c r="S1445" t="s">
        <v>74</v>
      </c>
      <c r="T1445" t="s">
        <v>74</v>
      </c>
      <c r="U1445" t="s">
        <v>26217</v>
      </c>
      <c r="V1445" t="s">
        <v>26218</v>
      </c>
      <c r="W1445" t="s">
        <v>26219</v>
      </c>
      <c r="X1445" t="s">
        <v>26220</v>
      </c>
      <c r="Y1445" t="s">
        <v>16514</v>
      </c>
      <c r="Z1445" t="s">
        <v>4372</v>
      </c>
      <c r="AA1445" t="s">
        <v>26221</v>
      </c>
      <c r="AB1445" t="s">
        <v>26222</v>
      </c>
      <c r="AC1445" t="s">
        <v>26223</v>
      </c>
      <c r="AD1445" t="s">
        <v>26224</v>
      </c>
      <c r="AE1445" t="s">
        <v>26225</v>
      </c>
      <c r="AF1445" t="s">
        <v>74</v>
      </c>
      <c r="AG1445">
        <v>43</v>
      </c>
      <c r="AH1445">
        <v>9</v>
      </c>
      <c r="AI1445">
        <v>9</v>
      </c>
      <c r="AJ1445">
        <v>0</v>
      </c>
      <c r="AK1445">
        <v>0</v>
      </c>
      <c r="AL1445" t="s">
        <v>8486</v>
      </c>
      <c r="AM1445" t="s">
        <v>1153</v>
      </c>
      <c r="AN1445" t="s">
        <v>8487</v>
      </c>
      <c r="AO1445" t="s">
        <v>26226</v>
      </c>
      <c r="AP1445" t="s">
        <v>26227</v>
      </c>
      <c r="AQ1445" t="s">
        <v>74</v>
      </c>
      <c r="AR1445" t="s">
        <v>26228</v>
      </c>
      <c r="AS1445" t="s">
        <v>26229</v>
      </c>
      <c r="AT1445" t="s">
        <v>26230</v>
      </c>
      <c r="AU1445">
        <v>2023</v>
      </c>
      <c r="AV1445">
        <v>6</v>
      </c>
      <c r="AW1445">
        <v>6</v>
      </c>
      <c r="AX1445" t="s">
        <v>74</v>
      </c>
      <c r="AY1445" t="s">
        <v>74</v>
      </c>
      <c r="AZ1445" t="s">
        <v>74</v>
      </c>
      <c r="BA1445" t="s">
        <v>74</v>
      </c>
      <c r="BB1445">
        <v>1975</v>
      </c>
      <c r="BC1445">
        <v>1991</v>
      </c>
      <c r="BD1445" t="s">
        <v>74</v>
      </c>
      <c r="BE1445" t="s">
        <v>26231</v>
      </c>
      <c r="BF1445" t="str">
        <f>HYPERLINK("http://dx.doi.org/10.1016/j.matt.2023.03.031","http://dx.doi.org/10.1016/j.matt.2023.03.031")</f>
        <v>http://dx.doi.org/10.1016/j.matt.2023.03.031</v>
      </c>
      <c r="BG1445" t="s">
        <v>74</v>
      </c>
      <c r="BH1445" t="s">
        <v>1910</v>
      </c>
      <c r="BI1445">
        <v>18</v>
      </c>
      <c r="BJ1445" t="s">
        <v>3846</v>
      </c>
      <c r="BK1445" t="s">
        <v>130</v>
      </c>
      <c r="BL1445" t="s">
        <v>3847</v>
      </c>
      <c r="BM1445" t="s">
        <v>26232</v>
      </c>
      <c r="BN1445" t="s">
        <v>74</v>
      </c>
      <c r="BO1445" t="s">
        <v>646</v>
      </c>
      <c r="BP1445" t="s">
        <v>74</v>
      </c>
      <c r="BQ1445" t="s">
        <v>74</v>
      </c>
      <c r="BR1445" t="s">
        <v>101</v>
      </c>
      <c r="BS1445" t="s">
        <v>26233</v>
      </c>
      <c r="BT1445" t="str">
        <f>HYPERLINK("https%3A%2F%2Fwww.webofscience.com%2Fwos%2Fwoscc%2Ffull-record%2FWOS:001060897200001","View Full Record in Web of Science")</f>
        <v>View Full Record in Web of Science</v>
      </c>
    </row>
    <row r="1446" spans="1:72" x14ac:dyDescent="0.2">
      <c r="A1446" t="s">
        <v>103</v>
      </c>
      <c r="B1446" t="s">
        <v>26234</v>
      </c>
      <c r="C1446" t="s">
        <v>74</v>
      </c>
      <c r="D1446" t="s">
        <v>74</v>
      </c>
      <c r="E1446" t="s">
        <v>74</v>
      </c>
      <c r="F1446" t="s">
        <v>26235</v>
      </c>
      <c r="G1446" t="s">
        <v>74</v>
      </c>
      <c r="H1446" t="s">
        <v>74</v>
      </c>
      <c r="I1446" t="s">
        <v>26236</v>
      </c>
      <c r="J1446" t="s">
        <v>26237</v>
      </c>
      <c r="K1446" t="s">
        <v>74</v>
      </c>
      <c r="L1446" t="s">
        <v>74</v>
      </c>
      <c r="M1446" t="s">
        <v>79</v>
      </c>
      <c r="N1446" t="s">
        <v>108</v>
      </c>
      <c r="O1446" t="s">
        <v>74</v>
      </c>
      <c r="P1446" t="s">
        <v>74</v>
      </c>
      <c r="Q1446" t="s">
        <v>74</v>
      </c>
      <c r="R1446" t="s">
        <v>74</v>
      </c>
      <c r="S1446" t="s">
        <v>74</v>
      </c>
      <c r="T1446" t="s">
        <v>26238</v>
      </c>
      <c r="U1446" t="s">
        <v>26239</v>
      </c>
      <c r="V1446" t="s">
        <v>26240</v>
      </c>
      <c r="W1446" t="s">
        <v>26241</v>
      </c>
      <c r="X1446" t="s">
        <v>26242</v>
      </c>
      <c r="Y1446" t="s">
        <v>26243</v>
      </c>
      <c r="Z1446" t="s">
        <v>26244</v>
      </c>
      <c r="AA1446" t="s">
        <v>26245</v>
      </c>
      <c r="AB1446" t="s">
        <v>26246</v>
      </c>
      <c r="AC1446" t="s">
        <v>26247</v>
      </c>
      <c r="AD1446" t="s">
        <v>26248</v>
      </c>
      <c r="AE1446" t="s">
        <v>26249</v>
      </c>
      <c r="AF1446" t="s">
        <v>74</v>
      </c>
      <c r="AG1446">
        <v>93</v>
      </c>
      <c r="AH1446">
        <v>1</v>
      </c>
      <c r="AI1446">
        <v>1</v>
      </c>
      <c r="AJ1446">
        <v>8</v>
      </c>
      <c r="AK1446">
        <v>13</v>
      </c>
      <c r="AL1446" t="s">
        <v>764</v>
      </c>
      <c r="AM1446" t="s">
        <v>765</v>
      </c>
      <c r="AN1446" t="s">
        <v>766</v>
      </c>
      <c r="AO1446" t="s">
        <v>26250</v>
      </c>
      <c r="AP1446" t="s">
        <v>26251</v>
      </c>
      <c r="AQ1446" t="s">
        <v>74</v>
      </c>
      <c r="AR1446" t="s">
        <v>26252</v>
      </c>
      <c r="AS1446" t="s">
        <v>26253</v>
      </c>
      <c r="AT1446" t="s">
        <v>791</v>
      </c>
      <c r="AU1446">
        <v>2023</v>
      </c>
      <c r="AV1446">
        <v>202</v>
      </c>
      <c r="AW1446" t="s">
        <v>74</v>
      </c>
      <c r="AX1446" t="s">
        <v>74</v>
      </c>
      <c r="AY1446" t="s">
        <v>74</v>
      </c>
      <c r="AZ1446" t="s">
        <v>74</v>
      </c>
      <c r="BA1446" t="s">
        <v>74</v>
      </c>
      <c r="BB1446">
        <v>439</v>
      </c>
      <c r="BC1446">
        <v>462</v>
      </c>
      <c r="BD1446" t="s">
        <v>74</v>
      </c>
      <c r="BE1446" t="s">
        <v>26254</v>
      </c>
      <c r="BF1446" t="str">
        <f>HYPERLINK("http://dx.doi.org/10.1016/j.isprsjprs.2023.06.016","http://dx.doi.org/10.1016/j.isprsjprs.2023.06.016")</f>
        <v>http://dx.doi.org/10.1016/j.isprsjprs.2023.06.016</v>
      </c>
      <c r="BG1446" t="s">
        <v>74</v>
      </c>
      <c r="BH1446" t="s">
        <v>229</v>
      </c>
      <c r="BI1446">
        <v>24</v>
      </c>
      <c r="BJ1446" t="s">
        <v>26255</v>
      </c>
      <c r="BK1446" t="s">
        <v>130</v>
      </c>
      <c r="BL1446" t="s">
        <v>26256</v>
      </c>
      <c r="BM1446" t="s">
        <v>26257</v>
      </c>
      <c r="BN1446" t="s">
        <v>74</v>
      </c>
      <c r="BO1446" t="s">
        <v>646</v>
      </c>
      <c r="BP1446" t="s">
        <v>74</v>
      </c>
      <c r="BQ1446" t="s">
        <v>74</v>
      </c>
      <c r="BR1446" t="s">
        <v>101</v>
      </c>
      <c r="BS1446" t="s">
        <v>26258</v>
      </c>
      <c r="BT1446" t="str">
        <f>HYPERLINK("https%3A%2F%2Fwww.webofscience.com%2Fwos%2Fwoscc%2Ffull-record%2FWOS:001049224800001","View Full Record in Web of Science")</f>
        <v>View Full Record in Web of Science</v>
      </c>
    </row>
    <row r="1447" spans="1:72" x14ac:dyDescent="0.2">
      <c r="A1447" t="s">
        <v>72</v>
      </c>
      <c r="B1447" t="s">
        <v>26259</v>
      </c>
      <c r="C1447" t="s">
        <v>74</v>
      </c>
      <c r="D1447" t="s">
        <v>74</v>
      </c>
      <c r="E1447" t="s">
        <v>284</v>
      </c>
      <c r="F1447" t="s">
        <v>26260</v>
      </c>
      <c r="G1447" t="s">
        <v>74</v>
      </c>
      <c r="H1447" t="s">
        <v>74</v>
      </c>
      <c r="I1447" t="s">
        <v>26261</v>
      </c>
      <c r="J1447" t="s">
        <v>10100</v>
      </c>
      <c r="K1447" t="s">
        <v>8246</v>
      </c>
      <c r="L1447" t="s">
        <v>74</v>
      </c>
      <c r="M1447" t="s">
        <v>79</v>
      </c>
      <c r="N1447" t="s">
        <v>80</v>
      </c>
      <c r="O1447" t="s">
        <v>8247</v>
      </c>
      <c r="P1447" t="s">
        <v>8248</v>
      </c>
      <c r="Q1447" t="s">
        <v>6017</v>
      </c>
      <c r="R1447" t="s">
        <v>8249</v>
      </c>
      <c r="S1447" t="s">
        <v>74</v>
      </c>
      <c r="T1447" t="s">
        <v>74</v>
      </c>
      <c r="U1447" t="s">
        <v>74</v>
      </c>
      <c r="V1447" t="s">
        <v>26262</v>
      </c>
      <c r="W1447" t="s">
        <v>26263</v>
      </c>
      <c r="X1447" t="s">
        <v>26264</v>
      </c>
      <c r="Y1447" t="s">
        <v>26265</v>
      </c>
      <c r="Z1447" t="s">
        <v>74</v>
      </c>
      <c r="AA1447" t="s">
        <v>26266</v>
      </c>
      <c r="AB1447" t="s">
        <v>74</v>
      </c>
      <c r="AC1447" t="s">
        <v>74</v>
      </c>
      <c r="AD1447" t="s">
        <v>74</v>
      </c>
      <c r="AE1447" t="s">
        <v>74</v>
      </c>
      <c r="AF1447" t="s">
        <v>74</v>
      </c>
      <c r="AG1447">
        <v>30</v>
      </c>
      <c r="AH1447">
        <v>1</v>
      </c>
      <c r="AI1447">
        <v>1</v>
      </c>
      <c r="AJ1447">
        <v>3</v>
      </c>
      <c r="AK1447">
        <v>3</v>
      </c>
      <c r="AL1447" t="s">
        <v>638</v>
      </c>
      <c r="AM1447" t="s">
        <v>639</v>
      </c>
      <c r="AN1447" t="s">
        <v>640</v>
      </c>
      <c r="AO1447" t="s">
        <v>8260</v>
      </c>
      <c r="AP1447" t="s">
        <v>74</v>
      </c>
      <c r="AQ1447" t="s">
        <v>8261</v>
      </c>
      <c r="AR1447" t="s">
        <v>8262</v>
      </c>
      <c r="AS1447" t="s">
        <v>74</v>
      </c>
      <c r="AT1447" t="s">
        <v>74</v>
      </c>
      <c r="AU1447">
        <v>2023</v>
      </c>
      <c r="AV1447" t="s">
        <v>74</v>
      </c>
      <c r="AW1447" t="s">
        <v>74</v>
      </c>
      <c r="AX1447" t="s">
        <v>74</v>
      </c>
      <c r="AY1447" t="s">
        <v>74</v>
      </c>
      <c r="AZ1447" t="s">
        <v>74</v>
      </c>
      <c r="BA1447" t="s">
        <v>74</v>
      </c>
      <c r="BB1447">
        <v>5968</v>
      </c>
      <c r="BC1447">
        <v>5976</v>
      </c>
      <c r="BD1447" t="s">
        <v>74</v>
      </c>
      <c r="BE1447" t="s">
        <v>26267</v>
      </c>
      <c r="BF1447" t="str">
        <f>HYPERLINK("http://dx.doi.org/10.1109/CVPR52729.2023.00578","http://dx.doi.org/10.1109/CVPR52729.2023.00578")</f>
        <v>http://dx.doi.org/10.1109/CVPR52729.2023.00578</v>
      </c>
      <c r="BG1447" t="s">
        <v>74</v>
      </c>
      <c r="BH1447" t="s">
        <v>74</v>
      </c>
      <c r="BI1447">
        <v>9</v>
      </c>
      <c r="BJ1447" t="s">
        <v>10109</v>
      </c>
      <c r="BK1447" t="s">
        <v>98</v>
      </c>
      <c r="BL1447" t="s">
        <v>99</v>
      </c>
      <c r="BM1447" t="s">
        <v>10110</v>
      </c>
      <c r="BN1447" t="s">
        <v>74</v>
      </c>
      <c r="BO1447" t="s">
        <v>646</v>
      </c>
      <c r="BP1447" t="s">
        <v>74</v>
      </c>
      <c r="BQ1447" t="s">
        <v>74</v>
      </c>
      <c r="BR1447" t="s">
        <v>101</v>
      </c>
      <c r="BS1447" t="s">
        <v>26268</v>
      </c>
      <c r="BT1447" t="str">
        <f>HYPERLINK("https%3A%2F%2Fwww.webofscience.com%2Fwos%2Fwoscc%2Ffull-record%2FWOS:001058542606031","View Full Record in Web of Science")</f>
        <v>View Full Record in Web of Science</v>
      </c>
    </row>
    <row r="1448" spans="1:72" x14ac:dyDescent="0.2">
      <c r="A1448" t="s">
        <v>72</v>
      </c>
      <c r="B1448" t="s">
        <v>26269</v>
      </c>
      <c r="C1448" t="s">
        <v>74</v>
      </c>
      <c r="D1448" t="s">
        <v>22359</v>
      </c>
      <c r="E1448" t="s">
        <v>74</v>
      </c>
      <c r="F1448" t="s">
        <v>26270</v>
      </c>
      <c r="G1448" t="s">
        <v>74</v>
      </c>
      <c r="H1448" t="s">
        <v>74</v>
      </c>
      <c r="I1448" t="s">
        <v>26271</v>
      </c>
      <c r="J1448" t="s">
        <v>26272</v>
      </c>
      <c r="K1448" t="s">
        <v>312</v>
      </c>
      <c r="L1448" t="s">
        <v>74</v>
      </c>
      <c r="M1448" t="s">
        <v>79</v>
      </c>
      <c r="N1448" t="s">
        <v>80</v>
      </c>
      <c r="O1448" t="s">
        <v>22363</v>
      </c>
      <c r="P1448" t="s">
        <v>15561</v>
      </c>
      <c r="Q1448" t="s">
        <v>21966</v>
      </c>
      <c r="R1448" t="s">
        <v>74</v>
      </c>
      <c r="S1448" t="s">
        <v>74</v>
      </c>
      <c r="T1448" t="s">
        <v>26273</v>
      </c>
      <c r="U1448" t="s">
        <v>74</v>
      </c>
      <c r="V1448" t="s">
        <v>26274</v>
      </c>
      <c r="W1448" t="s">
        <v>26275</v>
      </c>
      <c r="X1448" t="s">
        <v>1845</v>
      </c>
      <c r="Y1448" t="s">
        <v>26276</v>
      </c>
      <c r="Z1448" t="s">
        <v>26277</v>
      </c>
      <c r="AA1448" t="s">
        <v>26278</v>
      </c>
      <c r="AB1448" t="s">
        <v>74</v>
      </c>
      <c r="AC1448" t="s">
        <v>26279</v>
      </c>
      <c r="AD1448" t="s">
        <v>26280</v>
      </c>
      <c r="AE1448" t="s">
        <v>26281</v>
      </c>
      <c r="AF1448" t="s">
        <v>74</v>
      </c>
      <c r="AG1448">
        <v>25</v>
      </c>
      <c r="AH1448">
        <v>0</v>
      </c>
      <c r="AI1448">
        <v>0</v>
      </c>
      <c r="AJ1448">
        <v>2</v>
      </c>
      <c r="AK1448">
        <v>2</v>
      </c>
      <c r="AL1448" t="s">
        <v>5011</v>
      </c>
      <c r="AM1448" t="s">
        <v>5012</v>
      </c>
      <c r="AN1448" t="s">
        <v>5013</v>
      </c>
      <c r="AO1448" t="s">
        <v>326</v>
      </c>
      <c r="AP1448" t="s">
        <v>327</v>
      </c>
      <c r="AQ1448" t="s">
        <v>26282</v>
      </c>
      <c r="AR1448" t="s">
        <v>329</v>
      </c>
      <c r="AS1448" t="s">
        <v>74</v>
      </c>
      <c r="AT1448" t="s">
        <v>74</v>
      </c>
      <c r="AU1448">
        <v>2023</v>
      </c>
      <c r="AV1448">
        <v>14457</v>
      </c>
      <c r="AW1448" t="s">
        <v>74</v>
      </c>
      <c r="AX1448" t="s">
        <v>74</v>
      </c>
      <c r="AY1448" t="s">
        <v>74</v>
      </c>
      <c r="AZ1448" t="s">
        <v>74</v>
      </c>
      <c r="BA1448" t="s">
        <v>74</v>
      </c>
      <c r="BB1448">
        <v>41</v>
      </c>
      <c r="BC1448">
        <v>55</v>
      </c>
      <c r="BD1448" t="s">
        <v>74</v>
      </c>
      <c r="BE1448" t="s">
        <v>26283</v>
      </c>
      <c r="BF1448" t="str">
        <f>HYPERLINK("http://dx.doi.org/10.1007/978-981-99-8085-7_5","http://dx.doi.org/10.1007/978-981-99-8085-7_5")</f>
        <v>http://dx.doi.org/10.1007/978-981-99-8085-7_5</v>
      </c>
      <c r="BG1448" t="s">
        <v>74</v>
      </c>
      <c r="BH1448" t="s">
        <v>74</v>
      </c>
      <c r="BI1448">
        <v>15</v>
      </c>
      <c r="BJ1448" t="s">
        <v>22369</v>
      </c>
      <c r="BK1448" t="s">
        <v>180</v>
      </c>
      <c r="BL1448" t="s">
        <v>22370</v>
      </c>
      <c r="BM1448" t="s">
        <v>26284</v>
      </c>
      <c r="BN1448" t="s">
        <v>74</v>
      </c>
      <c r="BO1448" t="s">
        <v>74</v>
      </c>
      <c r="BP1448" t="s">
        <v>74</v>
      </c>
      <c r="BQ1448" t="s">
        <v>74</v>
      </c>
      <c r="BR1448" t="s">
        <v>101</v>
      </c>
      <c r="BS1448" t="s">
        <v>26285</v>
      </c>
      <c r="BT1448" t="str">
        <f>HYPERLINK("https%3A%2F%2Fwww.webofscience.com%2Fwos%2Fwoscc%2Ffull-record%2FWOS:001160644600005","View Full Record in Web of Science")</f>
        <v>View Full Record in Web of Science</v>
      </c>
    </row>
    <row r="1449" spans="1:72" x14ac:dyDescent="0.2">
      <c r="A1449" t="s">
        <v>72</v>
      </c>
      <c r="B1449" t="s">
        <v>26286</v>
      </c>
      <c r="C1449" t="s">
        <v>74</v>
      </c>
      <c r="D1449" t="s">
        <v>2161</v>
      </c>
      <c r="E1449" t="s">
        <v>74</v>
      </c>
      <c r="F1449" t="s">
        <v>26287</v>
      </c>
      <c r="G1449" t="s">
        <v>74</v>
      </c>
      <c r="H1449" t="s">
        <v>74</v>
      </c>
      <c r="I1449" t="s">
        <v>26288</v>
      </c>
      <c r="J1449" t="s">
        <v>11766</v>
      </c>
      <c r="K1449" t="s">
        <v>74</v>
      </c>
      <c r="L1449" t="s">
        <v>74</v>
      </c>
      <c r="M1449" t="s">
        <v>79</v>
      </c>
      <c r="N1449" t="s">
        <v>80</v>
      </c>
      <c r="O1449" t="s">
        <v>11767</v>
      </c>
      <c r="P1449" t="s">
        <v>914</v>
      </c>
      <c r="Q1449" t="s">
        <v>4781</v>
      </c>
      <c r="R1449" t="s">
        <v>3661</v>
      </c>
      <c r="S1449" t="s">
        <v>74</v>
      </c>
      <c r="T1449" t="s">
        <v>26289</v>
      </c>
      <c r="U1449" t="s">
        <v>74</v>
      </c>
      <c r="V1449" t="s">
        <v>26290</v>
      </c>
      <c r="W1449" t="s">
        <v>26291</v>
      </c>
      <c r="X1449" t="s">
        <v>26292</v>
      </c>
      <c r="Y1449" t="s">
        <v>26293</v>
      </c>
      <c r="Z1449" t="s">
        <v>26294</v>
      </c>
      <c r="AA1449" t="s">
        <v>11921</v>
      </c>
      <c r="AB1449" t="s">
        <v>26295</v>
      </c>
      <c r="AC1449" t="s">
        <v>74</v>
      </c>
      <c r="AD1449" t="s">
        <v>74</v>
      </c>
      <c r="AE1449" t="s">
        <v>74</v>
      </c>
      <c r="AF1449" t="s">
        <v>74</v>
      </c>
      <c r="AG1449">
        <v>64</v>
      </c>
      <c r="AH1449">
        <v>1</v>
      </c>
      <c r="AI1449">
        <v>1</v>
      </c>
      <c r="AJ1449">
        <v>1</v>
      </c>
      <c r="AK1449">
        <v>1</v>
      </c>
      <c r="AL1449" t="s">
        <v>92</v>
      </c>
      <c r="AM1449" t="s">
        <v>93</v>
      </c>
      <c r="AN1449" t="s">
        <v>94</v>
      </c>
      <c r="AO1449" t="s">
        <v>74</v>
      </c>
      <c r="AP1449" t="s">
        <v>74</v>
      </c>
      <c r="AQ1449" t="s">
        <v>11779</v>
      </c>
      <c r="AR1449" t="s">
        <v>74</v>
      </c>
      <c r="AS1449" t="s">
        <v>74</v>
      </c>
      <c r="AT1449" t="s">
        <v>74</v>
      </c>
      <c r="AU1449">
        <v>2023</v>
      </c>
      <c r="AV1449" t="s">
        <v>74</v>
      </c>
      <c r="AW1449" t="s">
        <v>74</v>
      </c>
      <c r="AX1449" t="s">
        <v>74</v>
      </c>
      <c r="AY1449" t="s">
        <v>74</v>
      </c>
      <c r="AZ1449" t="s">
        <v>74</v>
      </c>
      <c r="BA1449" t="s">
        <v>74</v>
      </c>
      <c r="BB1449" t="s">
        <v>74</v>
      </c>
      <c r="BC1449" t="s">
        <v>74</v>
      </c>
      <c r="BD1449">
        <v>85</v>
      </c>
      <c r="BE1449" t="s">
        <v>26296</v>
      </c>
      <c r="BF1449" t="str">
        <f>HYPERLINK("http://dx.doi.org/10.1145/3588432.3591555","http://dx.doi.org/10.1145/3588432.3591555")</f>
        <v>http://dx.doi.org/10.1145/3588432.3591555</v>
      </c>
      <c r="BG1449" t="s">
        <v>74</v>
      </c>
      <c r="BH1449" t="s">
        <v>74</v>
      </c>
      <c r="BI1449">
        <v>12</v>
      </c>
      <c r="BJ1449" t="s">
        <v>331</v>
      </c>
      <c r="BK1449" t="s">
        <v>98</v>
      </c>
      <c r="BL1449" t="s">
        <v>99</v>
      </c>
      <c r="BM1449" t="s">
        <v>11781</v>
      </c>
      <c r="BN1449" t="s">
        <v>74</v>
      </c>
      <c r="BO1449" t="s">
        <v>646</v>
      </c>
      <c r="BP1449" t="s">
        <v>74</v>
      </c>
      <c r="BQ1449" t="s">
        <v>74</v>
      </c>
      <c r="BR1449" t="s">
        <v>101</v>
      </c>
      <c r="BS1449" t="s">
        <v>26297</v>
      </c>
      <c r="BT1449" t="str">
        <f>HYPERLINK("https%3A%2F%2Fwww.webofscience.com%2Fwos%2Fwoscc%2Ffull-record%2FWOS:001117690500085","View Full Record in Web of Science")</f>
        <v>View Full Record in Web of Science</v>
      </c>
    </row>
    <row r="1450" spans="1:72" x14ac:dyDescent="0.2">
      <c r="A1450" t="s">
        <v>103</v>
      </c>
      <c r="B1450" t="s">
        <v>26298</v>
      </c>
      <c r="C1450" t="s">
        <v>74</v>
      </c>
      <c r="D1450" t="s">
        <v>74</v>
      </c>
      <c r="E1450" t="s">
        <v>74</v>
      </c>
      <c r="F1450" t="s">
        <v>26299</v>
      </c>
      <c r="G1450" t="s">
        <v>74</v>
      </c>
      <c r="H1450" t="s">
        <v>74</v>
      </c>
      <c r="I1450" t="s">
        <v>26300</v>
      </c>
      <c r="J1450" t="s">
        <v>26301</v>
      </c>
      <c r="K1450" t="s">
        <v>74</v>
      </c>
      <c r="L1450" t="s">
        <v>74</v>
      </c>
      <c r="M1450" t="s">
        <v>79</v>
      </c>
      <c r="N1450" t="s">
        <v>108</v>
      </c>
      <c r="O1450" t="s">
        <v>74</v>
      </c>
      <c r="P1450" t="s">
        <v>74</v>
      </c>
      <c r="Q1450" t="s">
        <v>74</v>
      </c>
      <c r="R1450" t="s">
        <v>74</v>
      </c>
      <c r="S1450" t="s">
        <v>74</v>
      </c>
      <c r="T1450" t="s">
        <v>26302</v>
      </c>
      <c r="U1450" t="s">
        <v>5999</v>
      </c>
      <c r="V1450" t="s">
        <v>26303</v>
      </c>
      <c r="W1450" t="s">
        <v>26304</v>
      </c>
      <c r="X1450" t="s">
        <v>26305</v>
      </c>
      <c r="Y1450" t="s">
        <v>26306</v>
      </c>
      <c r="Z1450" t="s">
        <v>26307</v>
      </c>
      <c r="AA1450" t="s">
        <v>74</v>
      </c>
      <c r="AB1450" t="s">
        <v>26308</v>
      </c>
      <c r="AC1450" t="s">
        <v>74</v>
      </c>
      <c r="AD1450" t="s">
        <v>74</v>
      </c>
      <c r="AE1450" t="s">
        <v>74</v>
      </c>
      <c r="AF1450" t="s">
        <v>74</v>
      </c>
      <c r="AG1450">
        <v>23</v>
      </c>
      <c r="AH1450">
        <v>1</v>
      </c>
      <c r="AI1450">
        <v>1</v>
      </c>
      <c r="AJ1450">
        <v>5</v>
      </c>
      <c r="AK1450">
        <v>5</v>
      </c>
      <c r="AL1450" t="s">
        <v>2492</v>
      </c>
      <c r="AM1450" t="s">
        <v>461</v>
      </c>
      <c r="AN1450" t="s">
        <v>2493</v>
      </c>
      <c r="AO1450" t="s">
        <v>26309</v>
      </c>
      <c r="AP1450" t="s">
        <v>74</v>
      </c>
      <c r="AQ1450" t="s">
        <v>74</v>
      </c>
      <c r="AR1450" t="s">
        <v>26310</v>
      </c>
      <c r="AS1450" t="s">
        <v>26311</v>
      </c>
      <c r="AT1450" t="s">
        <v>2497</v>
      </c>
      <c r="AU1450">
        <v>2023</v>
      </c>
      <c r="AV1450">
        <v>13</v>
      </c>
      <c r="AW1450" t="s">
        <v>74</v>
      </c>
      <c r="AX1450" t="s">
        <v>74</v>
      </c>
      <c r="AY1450" t="s">
        <v>74</v>
      </c>
      <c r="AZ1450" t="s">
        <v>74</v>
      </c>
      <c r="BA1450" t="s">
        <v>74</v>
      </c>
      <c r="BB1450" t="s">
        <v>74</v>
      </c>
      <c r="BC1450" t="s">
        <v>74</v>
      </c>
      <c r="BD1450">
        <v>1256459</v>
      </c>
      <c r="BE1450" t="s">
        <v>26312</v>
      </c>
      <c r="BF1450" t="str">
        <f>HYPERLINK("http://dx.doi.org/10.3389/fonc.2023.1256459","http://dx.doi.org/10.3389/fonc.2023.1256459")</f>
        <v>http://dx.doi.org/10.3389/fonc.2023.1256459</v>
      </c>
      <c r="BG1450" t="s">
        <v>74</v>
      </c>
      <c r="BH1450" t="s">
        <v>74</v>
      </c>
      <c r="BI1450">
        <v>7</v>
      </c>
      <c r="BJ1450" t="s">
        <v>6050</v>
      </c>
      <c r="BK1450" t="s">
        <v>130</v>
      </c>
      <c r="BL1450" t="s">
        <v>6050</v>
      </c>
      <c r="BM1450" t="s">
        <v>26313</v>
      </c>
      <c r="BN1450">
        <v>38107064</v>
      </c>
      <c r="BO1450" t="s">
        <v>425</v>
      </c>
      <c r="BP1450" t="s">
        <v>74</v>
      </c>
      <c r="BQ1450" t="s">
        <v>74</v>
      </c>
      <c r="BR1450" t="s">
        <v>101</v>
      </c>
      <c r="BS1450" t="s">
        <v>26314</v>
      </c>
      <c r="BT1450" t="str">
        <f>HYPERLINK("https%3A%2F%2Fwww.webofscience.com%2Fwos%2Fwoscc%2Ffull-record%2FWOS:001125116800001","View Full Record in Web of Science")</f>
        <v>View Full Record in Web of Science</v>
      </c>
    </row>
    <row r="1451" spans="1:72" x14ac:dyDescent="0.2">
      <c r="A1451" t="s">
        <v>103</v>
      </c>
      <c r="B1451" t="s">
        <v>26315</v>
      </c>
      <c r="C1451" t="s">
        <v>74</v>
      </c>
      <c r="D1451" t="s">
        <v>74</v>
      </c>
      <c r="E1451" t="s">
        <v>74</v>
      </c>
      <c r="F1451" t="s">
        <v>26316</v>
      </c>
      <c r="G1451" t="s">
        <v>74</v>
      </c>
      <c r="H1451" t="s">
        <v>74</v>
      </c>
      <c r="I1451" t="s">
        <v>26317</v>
      </c>
      <c r="J1451" t="s">
        <v>13037</v>
      </c>
      <c r="K1451" t="s">
        <v>74</v>
      </c>
      <c r="L1451" t="s">
        <v>74</v>
      </c>
      <c r="M1451" t="s">
        <v>79</v>
      </c>
      <c r="N1451" t="s">
        <v>108</v>
      </c>
      <c r="O1451" t="s">
        <v>74</v>
      </c>
      <c r="P1451" t="s">
        <v>74</v>
      </c>
      <c r="Q1451" t="s">
        <v>74</v>
      </c>
      <c r="R1451" t="s">
        <v>74</v>
      </c>
      <c r="S1451" t="s">
        <v>74</v>
      </c>
      <c r="T1451" t="s">
        <v>26318</v>
      </c>
      <c r="U1451" t="s">
        <v>26319</v>
      </c>
      <c r="V1451" t="s">
        <v>26320</v>
      </c>
      <c r="W1451" t="s">
        <v>26321</v>
      </c>
      <c r="X1451" t="s">
        <v>26322</v>
      </c>
      <c r="Y1451" t="s">
        <v>26323</v>
      </c>
      <c r="Z1451" t="s">
        <v>26324</v>
      </c>
      <c r="AA1451" t="s">
        <v>26325</v>
      </c>
      <c r="AB1451" t="s">
        <v>26326</v>
      </c>
      <c r="AC1451" t="s">
        <v>74</v>
      </c>
      <c r="AD1451" t="s">
        <v>74</v>
      </c>
      <c r="AE1451" t="s">
        <v>74</v>
      </c>
      <c r="AF1451" t="s">
        <v>74</v>
      </c>
      <c r="AG1451">
        <v>55</v>
      </c>
      <c r="AH1451">
        <v>1</v>
      </c>
      <c r="AI1451">
        <v>1</v>
      </c>
      <c r="AJ1451">
        <v>14</v>
      </c>
      <c r="AK1451">
        <v>27</v>
      </c>
      <c r="AL1451" t="s">
        <v>939</v>
      </c>
      <c r="AM1451" t="s">
        <v>940</v>
      </c>
      <c r="AN1451" t="s">
        <v>941</v>
      </c>
      <c r="AO1451" t="s">
        <v>74</v>
      </c>
      <c r="AP1451" t="s">
        <v>13048</v>
      </c>
      <c r="AQ1451" t="s">
        <v>74</v>
      </c>
      <c r="AR1451" t="s">
        <v>13049</v>
      </c>
      <c r="AS1451" t="s">
        <v>13049</v>
      </c>
      <c r="AT1451" t="s">
        <v>2582</v>
      </c>
      <c r="AU1451">
        <v>2023</v>
      </c>
      <c r="AV1451">
        <v>13</v>
      </c>
      <c r="AW1451">
        <v>6</v>
      </c>
      <c r="AX1451" t="s">
        <v>74</v>
      </c>
      <c r="AY1451" t="s">
        <v>74</v>
      </c>
      <c r="AZ1451" t="s">
        <v>74</v>
      </c>
      <c r="BA1451" t="s">
        <v>74</v>
      </c>
      <c r="BB1451" t="s">
        <v>74</v>
      </c>
      <c r="BC1451" t="s">
        <v>74</v>
      </c>
      <c r="BD1451">
        <v>1392</v>
      </c>
      <c r="BE1451" t="s">
        <v>26327</v>
      </c>
      <c r="BF1451" t="str">
        <f>HYPERLINK("http://dx.doi.org/10.3390/buildings13061392","http://dx.doi.org/10.3390/buildings13061392")</f>
        <v>http://dx.doi.org/10.3390/buildings13061392</v>
      </c>
      <c r="BG1451" t="s">
        <v>74</v>
      </c>
      <c r="BH1451" t="s">
        <v>74</v>
      </c>
      <c r="BI1451">
        <v>22</v>
      </c>
      <c r="BJ1451" t="s">
        <v>13051</v>
      </c>
      <c r="BK1451" t="s">
        <v>130</v>
      </c>
      <c r="BL1451" t="s">
        <v>13052</v>
      </c>
      <c r="BM1451" t="s">
        <v>26328</v>
      </c>
      <c r="BN1451" t="s">
        <v>74</v>
      </c>
      <c r="BO1451" t="s">
        <v>4185</v>
      </c>
      <c r="BP1451" t="s">
        <v>74</v>
      </c>
      <c r="BQ1451" t="s">
        <v>74</v>
      </c>
      <c r="BR1451" t="s">
        <v>101</v>
      </c>
      <c r="BS1451" t="s">
        <v>26329</v>
      </c>
      <c r="BT1451" t="str">
        <f>HYPERLINK("https%3A%2F%2Fwww.webofscience.com%2Fwos%2Fwoscc%2Ffull-record%2FWOS:001014319900001","View Full Record in Web of Science")</f>
        <v>View Full Record in Web of Science</v>
      </c>
    </row>
    <row r="1452" spans="1:72" x14ac:dyDescent="0.2">
      <c r="A1452" t="s">
        <v>103</v>
      </c>
      <c r="B1452" t="s">
        <v>26330</v>
      </c>
      <c r="C1452" t="s">
        <v>74</v>
      </c>
      <c r="D1452" t="s">
        <v>74</v>
      </c>
      <c r="E1452" t="s">
        <v>74</v>
      </c>
      <c r="F1452" t="s">
        <v>26331</v>
      </c>
      <c r="G1452" t="s">
        <v>74</v>
      </c>
      <c r="H1452" t="s">
        <v>74</v>
      </c>
      <c r="I1452" t="s">
        <v>26332</v>
      </c>
      <c r="J1452" t="s">
        <v>4976</v>
      </c>
      <c r="K1452" t="s">
        <v>74</v>
      </c>
      <c r="L1452" t="s">
        <v>74</v>
      </c>
      <c r="M1452" t="s">
        <v>79</v>
      </c>
      <c r="N1452" t="s">
        <v>108</v>
      </c>
      <c r="O1452" t="s">
        <v>74</v>
      </c>
      <c r="P1452" t="s">
        <v>74</v>
      </c>
      <c r="Q1452" t="s">
        <v>74</v>
      </c>
      <c r="R1452" t="s">
        <v>74</v>
      </c>
      <c r="S1452" t="s">
        <v>74</v>
      </c>
      <c r="T1452" t="s">
        <v>26333</v>
      </c>
      <c r="U1452" t="s">
        <v>74</v>
      </c>
      <c r="V1452" t="s">
        <v>26334</v>
      </c>
      <c r="W1452" t="s">
        <v>26335</v>
      </c>
      <c r="X1452" t="s">
        <v>26336</v>
      </c>
      <c r="Y1452" t="s">
        <v>26337</v>
      </c>
      <c r="Z1452" t="s">
        <v>26338</v>
      </c>
      <c r="AA1452" t="s">
        <v>74</v>
      </c>
      <c r="AB1452" t="s">
        <v>26339</v>
      </c>
      <c r="AC1452" t="s">
        <v>26340</v>
      </c>
      <c r="AD1452" t="s">
        <v>26341</v>
      </c>
      <c r="AE1452" t="s">
        <v>26342</v>
      </c>
      <c r="AF1452" t="s">
        <v>74</v>
      </c>
      <c r="AG1452">
        <v>47</v>
      </c>
      <c r="AH1452">
        <v>2</v>
      </c>
      <c r="AI1452">
        <v>2</v>
      </c>
      <c r="AJ1452">
        <v>11</v>
      </c>
      <c r="AK1452">
        <v>24</v>
      </c>
      <c r="AL1452" t="s">
        <v>939</v>
      </c>
      <c r="AM1452" t="s">
        <v>940</v>
      </c>
      <c r="AN1452" t="s">
        <v>941</v>
      </c>
      <c r="AO1452" t="s">
        <v>74</v>
      </c>
      <c r="AP1452" t="s">
        <v>4986</v>
      </c>
      <c r="AQ1452" t="s">
        <v>74</v>
      </c>
      <c r="AR1452" t="s">
        <v>4976</v>
      </c>
      <c r="AS1452" t="s">
        <v>4987</v>
      </c>
      <c r="AT1452" t="s">
        <v>251</v>
      </c>
      <c r="AU1452">
        <v>2023</v>
      </c>
      <c r="AV1452">
        <v>10</v>
      </c>
      <c r="AW1452">
        <v>2</v>
      </c>
      <c r="AX1452" t="s">
        <v>74</v>
      </c>
      <c r="AY1452" t="s">
        <v>74</v>
      </c>
      <c r="AZ1452" t="s">
        <v>74</v>
      </c>
      <c r="BA1452" t="s">
        <v>74</v>
      </c>
      <c r="BB1452" t="s">
        <v>74</v>
      </c>
      <c r="BC1452" t="s">
        <v>74</v>
      </c>
      <c r="BD1452">
        <v>184</v>
      </c>
      <c r="BE1452" t="s">
        <v>26343</v>
      </c>
      <c r="BF1452" t="str">
        <f>HYPERLINK("http://dx.doi.org/10.3390/bioengineering10020184","http://dx.doi.org/10.3390/bioengineering10020184")</f>
        <v>http://dx.doi.org/10.3390/bioengineering10020184</v>
      </c>
      <c r="BG1452" t="s">
        <v>74</v>
      </c>
      <c r="BH1452" t="s">
        <v>74</v>
      </c>
      <c r="BI1452">
        <v>19</v>
      </c>
      <c r="BJ1452" t="s">
        <v>4989</v>
      </c>
      <c r="BK1452" t="s">
        <v>130</v>
      </c>
      <c r="BL1452" t="s">
        <v>4990</v>
      </c>
      <c r="BM1452" t="s">
        <v>26344</v>
      </c>
      <c r="BN1452">
        <v>36829679</v>
      </c>
      <c r="BO1452" t="s">
        <v>4185</v>
      </c>
      <c r="BP1452" t="s">
        <v>74</v>
      </c>
      <c r="BQ1452" t="s">
        <v>74</v>
      </c>
      <c r="BR1452" t="s">
        <v>101</v>
      </c>
      <c r="BS1452" t="s">
        <v>26345</v>
      </c>
      <c r="BT1452" t="str">
        <f>HYPERLINK("https%3A%2F%2Fwww.webofscience.com%2Fwos%2Fwoscc%2Ffull-record%2FWOS:000945054300001","View Full Record in Web of Science")</f>
        <v>View Full Record in Web of Science</v>
      </c>
    </row>
    <row r="1453" spans="1:72" x14ac:dyDescent="0.2">
      <c r="A1453" t="s">
        <v>103</v>
      </c>
      <c r="B1453" t="s">
        <v>26346</v>
      </c>
      <c r="C1453" t="s">
        <v>74</v>
      </c>
      <c r="D1453" t="s">
        <v>74</v>
      </c>
      <c r="E1453" t="s">
        <v>74</v>
      </c>
      <c r="F1453" t="s">
        <v>26347</v>
      </c>
      <c r="G1453" t="s">
        <v>74</v>
      </c>
      <c r="H1453" t="s">
        <v>74</v>
      </c>
      <c r="I1453" t="s">
        <v>26348</v>
      </c>
      <c r="J1453" t="s">
        <v>7461</v>
      </c>
      <c r="K1453" t="s">
        <v>74</v>
      </c>
      <c r="L1453" t="s">
        <v>74</v>
      </c>
      <c r="M1453" t="s">
        <v>79</v>
      </c>
      <c r="N1453" t="s">
        <v>108</v>
      </c>
      <c r="O1453" t="s">
        <v>74</v>
      </c>
      <c r="P1453" t="s">
        <v>74</v>
      </c>
      <c r="Q1453" t="s">
        <v>74</v>
      </c>
      <c r="R1453" t="s">
        <v>74</v>
      </c>
      <c r="S1453" t="s">
        <v>74</v>
      </c>
      <c r="T1453" t="s">
        <v>26349</v>
      </c>
      <c r="U1453" t="s">
        <v>26350</v>
      </c>
      <c r="V1453" t="s">
        <v>26351</v>
      </c>
      <c r="W1453" t="s">
        <v>26352</v>
      </c>
      <c r="X1453" t="s">
        <v>26353</v>
      </c>
      <c r="Y1453" t="s">
        <v>26354</v>
      </c>
      <c r="Z1453" t="s">
        <v>26355</v>
      </c>
      <c r="AA1453" t="s">
        <v>26356</v>
      </c>
      <c r="AB1453" t="s">
        <v>26357</v>
      </c>
      <c r="AC1453" t="s">
        <v>26358</v>
      </c>
      <c r="AD1453" t="s">
        <v>26359</v>
      </c>
      <c r="AE1453" t="s">
        <v>26360</v>
      </c>
      <c r="AF1453" t="s">
        <v>74</v>
      </c>
      <c r="AG1453">
        <v>57</v>
      </c>
      <c r="AH1453">
        <v>6</v>
      </c>
      <c r="AI1453">
        <v>6</v>
      </c>
      <c r="AJ1453">
        <v>3</v>
      </c>
      <c r="AK1453">
        <v>5</v>
      </c>
      <c r="AL1453" t="s">
        <v>939</v>
      </c>
      <c r="AM1453" t="s">
        <v>940</v>
      </c>
      <c r="AN1453" t="s">
        <v>941</v>
      </c>
      <c r="AO1453" t="s">
        <v>74</v>
      </c>
      <c r="AP1453" t="s">
        <v>7471</v>
      </c>
      <c r="AQ1453" t="s">
        <v>74</v>
      </c>
      <c r="AR1453" t="s">
        <v>7472</v>
      </c>
      <c r="AS1453" t="s">
        <v>7473</v>
      </c>
      <c r="AT1453" t="s">
        <v>445</v>
      </c>
      <c r="AU1453">
        <v>2023</v>
      </c>
      <c r="AV1453">
        <v>23</v>
      </c>
      <c r="AW1453">
        <v>7</v>
      </c>
      <c r="AX1453" t="s">
        <v>74</v>
      </c>
      <c r="AY1453" t="s">
        <v>74</v>
      </c>
      <c r="AZ1453" t="s">
        <v>74</v>
      </c>
      <c r="BA1453" t="s">
        <v>74</v>
      </c>
      <c r="BB1453" t="s">
        <v>74</v>
      </c>
      <c r="BC1453" t="s">
        <v>74</v>
      </c>
      <c r="BD1453">
        <v>3440</v>
      </c>
      <c r="BE1453" t="s">
        <v>26361</v>
      </c>
      <c r="BF1453" t="str">
        <f>HYPERLINK("http://dx.doi.org/10.3390/s23073440","http://dx.doi.org/10.3390/s23073440")</f>
        <v>http://dx.doi.org/10.3390/s23073440</v>
      </c>
      <c r="BG1453" t="s">
        <v>74</v>
      </c>
      <c r="BH1453" t="s">
        <v>74</v>
      </c>
      <c r="BI1453">
        <v>20</v>
      </c>
      <c r="BJ1453" t="s">
        <v>7475</v>
      </c>
      <c r="BK1453" t="s">
        <v>130</v>
      </c>
      <c r="BL1453" t="s">
        <v>7476</v>
      </c>
      <c r="BM1453" t="s">
        <v>26362</v>
      </c>
      <c r="BN1453">
        <v>37050503</v>
      </c>
      <c r="BO1453" t="s">
        <v>1728</v>
      </c>
      <c r="BP1453" t="s">
        <v>74</v>
      </c>
      <c r="BQ1453" t="s">
        <v>74</v>
      </c>
      <c r="BR1453" t="s">
        <v>101</v>
      </c>
      <c r="BS1453" t="s">
        <v>26363</v>
      </c>
      <c r="BT1453" t="str">
        <f>HYPERLINK("https%3A%2F%2Fwww.webofscience.com%2Fwos%2Fwoscc%2Ffull-record%2FWOS:000970276700001","View Full Record in Web of Science")</f>
        <v>View Full Record in Web of Science</v>
      </c>
    </row>
    <row r="1454" spans="1:72" x14ac:dyDescent="0.2">
      <c r="A1454" t="s">
        <v>72</v>
      </c>
      <c r="B1454" t="s">
        <v>26364</v>
      </c>
      <c r="C1454" t="s">
        <v>74</v>
      </c>
      <c r="D1454" t="s">
        <v>74</v>
      </c>
      <c r="E1454" t="s">
        <v>284</v>
      </c>
      <c r="F1454" t="s">
        <v>26365</v>
      </c>
      <c r="G1454" t="s">
        <v>74</v>
      </c>
      <c r="H1454" t="s">
        <v>74</v>
      </c>
      <c r="I1454" t="s">
        <v>26366</v>
      </c>
      <c r="J1454" t="s">
        <v>26367</v>
      </c>
      <c r="K1454" t="s">
        <v>26368</v>
      </c>
      <c r="L1454" t="s">
        <v>74</v>
      </c>
      <c r="M1454" t="s">
        <v>79</v>
      </c>
      <c r="N1454" t="s">
        <v>80</v>
      </c>
      <c r="O1454" t="s">
        <v>26369</v>
      </c>
      <c r="P1454" t="s">
        <v>26370</v>
      </c>
      <c r="Q1454" t="s">
        <v>628</v>
      </c>
      <c r="R1454" t="s">
        <v>74</v>
      </c>
      <c r="S1454" t="s">
        <v>74</v>
      </c>
      <c r="T1454" t="s">
        <v>26371</v>
      </c>
      <c r="U1454" t="s">
        <v>74</v>
      </c>
      <c r="V1454" t="s">
        <v>26372</v>
      </c>
      <c r="W1454" t="s">
        <v>26373</v>
      </c>
      <c r="X1454" t="s">
        <v>74</v>
      </c>
      <c r="Y1454" t="s">
        <v>26374</v>
      </c>
      <c r="Z1454" t="s">
        <v>26375</v>
      </c>
      <c r="AA1454" t="s">
        <v>74</v>
      </c>
      <c r="AB1454" t="s">
        <v>74</v>
      </c>
      <c r="AC1454" t="s">
        <v>74</v>
      </c>
      <c r="AD1454" t="s">
        <v>74</v>
      </c>
      <c r="AE1454" t="s">
        <v>74</v>
      </c>
      <c r="AF1454" t="s">
        <v>74</v>
      </c>
      <c r="AG1454">
        <v>8</v>
      </c>
      <c r="AH1454">
        <v>0</v>
      </c>
      <c r="AI1454">
        <v>0</v>
      </c>
      <c r="AJ1454">
        <v>2</v>
      </c>
      <c r="AK1454">
        <v>2</v>
      </c>
      <c r="AL1454" t="s">
        <v>284</v>
      </c>
      <c r="AM1454" t="s">
        <v>93</v>
      </c>
      <c r="AN1454" t="s">
        <v>299</v>
      </c>
      <c r="AO1454" t="s">
        <v>26376</v>
      </c>
      <c r="AP1454" t="s">
        <v>74</v>
      </c>
      <c r="AQ1454" t="s">
        <v>26377</v>
      </c>
      <c r="AR1454" t="s">
        <v>26378</v>
      </c>
      <c r="AS1454" t="s">
        <v>74</v>
      </c>
      <c r="AT1454" t="s">
        <v>74</v>
      </c>
      <c r="AU1454">
        <v>2023</v>
      </c>
      <c r="AV1454" t="s">
        <v>74</v>
      </c>
      <c r="AW1454" t="s">
        <v>74</v>
      </c>
      <c r="AX1454" t="s">
        <v>74</v>
      </c>
      <c r="AY1454" t="s">
        <v>74</v>
      </c>
      <c r="AZ1454" t="s">
        <v>74</v>
      </c>
      <c r="BA1454" t="s">
        <v>74</v>
      </c>
      <c r="BB1454" t="s">
        <v>74</v>
      </c>
      <c r="BC1454" t="s">
        <v>74</v>
      </c>
      <c r="BD1454" t="s">
        <v>74</v>
      </c>
      <c r="BE1454" t="s">
        <v>26379</v>
      </c>
      <c r="BF1454" t="str">
        <f>HYPERLINK("http://dx.doi.org/10.1109/COMSNETS56262.2023.10041311","http://dx.doi.org/10.1109/COMSNETS56262.2023.10041311")</f>
        <v>http://dx.doi.org/10.1109/COMSNETS56262.2023.10041311</v>
      </c>
      <c r="BG1454" t="s">
        <v>74</v>
      </c>
      <c r="BH1454" t="s">
        <v>74</v>
      </c>
      <c r="BI1454">
        <v>5</v>
      </c>
      <c r="BJ1454" t="s">
        <v>26380</v>
      </c>
      <c r="BK1454" t="s">
        <v>98</v>
      </c>
      <c r="BL1454" t="s">
        <v>1386</v>
      </c>
      <c r="BM1454" t="s">
        <v>26381</v>
      </c>
      <c r="BN1454" t="s">
        <v>74</v>
      </c>
      <c r="BO1454" t="s">
        <v>74</v>
      </c>
      <c r="BP1454" t="s">
        <v>74</v>
      </c>
      <c r="BQ1454" t="s">
        <v>74</v>
      </c>
      <c r="BR1454" t="s">
        <v>101</v>
      </c>
      <c r="BS1454" t="s">
        <v>26382</v>
      </c>
      <c r="BT1454" t="str">
        <f>HYPERLINK("https%3A%2F%2Fwww.webofscience.com%2Fwos%2Fwoscc%2Ffull-record%2FWOS:000972037500060","View Full Record in Web of Science")</f>
        <v>View Full Record in Web of Science</v>
      </c>
    </row>
    <row r="1455" spans="1:72" x14ac:dyDescent="0.2">
      <c r="A1455" t="s">
        <v>103</v>
      </c>
      <c r="B1455" t="s">
        <v>26383</v>
      </c>
      <c r="C1455" t="s">
        <v>74</v>
      </c>
      <c r="D1455" t="s">
        <v>74</v>
      </c>
      <c r="E1455" t="s">
        <v>74</v>
      </c>
      <c r="F1455" t="s">
        <v>26384</v>
      </c>
      <c r="G1455" t="s">
        <v>74</v>
      </c>
      <c r="H1455" t="s">
        <v>74</v>
      </c>
      <c r="I1455" t="s">
        <v>26385</v>
      </c>
      <c r="J1455" t="s">
        <v>10839</v>
      </c>
      <c r="K1455" t="s">
        <v>74</v>
      </c>
      <c r="L1455" t="s">
        <v>74</v>
      </c>
      <c r="M1455" t="s">
        <v>79</v>
      </c>
      <c r="N1455" t="s">
        <v>138</v>
      </c>
      <c r="O1455" t="s">
        <v>74</v>
      </c>
      <c r="P1455" t="s">
        <v>74</v>
      </c>
      <c r="Q1455" t="s">
        <v>74</v>
      </c>
      <c r="R1455" t="s">
        <v>74</v>
      </c>
      <c r="S1455" t="s">
        <v>74</v>
      </c>
      <c r="T1455" t="s">
        <v>26386</v>
      </c>
      <c r="U1455" t="s">
        <v>74</v>
      </c>
      <c r="V1455" t="s">
        <v>26387</v>
      </c>
      <c r="W1455" t="s">
        <v>26388</v>
      </c>
      <c r="X1455" t="s">
        <v>26389</v>
      </c>
      <c r="Y1455" t="s">
        <v>26390</v>
      </c>
      <c r="Z1455" t="s">
        <v>26391</v>
      </c>
      <c r="AA1455" t="s">
        <v>26392</v>
      </c>
      <c r="AB1455" t="s">
        <v>26393</v>
      </c>
      <c r="AC1455" t="s">
        <v>74</v>
      </c>
      <c r="AD1455" t="s">
        <v>74</v>
      </c>
      <c r="AE1455" t="s">
        <v>74</v>
      </c>
      <c r="AF1455" t="s">
        <v>74</v>
      </c>
      <c r="AG1455">
        <v>26</v>
      </c>
      <c r="AH1455">
        <v>0</v>
      </c>
      <c r="AI1455">
        <v>0</v>
      </c>
      <c r="AJ1455">
        <v>8</v>
      </c>
      <c r="AK1455">
        <v>8</v>
      </c>
      <c r="AL1455" t="s">
        <v>343</v>
      </c>
      <c r="AM1455" t="s">
        <v>93</v>
      </c>
      <c r="AN1455" t="s">
        <v>344</v>
      </c>
      <c r="AO1455" t="s">
        <v>10850</v>
      </c>
      <c r="AP1455" t="s">
        <v>10851</v>
      </c>
      <c r="AQ1455" t="s">
        <v>74</v>
      </c>
      <c r="AR1455" t="s">
        <v>10852</v>
      </c>
      <c r="AS1455" t="s">
        <v>10853</v>
      </c>
      <c r="AT1455" t="s">
        <v>26394</v>
      </c>
      <c r="AU1455">
        <v>2023</v>
      </c>
      <c r="AV1455" t="s">
        <v>74</v>
      </c>
      <c r="AW1455" t="s">
        <v>74</v>
      </c>
      <c r="AX1455" t="s">
        <v>74</v>
      </c>
      <c r="AY1455" t="s">
        <v>74</v>
      </c>
      <c r="AZ1455" t="s">
        <v>74</v>
      </c>
      <c r="BA1455" t="s">
        <v>74</v>
      </c>
      <c r="BB1455" t="s">
        <v>74</v>
      </c>
      <c r="BC1455" t="s">
        <v>74</v>
      </c>
      <c r="BD1455" t="s">
        <v>74</v>
      </c>
      <c r="BE1455" t="s">
        <v>26395</v>
      </c>
      <c r="BF1455" t="str">
        <f>HYPERLINK("http://dx.doi.org/10.1007/s00330-023-10230-0","http://dx.doi.org/10.1007/s00330-023-10230-0")</f>
        <v>http://dx.doi.org/10.1007/s00330-023-10230-0</v>
      </c>
      <c r="BG1455" t="s">
        <v>74</v>
      </c>
      <c r="BH1455" t="s">
        <v>1886</v>
      </c>
      <c r="BI1455">
        <v>12</v>
      </c>
      <c r="BJ1455" t="s">
        <v>5360</v>
      </c>
      <c r="BK1455" t="s">
        <v>130</v>
      </c>
      <c r="BL1455" t="s">
        <v>5360</v>
      </c>
      <c r="BM1455" t="s">
        <v>26396</v>
      </c>
      <c r="BN1455">
        <v>37828297</v>
      </c>
      <c r="BO1455" t="s">
        <v>74</v>
      </c>
      <c r="BP1455" t="s">
        <v>74</v>
      </c>
      <c r="BQ1455" t="s">
        <v>74</v>
      </c>
      <c r="BR1455" t="s">
        <v>101</v>
      </c>
      <c r="BS1455" t="s">
        <v>26397</v>
      </c>
      <c r="BT1455" t="str">
        <f>HYPERLINK("https%3A%2F%2Fwww.webofscience.com%2Fwos%2Fwoscc%2Ffull-record%2FWOS:001082429600001","View Full Record in Web of Science")</f>
        <v>View Full Record in Web of Science</v>
      </c>
    </row>
    <row r="1456" spans="1:72" x14ac:dyDescent="0.2">
      <c r="A1456" t="s">
        <v>103</v>
      </c>
      <c r="B1456" t="s">
        <v>26398</v>
      </c>
      <c r="C1456" t="s">
        <v>74</v>
      </c>
      <c r="D1456" t="s">
        <v>74</v>
      </c>
      <c r="E1456" t="s">
        <v>74</v>
      </c>
      <c r="F1456" t="s">
        <v>26399</v>
      </c>
      <c r="G1456" t="s">
        <v>74</v>
      </c>
      <c r="H1456" t="s">
        <v>74</v>
      </c>
      <c r="I1456" t="s">
        <v>26400</v>
      </c>
      <c r="J1456" t="s">
        <v>13467</v>
      </c>
      <c r="K1456" t="s">
        <v>74</v>
      </c>
      <c r="L1456" t="s">
        <v>74</v>
      </c>
      <c r="M1456" t="s">
        <v>79</v>
      </c>
      <c r="N1456" t="s">
        <v>108</v>
      </c>
      <c r="O1456" t="s">
        <v>74</v>
      </c>
      <c r="P1456" t="s">
        <v>74</v>
      </c>
      <c r="Q1456" t="s">
        <v>74</v>
      </c>
      <c r="R1456" t="s">
        <v>74</v>
      </c>
      <c r="S1456" t="s">
        <v>74</v>
      </c>
      <c r="T1456" t="s">
        <v>26401</v>
      </c>
      <c r="U1456" t="s">
        <v>26402</v>
      </c>
      <c r="V1456" t="s">
        <v>26403</v>
      </c>
      <c r="W1456" t="s">
        <v>26404</v>
      </c>
      <c r="X1456" t="s">
        <v>26405</v>
      </c>
      <c r="Y1456" t="s">
        <v>26406</v>
      </c>
      <c r="Z1456" t="s">
        <v>26407</v>
      </c>
      <c r="AA1456" t="s">
        <v>26408</v>
      </c>
      <c r="AB1456" t="s">
        <v>26409</v>
      </c>
      <c r="AC1456" t="s">
        <v>26410</v>
      </c>
      <c r="AD1456" t="s">
        <v>26411</v>
      </c>
      <c r="AE1456" t="s">
        <v>26412</v>
      </c>
      <c r="AF1456" t="s">
        <v>74</v>
      </c>
      <c r="AG1456">
        <v>59</v>
      </c>
      <c r="AH1456">
        <v>3</v>
      </c>
      <c r="AI1456">
        <v>3</v>
      </c>
      <c r="AJ1456">
        <v>15</v>
      </c>
      <c r="AK1456">
        <v>19</v>
      </c>
      <c r="AL1456" t="s">
        <v>13480</v>
      </c>
      <c r="AM1456" t="s">
        <v>13481</v>
      </c>
      <c r="AN1456" t="s">
        <v>13482</v>
      </c>
      <c r="AO1456" t="s">
        <v>13483</v>
      </c>
      <c r="AP1456" t="s">
        <v>13484</v>
      </c>
      <c r="AQ1456" t="s">
        <v>74</v>
      </c>
      <c r="AR1456" t="s">
        <v>13485</v>
      </c>
      <c r="AS1456" t="s">
        <v>13486</v>
      </c>
      <c r="AT1456" t="s">
        <v>791</v>
      </c>
      <c r="AU1456">
        <v>2023</v>
      </c>
      <c r="AV1456">
        <v>144</v>
      </c>
      <c r="AW1456" t="s">
        <v>74</v>
      </c>
      <c r="AX1456" t="s">
        <v>74</v>
      </c>
      <c r="AY1456" t="s">
        <v>74</v>
      </c>
      <c r="AZ1456" t="s">
        <v>74</v>
      </c>
      <c r="BA1456" t="s">
        <v>74</v>
      </c>
      <c r="BB1456" t="s">
        <v>74</v>
      </c>
      <c r="BC1456" t="s">
        <v>74</v>
      </c>
      <c r="BD1456">
        <v>104435</v>
      </c>
      <c r="BE1456" t="s">
        <v>26413</v>
      </c>
      <c r="BF1456" t="str">
        <f>HYPERLINK("http://dx.doi.org/10.1016/j.jbi.2023.104435","http://dx.doi.org/10.1016/j.jbi.2023.104435")</f>
        <v>http://dx.doi.org/10.1016/j.jbi.2023.104435</v>
      </c>
      <c r="BG1456" t="s">
        <v>74</v>
      </c>
      <c r="BH1456" t="s">
        <v>229</v>
      </c>
      <c r="BI1456">
        <v>12</v>
      </c>
      <c r="BJ1456" t="s">
        <v>13488</v>
      </c>
      <c r="BK1456" t="s">
        <v>130</v>
      </c>
      <c r="BL1456" t="s">
        <v>13489</v>
      </c>
      <c r="BM1456" t="s">
        <v>26414</v>
      </c>
      <c r="BN1456">
        <v>37394024</v>
      </c>
      <c r="BO1456" t="s">
        <v>161</v>
      </c>
      <c r="BP1456" t="s">
        <v>74</v>
      </c>
      <c r="BQ1456" t="s">
        <v>74</v>
      </c>
      <c r="BR1456" t="s">
        <v>101</v>
      </c>
      <c r="BS1456" t="s">
        <v>26415</v>
      </c>
      <c r="BT1456" t="str">
        <f>HYPERLINK("https%3A%2F%2Fwww.webofscience.com%2Fwos%2Fwoscc%2Ffull-record%2FWOS:001034816300001","View Full Record in Web of Science")</f>
        <v>View Full Record in Web of Science</v>
      </c>
    </row>
    <row r="1457" spans="1:72" x14ac:dyDescent="0.2">
      <c r="A1457" t="s">
        <v>103</v>
      </c>
      <c r="B1457" t="s">
        <v>26416</v>
      </c>
      <c r="C1457" t="s">
        <v>74</v>
      </c>
      <c r="D1457" t="s">
        <v>74</v>
      </c>
      <c r="E1457" t="s">
        <v>74</v>
      </c>
      <c r="F1457" t="s">
        <v>26417</v>
      </c>
      <c r="G1457" t="s">
        <v>74</v>
      </c>
      <c r="H1457" t="s">
        <v>74</v>
      </c>
      <c r="I1457" t="s">
        <v>26418</v>
      </c>
      <c r="J1457" t="s">
        <v>12853</v>
      </c>
      <c r="K1457" t="s">
        <v>74</v>
      </c>
      <c r="L1457" t="s">
        <v>74</v>
      </c>
      <c r="M1457" t="s">
        <v>79</v>
      </c>
      <c r="N1457" t="s">
        <v>108</v>
      </c>
      <c r="O1457" t="s">
        <v>74</v>
      </c>
      <c r="P1457" t="s">
        <v>74</v>
      </c>
      <c r="Q1457" t="s">
        <v>74</v>
      </c>
      <c r="R1457" t="s">
        <v>74</v>
      </c>
      <c r="S1457" t="s">
        <v>74</v>
      </c>
      <c r="T1457" t="s">
        <v>74</v>
      </c>
      <c r="U1457" t="s">
        <v>74</v>
      </c>
      <c r="V1457" t="s">
        <v>26419</v>
      </c>
      <c r="W1457" t="s">
        <v>26420</v>
      </c>
      <c r="X1457" t="s">
        <v>26421</v>
      </c>
      <c r="Y1457" t="s">
        <v>26422</v>
      </c>
      <c r="Z1457" t="s">
        <v>26423</v>
      </c>
      <c r="AA1457" t="s">
        <v>74</v>
      </c>
      <c r="AB1457" t="s">
        <v>26424</v>
      </c>
      <c r="AC1457" t="s">
        <v>26425</v>
      </c>
      <c r="AD1457" t="s">
        <v>26426</v>
      </c>
      <c r="AE1457" t="s">
        <v>26427</v>
      </c>
      <c r="AF1457" t="s">
        <v>74</v>
      </c>
      <c r="AG1457">
        <v>0</v>
      </c>
      <c r="AH1457">
        <v>3</v>
      </c>
      <c r="AI1457">
        <v>3</v>
      </c>
      <c r="AJ1457">
        <v>4</v>
      </c>
      <c r="AK1457">
        <v>4</v>
      </c>
      <c r="AL1457" t="s">
        <v>1880</v>
      </c>
      <c r="AM1457" t="s">
        <v>369</v>
      </c>
      <c r="AN1457" t="s">
        <v>1881</v>
      </c>
      <c r="AO1457" t="s">
        <v>12864</v>
      </c>
      <c r="AP1457" t="s">
        <v>12865</v>
      </c>
      <c r="AQ1457" t="s">
        <v>74</v>
      </c>
      <c r="AR1457" t="s">
        <v>12866</v>
      </c>
      <c r="AS1457" t="s">
        <v>12867</v>
      </c>
      <c r="AT1457" t="s">
        <v>276</v>
      </c>
      <c r="AU1457">
        <v>2023</v>
      </c>
      <c r="AV1457">
        <v>20</v>
      </c>
      <c r="AW1457">
        <v>11</v>
      </c>
      <c r="AX1457" t="s">
        <v>74</v>
      </c>
      <c r="AY1457" t="s">
        <v>74</v>
      </c>
      <c r="AZ1457" t="s">
        <v>74</v>
      </c>
      <c r="BA1457" t="s">
        <v>74</v>
      </c>
      <c r="BB1457" t="s">
        <v>74</v>
      </c>
      <c r="BC1457" t="s">
        <v>74</v>
      </c>
      <c r="BD1457" t="s">
        <v>74</v>
      </c>
      <c r="BE1457" t="s">
        <v>26428</v>
      </c>
      <c r="BF1457" t="str">
        <f>HYPERLINK("http://dx.doi.org/10.1038/s41592-023-02035-2","http://dx.doi.org/10.1038/s41592-023-02035-2")</f>
        <v>http://dx.doi.org/10.1038/s41592-023-02035-2</v>
      </c>
      <c r="BG1457" t="s">
        <v>74</v>
      </c>
      <c r="BH1457" t="s">
        <v>74</v>
      </c>
      <c r="BI1457">
        <v>18</v>
      </c>
      <c r="BJ1457" t="s">
        <v>12870</v>
      </c>
      <c r="BK1457" t="s">
        <v>130</v>
      </c>
      <c r="BL1457" t="s">
        <v>12474</v>
      </c>
      <c r="BM1457" t="s">
        <v>26429</v>
      </c>
      <c r="BN1457">
        <v>37813989</v>
      </c>
      <c r="BO1457" t="s">
        <v>16334</v>
      </c>
      <c r="BP1457" t="s">
        <v>74</v>
      </c>
      <c r="BQ1457" t="s">
        <v>74</v>
      </c>
      <c r="BR1457" t="s">
        <v>101</v>
      </c>
      <c r="BS1457" t="s">
        <v>26430</v>
      </c>
      <c r="BT1457" t="str">
        <f>HYPERLINK("https%3A%2F%2Fwww.webofscience.com%2Fwos%2Fwoscc%2Ffull-record%2FWOS:001166704900020","View Full Record in Web of Science")</f>
        <v>View Full Record in Web of Science</v>
      </c>
    </row>
    <row r="1458" spans="1:72" x14ac:dyDescent="0.2">
      <c r="A1458" t="s">
        <v>103</v>
      </c>
      <c r="B1458" t="s">
        <v>26431</v>
      </c>
      <c r="C1458" t="s">
        <v>74</v>
      </c>
      <c r="D1458" t="s">
        <v>74</v>
      </c>
      <c r="E1458" t="s">
        <v>74</v>
      </c>
      <c r="F1458" t="s">
        <v>26432</v>
      </c>
      <c r="G1458" t="s">
        <v>74</v>
      </c>
      <c r="H1458" t="s">
        <v>74</v>
      </c>
      <c r="I1458" t="s">
        <v>26433</v>
      </c>
      <c r="J1458" t="s">
        <v>26434</v>
      </c>
      <c r="K1458" t="s">
        <v>74</v>
      </c>
      <c r="L1458" t="s">
        <v>74</v>
      </c>
      <c r="M1458" t="s">
        <v>79</v>
      </c>
      <c r="N1458" t="s">
        <v>108</v>
      </c>
      <c r="O1458" t="s">
        <v>74</v>
      </c>
      <c r="P1458" t="s">
        <v>74</v>
      </c>
      <c r="Q1458" t="s">
        <v>74</v>
      </c>
      <c r="R1458" t="s">
        <v>74</v>
      </c>
      <c r="S1458" t="s">
        <v>74</v>
      </c>
      <c r="T1458" t="s">
        <v>26435</v>
      </c>
      <c r="U1458" t="s">
        <v>26436</v>
      </c>
      <c r="V1458" t="s">
        <v>26437</v>
      </c>
      <c r="W1458" t="s">
        <v>26438</v>
      </c>
      <c r="X1458" t="s">
        <v>26439</v>
      </c>
      <c r="Y1458" t="s">
        <v>26440</v>
      </c>
      <c r="Z1458" t="s">
        <v>26441</v>
      </c>
      <c r="AA1458" t="s">
        <v>26442</v>
      </c>
      <c r="AB1458" t="s">
        <v>26443</v>
      </c>
      <c r="AC1458" t="s">
        <v>26444</v>
      </c>
      <c r="AD1458" t="s">
        <v>26445</v>
      </c>
      <c r="AE1458" t="s">
        <v>26446</v>
      </c>
      <c r="AF1458" t="s">
        <v>74</v>
      </c>
      <c r="AG1458">
        <v>46</v>
      </c>
      <c r="AH1458">
        <v>12</v>
      </c>
      <c r="AI1458">
        <v>12</v>
      </c>
      <c r="AJ1458">
        <v>21</v>
      </c>
      <c r="AK1458">
        <v>41</v>
      </c>
      <c r="AL1458" t="s">
        <v>270</v>
      </c>
      <c r="AM1458" t="s">
        <v>120</v>
      </c>
      <c r="AN1458" t="s">
        <v>271</v>
      </c>
      <c r="AO1458" t="s">
        <v>26447</v>
      </c>
      <c r="AP1458" t="s">
        <v>26448</v>
      </c>
      <c r="AQ1458" t="s">
        <v>74</v>
      </c>
      <c r="AR1458" t="s">
        <v>26449</v>
      </c>
      <c r="AS1458" t="s">
        <v>26450</v>
      </c>
      <c r="AT1458" t="s">
        <v>126</v>
      </c>
      <c r="AU1458">
        <v>2023</v>
      </c>
      <c r="AV1458">
        <v>39</v>
      </c>
      <c r="AW1458">
        <v>3</v>
      </c>
      <c r="AX1458" t="s">
        <v>74</v>
      </c>
      <c r="AY1458" t="s">
        <v>74</v>
      </c>
      <c r="AZ1458" t="s">
        <v>74</v>
      </c>
      <c r="BA1458" t="s">
        <v>74</v>
      </c>
      <c r="BB1458">
        <v>320</v>
      </c>
      <c r="BC1458">
        <v>332</v>
      </c>
      <c r="BD1458" t="s">
        <v>74</v>
      </c>
      <c r="BE1458" t="s">
        <v>26451</v>
      </c>
      <c r="BF1458" t="str">
        <f>HYPERLINK("http://dx.doi.org/10.1016/j.dental.2023.02.001","http://dx.doi.org/10.1016/j.dental.2023.02.001")</f>
        <v>http://dx.doi.org/10.1016/j.dental.2023.02.001</v>
      </c>
      <c r="BG1458" t="s">
        <v>74</v>
      </c>
      <c r="BH1458" t="s">
        <v>1431</v>
      </c>
      <c r="BI1458">
        <v>13</v>
      </c>
      <c r="BJ1458" t="s">
        <v>26452</v>
      </c>
      <c r="BK1458" t="s">
        <v>130</v>
      </c>
      <c r="BL1458" t="s">
        <v>26453</v>
      </c>
      <c r="BM1458" t="s">
        <v>26454</v>
      </c>
      <c r="BN1458">
        <v>36822895</v>
      </c>
      <c r="BO1458" t="s">
        <v>161</v>
      </c>
      <c r="BP1458" t="s">
        <v>1434</v>
      </c>
      <c r="BQ1458" t="s">
        <v>1912</v>
      </c>
      <c r="BR1458" t="s">
        <v>101</v>
      </c>
      <c r="BS1458" t="s">
        <v>26455</v>
      </c>
      <c r="BT1458" t="str">
        <f>HYPERLINK("https%3A%2F%2Fwww.webofscience.com%2Fwos%2Fwoscc%2Ffull-record%2FWOS:000955796000001","View Full Record in Web of Science")</f>
        <v>View Full Record in Web of Science</v>
      </c>
    </row>
    <row r="1459" spans="1:72" x14ac:dyDescent="0.2">
      <c r="A1459" t="s">
        <v>103</v>
      </c>
      <c r="B1459" t="s">
        <v>26456</v>
      </c>
      <c r="C1459" t="s">
        <v>74</v>
      </c>
      <c r="D1459" t="s">
        <v>74</v>
      </c>
      <c r="E1459" t="s">
        <v>74</v>
      </c>
      <c r="F1459" t="s">
        <v>26457</v>
      </c>
      <c r="G1459" t="s">
        <v>74</v>
      </c>
      <c r="H1459" t="s">
        <v>74</v>
      </c>
      <c r="I1459" t="s">
        <v>26458</v>
      </c>
      <c r="J1459" t="s">
        <v>14597</v>
      </c>
      <c r="K1459" t="s">
        <v>74</v>
      </c>
      <c r="L1459" t="s">
        <v>74</v>
      </c>
      <c r="M1459" t="s">
        <v>79</v>
      </c>
      <c r="N1459" t="s">
        <v>108</v>
      </c>
      <c r="O1459" t="s">
        <v>74</v>
      </c>
      <c r="P1459" t="s">
        <v>74</v>
      </c>
      <c r="Q1459" t="s">
        <v>74</v>
      </c>
      <c r="R1459" t="s">
        <v>74</v>
      </c>
      <c r="S1459" t="s">
        <v>74</v>
      </c>
      <c r="T1459" t="s">
        <v>26459</v>
      </c>
      <c r="U1459" t="s">
        <v>14338</v>
      </c>
      <c r="V1459" t="s">
        <v>26460</v>
      </c>
      <c r="W1459" t="s">
        <v>26461</v>
      </c>
      <c r="X1459" t="s">
        <v>7103</v>
      </c>
      <c r="Y1459" t="s">
        <v>26462</v>
      </c>
      <c r="Z1459" t="s">
        <v>26463</v>
      </c>
      <c r="AA1459" t="s">
        <v>26464</v>
      </c>
      <c r="AB1459" t="s">
        <v>74</v>
      </c>
      <c r="AC1459" t="s">
        <v>74</v>
      </c>
      <c r="AD1459" t="s">
        <v>74</v>
      </c>
      <c r="AE1459" t="s">
        <v>74</v>
      </c>
      <c r="AF1459" t="s">
        <v>74</v>
      </c>
      <c r="AG1459">
        <v>44</v>
      </c>
      <c r="AH1459">
        <v>0</v>
      </c>
      <c r="AI1459">
        <v>0</v>
      </c>
      <c r="AJ1459">
        <v>7</v>
      </c>
      <c r="AK1459">
        <v>7</v>
      </c>
      <c r="AL1459" t="s">
        <v>119</v>
      </c>
      <c r="AM1459" t="s">
        <v>120</v>
      </c>
      <c r="AN1459" t="s">
        <v>121</v>
      </c>
      <c r="AO1459" t="s">
        <v>14609</v>
      </c>
      <c r="AP1459" t="s">
        <v>14610</v>
      </c>
      <c r="AQ1459" t="s">
        <v>74</v>
      </c>
      <c r="AR1459" t="s">
        <v>14597</v>
      </c>
      <c r="AS1459" t="s">
        <v>14611</v>
      </c>
      <c r="AT1459" t="s">
        <v>2016</v>
      </c>
      <c r="AU1459">
        <v>2024</v>
      </c>
      <c r="AV1459">
        <v>169</v>
      </c>
      <c r="AW1459" t="s">
        <v>74</v>
      </c>
      <c r="AX1459" t="s">
        <v>74</v>
      </c>
      <c r="AY1459" t="s">
        <v>74</v>
      </c>
      <c r="AZ1459" t="s">
        <v>74</v>
      </c>
      <c r="BA1459" t="s">
        <v>74</v>
      </c>
      <c r="BB1459">
        <v>365</v>
      </c>
      <c r="BC1459">
        <v>377</v>
      </c>
      <c r="BD1459" t="s">
        <v>74</v>
      </c>
      <c r="BE1459" t="s">
        <v>26465</v>
      </c>
      <c r="BF1459" t="str">
        <f>HYPERLINK("http://dx.doi.org/10.1016/j.neunet.2023.10.036","http://dx.doi.org/10.1016/j.neunet.2023.10.036")</f>
        <v>http://dx.doi.org/10.1016/j.neunet.2023.10.036</v>
      </c>
      <c r="BG1459" t="s">
        <v>74</v>
      </c>
      <c r="BH1459" t="s">
        <v>157</v>
      </c>
      <c r="BI1459">
        <v>13</v>
      </c>
      <c r="BJ1459" t="s">
        <v>14613</v>
      </c>
      <c r="BK1459" t="s">
        <v>130</v>
      </c>
      <c r="BL1459" t="s">
        <v>14614</v>
      </c>
      <c r="BM1459" t="s">
        <v>26466</v>
      </c>
      <c r="BN1459">
        <v>37924606</v>
      </c>
      <c r="BO1459" t="s">
        <v>74</v>
      </c>
      <c r="BP1459" t="s">
        <v>74</v>
      </c>
      <c r="BQ1459" t="s">
        <v>74</v>
      </c>
      <c r="BR1459" t="s">
        <v>101</v>
      </c>
      <c r="BS1459" t="s">
        <v>26467</v>
      </c>
      <c r="BT1459" t="str">
        <f>HYPERLINK("https%3A%2F%2Fwww.webofscience.com%2Fwos%2Fwoscc%2Ffull-record%2FWOS:001107329700001","View Full Record in Web of Science")</f>
        <v>View Full Record in Web of Science</v>
      </c>
    </row>
    <row r="1460" spans="1:72" x14ac:dyDescent="0.2">
      <c r="A1460" t="s">
        <v>103</v>
      </c>
      <c r="B1460" t="s">
        <v>26468</v>
      </c>
      <c r="C1460" t="s">
        <v>74</v>
      </c>
      <c r="D1460" t="s">
        <v>74</v>
      </c>
      <c r="E1460" t="s">
        <v>74</v>
      </c>
      <c r="F1460" t="s">
        <v>26469</v>
      </c>
      <c r="G1460" t="s">
        <v>74</v>
      </c>
      <c r="H1460" t="s">
        <v>74</v>
      </c>
      <c r="I1460" t="s">
        <v>26470</v>
      </c>
      <c r="J1460" t="s">
        <v>4108</v>
      </c>
      <c r="K1460" t="s">
        <v>74</v>
      </c>
      <c r="L1460" t="s">
        <v>74</v>
      </c>
      <c r="M1460" t="s">
        <v>79</v>
      </c>
      <c r="N1460" t="s">
        <v>108</v>
      </c>
      <c r="O1460" t="s">
        <v>74</v>
      </c>
      <c r="P1460" t="s">
        <v>74</v>
      </c>
      <c r="Q1460" t="s">
        <v>74</v>
      </c>
      <c r="R1460" t="s">
        <v>74</v>
      </c>
      <c r="S1460" t="s">
        <v>74</v>
      </c>
      <c r="T1460" t="s">
        <v>26471</v>
      </c>
      <c r="U1460" t="s">
        <v>74</v>
      </c>
      <c r="V1460" t="s">
        <v>26472</v>
      </c>
      <c r="W1460" t="s">
        <v>26473</v>
      </c>
      <c r="X1460" t="s">
        <v>74</v>
      </c>
      <c r="Y1460" t="s">
        <v>26474</v>
      </c>
      <c r="Z1460" t="s">
        <v>26475</v>
      </c>
      <c r="AA1460" t="s">
        <v>26476</v>
      </c>
      <c r="AB1460" t="s">
        <v>26477</v>
      </c>
      <c r="AC1460" t="s">
        <v>74</v>
      </c>
      <c r="AD1460" t="s">
        <v>74</v>
      </c>
      <c r="AE1460" t="s">
        <v>74</v>
      </c>
      <c r="AF1460" t="s">
        <v>74</v>
      </c>
      <c r="AG1460">
        <v>27</v>
      </c>
      <c r="AH1460">
        <v>0</v>
      </c>
      <c r="AI1460">
        <v>0</v>
      </c>
      <c r="AJ1460">
        <v>6</v>
      </c>
      <c r="AK1460">
        <v>17</v>
      </c>
      <c r="AL1460" t="s">
        <v>343</v>
      </c>
      <c r="AM1460" t="s">
        <v>521</v>
      </c>
      <c r="AN1460" t="s">
        <v>522</v>
      </c>
      <c r="AO1460" t="s">
        <v>4115</v>
      </c>
      <c r="AP1460" t="s">
        <v>4116</v>
      </c>
      <c r="AQ1460" t="s">
        <v>74</v>
      </c>
      <c r="AR1460" t="s">
        <v>4117</v>
      </c>
      <c r="AS1460" t="s">
        <v>4118</v>
      </c>
      <c r="AT1460" t="s">
        <v>615</v>
      </c>
      <c r="AU1460">
        <v>2023</v>
      </c>
      <c r="AV1460">
        <v>82</v>
      </c>
      <c r="AW1460">
        <v>17</v>
      </c>
      <c r="AX1460" t="s">
        <v>74</v>
      </c>
      <c r="AY1460" t="s">
        <v>74</v>
      </c>
      <c r="AZ1460" t="s">
        <v>74</v>
      </c>
      <c r="BA1460" t="s">
        <v>74</v>
      </c>
      <c r="BB1460">
        <v>26495</v>
      </c>
      <c r="BC1460">
        <v>26509</v>
      </c>
      <c r="BD1460" t="s">
        <v>74</v>
      </c>
      <c r="BE1460" t="s">
        <v>26478</v>
      </c>
      <c r="BF1460" t="str">
        <f>HYPERLINK("http://dx.doi.org/10.1007/s11042-023-14975-0","http://dx.doi.org/10.1007/s11042-023-14975-0")</f>
        <v>http://dx.doi.org/10.1007/s11042-023-14975-0</v>
      </c>
      <c r="BG1460" t="s">
        <v>74</v>
      </c>
      <c r="BH1460" t="s">
        <v>1431</v>
      </c>
      <c r="BI1460">
        <v>15</v>
      </c>
      <c r="BJ1460" t="s">
        <v>4120</v>
      </c>
      <c r="BK1460" t="s">
        <v>130</v>
      </c>
      <c r="BL1460" t="s">
        <v>906</v>
      </c>
      <c r="BM1460" t="s">
        <v>26479</v>
      </c>
      <c r="BN1460" t="s">
        <v>74</v>
      </c>
      <c r="BO1460" t="s">
        <v>74</v>
      </c>
      <c r="BP1460" t="s">
        <v>74</v>
      </c>
      <c r="BQ1460" t="s">
        <v>74</v>
      </c>
      <c r="BR1460" t="s">
        <v>101</v>
      </c>
      <c r="BS1460" t="s">
        <v>26480</v>
      </c>
      <c r="BT1460" t="str">
        <f>HYPERLINK("https%3A%2F%2Fwww.webofscience.com%2Fwos%2Fwoscc%2Ffull-record%2FWOS:000943966200002","View Full Record in Web of Science")</f>
        <v>View Full Record in Web of Science</v>
      </c>
    </row>
    <row r="1461" spans="1:72" x14ac:dyDescent="0.2">
      <c r="A1461" t="s">
        <v>72</v>
      </c>
      <c r="B1461" t="s">
        <v>26481</v>
      </c>
      <c r="C1461" t="s">
        <v>74</v>
      </c>
      <c r="D1461" t="s">
        <v>74</v>
      </c>
      <c r="E1461" t="s">
        <v>284</v>
      </c>
      <c r="F1461" t="s">
        <v>26482</v>
      </c>
      <c r="G1461" t="s">
        <v>74</v>
      </c>
      <c r="H1461" t="s">
        <v>74</v>
      </c>
      <c r="I1461" t="s">
        <v>26483</v>
      </c>
      <c r="J1461" t="s">
        <v>8245</v>
      </c>
      <c r="K1461" t="s">
        <v>8246</v>
      </c>
      <c r="L1461" t="s">
        <v>74</v>
      </c>
      <c r="M1461" t="s">
        <v>79</v>
      </c>
      <c r="N1461" t="s">
        <v>80</v>
      </c>
      <c r="O1461" t="s">
        <v>8247</v>
      </c>
      <c r="P1461" t="s">
        <v>8248</v>
      </c>
      <c r="Q1461" t="s">
        <v>6017</v>
      </c>
      <c r="R1461" t="s">
        <v>8249</v>
      </c>
      <c r="S1461" t="s">
        <v>74</v>
      </c>
      <c r="T1461" t="s">
        <v>74</v>
      </c>
      <c r="U1461" t="s">
        <v>74</v>
      </c>
      <c r="V1461" t="s">
        <v>26484</v>
      </c>
      <c r="W1461" t="s">
        <v>26485</v>
      </c>
      <c r="X1461" t="s">
        <v>9584</v>
      </c>
      <c r="Y1461" t="s">
        <v>26486</v>
      </c>
      <c r="Z1461" t="s">
        <v>26487</v>
      </c>
      <c r="AA1461" t="s">
        <v>74</v>
      </c>
      <c r="AB1461" t="s">
        <v>26488</v>
      </c>
      <c r="AC1461" t="s">
        <v>26489</v>
      </c>
      <c r="AD1461" t="s">
        <v>26490</v>
      </c>
      <c r="AE1461" t="s">
        <v>26491</v>
      </c>
      <c r="AF1461" t="s">
        <v>74</v>
      </c>
      <c r="AG1461">
        <v>128</v>
      </c>
      <c r="AH1461">
        <v>0</v>
      </c>
      <c r="AI1461">
        <v>0</v>
      </c>
      <c r="AJ1461">
        <v>2</v>
      </c>
      <c r="AK1461">
        <v>2</v>
      </c>
      <c r="AL1461" t="s">
        <v>638</v>
      </c>
      <c r="AM1461" t="s">
        <v>639</v>
      </c>
      <c r="AN1461" t="s">
        <v>640</v>
      </c>
      <c r="AO1461" t="s">
        <v>8260</v>
      </c>
      <c r="AP1461" t="s">
        <v>74</v>
      </c>
      <c r="AQ1461" t="s">
        <v>8261</v>
      </c>
      <c r="AR1461" t="s">
        <v>8262</v>
      </c>
      <c r="AS1461" t="s">
        <v>74</v>
      </c>
      <c r="AT1461" t="s">
        <v>74</v>
      </c>
      <c r="AU1461">
        <v>2023</v>
      </c>
      <c r="AV1461" t="s">
        <v>74</v>
      </c>
      <c r="AW1461" t="s">
        <v>74</v>
      </c>
      <c r="AX1461" t="s">
        <v>74</v>
      </c>
      <c r="AY1461" t="s">
        <v>74</v>
      </c>
      <c r="AZ1461" t="s">
        <v>74</v>
      </c>
      <c r="BA1461" t="s">
        <v>74</v>
      </c>
      <c r="BB1461">
        <v>16206</v>
      </c>
      <c r="BC1461">
        <v>16218</v>
      </c>
      <c r="BD1461" t="s">
        <v>74</v>
      </c>
      <c r="BE1461" t="s">
        <v>26492</v>
      </c>
      <c r="BF1461" t="str">
        <f>HYPERLINK("http://dx.doi.org/10.1109/CVPR52729.2023.01555","http://dx.doi.org/10.1109/CVPR52729.2023.01555")</f>
        <v>http://dx.doi.org/10.1109/CVPR52729.2023.01555</v>
      </c>
      <c r="BG1461" t="s">
        <v>74</v>
      </c>
      <c r="BH1461" t="s">
        <v>74</v>
      </c>
      <c r="BI1461">
        <v>13</v>
      </c>
      <c r="BJ1461" t="s">
        <v>304</v>
      </c>
      <c r="BK1461" t="s">
        <v>98</v>
      </c>
      <c r="BL1461" t="s">
        <v>99</v>
      </c>
      <c r="BM1461" t="s">
        <v>9731</v>
      </c>
      <c r="BN1461" t="s">
        <v>74</v>
      </c>
      <c r="BO1461" t="s">
        <v>646</v>
      </c>
      <c r="BP1461" t="s">
        <v>74</v>
      </c>
      <c r="BQ1461" t="s">
        <v>74</v>
      </c>
      <c r="BR1461" t="s">
        <v>101</v>
      </c>
      <c r="BS1461" t="s">
        <v>26493</v>
      </c>
      <c r="BT1461" t="str">
        <f>HYPERLINK("https%3A%2F%2Fwww.webofscience.com%2Fwos%2Fwoscc%2Ffull-record%2FWOS:001062531300020","View Full Record in Web of Science")</f>
        <v>View Full Record in Web of Science</v>
      </c>
    </row>
    <row r="1462" spans="1:72" x14ac:dyDescent="0.2">
      <c r="A1462" t="s">
        <v>72</v>
      </c>
      <c r="B1462" t="s">
        <v>26494</v>
      </c>
      <c r="C1462" t="s">
        <v>74</v>
      </c>
      <c r="D1462" t="s">
        <v>74</v>
      </c>
      <c r="E1462" t="s">
        <v>284</v>
      </c>
      <c r="F1462" t="s">
        <v>26495</v>
      </c>
      <c r="G1462" t="s">
        <v>74</v>
      </c>
      <c r="H1462" t="s">
        <v>74</v>
      </c>
      <c r="I1462" t="s">
        <v>26496</v>
      </c>
      <c r="J1462" t="s">
        <v>21627</v>
      </c>
      <c r="K1462" t="s">
        <v>21628</v>
      </c>
      <c r="L1462" t="s">
        <v>74</v>
      </c>
      <c r="M1462" t="s">
        <v>79</v>
      </c>
      <c r="N1462" t="s">
        <v>80</v>
      </c>
      <c r="O1462" t="s">
        <v>21629</v>
      </c>
      <c r="P1462" t="s">
        <v>21630</v>
      </c>
      <c r="Q1462" t="s">
        <v>3660</v>
      </c>
      <c r="R1462" t="s">
        <v>21631</v>
      </c>
      <c r="S1462" t="s">
        <v>74</v>
      </c>
      <c r="T1462" t="s">
        <v>74</v>
      </c>
      <c r="U1462" t="s">
        <v>74</v>
      </c>
      <c r="V1462" t="s">
        <v>26497</v>
      </c>
      <c r="W1462" t="s">
        <v>26498</v>
      </c>
      <c r="X1462" t="s">
        <v>26499</v>
      </c>
      <c r="Y1462" t="s">
        <v>26500</v>
      </c>
      <c r="Z1462" t="s">
        <v>26501</v>
      </c>
      <c r="AA1462" t="s">
        <v>74</v>
      </c>
      <c r="AB1462" t="s">
        <v>26502</v>
      </c>
      <c r="AC1462" t="s">
        <v>74</v>
      </c>
      <c r="AD1462" t="s">
        <v>74</v>
      </c>
      <c r="AE1462" t="s">
        <v>74</v>
      </c>
      <c r="AF1462" t="s">
        <v>74</v>
      </c>
      <c r="AG1462">
        <v>22</v>
      </c>
      <c r="AH1462">
        <v>0</v>
      </c>
      <c r="AI1462">
        <v>0</v>
      </c>
      <c r="AJ1462">
        <v>0</v>
      </c>
      <c r="AK1462">
        <v>0</v>
      </c>
      <c r="AL1462" t="s">
        <v>284</v>
      </c>
      <c r="AM1462" t="s">
        <v>93</v>
      </c>
      <c r="AN1462" t="s">
        <v>299</v>
      </c>
      <c r="AO1462" t="s">
        <v>21641</v>
      </c>
      <c r="AP1462" t="s">
        <v>21642</v>
      </c>
      <c r="AQ1462" t="s">
        <v>21643</v>
      </c>
      <c r="AR1462" t="s">
        <v>21644</v>
      </c>
      <c r="AS1462" t="s">
        <v>74</v>
      </c>
      <c r="AT1462" t="s">
        <v>74</v>
      </c>
      <c r="AU1462">
        <v>2023</v>
      </c>
      <c r="AV1462" t="s">
        <v>74</v>
      </c>
      <c r="AW1462" t="s">
        <v>74</v>
      </c>
      <c r="AX1462" t="s">
        <v>74</v>
      </c>
      <c r="AY1462" t="s">
        <v>74</v>
      </c>
      <c r="AZ1462" t="s">
        <v>74</v>
      </c>
      <c r="BA1462" t="s">
        <v>74</v>
      </c>
      <c r="BB1462">
        <v>5558</v>
      </c>
      <c r="BC1462">
        <v>5565</v>
      </c>
      <c r="BD1462" t="s">
        <v>74</v>
      </c>
      <c r="BE1462" t="s">
        <v>26503</v>
      </c>
      <c r="BF1462" t="str">
        <f>HYPERLINK("http://dx.doi.org/10.1109/ICRA48891.2023.10160604","http://dx.doi.org/10.1109/ICRA48891.2023.10160604")</f>
        <v>http://dx.doi.org/10.1109/ICRA48891.2023.10160604</v>
      </c>
      <c r="BG1462" t="s">
        <v>74</v>
      </c>
      <c r="BH1462" t="s">
        <v>74</v>
      </c>
      <c r="BI1462">
        <v>8</v>
      </c>
      <c r="BJ1462" t="s">
        <v>21646</v>
      </c>
      <c r="BK1462" t="s">
        <v>98</v>
      </c>
      <c r="BL1462" t="s">
        <v>21647</v>
      </c>
      <c r="BM1462" t="s">
        <v>21648</v>
      </c>
      <c r="BN1462" t="s">
        <v>74</v>
      </c>
      <c r="BO1462" t="s">
        <v>646</v>
      </c>
      <c r="BP1462" t="s">
        <v>74</v>
      </c>
      <c r="BQ1462" t="s">
        <v>74</v>
      </c>
      <c r="BR1462" t="s">
        <v>101</v>
      </c>
      <c r="BS1462" t="s">
        <v>26504</v>
      </c>
      <c r="BT1462" t="str">
        <f>HYPERLINK("https%3A%2F%2Fwww.webofscience.com%2Fwos%2Fwoscc%2Ffull-record%2FWOS:001036713004077","View Full Record in Web of Science")</f>
        <v>View Full Record in Web of Science</v>
      </c>
    </row>
    <row r="1463" spans="1:72" x14ac:dyDescent="0.2">
      <c r="A1463" t="s">
        <v>103</v>
      </c>
      <c r="B1463" t="s">
        <v>26505</v>
      </c>
      <c r="C1463" t="s">
        <v>74</v>
      </c>
      <c r="D1463" t="s">
        <v>74</v>
      </c>
      <c r="E1463" t="s">
        <v>74</v>
      </c>
      <c r="F1463" t="s">
        <v>26506</v>
      </c>
      <c r="G1463" t="s">
        <v>74</v>
      </c>
      <c r="H1463" t="s">
        <v>74</v>
      </c>
      <c r="I1463" t="s">
        <v>26507</v>
      </c>
      <c r="J1463" t="s">
        <v>2392</v>
      </c>
      <c r="K1463" t="s">
        <v>74</v>
      </c>
      <c r="L1463" t="s">
        <v>74</v>
      </c>
      <c r="M1463" t="s">
        <v>79</v>
      </c>
      <c r="N1463" t="s">
        <v>108</v>
      </c>
      <c r="O1463" t="s">
        <v>74</v>
      </c>
      <c r="P1463" t="s">
        <v>74</v>
      </c>
      <c r="Q1463" t="s">
        <v>74</v>
      </c>
      <c r="R1463" t="s">
        <v>74</v>
      </c>
      <c r="S1463" t="s">
        <v>74</v>
      </c>
      <c r="T1463" t="s">
        <v>26508</v>
      </c>
      <c r="U1463" t="s">
        <v>26509</v>
      </c>
      <c r="V1463" t="s">
        <v>26510</v>
      </c>
      <c r="W1463" t="s">
        <v>26511</v>
      </c>
      <c r="X1463" t="s">
        <v>26512</v>
      </c>
      <c r="Y1463" t="s">
        <v>26513</v>
      </c>
      <c r="Z1463" t="s">
        <v>26514</v>
      </c>
      <c r="AA1463" t="s">
        <v>26515</v>
      </c>
      <c r="AB1463" t="s">
        <v>26516</v>
      </c>
      <c r="AC1463" t="s">
        <v>26517</v>
      </c>
      <c r="AD1463" t="s">
        <v>3400</v>
      </c>
      <c r="AE1463" t="s">
        <v>26518</v>
      </c>
      <c r="AF1463" t="s">
        <v>74</v>
      </c>
      <c r="AG1463">
        <v>30</v>
      </c>
      <c r="AH1463">
        <v>2</v>
      </c>
      <c r="AI1463">
        <v>2</v>
      </c>
      <c r="AJ1463">
        <v>9</v>
      </c>
      <c r="AK1463">
        <v>17</v>
      </c>
      <c r="AL1463" t="s">
        <v>1379</v>
      </c>
      <c r="AM1463" t="s">
        <v>1380</v>
      </c>
      <c r="AN1463" t="s">
        <v>1381</v>
      </c>
      <c r="AO1463" t="s">
        <v>2404</v>
      </c>
      <c r="AP1463" t="s">
        <v>74</v>
      </c>
      <c r="AQ1463" t="s">
        <v>74</v>
      </c>
      <c r="AR1463" t="s">
        <v>2405</v>
      </c>
      <c r="AS1463" t="s">
        <v>2406</v>
      </c>
      <c r="AT1463" t="s">
        <v>15398</v>
      </c>
      <c r="AU1463">
        <v>2023</v>
      </c>
      <c r="AV1463">
        <v>10</v>
      </c>
      <c r="AW1463">
        <v>12</v>
      </c>
      <c r="AX1463" t="s">
        <v>74</v>
      </c>
      <c r="AY1463" t="s">
        <v>74</v>
      </c>
      <c r="AZ1463" t="s">
        <v>74</v>
      </c>
      <c r="BA1463" t="s">
        <v>74</v>
      </c>
      <c r="BB1463">
        <v>10510</v>
      </c>
      <c r="BC1463">
        <v>10518</v>
      </c>
      <c r="BD1463" t="s">
        <v>74</v>
      </c>
      <c r="BE1463" t="s">
        <v>26519</v>
      </c>
      <c r="BF1463" t="str">
        <f>HYPERLINK("http://dx.doi.org/10.1109/JIOT.2023.3242319","http://dx.doi.org/10.1109/JIOT.2023.3242319")</f>
        <v>http://dx.doi.org/10.1109/JIOT.2023.3242319</v>
      </c>
      <c r="BG1463" t="s">
        <v>74</v>
      </c>
      <c r="BH1463" t="s">
        <v>74</v>
      </c>
      <c r="BI1463">
        <v>9</v>
      </c>
      <c r="BJ1463" t="s">
        <v>1385</v>
      </c>
      <c r="BK1463" t="s">
        <v>130</v>
      </c>
      <c r="BL1463" t="s">
        <v>1386</v>
      </c>
      <c r="BM1463" t="s">
        <v>26520</v>
      </c>
      <c r="BN1463" t="s">
        <v>74</v>
      </c>
      <c r="BO1463" t="s">
        <v>74</v>
      </c>
      <c r="BP1463" t="s">
        <v>74</v>
      </c>
      <c r="BQ1463" t="s">
        <v>74</v>
      </c>
      <c r="BR1463" t="s">
        <v>101</v>
      </c>
      <c r="BS1463" t="s">
        <v>26521</v>
      </c>
      <c r="BT1463" t="str">
        <f>HYPERLINK("https%3A%2F%2Fwww.webofscience.com%2Fwos%2Fwoscc%2Ffull-record%2FWOS:001000701600028","View Full Record in Web of Science")</f>
        <v>View Full Record in Web of Science</v>
      </c>
    </row>
    <row r="1464" spans="1:72" x14ac:dyDescent="0.2">
      <c r="A1464" t="s">
        <v>103</v>
      </c>
      <c r="B1464" t="s">
        <v>26522</v>
      </c>
      <c r="C1464" t="s">
        <v>74</v>
      </c>
      <c r="D1464" t="s">
        <v>74</v>
      </c>
      <c r="E1464" t="s">
        <v>74</v>
      </c>
      <c r="F1464" t="s">
        <v>26523</v>
      </c>
      <c r="G1464" t="s">
        <v>74</v>
      </c>
      <c r="H1464" t="s">
        <v>74</v>
      </c>
      <c r="I1464" t="s">
        <v>26524</v>
      </c>
      <c r="J1464" t="s">
        <v>23030</v>
      </c>
      <c r="K1464" t="s">
        <v>74</v>
      </c>
      <c r="L1464" t="s">
        <v>74</v>
      </c>
      <c r="M1464" t="s">
        <v>79</v>
      </c>
      <c r="N1464" t="s">
        <v>108</v>
      </c>
      <c r="O1464" t="s">
        <v>74</v>
      </c>
      <c r="P1464" t="s">
        <v>74</v>
      </c>
      <c r="Q1464" t="s">
        <v>74</v>
      </c>
      <c r="R1464" t="s">
        <v>74</v>
      </c>
      <c r="S1464" t="s">
        <v>74</v>
      </c>
      <c r="T1464" t="s">
        <v>74</v>
      </c>
      <c r="U1464" t="s">
        <v>13451</v>
      </c>
      <c r="V1464" t="s">
        <v>26525</v>
      </c>
      <c r="W1464" t="s">
        <v>26526</v>
      </c>
      <c r="X1464" t="s">
        <v>26527</v>
      </c>
      <c r="Y1464" t="s">
        <v>26528</v>
      </c>
      <c r="Z1464" t="s">
        <v>26529</v>
      </c>
      <c r="AA1464" t="s">
        <v>74</v>
      </c>
      <c r="AB1464" t="s">
        <v>74</v>
      </c>
      <c r="AC1464" t="s">
        <v>74</v>
      </c>
      <c r="AD1464" t="s">
        <v>74</v>
      </c>
      <c r="AE1464" t="s">
        <v>74</v>
      </c>
      <c r="AF1464" t="s">
        <v>74</v>
      </c>
      <c r="AG1464">
        <v>54</v>
      </c>
      <c r="AH1464">
        <v>0</v>
      </c>
      <c r="AI1464">
        <v>0</v>
      </c>
      <c r="AJ1464">
        <v>0</v>
      </c>
      <c r="AK1464">
        <v>0</v>
      </c>
      <c r="AL1464" t="s">
        <v>23042</v>
      </c>
      <c r="AM1464" t="s">
        <v>23043</v>
      </c>
      <c r="AN1464" t="s">
        <v>23044</v>
      </c>
      <c r="AO1464" t="s">
        <v>23045</v>
      </c>
      <c r="AP1464" t="s">
        <v>23046</v>
      </c>
      <c r="AQ1464" t="s">
        <v>74</v>
      </c>
      <c r="AR1464" t="s">
        <v>23047</v>
      </c>
      <c r="AS1464" t="s">
        <v>23048</v>
      </c>
      <c r="AT1464" t="s">
        <v>74</v>
      </c>
      <c r="AU1464">
        <v>2023</v>
      </c>
      <c r="AV1464">
        <v>78</v>
      </c>
      <c r="AW1464" t="s">
        <v>74</v>
      </c>
      <c r="AX1464" t="s">
        <v>74</v>
      </c>
      <c r="AY1464" t="s">
        <v>74</v>
      </c>
      <c r="AZ1464" t="s">
        <v>74</v>
      </c>
      <c r="BA1464" t="s">
        <v>74</v>
      </c>
      <c r="BB1464">
        <v>975</v>
      </c>
      <c r="BC1464">
        <v>1016</v>
      </c>
      <c r="BD1464" t="s">
        <v>74</v>
      </c>
      <c r="BE1464" t="s">
        <v>74</v>
      </c>
      <c r="BF1464" t="s">
        <v>74</v>
      </c>
      <c r="BG1464" t="s">
        <v>74</v>
      </c>
      <c r="BH1464" t="s">
        <v>74</v>
      </c>
      <c r="BI1464">
        <v>42</v>
      </c>
      <c r="BJ1464" t="s">
        <v>304</v>
      </c>
      <c r="BK1464" t="s">
        <v>130</v>
      </c>
      <c r="BL1464" t="s">
        <v>99</v>
      </c>
      <c r="BM1464" t="s">
        <v>26530</v>
      </c>
      <c r="BN1464" t="s">
        <v>74</v>
      </c>
      <c r="BO1464" t="s">
        <v>74</v>
      </c>
      <c r="BP1464" t="s">
        <v>74</v>
      </c>
      <c r="BQ1464" t="s">
        <v>74</v>
      </c>
      <c r="BR1464" t="s">
        <v>101</v>
      </c>
      <c r="BS1464" t="s">
        <v>26531</v>
      </c>
      <c r="BT1464" t="str">
        <f>HYPERLINK("https%3A%2F%2Fwww.webofscience.com%2Fwos%2Fwoscc%2Ffull-record%2FWOS:001124801100002","View Full Record in Web of Science")</f>
        <v>View Full Record in Web of Science</v>
      </c>
    </row>
    <row r="1465" spans="1:72" x14ac:dyDescent="0.2">
      <c r="A1465" t="s">
        <v>103</v>
      </c>
      <c r="B1465" t="s">
        <v>26532</v>
      </c>
      <c r="C1465" t="s">
        <v>74</v>
      </c>
      <c r="D1465" t="s">
        <v>74</v>
      </c>
      <c r="E1465" t="s">
        <v>74</v>
      </c>
      <c r="F1465" t="s">
        <v>26533</v>
      </c>
      <c r="G1465" t="s">
        <v>74</v>
      </c>
      <c r="H1465" t="s">
        <v>74</v>
      </c>
      <c r="I1465" t="s">
        <v>26534</v>
      </c>
      <c r="J1465" t="s">
        <v>26535</v>
      </c>
      <c r="K1465" t="s">
        <v>74</v>
      </c>
      <c r="L1465" t="s">
        <v>74</v>
      </c>
      <c r="M1465" t="s">
        <v>13100</v>
      </c>
      <c r="N1465" t="s">
        <v>108</v>
      </c>
      <c r="O1465" t="s">
        <v>74</v>
      </c>
      <c r="P1465" t="s">
        <v>74</v>
      </c>
      <c r="Q1465" t="s">
        <v>74</v>
      </c>
      <c r="R1465" t="s">
        <v>74</v>
      </c>
      <c r="S1465" t="s">
        <v>74</v>
      </c>
      <c r="T1465" t="s">
        <v>26536</v>
      </c>
      <c r="U1465" t="s">
        <v>26537</v>
      </c>
      <c r="V1465" t="s">
        <v>26538</v>
      </c>
      <c r="W1465" t="s">
        <v>26539</v>
      </c>
      <c r="X1465" t="s">
        <v>26540</v>
      </c>
      <c r="Y1465" t="s">
        <v>26541</v>
      </c>
      <c r="Z1465" t="s">
        <v>26542</v>
      </c>
      <c r="AA1465" t="s">
        <v>26543</v>
      </c>
      <c r="AB1465" t="s">
        <v>74</v>
      </c>
      <c r="AC1465" t="s">
        <v>74</v>
      </c>
      <c r="AD1465" t="s">
        <v>74</v>
      </c>
      <c r="AE1465" t="s">
        <v>74</v>
      </c>
      <c r="AF1465" t="s">
        <v>74</v>
      </c>
      <c r="AG1465">
        <v>95</v>
      </c>
      <c r="AH1465">
        <v>1</v>
      </c>
      <c r="AI1465">
        <v>1</v>
      </c>
      <c r="AJ1465">
        <v>16</v>
      </c>
      <c r="AK1465">
        <v>19</v>
      </c>
      <c r="AL1465" t="s">
        <v>13133</v>
      </c>
      <c r="AM1465" t="s">
        <v>26544</v>
      </c>
      <c r="AN1465" t="s">
        <v>26545</v>
      </c>
      <c r="AO1465" t="s">
        <v>26546</v>
      </c>
      <c r="AP1465" t="s">
        <v>26547</v>
      </c>
      <c r="AQ1465" t="s">
        <v>74</v>
      </c>
      <c r="AR1465" t="s">
        <v>26548</v>
      </c>
      <c r="AS1465" t="s">
        <v>26549</v>
      </c>
      <c r="AT1465" t="s">
        <v>74</v>
      </c>
      <c r="AU1465">
        <v>2023</v>
      </c>
      <c r="AV1465">
        <v>68</v>
      </c>
      <c r="AW1465">
        <v>17</v>
      </c>
      <c r="AX1465" t="s">
        <v>74</v>
      </c>
      <c r="AY1465" t="s">
        <v>74</v>
      </c>
      <c r="AZ1465" t="s">
        <v>74</v>
      </c>
      <c r="BA1465" t="s">
        <v>74</v>
      </c>
      <c r="BB1465">
        <v>2184</v>
      </c>
      <c r="BC1465">
        <v>2196</v>
      </c>
      <c r="BD1465" t="s">
        <v>74</v>
      </c>
      <c r="BE1465" t="s">
        <v>26550</v>
      </c>
      <c r="BF1465" t="str">
        <f>HYPERLINK("http://dx.doi.org/10.1360/TB-2022-1152","http://dx.doi.org/10.1360/TB-2022-1152")</f>
        <v>http://dx.doi.org/10.1360/TB-2022-1152</v>
      </c>
      <c r="BG1465" t="s">
        <v>74</v>
      </c>
      <c r="BH1465" t="s">
        <v>74</v>
      </c>
      <c r="BI1465">
        <v>13</v>
      </c>
      <c r="BJ1465" t="s">
        <v>5686</v>
      </c>
      <c r="BK1465" t="s">
        <v>352</v>
      </c>
      <c r="BL1465" t="s">
        <v>5687</v>
      </c>
      <c r="BM1465" t="s">
        <v>26551</v>
      </c>
      <c r="BN1465" t="s">
        <v>74</v>
      </c>
      <c r="BO1465" t="s">
        <v>74</v>
      </c>
      <c r="BP1465" t="s">
        <v>74</v>
      </c>
      <c r="BQ1465" t="s">
        <v>74</v>
      </c>
      <c r="BR1465" t="s">
        <v>101</v>
      </c>
      <c r="BS1465" t="s">
        <v>26552</v>
      </c>
      <c r="BT1465" t="str">
        <f>HYPERLINK("https%3A%2F%2Fwww.webofscience.com%2Fwos%2Fwoscc%2Ffull-record%2FWOS:001025691800007","View Full Record in Web of Science")</f>
        <v>View Full Record in Web of Science</v>
      </c>
    </row>
    <row r="1466" spans="1:72" x14ac:dyDescent="0.2">
      <c r="A1466" t="s">
        <v>103</v>
      </c>
      <c r="B1466" t="s">
        <v>26553</v>
      </c>
      <c r="C1466" t="s">
        <v>74</v>
      </c>
      <c r="D1466" t="s">
        <v>74</v>
      </c>
      <c r="E1466" t="s">
        <v>74</v>
      </c>
      <c r="F1466" t="s">
        <v>26554</v>
      </c>
      <c r="G1466" t="s">
        <v>74</v>
      </c>
      <c r="H1466" t="s">
        <v>74</v>
      </c>
      <c r="I1466" t="s">
        <v>26555</v>
      </c>
      <c r="J1466" t="s">
        <v>20206</v>
      </c>
      <c r="K1466" t="s">
        <v>74</v>
      </c>
      <c r="L1466" t="s">
        <v>74</v>
      </c>
      <c r="M1466" t="s">
        <v>79</v>
      </c>
      <c r="N1466" t="s">
        <v>108</v>
      </c>
      <c r="O1466" t="s">
        <v>74</v>
      </c>
      <c r="P1466" t="s">
        <v>74</v>
      </c>
      <c r="Q1466" t="s">
        <v>74</v>
      </c>
      <c r="R1466" t="s">
        <v>74</v>
      </c>
      <c r="S1466" t="s">
        <v>74</v>
      </c>
      <c r="T1466" t="s">
        <v>26556</v>
      </c>
      <c r="U1466" t="s">
        <v>26557</v>
      </c>
      <c r="V1466" t="s">
        <v>26558</v>
      </c>
      <c r="W1466" t="s">
        <v>26559</v>
      </c>
      <c r="X1466" t="s">
        <v>26560</v>
      </c>
      <c r="Y1466" t="s">
        <v>26561</v>
      </c>
      <c r="Z1466" t="s">
        <v>26562</v>
      </c>
      <c r="AA1466" t="s">
        <v>74</v>
      </c>
      <c r="AB1466" t="s">
        <v>26563</v>
      </c>
      <c r="AC1466" t="s">
        <v>26564</v>
      </c>
      <c r="AD1466" t="s">
        <v>3400</v>
      </c>
      <c r="AE1466" t="s">
        <v>26565</v>
      </c>
      <c r="AF1466" t="s">
        <v>74</v>
      </c>
      <c r="AG1466">
        <v>49</v>
      </c>
      <c r="AH1466">
        <v>1</v>
      </c>
      <c r="AI1466">
        <v>1</v>
      </c>
      <c r="AJ1466">
        <v>0</v>
      </c>
      <c r="AK1466">
        <v>0</v>
      </c>
      <c r="AL1466" t="s">
        <v>1379</v>
      </c>
      <c r="AM1466" t="s">
        <v>1380</v>
      </c>
      <c r="AN1466" t="s">
        <v>1381</v>
      </c>
      <c r="AO1466" t="s">
        <v>20218</v>
      </c>
      <c r="AP1466" t="s">
        <v>20219</v>
      </c>
      <c r="AQ1466" t="s">
        <v>74</v>
      </c>
      <c r="AR1466" t="s">
        <v>20220</v>
      </c>
      <c r="AS1466" t="s">
        <v>20221</v>
      </c>
      <c r="AT1466" t="s">
        <v>74</v>
      </c>
      <c r="AU1466">
        <v>2023</v>
      </c>
      <c r="AV1466">
        <v>31</v>
      </c>
      <c r="AW1466" t="s">
        <v>74</v>
      </c>
      <c r="AX1466" t="s">
        <v>74</v>
      </c>
      <c r="AY1466" t="s">
        <v>74</v>
      </c>
      <c r="AZ1466" t="s">
        <v>74</v>
      </c>
      <c r="BA1466" t="s">
        <v>74</v>
      </c>
      <c r="BB1466">
        <v>3362</v>
      </c>
      <c r="BC1466">
        <v>3373</v>
      </c>
      <c r="BD1466" t="s">
        <v>74</v>
      </c>
      <c r="BE1466" t="s">
        <v>26566</v>
      </c>
      <c r="BF1466" t="str">
        <f>HYPERLINK("http://dx.doi.org/10.1109/TASLP.2023.3321191","http://dx.doi.org/10.1109/TASLP.2023.3321191")</f>
        <v>http://dx.doi.org/10.1109/TASLP.2023.3321191</v>
      </c>
      <c r="BG1466" t="s">
        <v>74</v>
      </c>
      <c r="BH1466" t="s">
        <v>74</v>
      </c>
      <c r="BI1466">
        <v>12</v>
      </c>
      <c r="BJ1466" t="s">
        <v>11496</v>
      </c>
      <c r="BK1466" t="s">
        <v>130</v>
      </c>
      <c r="BL1466" t="s">
        <v>11497</v>
      </c>
      <c r="BM1466" t="s">
        <v>20223</v>
      </c>
      <c r="BN1466" t="s">
        <v>74</v>
      </c>
      <c r="BO1466" t="s">
        <v>74</v>
      </c>
      <c r="BP1466" t="s">
        <v>74</v>
      </c>
      <c r="BQ1466" t="s">
        <v>74</v>
      </c>
      <c r="BR1466" t="s">
        <v>101</v>
      </c>
      <c r="BS1466" t="s">
        <v>26567</v>
      </c>
      <c r="BT1466" t="str">
        <f>HYPERLINK("https%3A%2F%2Fwww.webofscience.com%2Fwos%2Fwoscc%2Ffull-record%2FWOS:001089305500002","View Full Record in Web of Science")</f>
        <v>View Full Record in Web of Science</v>
      </c>
    </row>
    <row r="1467" spans="1:72" x14ac:dyDescent="0.2">
      <c r="A1467" t="s">
        <v>72</v>
      </c>
      <c r="B1467" t="s">
        <v>26568</v>
      </c>
      <c r="C1467" t="s">
        <v>74</v>
      </c>
      <c r="D1467" t="s">
        <v>8562</v>
      </c>
      <c r="E1467" t="s">
        <v>74</v>
      </c>
      <c r="F1467" t="s">
        <v>26569</v>
      </c>
      <c r="G1467" t="s">
        <v>74</v>
      </c>
      <c r="H1467" t="s">
        <v>74</v>
      </c>
      <c r="I1467" t="s">
        <v>26570</v>
      </c>
      <c r="J1467" t="s">
        <v>8565</v>
      </c>
      <c r="K1467" t="s">
        <v>1034</v>
      </c>
      <c r="L1467" t="s">
        <v>74</v>
      </c>
      <c r="M1467" t="s">
        <v>79</v>
      </c>
      <c r="N1467" t="s">
        <v>80</v>
      </c>
      <c r="O1467" t="s">
        <v>8566</v>
      </c>
      <c r="P1467" t="s">
        <v>8567</v>
      </c>
      <c r="Q1467" t="s">
        <v>8568</v>
      </c>
      <c r="R1467" t="s">
        <v>8569</v>
      </c>
      <c r="S1467" t="s">
        <v>74</v>
      </c>
      <c r="T1467" t="s">
        <v>74</v>
      </c>
      <c r="U1467" t="s">
        <v>74</v>
      </c>
      <c r="V1467" t="s">
        <v>26571</v>
      </c>
      <c r="W1467" t="s">
        <v>26572</v>
      </c>
      <c r="X1467" t="s">
        <v>26573</v>
      </c>
      <c r="Y1467" t="s">
        <v>26574</v>
      </c>
      <c r="Z1467" t="s">
        <v>26575</v>
      </c>
      <c r="AA1467" t="s">
        <v>74</v>
      </c>
      <c r="AB1467" t="s">
        <v>26576</v>
      </c>
      <c r="AC1467" t="s">
        <v>74</v>
      </c>
      <c r="AD1467" t="s">
        <v>74</v>
      </c>
      <c r="AE1467" t="s">
        <v>74</v>
      </c>
      <c r="AF1467" t="s">
        <v>74</v>
      </c>
      <c r="AG1467">
        <v>39</v>
      </c>
      <c r="AH1467">
        <v>0</v>
      </c>
      <c r="AI1467">
        <v>0</v>
      </c>
      <c r="AJ1467">
        <v>0</v>
      </c>
      <c r="AK1467">
        <v>0</v>
      </c>
      <c r="AL1467" t="s">
        <v>325</v>
      </c>
      <c r="AM1467" t="s">
        <v>245</v>
      </c>
      <c r="AN1467" t="s">
        <v>246</v>
      </c>
      <c r="AO1467" t="s">
        <v>1042</v>
      </c>
      <c r="AP1467" t="s">
        <v>327</v>
      </c>
      <c r="AQ1467" t="s">
        <v>8579</v>
      </c>
      <c r="AR1467" t="s">
        <v>1044</v>
      </c>
      <c r="AS1467" t="s">
        <v>74</v>
      </c>
      <c r="AT1467" t="s">
        <v>74</v>
      </c>
      <c r="AU1467">
        <v>2023</v>
      </c>
      <c r="AV1467">
        <v>13718</v>
      </c>
      <c r="AW1467" t="s">
        <v>74</v>
      </c>
      <c r="AX1467" t="s">
        <v>74</v>
      </c>
      <c r="AY1467" t="s">
        <v>74</v>
      </c>
      <c r="AZ1467" t="s">
        <v>74</v>
      </c>
      <c r="BA1467" t="s">
        <v>74</v>
      </c>
      <c r="BB1467">
        <v>335</v>
      </c>
      <c r="BC1467">
        <v>352</v>
      </c>
      <c r="BD1467" t="s">
        <v>74</v>
      </c>
      <c r="BE1467" t="s">
        <v>26577</v>
      </c>
      <c r="BF1467" t="str">
        <f>HYPERLINK("http://dx.doi.org/10.1007/978-3-031-26422-1_21","http://dx.doi.org/10.1007/978-3-031-26422-1_21")</f>
        <v>http://dx.doi.org/10.1007/978-3-031-26422-1_21</v>
      </c>
      <c r="BG1467" t="s">
        <v>74</v>
      </c>
      <c r="BH1467" t="s">
        <v>74</v>
      </c>
      <c r="BI1467">
        <v>18</v>
      </c>
      <c r="BJ1467" t="s">
        <v>3012</v>
      </c>
      <c r="BK1467" t="s">
        <v>98</v>
      </c>
      <c r="BL1467" t="s">
        <v>99</v>
      </c>
      <c r="BM1467" t="s">
        <v>8581</v>
      </c>
      <c r="BN1467" t="s">
        <v>74</v>
      </c>
      <c r="BO1467" t="s">
        <v>646</v>
      </c>
      <c r="BP1467" t="s">
        <v>74</v>
      </c>
      <c r="BQ1467" t="s">
        <v>74</v>
      </c>
      <c r="BR1467" t="s">
        <v>101</v>
      </c>
      <c r="BS1467" t="s">
        <v>26578</v>
      </c>
      <c r="BT1467" t="str">
        <f>HYPERLINK("https%3A%2F%2Fwww.webofscience.com%2Fwos%2Fwoscc%2Ffull-record%2FWOS:000999152800021","View Full Record in Web of Science")</f>
        <v>View Full Record in Web of Science</v>
      </c>
    </row>
    <row r="1468" spans="1:72" x14ac:dyDescent="0.2">
      <c r="A1468" t="s">
        <v>103</v>
      </c>
      <c r="B1468" t="s">
        <v>26579</v>
      </c>
      <c r="C1468" t="s">
        <v>74</v>
      </c>
      <c r="D1468" t="s">
        <v>74</v>
      </c>
      <c r="E1468" t="s">
        <v>74</v>
      </c>
      <c r="F1468" t="s">
        <v>26580</v>
      </c>
      <c r="G1468" t="s">
        <v>74</v>
      </c>
      <c r="H1468" t="s">
        <v>74</v>
      </c>
      <c r="I1468" t="s">
        <v>26581</v>
      </c>
      <c r="J1468" t="s">
        <v>26582</v>
      </c>
      <c r="K1468" t="s">
        <v>74</v>
      </c>
      <c r="L1468" t="s">
        <v>74</v>
      </c>
      <c r="M1468" t="s">
        <v>79</v>
      </c>
      <c r="N1468" t="s">
        <v>108</v>
      </c>
      <c r="O1468" t="s">
        <v>74</v>
      </c>
      <c r="P1468" t="s">
        <v>74</v>
      </c>
      <c r="Q1468" t="s">
        <v>74</v>
      </c>
      <c r="R1468" t="s">
        <v>74</v>
      </c>
      <c r="S1468" t="s">
        <v>74</v>
      </c>
      <c r="T1468" t="s">
        <v>26583</v>
      </c>
      <c r="U1468" t="s">
        <v>26584</v>
      </c>
      <c r="V1468" t="s">
        <v>26585</v>
      </c>
      <c r="W1468" t="s">
        <v>26586</v>
      </c>
      <c r="X1468" t="s">
        <v>26587</v>
      </c>
      <c r="Y1468" t="s">
        <v>26588</v>
      </c>
      <c r="Z1468" t="s">
        <v>26589</v>
      </c>
      <c r="AA1468" t="s">
        <v>26590</v>
      </c>
      <c r="AB1468" t="s">
        <v>26591</v>
      </c>
      <c r="AC1468" t="s">
        <v>26592</v>
      </c>
      <c r="AD1468" t="s">
        <v>26593</v>
      </c>
      <c r="AE1468" t="s">
        <v>26594</v>
      </c>
      <c r="AF1468" t="s">
        <v>74</v>
      </c>
      <c r="AG1468">
        <v>83</v>
      </c>
      <c r="AH1468">
        <v>4</v>
      </c>
      <c r="AI1468">
        <v>4</v>
      </c>
      <c r="AJ1468">
        <v>25</v>
      </c>
      <c r="AK1468">
        <v>53</v>
      </c>
      <c r="AL1468" t="s">
        <v>764</v>
      </c>
      <c r="AM1468" t="s">
        <v>765</v>
      </c>
      <c r="AN1468" t="s">
        <v>766</v>
      </c>
      <c r="AO1468" t="s">
        <v>26595</v>
      </c>
      <c r="AP1468" t="s">
        <v>26596</v>
      </c>
      <c r="AQ1468" t="s">
        <v>74</v>
      </c>
      <c r="AR1468" t="s">
        <v>26597</v>
      </c>
      <c r="AS1468" t="s">
        <v>26598</v>
      </c>
      <c r="AT1468" t="s">
        <v>4461</v>
      </c>
      <c r="AU1468">
        <v>2023</v>
      </c>
      <c r="AV1468">
        <v>318</v>
      </c>
      <c r="AW1468" t="s">
        <v>74</v>
      </c>
      <c r="AX1468" t="s">
        <v>74</v>
      </c>
      <c r="AY1468" t="s">
        <v>74</v>
      </c>
      <c r="AZ1468" t="s">
        <v>74</v>
      </c>
      <c r="BA1468" t="s">
        <v>74</v>
      </c>
      <c r="BB1468" t="s">
        <v>74</v>
      </c>
      <c r="BC1468" t="s">
        <v>74</v>
      </c>
      <c r="BD1468">
        <v>103886</v>
      </c>
      <c r="BE1468" t="s">
        <v>26599</v>
      </c>
      <c r="BF1468" t="str">
        <f>HYPERLINK("http://dx.doi.org/10.1016/j.artint.2023.103886","http://dx.doi.org/10.1016/j.artint.2023.103886")</f>
        <v>http://dx.doi.org/10.1016/j.artint.2023.103886</v>
      </c>
      <c r="BG1468" t="s">
        <v>74</v>
      </c>
      <c r="BH1468" t="s">
        <v>1431</v>
      </c>
      <c r="BI1468">
        <v>29</v>
      </c>
      <c r="BJ1468" t="s">
        <v>304</v>
      </c>
      <c r="BK1468" t="s">
        <v>130</v>
      </c>
      <c r="BL1468" t="s">
        <v>99</v>
      </c>
      <c r="BM1468" t="s">
        <v>26600</v>
      </c>
      <c r="BN1468" t="s">
        <v>74</v>
      </c>
      <c r="BO1468" t="s">
        <v>74</v>
      </c>
      <c r="BP1468" t="s">
        <v>74</v>
      </c>
      <c r="BQ1468" t="s">
        <v>74</v>
      </c>
      <c r="BR1468" t="s">
        <v>101</v>
      </c>
      <c r="BS1468" t="s">
        <v>26601</v>
      </c>
      <c r="BT1468" t="str">
        <f>HYPERLINK("https%3A%2F%2Fwww.webofscience.com%2Fwos%2Fwoscc%2Ffull-record%2FWOS:000962446000001","View Full Record in Web of Science")</f>
        <v>View Full Record in Web of Science</v>
      </c>
    </row>
    <row r="1469" spans="1:72" x14ac:dyDescent="0.2">
      <c r="A1469" t="s">
        <v>72</v>
      </c>
      <c r="B1469" t="s">
        <v>26602</v>
      </c>
      <c r="C1469" t="s">
        <v>74</v>
      </c>
      <c r="D1469" t="s">
        <v>6011</v>
      </c>
      <c r="E1469" t="s">
        <v>74</v>
      </c>
      <c r="F1469" t="s">
        <v>26603</v>
      </c>
      <c r="G1469" t="s">
        <v>74</v>
      </c>
      <c r="H1469" t="s">
        <v>74</v>
      </c>
      <c r="I1469" t="s">
        <v>26604</v>
      </c>
      <c r="J1469" t="s">
        <v>20933</v>
      </c>
      <c r="K1469" t="s">
        <v>312</v>
      </c>
      <c r="L1469" t="s">
        <v>74</v>
      </c>
      <c r="M1469" t="s">
        <v>79</v>
      </c>
      <c r="N1469" t="s">
        <v>80</v>
      </c>
      <c r="O1469" t="s">
        <v>6015</v>
      </c>
      <c r="P1469" t="s">
        <v>6016</v>
      </c>
      <c r="Q1469" t="s">
        <v>6017</v>
      </c>
      <c r="R1469" t="s">
        <v>74</v>
      </c>
      <c r="S1469" t="s">
        <v>74</v>
      </c>
      <c r="T1469" t="s">
        <v>26605</v>
      </c>
      <c r="U1469" t="s">
        <v>74</v>
      </c>
      <c r="V1469" t="s">
        <v>26606</v>
      </c>
      <c r="W1469" t="s">
        <v>26607</v>
      </c>
      <c r="X1469" t="s">
        <v>26608</v>
      </c>
      <c r="Y1469" t="s">
        <v>26609</v>
      </c>
      <c r="Z1469" t="s">
        <v>26610</v>
      </c>
      <c r="AA1469" t="s">
        <v>16120</v>
      </c>
      <c r="AB1469" t="s">
        <v>16121</v>
      </c>
      <c r="AC1469" t="s">
        <v>74</v>
      </c>
      <c r="AD1469" t="s">
        <v>74</v>
      </c>
      <c r="AE1469" t="s">
        <v>74</v>
      </c>
      <c r="AF1469" t="s">
        <v>74</v>
      </c>
      <c r="AG1469">
        <v>19</v>
      </c>
      <c r="AH1469">
        <v>0</v>
      </c>
      <c r="AI1469">
        <v>0</v>
      </c>
      <c r="AJ1469">
        <v>0</v>
      </c>
      <c r="AK1469">
        <v>0</v>
      </c>
      <c r="AL1469" t="s">
        <v>325</v>
      </c>
      <c r="AM1469" t="s">
        <v>245</v>
      </c>
      <c r="AN1469" t="s">
        <v>246</v>
      </c>
      <c r="AO1469" t="s">
        <v>326</v>
      </c>
      <c r="AP1469" t="s">
        <v>327</v>
      </c>
      <c r="AQ1469" t="s">
        <v>20942</v>
      </c>
      <c r="AR1469" t="s">
        <v>329</v>
      </c>
      <c r="AS1469" t="s">
        <v>74</v>
      </c>
      <c r="AT1469" t="s">
        <v>74</v>
      </c>
      <c r="AU1469">
        <v>2023</v>
      </c>
      <c r="AV1469">
        <v>14225</v>
      </c>
      <c r="AW1469" t="s">
        <v>74</v>
      </c>
      <c r="AX1469" t="s">
        <v>74</v>
      </c>
      <c r="AY1469" t="s">
        <v>74</v>
      </c>
      <c r="AZ1469" t="s">
        <v>74</v>
      </c>
      <c r="BA1469" t="s">
        <v>74</v>
      </c>
      <c r="BB1469">
        <v>518</v>
      </c>
      <c r="BC1469">
        <v>527</v>
      </c>
      <c r="BD1469" t="s">
        <v>74</v>
      </c>
      <c r="BE1469" t="s">
        <v>26611</v>
      </c>
      <c r="BF1469" t="str">
        <f>HYPERLINK("http://dx.doi.org/10.1007/978-3-031-43987-2_50","http://dx.doi.org/10.1007/978-3-031-43987-2_50")</f>
        <v>http://dx.doi.org/10.1007/978-3-031-43987-2_50</v>
      </c>
      <c r="BG1469" t="s">
        <v>74</v>
      </c>
      <c r="BH1469" t="s">
        <v>74</v>
      </c>
      <c r="BI1469">
        <v>10</v>
      </c>
      <c r="BJ1469" t="s">
        <v>6029</v>
      </c>
      <c r="BK1469" t="s">
        <v>98</v>
      </c>
      <c r="BL1469" t="s">
        <v>6030</v>
      </c>
      <c r="BM1469" t="s">
        <v>20944</v>
      </c>
      <c r="BN1469" t="s">
        <v>74</v>
      </c>
      <c r="BO1469" t="s">
        <v>646</v>
      </c>
      <c r="BP1469" t="s">
        <v>74</v>
      </c>
      <c r="BQ1469" t="s">
        <v>74</v>
      </c>
      <c r="BR1469" t="s">
        <v>101</v>
      </c>
      <c r="BS1469" t="s">
        <v>26612</v>
      </c>
      <c r="BT1469" t="str">
        <f>HYPERLINK("https%3A%2F%2Fwww.webofscience.com%2Fwos%2Fwoscc%2Ffull-record%2FWOS:001109635100050","View Full Record in Web of Science")</f>
        <v>View Full Record in Web of Science</v>
      </c>
    </row>
    <row r="1470" spans="1:72" x14ac:dyDescent="0.2">
      <c r="A1470" t="s">
        <v>103</v>
      </c>
      <c r="B1470" t="s">
        <v>26613</v>
      </c>
      <c r="C1470" t="s">
        <v>74</v>
      </c>
      <c r="D1470" t="s">
        <v>74</v>
      </c>
      <c r="E1470" t="s">
        <v>74</v>
      </c>
      <c r="F1470" t="s">
        <v>26614</v>
      </c>
      <c r="G1470" t="s">
        <v>74</v>
      </c>
      <c r="H1470" t="s">
        <v>74</v>
      </c>
      <c r="I1470" t="s">
        <v>26615</v>
      </c>
      <c r="J1470" t="s">
        <v>10184</v>
      </c>
      <c r="K1470" t="s">
        <v>74</v>
      </c>
      <c r="L1470" t="s">
        <v>74</v>
      </c>
      <c r="M1470" t="s">
        <v>79</v>
      </c>
      <c r="N1470" t="s">
        <v>108</v>
      </c>
      <c r="O1470" t="s">
        <v>74</v>
      </c>
      <c r="P1470" t="s">
        <v>74</v>
      </c>
      <c r="Q1470" t="s">
        <v>74</v>
      </c>
      <c r="R1470" t="s">
        <v>74</v>
      </c>
      <c r="S1470" t="s">
        <v>74</v>
      </c>
      <c r="T1470" t="s">
        <v>74</v>
      </c>
      <c r="U1470" t="s">
        <v>26616</v>
      </c>
      <c r="V1470" t="s">
        <v>26617</v>
      </c>
      <c r="W1470" t="s">
        <v>26618</v>
      </c>
      <c r="X1470" t="s">
        <v>26619</v>
      </c>
      <c r="Y1470" t="s">
        <v>26620</v>
      </c>
      <c r="Z1470" t="s">
        <v>26621</v>
      </c>
      <c r="AA1470" t="s">
        <v>26622</v>
      </c>
      <c r="AB1470" t="s">
        <v>26623</v>
      </c>
      <c r="AC1470" t="s">
        <v>26624</v>
      </c>
      <c r="AD1470" t="s">
        <v>26625</v>
      </c>
      <c r="AE1470" t="s">
        <v>26626</v>
      </c>
      <c r="AF1470" t="s">
        <v>74</v>
      </c>
      <c r="AG1470">
        <v>60</v>
      </c>
      <c r="AH1470">
        <v>3</v>
      </c>
      <c r="AI1470">
        <v>3</v>
      </c>
      <c r="AJ1470">
        <v>14</v>
      </c>
      <c r="AK1470">
        <v>23</v>
      </c>
      <c r="AL1470" t="s">
        <v>1880</v>
      </c>
      <c r="AM1470" t="s">
        <v>369</v>
      </c>
      <c r="AN1470" t="s">
        <v>1881</v>
      </c>
      <c r="AO1470" t="s">
        <v>74</v>
      </c>
      <c r="AP1470" t="s">
        <v>10196</v>
      </c>
      <c r="AQ1470" t="s">
        <v>74</v>
      </c>
      <c r="AR1470" t="s">
        <v>10197</v>
      </c>
      <c r="AS1470" t="s">
        <v>10198</v>
      </c>
      <c r="AT1470" t="s">
        <v>791</v>
      </c>
      <c r="AU1470">
        <v>2023</v>
      </c>
      <c r="AV1470">
        <v>5</v>
      </c>
      <c r="AW1470">
        <v>8</v>
      </c>
      <c r="AX1470" t="s">
        <v>74</v>
      </c>
      <c r="AY1470" t="s">
        <v>74</v>
      </c>
      <c r="AZ1470" t="s">
        <v>74</v>
      </c>
      <c r="BA1470" t="s">
        <v>74</v>
      </c>
      <c r="BB1470">
        <v>830</v>
      </c>
      <c r="BC1470" t="s">
        <v>8886</v>
      </c>
      <c r="BD1470" t="s">
        <v>74</v>
      </c>
      <c r="BE1470" t="s">
        <v>26627</v>
      </c>
      <c r="BF1470" t="str">
        <f>HYPERLINK("http://dx.doi.org/10.1038/s42256-023-00689-3","http://dx.doi.org/10.1038/s42256-023-00689-3")</f>
        <v>http://dx.doi.org/10.1038/s42256-023-00689-3</v>
      </c>
      <c r="BG1470" t="s">
        <v>74</v>
      </c>
      <c r="BH1470" t="s">
        <v>229</v>
      </c>
      <c r="BI1470">
        <v>25</v>
      </c>
      <c r="BJ1470" t="s">
        <v>1069</v>
      </c>
      <c r="BK1470" t="s">
        <v>130</v>
      </c>
      <c r="BL1470" t="s">
        <v>99</v>
      </c>
      <c r="BM1470" t="s">
        <v>26628</v>
      </c>
      <c r="BN1470">
        <v>37615032</v>
      </c>
      <c r="BO1470" t="s">
        <v>4863</v>
      </c>
      <c r="BP1470" t="s">
        <v>74</v>
      </c>
      <c r="BQ1470" t="s">
        <v>74</v>
      </c>
      <c r="BR1470" t="s">
        <v>101</v>
      </c>
      <c r="BS1470" t="s">
        <v>26629</v>
      </c>
      <c r="BT1470" t="str">
        <f>HYPERLINK("https%3A%2F%2Fwww.webofscience.com%2Fwos%2Fwoscc%2Ffull-record%2FWOS:001037339300002","View Full Record in Web of Science")</f>
        <v>View Full Record in Web of Science</v>
      </c>
    </row>
    <row r="1471" spans="1:72" x14ac:dyDescent="0.2">
      <c r="A1471" t="s">
        <v>103</v>
      </c>
      <c r="B1471" t="s">
        <v>26630</v>
      </c>
      <c r="C1471" t="s">
        <v>74</v>
      </c>
      <c r="D1471" t="s">
        <v>74</v>
      </c>
      <c r="E1471" t="s">
        <v>74</v>
      </c>
      <c r="F1471" t="s">
        <v>26631</v>
      </c>
      <c r="G1471" t="s">
        <v>74</v>
      </c>
      <c r="H1471" t="s">
        <v>74</v>
      </c>
      <c r="I1471" t="s">
        <v>26632</v>
      </c>
      <c r="J1471" t="s">
        <v>26633</v>
      </c>
      <c r="K1471" t="s">
        <v>74</v>
      </c>
      <c r="L1471" t="s">
        <v>74</v>
      </c>
      <c r="M1471" t="s">
        <v>79</v>
      </c>
      <c r="N1471" t="s">
        <v>108</v>
      </c>
      <c r="O1471" t="s">
        <v>74</v>
      </c>
      <c r="P1471" t="s">
        <v>74</v>
      </c>
      <c r="Q1471" t="s">
        <v>74</v>
      </c>
      <c r="R1471" t="s">
        <v>74</v>
      </c>
      <c r="S1471" t="s">
        <v>74</v>
      </c>
      <c r="T1471" t="s">
        <v>74</v>
      </c>
      <c r="U1471" t="s">
        <v>26634</v>
      </c>
      <c r="V1471" t="s">
        <v>26635</v>
      </c>
      <c r="W1471" t="s">
        <v>26636</v>
      </c>
      <c r="X1471" t="s">
        <v>15198</v>
      </c>
      <c r="Y1471" t="s">
        <v>26637</v>
      </c>
      <c r="Z1471" t="s">
        <v>26638</v>
      </c>
      <c r="AA1471" t="s">
        <v>26639</v>
      </c>
      <c r="AB1471" t="s">
        <v>26640</v>
      </c>
      <c r="AC1471" t="s">
        <v>26641</v>
      </c>
      <c r="AD1471" t="s">
        <v>26642</v>
      </c>
      <c r="AE1471" t="s">
        <v>26643</v>
      </c>
      <c r="AF1471" t="s">
        <v>74</v>
      </c>
      <c r="AG1471">
        <v>123</v>
      </c>
      <c r="AH1471">
        <v>1</v>
      </c>
      <c r="AI1471">
        <v>1</v>
      </c>
      <c r="AJ1471">
        <v>2</v>
      </c>
      <c r="AK1471">
        <v>3</v>
      </c>
      <c r="AL1471" t="s">
        <v>26644</v>
      </c>
      <c r="AM1471" t="s">
        <v>4015</v>
      </c>
      <c r="AN1471" t="s">
        <v>26645</v>
      </c>
      <c r="AO1471" t="s">
        <v>26646</v>
      </c>
      <c r="AP1471" t="s">
        <v>26647</v>
      </c>
      <c r="AQ1471" t="s">
        <v>74</v>
      </c>
      <c r="AR1471" t="s">
        <v>26648</v>
      </c>
      <c r="AS1471" t="s">
        <v>26649</v>
      </c>
      <c r="AT1471" t="s">
        <v>2016</v>
      </c>
      <c r="AU1471">
        <v>2023</v>
      </c>
      <c r="AV1471">
        <v>16</v>
      </c>
      <c r="AW1471">
        <v>1</v>
      </c>
      <c r="AX1471" t="s">
        <v>74</v>
      </c>
      <c r="AY1471" t="s">
        <v>74</v>
      </c>
      <c r="AZ1471" t="s">
        <v>74</v>
      </c>
      <c r="BA1471" t="s">
        <v>74</v>
      </c>
      <c r="BB1471">
        <v>51</v>
      </c>
      <c r="BC1471">
        <v>82</v>
      </c>
      <c r="BD1471" t="s">
        <v>74</v>
      </c>
      <c r="BE1471" t="s">
        <v>74</v>
      </c>
      <c r="BF1471" t="s">
        <v>74</v>
      </c>
      <c r="BG1471" t="s">
        <v>74</v>
      </c>
      <c r="BH1471" t="s">
        <v>74</v>
      </c>
      <c r="BI1471">
        <v>32</v>
      </c>
      <c r="BJ1471" t="s">
        <v>9575</v>
      </c>
      <c r="BK1471" t="s">
        <v>352</v>
      </c>
      <c r="BL1471" t="s">
        <v>99</v>
      </c>
      <c r="BM1471" t="s">
        <v>26650</v>
      </c>
      <c r="BN1471" t="s">
        <v>74</v>
      </c>
      <c r="BO1471" t="s">
        <v>74</v>
      </c>
      <c r="BP1471" t="s">
        <v>74</v>
      </c>
      <c r="BQ1471" t="s">
        <v>74</v>
      </c>
      <c r="BR1471" t="s">
        <v>101</v>
      </c>
      <c r="BS1471" t="s">
        <v>26651</v>
      </c>
      <c r="BT1471" t="str">
        <f>HYPERLINK("https%3A%2F%2Fwww.webofscience.com%2Fwos%2Fwoscc%2Ffull-record%2FWOS:000976742200005","View Full Record in Web of Science")</f>
        <v>View Full Record in Web of Science</v>
      </c>
    </row>
    <row r="1472" spans="1:72" x14ac:dyDescent="0.2">
      <c r="A1472" t="s">
        <v>103</v>
      </c>
      <c r="B1472" t="s">
        <v>26652</v>
      </c>
      <c r="C1472" t="s">
        <v>74</v>
      </c>
      <c r="D1472" t="s">
        <v>74</v>
      </c>
      <c r="E1472" t="s">
        <v>74</v>
      </c>
      <c r="F1472" t="s">
        <v>26653</v>
      </c>
      <c r="G1472" t="s">
        <v>74</v>
      </c>
      <c r="H1472" t="s">
        <v>74</v>
      </c>
      <c r="I1472" t="s">
        <v>26654</v>
      </c>
      <c r="J1472" t="s">
        <v>2433</v>
      </c>
      <c r="K1472" t="s">
        <v>74</v>
      </c>
      <c r="L1472" t="s">
        <v>74</v>
      </c>
      <c r="M1472" t="s">
        <v>79</v>
      </c>
      <c r="N1472" t="s">
        <v>108</v>
      </c>
      <c r="O1472" t="s">
        <v>74</v>
      </c>
      <c r="P1472" t="s">
        <v>74</v>
      </c>
      <c r="Q1472" t="s">
        <v>74</v>
      </c>
      <c r="R1472" t="s">
        <v>74</v>
      </c>
      <c r="S1472" t="s">
        <v>74</v>
      </c>
      <c r="T1472" t="s">
        <v>26655</v>
      </c>
      <c r="U1472" t="s">
        <v>74</v>
      </c>
      <c r="V1472" t="s">
        <v>26656</v>
      </c>
      <c r="W1472" t="s">
        <v>26657</v>
      </c>
      <c r="X1472" t="s">
        <v>7674</v>
      </c>
      <c r="Y1472" t="s">
        <v>26658</v>
      </c>
      <c r="Z1472" t="s">
        <v>26659</v>
      </c>
      <c r="AA1472" t="s">
        <v>74</v>
      </c>
      <c r="AB1472" t="s">
        <v>26660</v>
      </c>
      <c r="AC1472" t="s">
        <v>26661</v>
      </c>
      <c r="AD1472" t="s">
        <v>26662</v>
      </c>
      <c r="AE1472" t="s">
        <v>3401</v>
      </c>
      <c r="AF1472" t="s">
        <v>74</v>
      </c>
      <c r="AG1472">
        <v>42</v>
      </c>
      <c r="AH1472">
        <v>0</v>
      </c>
      <c r="AI1472">
        <v>0</v>
      </c>
      <c r="AJ1472">
        <v>1</v>
      </c>
      <c r="AK1472">
        <v>1</v>
      </c>
      <c r="AL1472" t="s">
        <v>939</v>
      </c>
      <c r="AM1472" t="s">
        <v>940</v>
      </c>
      <c r="AN1472" t="s">
        <v>941</v>
      </c>
      <c r="AO1472" t="s">
        <v>74</v>
      </c>
      <c r="AP1472" t="s">
        <v>2444</v>
      </c>
      <c r="AQ1472" t="s">
        <v>74</v>
      </c>
      <c r="AR1472" t="s">
        <v>2445</v>
      </c>
      <c r="AS1472" t="s">
        <v>2446</v>
      </c>
      <c r="AT1472" t="s">
        <v>276</v>
      </c>
      <c r="AU1472">
        <v>2023</v>
      </c>
      <c r="AV1472">
        <v>13</v>
      </c>
      <c r="AW1472">
        <v>22</v>
      </c>
      <c r="AX1472" t="s">
        <v>74</v>
      </c>
      <c r="AY1472" t="s">
        <v>74</v>
      </c>
      <c r="AZ1472" t="s">
        <v>74</v>
      </c>
      <c r="BA1472" t="s">
        <v>74</v>
      </c>
      <c r="BB1472" t="s">
        <v>74</v>
      </c>
      <c r="BC1472" t="s">
        <v>74</v>
      </c>
      <c r="BD1472">
        <v>12414</v>
      </c>
      <c r="BE1472" t="s">
        <v>26663</v>
      </c>
      <c r="BF1472" t="str">
        <f>HYPERLINK("http://dx.doi.org/10.3390/app132212414","http://dx.doi.org/10.3390/app132212414")</f>
        <v>http://dx.doi.org/10.3390/app132212414</v>
      </c>
      <c r="BG1472" t="s">
        <v>74</v>
      </c>
      <c r="BH1472" t="s">
        <v>74</v>
      </c>
      <c r="BI1472">
        <v>15</v>
      </c>
      <c r="BJ1472" t="s">
        <v>2448</v>
      </c>
      <c r="BK1472" t="s">
        <v>130</v>
      </c>
      <c r="BL1472" t="s">
        <v>2449</v>
      </c>
      <c r="BM1472" t="s">
        <v>26664</v>
      </c>
      <c r="BN1472" t="s">
        <v>74</v>
      </c>
      <c r="BO1472" t="s">
        <v>425</v>
      </c>
      <c r="BP1472" t="s">
        <v>74</v>
      </c>
      <c r="BQ1472" t="s">
        <v>74</v>
      </c>
      <c r="BR1472" t="s">
        <v>101</v>
      </c>
      <c r="BS1472" t="s">
        <v>26665</v>
      </c>
      <c r="BT1472" t="str">
        <f>HYPERLINK("https%3A%2F%2Fwww.webofscience.com%2Fwos%2Fwoscc%2Ffull-record%2FWOS:001115374900001","View Full Record in Web of Science")</f>
        <v>View Full Record in Web of Science</v>
      </c>
    </row>
    <row r="1473" spans="1:72" x14ac:dyDescent="0.2">
      <c r="A1473" t="s">
        <v>72</v>
      </c>
      <c r="B1473" t="s">
        <v>26666</v>
      </c>
      <c r="C1473" t="s">
        <v>74</v>
      </c>
      <c r="D1473" t="s">
        <v>74</v>
      </c>
      <c r="E1473" t="s">
        <v>75</v>
      </c>
      <c r="F1473" t="s">
        <v>26667</v>
      </c>
      <c r="G1473" t="s">
        <v>74</v>
      </c>
      <c r="H1473" t="s">
        <v>74</v>
      </c>
      <c r="I1473" t="s">
        <v>26668</v>
      </c>
      <c r="J1473" t="s">
        <v>2961</v>
      </c>
      <c r="K1473" t="s">
        <v>74</v>
      </c>
      <c r="L1473" t="s">
        <v>74</v>
      </c>
      <c r="M1473" t="s">
        <v>79</v>
      </c>
      <c r="N1473" t="s">
        <v>80</v>
      </c>
      <c r="O1473" t="s">
        <v>2962</v>
      </c>
      <c r="P1473" t="s">
        <v>2963</v>
      </c>
      <c r="Q1473" t="s">
        <v>2964</v>
      </c>
      <c r="R1473" t="s">
        <v>2965</v>
      </c>
      <c r="S1473" t="s">
        <v>74</v>
      </c>
      <c r="T1473" t="s">
        <v>26669</v>
      </c>
      <c r="U1473" t="s">
        <v>74</v>
      </c>
      <c r="V1473" t="s">
        <v>26670</v>
      </c>
      <c r="W1473" t="s">
        <v>26671</v>
      </c>
      <c r="X1473" t="s">
        <v>26672</v>
      </c>
      <c r="Y1473" t="s">
        <v>26673</v>
      </c>
      <c r="Z1473" t="s">
        <v>26674</v>
      </c>
      <c r="AA1473" t="s">
        <v>74</v>
      </c>
      <c r="AB1473" t="s">
        <v>74</v>
      </c>
      <c r="AC1473" t="s">
        <v>74</v>
      </c>
      <c r="AD1473" t="s">
        <v>74</v>
      </c>
      <c r="AE1473" t="s">
        <v>74</v>
      </c>
      <c r="AF1473" t="s">
        <v>74</v>
      </c>
      <c r="AG1473">
        <v>20</v>
      </c>
      <c r="AH1473">
        <v>2</v>
      </c>
      <c r="AI1473">
        <v>2</v>
      </c>
      <c r="AJ1473">
        <v>1</v>
      </c>
      <c r="AK1473">
        <v>1</v>
      </c>
      <c r="AL1473" t="s">
        <v>92</v>
      </c>
      <c r="AM1473" t="s">
        <v>93</v>
      </c>
      <c r="AN1473" t="s">
        <v>94</v>
      </c>
      <c r="AO1473" t="s">
        <v>74</v>
      </c>
      <c r="AP1473" t="s">
        <v>74</v>
      </c>
      <c r="AQ1473" t="s">
        <v>2972</v>
      </c>
      <c r="AR1473" t="s">
        <v>74</v>
      </c>
      <c r="AS1473" t="s">
        <v>74</v>
      </c>
      <c r="AT1473" t="s">
        <v>74</v>
      </c>
      <c r="AU1473">
        <v>2023</v>
      </c>
      <c r="AV1473" t="s">
        <v>74</v>
      </c>
      <c r="AW1473" t="s">
        <v>74</v>
      </c>
      <c r="AX1473" t="s">
        <v>74</v>
      </c>
      <c r="AY1473" t="s">
        <v>74</v>
      </c>
      <c r="AZ1473" t="s">
        <v>74</v>
      </c>
      <c r="BA1473" t="s">
        <v>74</v>
      </c>
      <c r="BB1473">
        <v>1214</v>
      </c>
      <c r="BC1473">
        <v>1217</v>
      </c>
      <c r="BD1473" t="s">
        <v>74</v>
      </c>
      <c r="BE1473" t="s">
        <v>26675</v>
      </c>
      <c r="BF1473" t="str">
        <f>HYPERLINK("http://dx.doi.org/10.1145/3543873.3587672","http://dx.doi.org/10.1145/3543873.3587672")</f>
        <v>http://dx.doi.org/10.1145/3543873.3587672</v>
      </c>
      <c r="BG1473" t="s">
        <v>74</v>
      </c>
      <c r="BH1473" t="s">
        <v>74</v>
      </c>
      <c r="BI1473">
        <v>4</v>
      </c>
      <c r="BJ1473" t="s">
        <v>1069</v>
      </c>
      <c r="BK1473" t="s">
        <v>98</v>
      </c>
      <c r="BL1473" t="s">
        <v>99</v>
      </c>
      <c r="BM1473" t="s">
        <v>2974</v>
      </c>
      <c r="BN1473" t="s">
        <v>74</v>
      </c>
      <c r="BO1473" t="s">
        <v>1237</v>
      </c>
      <c r="BP1473" t="s">
        <v>74</v>
      </c>
      <c r="BQ1473" t="s">
        <v>74</v>
      </c>
      <c r="BR1473" t="s">
        <v>101</v>
      </c>
      <c r="BS1473" t="s">
        <v>26676</v>
      </c>
      <c r="BT1473" t="str">
        <f>HYPERLINK("https%3A%2F%2Fwww.webofscience.com%2Fwos%2Fwoscc%2Ffull-record%2FWOS:001124276300225","View Full Record in Web of Science")</f>
        <v>View Full Record in Web of Science</v>
      </c>
    </row>
    <row r="1474" spans="1:72" x14ac:dyDescent="0.2">
      <c r="A1474" t="s">
        <v>72</v>
      </c>
      <c r="B1474" t="s">
        <v>26677</v>
      </c>
      <c r="C1474" t="s">
        <v>74</v>
      </c>
      <c r="D1474" t="s">
        <v>74</v>
      </c>
      <c r="E1474" t="s">
        <v>284</v>
      </c>
      <c r="F1474" t="s">
        <v>26678</v>
      </c>
      <c r="G1474" t="s">
        <v>74</v>
      </c>
      <c r="H1474" t="s">
        <v>74</v>
      </c>
      <c r="I1474" t="s">
        <v>26679</v>
      </c>
      <c r="J1474" t="s">
        <v>8245</v>
      </c>
      <c r="K1474" t="s">
        <v>8246</v>
      </c>
      <c r="L1474" t="s">
        <v>74</v>
      </c>
      <c r="M1474" t="s">
        <v>79</v>
      </c>
      <c r="N1474" t="s">
        <v>80</v>
      </c>
      <c r="O1474" t="s">
        <v>8247</v>
      </c>
      <c r="P1474" t="s">
        <v>8248</v>
      </c>
      <c r="Q1474" t="s">
        <v>6017</v>
      </c>
      <c r="R1474" t="s">
        <v>8249</v>
      </c>
      <c r="S1474" t="s">
        <v>74</v>
      </c>
      <c r="T1474" t="s">
        <v>74</v>
      </c>
      <c r="U1474" t="s">
        <v>74</v>
      </c>
      <c r="V1474" t="s">
        <v>26680</v>
      </c>
      <c r="W1474" t="s">
        <v>26681</v>
      </c>
      <c r="X1474" t="s">
        <v>26682</v>
      </c>
      <c r="Y1474" t="s">
        <v>26683</v>
      </c>
      <c r="Z1474" t="s">
        <v>74</v>
      </c>
      <c r="AA1474" t="s">
        <v>26684</v>
      </c>
      <c r="AB1474" t="s">
        <v>26685</v>
      </c>
      <c r="AC1474" t="s">
        <v>26686</v>
      </c>
      <c r="AD1474" t="s">
        <v>26687</v>
      </c>
      <c r="AE1474" t="s">
        <v>26688</v>
      </c>
      <c r="AF1474" t="s">
        <v>74</v>
      </c>
      <c r="AG1474">
        <v>69</v>
      </c>
      <c r="AH1474">
        <v>1</v>
      </c>
      <c r="AI1474">
        <v>2</v>
      </c>
      <c r="AJ1474">
        <v>2</v>
      </c>
      <c r="AK1474">
        <v>2</v>
      </c>
      <c r="AL1474" t="s">
        <v>638</v>
      </c>
      <c r="AM1474" t="s">
        <v>639</v>
      </c>
      <c r="AN1474" t="s">
        <v>640</v>
      </c>
      <c r="AO1474" t="s">
        <v>8260</v>
      </c>
      <c r="AP1474" t="s">
        <v>74</v>
      </c>
      <c r="AQ1474" t="s">
        <v>8261</v>
      </c>
      <c r="AR1474" t="s">
        <v>8262</v>
      </c>
      <c r="AS1474" t="s">
        <v>74</v>
      </c>
      <c r="AT1474" t="s">
        <v>74</v>
      </c>
      <c r="AU1474">
        <v>2023</v>
      </c>
      <c r="AV1474" t="s">
        <v>74</v>
      </c>
      <c r="AW1474" t="s">
        <v>74</v>
      </c>
      <c r="AX1474" t="s">
        <v>74</v>
      </c>
      <c r="AY1474" t="s">
        <v>74</v>
      </c>
      <c r="AZ1474" t="s">
        <v>74</v>
      </c>
      <c r="BA1474" t="s">
        <v>74</v>
      </c>
      <c r="BB1474">
        <v>12652</v>
      </c>
      <c r="BC1474">
        <v>12662</v>
      </c>
      <c r="BD1474" t="s">
        <v>74</v>
      </c>
      <c r="BE1474" t="s">
        <v>26689</v>
      </c>
      <c r="BF1474" t="str">
        <f>HYPERLINK("http://dx.doi.org/10.1109/CVPR52729.2023.01217","http://dx.doi.org/10.1109/CVPR52729.2023.01217")</f>
        <v>http://dx.doi.org/10.1109/CVPR52729.2023.01217</v>
      </c>
      <c r="BG1474" t="s">
        <v>74</v>
      </c>
      <c r="BH1474" t="s">
        <v>74</v>
      </c>
      <c r="BI1474">
        <v>11</v>
      </c>
      <c r="BJ1474" t="s">
        <v>304</v>
      </c>
      <c r="BK1474" t="s">
        <v>98</v>
      </c>
      <c r="BL1474" t="s">
        <v>99</v>
      </c>
      <c r="BM1474" t="s">
        <v>8264</v>
      </c>
      <c r="BN1474" t="s">
        <v>74</v>
      </c>
      <c r="BO1474" t="s">
        <v>646</v>
      </c>
      <c r="BP1474" t="s">
        <v>74</v>
      </c>
      <c r="BQ1474" t="s">
        <v>74</v>
      </c>
      <c r="BR1474" t="s">
        <v>101</v>
      </c>
      <c r="BS1474" t="s">
        <v>26690</v>
      </c>
      <c r="BT1474" t="str">
        <f>HYPERLINK("https%3A%2F%2Fwww.webofscience.com%2Fwos%2Fwoscc%2Ffull-record%2FWOS:001062522104093","View Full Record in Web of Science")</f>
        <v>View Full Record in Web of Science</v>
      </c>
    </row>
    <row r="1475" spans="1:72" x14ac:dyDescent="0.2">
      <c r="A1475" t="s">
        <v>103</v>
      </c>
      <c r="B1475" t="s">
        <v>26691</v>
      </c>
      <c r="C1475" t="s">
        <v>74</v>
      </c>
      <c r="D1475" t="s">
        <v>74</v>
      </c>
      <c r="E1475" t="s">
        <v>74</v>
      </c>
      <c r="F1475" t="s">
        <v>26692</v>
      </c>
      <c r="G1475" t="s">
        <v>74</v>
      </c>
      <c r="H1475" t="s">
        <v>74</v>
      </c>
      <c r="I1475" t="s">
        <v>26693</v>
      </c>
      <c r="J1475" t="s">
        <v>26694</v>
      </c>
      <c r="K1475" t="s">
        <v>74</v>
      </c>
      <c r="L1475" t="s">
        <v>74</v>
      </c>
      <c r="M1475" t="s">
        <v>79</v>
      </c>
      <c r="N1475" t="s">
        <v>108</v>
      </c>
      <c r="O1475" t="s">
        <v>74</v>
      </c>
      <c r="P1475" t="s">
        <v>74</v>
      </c>
      <c r="Q1475" t="s">
        <v>74</v>
      </c>
      <c r="R1475" t="s">
        <v>74</v>
      </c>
      <c r="S1475" t="s">
        <v>74</v>
      </c>
      <c r="T1475" t="s">
        <v>26695</v>
      </c>
      <c r="U1475" t="s">
        <v>74</v>
      </c>
      <c r="V1475" t="s">
        <v>26696</v>
      </c>
      <c r="W1475" t="s">
        <v>26697</v>
      </c>
      <c r="X1475" t="s">
        <v>26698</v>
      </c>
      <c r="Y1475" t="s">
        <v>26699</v>
      </c>
      <c r="Z1475" t="s">
        <v>26700</v>
      </c>
      <c r="AA1475" t="s">
        <v>74</v>
      </c>
      <c r="AB1475" t="s">
        <v>26701</v>
      </c>
      <c r="AC1475" t="s">
        <v>26702</v>
      </c>
      <c r="AD1475" t="s">
        <v>26703</v>
      </c>
      <c r="AE1475" t="s">
        <v>26704</v>
      </c>
      <c r="AF1475" t="s">
        <v>74</v>
      </c>
      <c r="AG1475">
        <v>51</v>
      </c>
      <c r="AH1475">
        <v>0</v>
      </c>
      <c r="AI1475">
        <v>0</v>
      </c>
      <c r="AJ1475">
        <v>17</v>
      </c>
      <c r="AK1475">
        <v>24</v>
      </c>
      <c r="AL1475" t="s">
        <v>764</v>
      </c>
      <c r="AM1475" t="s">
        <v>765</v>
      </c>
      <c r="AN1475" t="s">
        <v>766</v>
      </c>
      <c r="AO1475" t="s">
        <v>26705</v>
      </c>
      <c r="AP1475" t="s">
        <v>26706</v>
      </c>
      <c r="AQ1475" t="s">
        <v>74</v>
      </c>
      <c r="AR1475" t="s">
        <v>26707</v>
      </c>
      <c r="AS1475" t="s">
        <v>26708</v>
      </c>
      <c r="AT1475" t="s">
        <v>5486</v>
      </c>
      <c r="AU1475">
        <v>2023</v>
      </c>
      <c r="AV1475">
        <v>274</v>
      </c>
      <c r="AW1475" t="s">
        <v>74</v>
      </c>
      <c r="AX1475" t="s">
        <v>74</v>
      </c>
      <c r="AY1475" t="s">
        <v>74</v>
      </c>
      <c r="AZ1475" t="s">
        <v>74</v>
      </c>
      <c r="BA1475" t="s">
        <v>74</v>
      </c>
      <c r="BB1475" t="s">
        <v>74</v>
      </c>
      <c r="BC1475" t="s">
        <v>74</v>
      </c>
      <c r="BD1475">
        <v>110637</v>
      </c>
      <c r="BE1475" t="s">
        <v>26709</v>
      </c>
      <c r="BF1475" t="str">
        <f>HYPERLINK("http://dx.doi.org/10.1016/j.knosys.2023.110637","http://dx.doi.org/10.1016/j.knosys.2023.110637")</f>
        <v>http://dx.doi.org/10.1016/j.knosys.2023.110637</v>
      </c>
      <c r="BG1475" t="s">
        <v>74</v>
      </c>
      <c r="BH1475" t="s">
        <v>2889</v>
      </c>
      <c r="BI1475">
        <v>13</v>
      </c>
      <c r="BJ1475" t="s">
        <v>304</v>
      </c>
      <c r="BK1475" t="s">
        <v>130</v>
      </c>
      <c r="BL1475" t="s">
        <v>99</v>
      </c>
      <c r="BM1475" t="s">
        <v>26710</v>
      </c>
      <c r="BN1475" t="s">
        <v>74</v>
      </c>
      <c r="BO1475" t="s">
        <v>161</v>
      </c>
      <c r="BP1475" t="s">
        <v>74</v>
      </c>
      <c r="BQ1475" t="s">
        <v>74</v>
      </c>
      <c r="BR1475" t="s">
        <v>101</v>
      </c>
      <c r="BS1475" t="s">
        <v>26711</v>
      </c>
      <c r="BT1475" t="str">
        <f>HYPERLINK("https%3A%2F%2Fwww.webofscience.com%2Fwos%2Fwoscc%2Ffull-record%2FWOS:001013575300001","View Full Record in Web of Science")</f>
        <v>View Full Record in Web of Science</v>
      </c>
    </row>
    <row r="1476" spans="1:72" x14ac:dyDescent="0.2">
      <c r="A1476" t="s">
        <v>72</v>
      </c>
      <c r="B1476" t="s">
        <v>26712</v>
      </c>
      <c r="C1476" t="s">
        <v>74</v>
      </c>
      <c r="D1476" t="s">
        <v>74</v>
      </c>
      <c r="E1476" t="s">
        <v>75</v>
      </c>
      <c r="F1476" t="s">
        <v>26713</v>
      </c>
      <c r="G1476" t="s">
        <v>74</v>
      </c>
      <c r="H1476" t="s">
        <v>74</v>
      </c>
      <c r="I1476" t="s">
        <v>26714</v>
      </c>
      <c r="J1476" t="s">
        <v>24037</v>
      </c>
      <c r="K1476" t="s">
        <v>74</v>
      </c>
      <c r="L1476" t="s">
        <v>74</v>
      </c>
      <c r="M1476" t="s">
        <v>79</v>
      </c>
      <c r="N1476" t="s">
        <v>80</v>
      </c>
      <c r="O1476" t="s">
        <v>24038</v>
      </c>
      <c r="P1476" t="s">
        <v>24039</v>
      </c>
      <c r="Q1476" t="s">
        <v>24040</v>
      </c>
      <c r="R1476" t="s">
        <v>24041</v>
      </c>
      <c r="S1476" t="s">
        <v>24042</v>
      </c>
      <c r="T1476" t="s">
        <v>26715</v>
      </c>
      <c r="U1476" t="s">
        <v>74</v>
      </c>
      <c r="V1476" t="s">
        <v>26716</v>
      </c>
      <c r="W1476" t="s">
        <v>26717</v>
      </c>
      <c r="X1476" t="s">
        <v>26718</v>
      </c>
      <c r="Y1476" t="s">
        <v>26719</v>
      </c>
      <c r="Z1476" t="s">
        <v>26720</v>
      </c>
      <c r="AA1476" t="s">
        <v>74</v>
      </c>
      <c r="AB1476" t="s">
        <v>74</v>
      </c>
      <c r="AC1476" t="s">
        <v>74</v>
      </c>
      <c r="AD1476" t="s">
        <v>74</v>
      </c>
      <c r="AE1476" t="s">
        <v>74</v>
      </c>
      <c r="AF1476" t="s">
        <v>74</v>
      </c>
      <c r="AG1476">
        <v>58</v>
      </c>
      <c r="AH1476">
        <v>0</v>
      </c>
      <c r="AI1476">
        <v>0</v>
      </c>
      <c r="AJ1476">
        <v>0</v>
      </c>
      <c r="AK1476">
        <v>0</v>
      </c>
      <c r="AL1476" t="s">
        <v>92</v>
      </c>
      <c r="AM1476" t="s">
        <v>93</v>
      </c>
      <c r="AN1476" t="s">
        <v>94</v>
      </c>
      <c r="AO1476" t="s">
        <v>74</v>
      </c>
      <c r="AP1476" t="s">
        <v>74</v>
      </c>
      <c r="AQ1476" t="s">
        <v>24051</v>
      </c>
      <c r="AR1476" t="s">
        <v>74</v>
      </c>
      <c r="AS1476" t="s">
        <v>74</v>
      </c>
      <c r="AT1476" t="s">
        <v>74</v>
      </c>
      <c r="AU1476">
        <v>2023</v>
      </c>
      <c r="AV1476" t="s">
        <v>74</v>
      </c>
      <c r="AW1476" t="s">
        <v>74</v>
      </c>
      <c r="AX1476" t="s">
        <v>74</v>
      </c>
      <c r="AY1476" t="s">
        <v>74</v>
      </c>
      <c r="AZ1476" t="s">
        <v>74</v>
      </c>
      <c r="BA1476" t="s">
        <v>74</v>
      </c>
      <c r="BB1476">
        <v>763</v>
      </c>
      <c r="BC1476">
        <v>771</v>
      </c>
      <c r="BD1476" t="s">
        <v>74</v>
      </c>
      <c r="BE1476" t="s">
        <v>26721</v>
      </c>
      <c r="BF1476" t="str">
        <f>HYPERLINK("http://dx.doi.org/10.1145/3577190.3616115","http://dx.doi.org/10.1145/3577190.3616115")</f>
        <v>http://dx.doi.org/10.1145/3577190.3616115</v>
      </c>
      <c r="BG1476" t="s">
        <v>74</v>
      </c>
      <c r="BH1476" t="s">
        <v>74</v>
      </c>
      <c r="BI1476">
        <v>9</v>
      </c>
      <c r="BJ1476" t="s">
        <v>331</v>
      </c>
      <c r="BK1476" t="s">
        <v>98</v>
      </c>
      <c r="BL1476" t="s">
        <v>99</v>
      </c>
      <c r="BM1476" t="s">
        <v>24053</v>
      </c>
      <c r="BN1476" t="s">
        <v>74</v>
      </c>
      <c r="BO1476" t="s">
        <v>74</v>
      </c>
      <c r="BP1476" t="s">
        <v>74</v>
      </c>
      <c r="BQ1476" t="s">
        <v>74</v>
      </c>
      <c r="BR1476" t="s">
        <v>101</v>
      </c>
      <c r="BS1476" t="s">
        <v>26722</v>
      </c>
      <c r="BT1476" t="str">
        <f>HYPERLINK("https%3A%2F%2Fwww.webofscience.com%2Fwos%2Fwoscc%2Ffull-record%2FWOS:001147764700094","View Full Record in Web of Science")</f>
        <v>View Full Record in Web of Science</v>
      </c>
    </row>
    <row r="1477" spans="1:72" x14ac:dyDescent="0.2">
      <c r="A1477" t="s">
        <v>72</v>
      </c>
      <c r="B1477" t="s">
        <v>26723</v>
      </c>
      <c r="C1477" t="s">
        <v>74</v>
      </c>
      <c r="D1477" t="s">
        <v>74</v>
      </c>
      <c r="E1477" t="s">
        <v>284</v>
      </c>
      <c r="F1477" t="s">
        <v>26724</v>
      </c>
      <c r="G1477" t="s">
        <v>74</v>
      </c>
      <c r="H1477" t="s">
        <v>74</v>
      </c>
      <c r="I1477" t="s">
        <v>26725</v>
      </c>
      <c r="J1477" t="s">
        <v>10100</v>
      </c>
      <c r="K1477" t="s">
        <v>8246</v>
      </c>
      <c r="L1477" t="s">
        <v>74</v>
      </c>
      <c r="M1477" t="s">
        <v>79</v>
      </c>
      <c r="N1477" t="s">
        <v>80</v>
      </c>
      <c r="O1477" t="s">
        <v>8247</v>
      </c>
      <c r="P1477" t="s">
        <v>8248</v>
      </c>
      <c r="Q1477" t="s">
        <v>6017</v>
      </c>
      <c r="R1477" t="s">
        <v>8249</v>
      </c>
      <c r="S1477" t="s">
        <v>74</v>
      </c>
      <c r="T1477" t="s">
        <v>74</v>
      </c>
      <c r="U1477" t="s">
        <v>74</v>
      </c>
      <c r="V1477" t="s">
        <v>26726</v>
      </c>
      <c r="W1477" t="s">
        <v>26727</v>
      </c>
      <c r="X1477" t="s">
        <v>26728</v>
      </c>
      <c r="Y1477" t="s">
        <v>26729</v>
      </c>
      <c r="Z1477" t="s">
        <v>26730</v>
      </c>
      <c r="AA1477" t="s">
        <v>74</v>
      </c>
      <c r="AB1477" t="s">
        <v>74</v>
      </c>
      <c r="AC1477" t="s">
        <v>74</v>
      </c>
      <c r="AD1477" t="s">
        <v>74</v>
      </c>
      <c r="AE1477" t="s">
        <v>74</v>
      </c>
      <c r="AF1477" t="s">
        <v>74</v>
      </c>
      <c r="AG1477">
        <v>44</v>
      </c>
      <c r="AH1477">
        <v>4</v>
      </c>
      <c r="AI1477">
        <v>4</v>
      </c>
      <c r="AJ1477">
        <v>1</v>
      </c>
      <c r="AK1477">
        <v>1</v>
      </c>
      <c r="AL1477" t="s">
        <v>638</v>
      </c>
      <c r="AM1477" t="s">
        <v>639</v>
      </c>
      <c r="AN1477" t="s">
        <v>640</v>
      </c>
      <c r="AO1477" t="s">
        <v>8260</v>
      </c>
      <c r="AP1477" t="s">
        <v>74</v>
      </c>
      <c r="AQ1477" t="s">
        <v>8261</v>
      </c>
      <c r="AR1477" t="s">
        <v>8262</v>
      </c>
      <c r="AS1477" t="s">
        <v>74</v>
      </c>
      <c r="AT1477" t="s">
        <v>74</v>
      </c>
      <c r="AU1477">
        <v>2023</v>
      </c>
      <c r="AV1477" t="s">
        <v>74</v>
      </c>
      <c r="AW1477" t="s">
        <v>74</v>
      </c>
      <c r="AX1477" t="s">
        <v>74</v>
      </c>
      <c r="AY1477" t="s">
        <v>74</v>
      </c>
      <c r="AZ1477" t="s">
        <v>74</v>
      </c>
      <c r="BA1477" t="s">
        <v>74</v>
      </c>
      <c r="BB1477">
        <v>1972</v>
      </c>
      <c r="BC1477">
        <v>1981</v>
      </c>
      <c r="BD1477" t="s">
        <v>74</v>
      </c>
      <c r="BE1477" t="s">
        <v>26731</v>
      </c>
      <c r="BF1477" t="str">
        <f>HYPERLINK("http://dx.doi.org/10.1109/CVPR52729.2023.00196","http://dx.doi.org/10.1109/CVPR52729.2023.00196")</f>
        <v>http://dx.doi.org/10.1109/CVPR52729.2023.00196</v>
      </c>
      <c r="BG1477" t="s">
        <v>74</v>
      </c>
      <c r="BH1477" t="s">
        <v>74</v>
      </c>
      <c r="BI1477">
        <v>10</v>
      </c>
      <c r="BJ1477" t="s">
        <v>10109</v>
      </c>
      <c r="BK1477" t="s">
        <v>98</v>
      </c>
      <c r="BL1477" t="s">
        <v>99</v>
      </c>
      <c r="BM1477" t="s">
        <v>10110</v>
      </c>
      <c r="BN1477" t="s">
        <v>74</v>
      </c>
      <c r="BO1477" t="s">
        <v>646</v>
      </c>
      <c r="BP1477" t="s">
        <v>74</v>
      </c>
      <c r="BQ1477" t="s">
        <v>74</v>
      </c>
      <c r="BR1477" t="s">
        <v>101</v>
      </c>
      <c r="BS1477" t="s">
        <v>26732</v>
      </c>
      <c r="BT1477" t="str">
        <f>HYPERLINK("https%3A%2F%2Fwww.webofscience.com%2Fwos%2Fwoscc%2Ffull-record%2FWOS:001058542602029","View Full Record in Web of Science")</f>
        <v>View Full Record in Web of Science</v>
      </c>
    </row>
    <row r="1478" spans="1:72" x14ac:dyDescent="0.2">
      <c r="A1478" t="s">
        <v>72</v>
      </c>
      <c r="B1478" t="s">
        <v>26733</v>
      </c>
      <c r="C1478" t="s">
        <v>74</v>
      </c>
      <c r="D1478" t="s">
        <v>74</v>
      </c>
      <c r="E1478" t="s">
        <v>284</v>
      </c>
      <c r="F1478" t="s">
        <v>26734</v>
      </c>
      <c r="G1478" t="s">
        <v>74</v>
      </c>
      <c r="H1478" t="s">
        <v>74</v>
      </c>
      <c r="I1478" t="s">
        <v>26735</v>
      </c>
      <c r="J1478" t="s">
        <v>8245</v>
      </c>
      <c r="K1478" t="s">
        <v>8246</v>
      </c>
      <c r="L1478" t="s">
        <v>74</v>
      </c>
      <c r="M1478" t="s">
        <v>79</v>
      </c>
      <c r="N1478" t="s">
        <v>80</v>
      </c>
      <c r="O1478" t="s">
        <v>8247</v>
      </c>
      <c r="P1478" t="s">
        <v>8248</v>
      </c>
      <c r="Q1478" t="s">
        <v>6017</v>
      </c>
      <c r="R1478" t="s">
        <v>8249</v>
      </c>
      <c r="S1478" t="s">
        <v>74</v>
      </c>
      <c r="T1478" t="s">
        <v>74</v>
      </c>
      <c r="U1478" t="s">
        <v>74</v>
      </c>
      <c r="V1478" t="s">
        <v>26736</v>
      </c>
      <c r="W1478" t="s">
        <v>26737</v>
      </c>
      <c r="X1478" t="s">
        <v>26738</v>
      </c>
      <c r="Y1478" t="s">
        <v>26739</v>
      </c>
      <c r="Z1478" t="s">
        <v>74</v>
      </c>
      <c r="AA1478" t="s">
        <v>74</v>
      </c>
      <c r="AB1478" t="s">
        <v>74</v>
      </c>
      <c r="AC1478" t="s">
        <v>26740</v>
      </c>
      <c r="AD1478" t="s">
        <v>26741</v>
      </c>
      <c r="AE1478" t="s">
        <v>26742</v>
      </c>
      <c r="AF1478" t="s">
        <v>74</v>
      </c>
      <c r="AG1478">
        <v>72</v>
      </c>
      <c r="AH1478">
        <v>1</v>
      </c>
      <c r="AI1478">
        <v>1</v>
      </c>
      <c r="AJ1478">
        <v>4</v>
      </c>
      <c r="AK1478">
        <v>4</v>
      </c>
      <c r="AL1478" t="s">
        <v>638</v>
      </c>
      <c r="AM1478" t="s">
        <v>639</v>
      </c>
      <c r="AN1478" t="s">
        <v>640</v>
      </c>
      <c r="AO1478" t="s">
        <v>8260</v>
      </c>
      <c r="AP1478" t="s">
        <v>74</v>
      </c>
      <c r="AQ1478" t="s">
        <v>8261</v>
      </c>
      <c r="AR1478" t="s">
        <v>8262</v>
      </c>
      <c r="AS1478" t="s">
        <v>74</v>
      </c>
      <c r="AT1478" t="s">
        <v>74</v>
      </c>
      <c r="AU1478">
        <v>2023</v>
      </c>
      <c r="AV1478" t="s">
        <v>74</v>
      </c>
      <c r="AW1478" t="s">
        <v>74</v>
      </c>
      <c r="AX1478" t="s">
        <v>74</v>
      </c>
      <c r="AY1478" t="s">
        <v>74</v>
      </c>
      <c r="AZ1478" t="s">
        <v>74</v>
      </c>
      <c r="BA1478" t="s">
        <v>74</v>
      </c>
      <c r="BB1478">
        <v>18413</v>
      </c>
      <c r="BC1478">
        <v>18422</v>
      </c>
      <c r="BD1478" t="s">
        <v>74</v>
      </c>
      <c r="BE1478" t="s">
        <v>26743</v>
      </c>
      <c r="BF1478" t="str">
        <f>HYPERLINK("http://dx.doi.org/10.1109/CVPR52729.2023.01766","http://dx.doi.org/10.1109/CVPR52729.2023.01766")</f>
        <v>http://dx.doi.org/10.1109/CVPR52729.2023.01766</v>
      </c>
      <c r="BG1478" t="s">
        <v>74</v>
      </c>
      <c r="BH1478" t="s">
        <v>74</v>
      </c>
      <c r="BI1478">
        <v>10</v>
      </c>
      <c r="BJ1478" t="s">
        <v>304</v>
      </c>
      <c r="BK1478" t="s">
        <v>98</v>
      </c>
      <c r="BL1478" t="s">
        <v>99</v>
      </c>
      <c r="BM1478" t="s">
        <v>9731</v>
      </c>
      <c r="BN1478" t="s">
        <v>74</v>
      </c>
      <c r="BO1478" t="s">
        <v>646</v>
      </c>
      <c r="BP1478" t="s">
        <v>74</v>
      </c>
      <c r="BQ1478" t="s">
        <v>74</v>
      </c>
      <c r="BR1478" t="s">
        <v>101</v>
      </c>
      <c r="BS1478" t="s">
        <v>26744</v>
      </c>
      <c r="BT1478" t="str">
        <f>HYPERLINK("https%3A%2F%2Fwww.webofscience.com%2Fwos%2Fwoscc%2Ffull-record%2FWOS:001062531302070","View Full Record in Web of Science")</f>
        <v>View Full Record in Web of Science</v>
      </c>
    </row>
    <row r="1479" spans="1:72" x14ac:dyDescent="0.2">
      <c r="A1479" t="s">
        <v>103</v>
      </c>
      <c r="B1479" t="s">
        <v>26745</v>
      </c>
      <c r="C1479" t="s">
        <v>74</v>
      </c>
      <c r="D1479" t="s">
        <v>74</v>
      </c>
      <c r="E1479" t="s">
        <v>74</v>
      </c>
      <c r="F1479" t="s">
        <v>26746</v>
      </c>
      <c r="G1479" t="s">
        <v>74</v>
      </c>
      <c r="H1479" t="s">
        <v>74</v>
      </c>
      <c r="I1479" t="s">
        <v>26747</v>
      </c>
      <c r="J1479" t="s">
        <v>15851</v>
      </c>
      <c r="K1479" t="s">
        <v>74</v>
      </c>
      <c r="L1479" t="s">
        <v>74</v>
      </c>
      <c r="M1479" t="s">
        <v>79</v>
      </c>
      <c r="N1479" t="s">
        <v>108</v>
      </c>
      <c r="O1479" t="s">
        <v>74</v>
      </c>
      <c r="P1479" t="s">
        <v>74</v>
      </c>
      <c r="Q1479" t="s">
        <v>74</v>
      </c>
      <c r="R1479" t="s">
        <v>74</v>
      </c>
      <c r="S1479" t="s">
        <v>74</v>
      </c>
      <c r="T1479" t="s">
        <v>26748</v>
      </c>
      <c r="U1479" t="s">
        <v>74</v>
      </c>
      <c r="V1479" t="s">
        <v>26749</v>
      </c>
      <c r="W1479" t="s">
        <v>26750</v>
      </c>
      <c r="X1479" t="s">
        <v>26751</v>
      </c>
      <c r="Y1479" t="s">
        <v>26752</v>
      </c>
      <c r="Z1479" t="s">
        <v>26753</v>
      </c>
      <c r="AA1479" t="s">
        <v>74</v>
      </c>
      <c r="AB1479" t="s">
        <v>74</v>
      </c>
      <c r="AC1479" t="s">
        <v>74</v>
      </c>
      <c r="AD1479" t="s">
        <v>74</v>
      </c>
      <c r="AE1479" t="s">
        <v>74</v>
      </c>
      <c r="AF1479" t="s">
        <v>74</v>
      </c>
      <c r="AG1479">
        <v>37</v>
      </c>
      <c r="AH1479">
        <v>0</v>
      </c>
      <c r="AI1479">
        <v>0</v>
      </c>
      <c r="AJ1479">
        <v>1</v>
      </c>
      <c r="AK1479">
        <v>1</v>
      </c>
      <c r="AL1479" t="s">
        <v>15862</v>
      </c>
      <c r="AM1479" t="s">
        <v>15863</v>
      </c>
      <c r="AN1479" t="s">
        <v>15864</v>
      </c>
      <c r="AO1479" t="s">
        <v>15865</v>
      </c>
      <c r="AP1479" t="s">
        <v>15866</v>
      </c>
      <c r="AQ1479" t="s">
        <v>74</v>
      </c>
      <c r="AR1479" t="s">
        <v>15867</v>
      </c>
      <c r="AS1479" t="s">
        <v>15868</v>
      </c>
      <c r="AT1479" t="s">
        <v>527</v>
      </c>
      <c r="AU1479">
        <v>2023</v>
      </c>
      <c r="AV1479" t="s">
        <v>15869</v>
      </c>
      <c r="AW1479">
        <v>12</v>
      </c>
      <c r="AX1479" t="s">
        <v>74</v>
      </c>
      <c r="AY1479" t="s">
        <v>74</v>
      </c>
      <c r="AZ1479" t="s">
        <v>74</v>
      </c>
      <c r="BA1479" t="s">
        <v>74</v>
      </c>
      <c r="BB1479">
        <v>2085</v>
      </c>
      <c r="BC1479">
        <v>2096</v>
      </c>
      <c r="BD1479" t="s">
        <v>74</v>
      </c>
      <c r="BE1479" t="s">
        <v>26754</v>
      </c>
      <c r="BF1479" t="str">
        <f>HYPERLINK("http://dx.doi.org/10.1587/transinf.2023EDP7025","http://dx.doi.org/10.1587/transinf.2023EDP7025")</f>
        <v>http://dx.doi.org/10.1587/transinf.2023EDP7025</v>
      </c>
      <c r="BG1479" t="s">
        <v>74</v>
      </c>
      <c r="BH1479" t="s">
        <v>74</v>
      </c>
      <c r="BI1479">
        <v>12</v>
      </c>
      <c r="BJ1479" t="s">
        <v>12316</v>
      </c>
      <c r="BK1479" t="s">
        <v>130</v>
      </c>
      <c r="BL1479" t="s">
        <v>99</v>
      </c>
      <c r="BM1479" t="s">
        <v>26755</v>
      </c>
      <c r="BN1479" t="s">
        <v>74</v>
      </c>
      <c r="BO1479" t="s">
        <v>425</v>
      </c>
      <c r="BP1479" t="s">
        <v>74</v>
      </c>
      <c r="BQ1479" t="s">
        <v>74</v>
      </c>
      <c r="BR1479" t="s">
        <v>101</v>
      </c>
      <c r="BS1479" t="s">
        <v>26756</v>
      </c>
      <c r="BT1479" t="str">
        <f>HYPERLINK("https%3A%2F%2Fwww.webofscience.com%2Fwos%2Fwoscc%2Ffull-record%2FWOS:001117536800010","View Full Record in Web of Science")</f>
        <v>View Full Record in Web of Science</v>
      </c>
    </row>
    <row r="1480" spans="1:72" x14ac:dyDescent="0.2">
      <c r="A1480" t="s">
        <v>72</v>
      </c>
      <c r="B1480" t="s">
        <v>26757</v>
      </c>
      <c r="C1480" t="s">
        <v>74</v>
      </c>
      <c r="D1480" t="s">
        <v>74</v>
      </c>
      <c r="E1480" t="s">
        <v>284</v>
      </c>
      <c r="F1480" t="s">
        <v>26758</v>
      </c>
      <c r="G1480" t="s">
        <v>74</v>
      </c>
      <c r="H1480" t="s">
        <v>74</v>
      </c>
      <c r="I1480" t="s">
        <v>26759</v>
      </c>
      <c r="J1480" t="s">
        <v>11243</v>
      </c>
      <c r="K1480" t="s">
        <v>11244</v>
      </c>
      <c r="L1480" t="s">
        <v>74</v>
      </c>
      <c r="M1480" t="s">
        <v>79</v>
      </c>
      <c r="N1480" t="s">
        <v>80</v>
      </c>
      <c r="O1480" t="s">
        <v>11245</v>
      </c>
      <c r="P1480" t="s">
        <v>11246</v>
      </c>
      <c r="Q1480" t="s">
        <v>11247</v>
      </c>
      <c r="R1480" t="s">
        <v>11248</v>
      </c>
      <c r="S1480" t="s">
        <v>74</v>
      </c>
      <c r="T1480" t="s">
        <v>74</v>
      </c>
      <c r="U1480" t="s">
        <v>74</v>
      </c>
      <c r="V1480" t="s">
        <v>26760</v>
      </c>
      <c r="W1480" t="s">
        <v>26761</v>
      </c>
      <c r="X1480" t="s">
        <v>26762</v>
      </c>
      <c r="Y1480" t="s">
        <v>26763</v>
      </c>
      <c r="Z1480" t="s">
        <v>26764</v>
      </c>
      <c r="AA1480" t="s">
        <v>74</v>
      </c>
      <c r="AB1480" t="s">
        <v>74</v>
      </c>
      <c r="AC1480" t="s">
        <v>74</v>
      </c>
      <c r="AD1480" t="s">
        <v>74</v>
      </c>
      <c r="AE1480" t="s">
        <v>74</v>
      </c>
      <c r="AF1480" t="s">
        <v>74</v>
      </c>
      <c r="AG1480">
        <v>33</v>
      </c>
      <c r="AH1480">
        <v>0</v>
      </c>
      <c r="AI1480">
        <v>0</v>
      </c>
      <c r="AJ1480">
        <v>0</v>
      </c>
      <c r="AK1480">
        <v>0</v>
      </c>
      <c r="AL1480" t="s">
        <v>284</v>
      </c>
      <c r="AM1480" t="s">
        <v>93</v>
      </c>
      <c r="AN1480" t="s">
        <v>299</v>
      </c>
      <c r="AO1480" t="s">
        <v>11260</v>
      </c>
      <c r="AP1480" t="s">
        <v>74</v>
      </c>
      <c r="AQ1480" t="s">
        <v>11261</v>
      </c>
      <c r="AR1480" t="s">
        <v>11262</v>
      </c>
      <c r="AS1480" t="s">
        <v>74</v>
      </c>
      <c r="AT1480" t="s">
        <v>74</v>
      </c>
      <c r="AU1480">
        <v>2023</v>
      </c>
      <c r="AV1480" t="s">
        <v>74</v>
      </c>
      <c r="AW1480" t="s">
        <v>74</v>
      </c>
      <c r="AX1480" t="s">
        <v>74</v>
      </c>
      <c r="AY1480" t="s">
        <v>74</v>
      </c>
      <c r="AZ1480" t="s">
        <v>74</v>
      </c>
      <c r="BA1480" t="s">
        <v>74</v>
      </c>
      <c r="BB1480">
        <v>116</v>
      </c>
      <c r="BC1480">
        <v>121</v>
      </c>
      <c r="BD1480" t="s">
        <v>74</v>
      </c>
      <c r="BE1480" t="s">
        <v>26765</v>
      </c>
      <c r="BF1480" t="str">
        <f>HYPERLINK("http://dx.doi.org/10.1109/ICAIIC57133.2023.10067068","http://dx.doi.org/10.1109/ICAIIC57133.2023.10067068")</f>
        <v>http://dx.doi.org/10.1109/ICAIIC57133.2023.10067068</v>
      </c>
      <c r="BG1480" t="s">
        <v>74</v>
      </c>
      <c r="BH1480" t="s">
        <v>74</v>
      </c>
      <c r="BI1480">
        <v>6</v>
      </c>
      <c r="BJ1480" t="s">
        <v>11264</v>
      </c>
      <c r="BK1480" t="s">
        <v>98</v>
      </c>
      <c r="BL1480" t="s">
        <v>906</v>
      </c>
      <c r="BM1480" t="s">
        <v>11265</v>
      </c>
      <c r="BN1480" t="s">
        <v>74</v>
      </c>
      <c r="BO1480" t="s">
        <v>74</v>
      </c>
      <c r="BP1480" t="s">
        <v>74</v>
      </c>
      <c r="BQ1480" t="s">
        <v>74</v>
      </c>
      <c r="BR1480" t="s">
        <v>101</v>
      </c>
      <c r="BS1480" t="s">
        <v>26766</v>
      </c>
      <c r="BT1480" t="str">
        <f>HYPERLINK("https%3A%2F%2Fwww.webofscience.com%2Fwos%2Fwoscc%2Ffull-record%2FWOS:001012997600023","View Full Record in Web of Science")</f>
        <v>View Full Record in Web of Science</v>
      </c>
    </row>
    <row r="1481" spans="1:72" x14ac:dyDescent="0.2">
      <c r="A1481" t="s">
        <v>103</v>
      </c>
      <c r="B1481" t="s">
        <v>26767</v>
      </c>
      <c r="C1481" t="s">
        <v>74</v>
      </c>
      <c r="D1481" t="s">
        <v>74</v>
      </c>
      <c r="E1481" t="s">
        <v>74</v>
      </c>
      <c r="F1481" t="s">
        <v>26768</v>
      </c>
      <c r="G1481" t="s">
        <v>74</v>
      </c>
      <c r="H1481" t="s">
        <v>74</v>
      </c>
      <c r="I1481" t="s">
        <v>26769</v>
      </c>
      <c r="J1481" t="s">
        <v>26770</v>
      </c>
      <c r="K1481" t="s">
        <v>74</v>
      </c>
      <c r="L1481" t="s">
        <v>74</v>
      </c>
      <c r="M1481" t="s">
        <v>79</v>
      </c>
      <c r="N1481" t="s">
        <v>108</v>
      </c>
      <c r="O1481" t="s">
        <v>74</v>
      </c>
      <c r="P1481" t="s">
        <v>74</v>
      </c>
      <c r="Q1481" t="s">
        <v>74</v>
      </c>
      <c r="R1481" t="s">
        <v>74</v>
      </c>
      <c r="S1481" t="s">
        <v>74</v>
      </c>
      <c r="T1481" t="s">
        <v>26771</v>
      </c>
      <c r="U1481" t="s">
        <v>26772</v>
      </c>
      <c r="V1481" t="s">
        <v>26773</v>
      </c>
      <c r="W1481" t="s">
        <v>26774</v>
      </c>
      <c r="X1481" t="s">
        <v>26775</v>
      </c>
      <c r="Y1481" t="s">
        <v>26776</v>
      </c>
      <c r="Z1481" t="s">
        <v>26777</v>
      </c>
      <c r="AA1481" t="s">
        <v>26778</v>
      </c>
      <c r="AB1481" t="s">
        <v>26779</v>
      </c>
      <c r="AC1481" t="s">
        <v>26780</v>
      </c>
      <c r="AD1481" t="s">
        <v>26781</v>
      </c>
      <c r="AE1481" t="s">
        <v>26782</v>
      </c>
      <c r="AF1481" t="s">
        <v>74</v>
      </c>
      <c r="AG1481">
        <v>49</v>
      </c>
      <c r="AH1481">
        <v>3</v>
      </c>
      <c r="AI1481">
        <v>3</v>
      </c>
      <c r="AJ1481">
        <v>4</v>
      </c>
      <c r="AK1481">
        <v>19</v>
      </c>
      <c r="AL1481" t="s">
        <v>1379</v>
      </c>
      <c r="AM1481" t="s">
        <v>1380</v>
      </c>
      <c r="AN1481" t="s">
        <v>1381</v>
      </c>
      <c r="AO1481" t="s">
        <v>26783</v>
      </c>
      <c r="AP1481" t="s">
        <v>74</v>
      </c>
      <c r="AQ1481" t="s">
        <v>74</v>
      </c>
      <c r="AR1481" t="s">
        <v>26784</v>
      </c>
      <c r="AS1481" t="s">
        <v>26785</v>
      </c>
      <c r="AT1481" t="s">
        <v>74</v>
      </c>
      <c r="AU1481">
        <v>2023</v>
      </c>
      <c r="AV1481">
        <v>11</v>
      </c>
      <c r="AW1481" t="s">
        <v>74</v>
      </c>
      <c r="AX1481" t="s">
        <v>74</v>
      </c>
      <c r="AY1481" t="s">
        <v>74</v>
      </c>
      <c r="AZ1481" t="s">
        <v>74</v>
      </c>
      <c r="BA1481" t="s">
        <v>74</v>
      </c>
      <c r="BB1481">
        <v>32</v>
      </c>
      <c r="BC1481">
        <v>43</v>
      </c>
      <c r="BD1481" t="s">
        <v>74</v>
      </c>
      <c r="BE1481" t="s">
        <v>26786</v>
      </c>
      <c r="BF1481" t="str">
        <f>HYPERLINK("http://dx.doi.org/10.1109/JTEHM.2022.3221918","http://dx.doi.org/10.1109/JTEHM.2022.3221918")</f>
        <v>http://dx.doi.org/10.1109/JTEHM.2022.3221918</v>
      </c>
      <c r="BG1481" t="s">
        <v>74</v>
      </c>
      <c r="BH1481" t="s">
        <v>74</v>
      </c>
      <c r="BI1481">
        <v>12</v>
      </c>
      <c r="BJ1481" t="s">
        <v>4718</v>
      </c>
      <c r="BK1481" t="s">
        <v>130</v>
      </c>
      <c r="BL1481" t="s">
        <v>2823</v>
      </c>
      <c r="BM1481" t="s">
        <v>26787</v>
      </c>
      <c r="BN1481">
        <v>36478773</v>
      </c>
      <c r="BO1481" t="s">
        <v>1728</v>
      </c>
      <c r="BP1481" t="s">
        <v>74</v>
      </c>
      <c r="BQ1481" t="s">
        <v>74</v>
      </c>
      <c r="BR1481" t="s">
        <v>101</v>
      </c>
      <c r="BS1481" t="s">
        <v>26788</v>
      </c>
      <c r="BT1481" t="str">
        <f>HYPERLINK("https%3A%2F%2Fwww.webofscience.com%2Fwos%2Fwoscc%2Ffull-record%2FWOS:000890214400004","View Full Record in Web of Science")</f>
        <v>View Full Record in Web of Science</v>
      </c>
    </row>
    <row r="1482" spans="1:72" x14ac:dyDescent="0.2">
      <c r="A1482" t="s">
        <v>103</v>
      </c>
      <c r="B1482" t="s">
        <v>10752</v>
      </c>
      <c r="C1482" t="s">
        <v>74</v>
      </c>
      <c r="D1482" t="s">
        <v>74</v>
      </c>
      <c r="E1482" t="s">
        <v>74</v>
      </c>
      <c r="F1482" t="s">
        <v>10753</v>
      </c>
      <c r="G1482" t="s">
        <v>74</v>
      </c>
      <c r="H1482" t="s">
        <v>74</v>
      </c>
      <c r="I1482" t="s">
        <v>26789</v>
      </c>
      <c r="J1482" t="s">
        <v>7461</v>
      </c>
      <c r="K1482" t="s">
        <v>74</v>
      </c>
      <c r="L1482" t="s">
        <v>74</v>
      </c>
      <c r="M1482" t="s">
        <v>79</v>
      </c>
      <c r="N1482" t="s">
        <v>108</v>
      </c>
      <c r="O1482" t="s">
        <v>74</v>
      </c>
      <c r="P1482" t="s">
        <v>74</v>
      </c>
      <c r="Q1482" t="s">
        <v>74</v>
      </c>
      <c r="R1482" t="s">
        <v>74</v>
      </c>
      <c r="S1482" t="s">
        <v>74</v>
      </c>
      <c r="T1482" t="s">
        <v>26790</v>
      </c>
      <c r="U1482" t="s">
        <v>74</v>
      </c>
      <c r="V1482" t="s">
        <v>26791</v>
      </c>
      <c r="W1482" t="s">
        <v>26792</v>
      </c>
      <c r="X1482" t="s">
        <v>10758</v>
      </c>
      <c r="Y1482" t="s">
        <v>26793</v>
      </c>
      <c r="Z1482" t="s">
        <v>26794</v>
      </c>
      <c r="AA1482" t="s">
        <v>74</v>
      </c>
      <c r="AB1482" t="s">
        <v>74</v>
      </c>
      <c r="AC1482" t="s">
        <v>74</v>
      </c>
      <c r="AD1482" t="s">
        <v>74</v>
      </c>
      <c r="AE1482" t="s">
        <v>74</v>
      </c>
      <c r="AF1482" t="s">
        <v>74</v>
      </c>
      <c r="AG1482">
        <v>27</v>
      </c>
      <c r="AH1482">
        <v>0</v>
      </c>
      <c r="AI1482">
        <v>0</v>
      </c>
      <c r="AJ1482">
        <v>4</v>
      </c>
      <c r="AK1482">
        <v>15</v>
      </c>
      <c r="AL1482" t="s">
        <v>939</v>
      </c>
      <c r="AM1482" t="s">
        <v>940</v>
      </c>
      <c r="AN1482" t="s">
        <v>941</v>
      </c>
      <c r="AO1482" t="s">
        <v>74</v>
      </c>
      <c r="AP1482" t="s">
        <v>7471</v>
      </c>
      <c r="AQ1482" t="s">
        <v>74</v>
      </c>
      <c r="AR1482" t="s">
        <v>7472</v>
      </c>
      <c r="AS1482" t="s">
        <v>7473</v>
      </c>
      <c r="AT1482" t="s">
        <v>251</v>
      </c>
      <c r="AU1482">
        <v>2023</v>
      </c>
      <c r="AV1482">
        <v>23</v>
      </c>
      <c r="AW1482">
        <v>4</v>
      </c>
      <c r="AX1482" t="s">
        <v>74</v>
      </c>
      <c r="AY1482" t="s">
        <v>74</v>
      </c>
      <c r="AZ1482" t="s">
        <v>74</v>
      </c>
      <c r="BA1482" t="s">
        <v>74</v>
      </c>
      <c r="BB1482" t="s">
        <v>74</v>
      </c>
      <c r="BC1482" t="s">
        <v>74</v>
      </c>
      <c r="BD1482">
        <v>1834</v>
      </c>
      <c r="BE1482" t="s">
        <v>26795</v>
      </c>
      <c r="BF1482" t="str">
        <f>HYPERLINK("http://dx.doi.org/10.3390/s23041834","http://dx.doi.org/10.3390/s23041834")</f>
        <v>http://dx.doi.org/10.3390/s23041834</v>
      </c>
      <c r="BG1482" t="s">
        <v>74</v>
      </c>
      <c r="BH1482" t="s">
        <v>74</v>
      </c>
      <c r="BI1482">
        <v>12</v>
      </c>
      <c r="BJ1482" t="s">
        <v>7475</v>
      </c>
      <c r="BK1482" t="s">
        <v>130</v>
      </c>
      <c r="BL1482" t="s">
        <v>7476</v>
      </c>
      <c r="BM1482" t="s">
        <v>26796</v>
      </c>
      <c r="BN1482">
        <v>36850432</v>
      </c>
      <c r="BO1482" t="s">
        <v>4185</v>
      </c>
      <c r="BP1482" t="s">
        <v>74</v>
      </c>
      <c r="BQ1482" t="s">
        <v>74</v>
      </c>
      <c r="BR1482" t="s">
        <v>101</v>
      </c>
      <c r="BS1482" t="s">
        <v>26797</v>
      </c>
      <c r="BT1482" t="str">
        <f>HYPERLINK("https%3A%2F%2Fwww.webofscience.com%2Fwos%2Fwoscc%2Ffull-record%2FWOS:000940096000001","View Full Record in Web of Science")</f>
        <v>View Full Record in Web of Science</v>
      </c>
    </row>
    <row r="1483" spans="1:72" x14ac:dyDescent="0.2">
      <c r="A1483" t="s">
        <v>72</v>
      </c>
      <c r="B1483" t="s">
        <v>26798</v>
      </c>
      <c r="C1483" t="s">
        <v>74</v>
      </c>
      <c r="D1483" t="s">
        <v>74</v>
      </c>
      <c r="E1483" t="s">
        <v>75</v>
      </c>
      <c r="F1483" t="s">
        <v>26799</v>
      </c>
      <c r="G1483" t="s">
        <v>74</v>
      </c>
      <c r="H1483" t="s">
        <v>74</v>
      </c>
      <c r="I1483" t="s">
        <v>26800</v>
      </c>
      <c r="J1483" t="s">
        <v>24037</v>
      </c>
      <c r="K1483" t="s">
        <v>74</v>
      </c>
      <c r="L1483" t="s">
        <v>74</v>
      </c>
      <c r="M1483" t="s">
        <v>79</v>
      </c>
      <c r="N1483" t="s">
        <v>80</v>
      </c>
      <c r="O1483" t="s">
        <v>24038</v>
      </c>
      <c r="P1483" t="s">
        <v>24039</v>
      </c>
      <c r="Q1483" t="s">
        <v>24040</v>
      </c>
      <c r="R1483" t="s">
        <v>24041</v>
      </c>
      <c r="S1483" t="s">
        <v>24042</v>
      </c>
      <c r="T1483" t="s">
        <v>26801</v>
      </c>
      <c r="U1483" t="s">
        <v>26802</v>
      </c>
      <c r="V1483" t="s">
        <v>26803</v>
      </c>
      <c r="W1483" t="s">
        <v>26804</v>
      </c>
      <c r="X1483" t="s">
        <v>74</v>
      </c>
      <c r="Y1483" t="s">
        <v>26805</v>
      </c>
      <c r="Z1483" t="s">
        <v>26806</v>
      </c>
      <c r="AA1483" t="s">
        <v>74</v>
      </c>
      <c r="AB1483" t="s">
        <v>74</v>
      </c>
      <c r="AC1483" t="s">
        <v>26807</v>
      </c>
      <c r="AD1483" t="s">
        <v>26807</v>
      </c>
      <c r="AE1483" t="s">
        <v>26808</v>
      </c>
      <c r="AF1483" t="s">
        <v>74</v>
      </c>
      <c r="AG1483">
        <v>48</v>
      </c>
      <c r="AH1483">
        <v>0</v>
      </c>
      <c r="AI1483">
        <v>0</v>
      </c>
      <c r="AJ1483">
        <v>1</v>
      </c>
      <c r="AK1483">
        <v>1</v>
      </c>
      <c r="AL1483" t="s">
        <v>92</v>
      </c>
      <c r="AM1483" t="s">
        <v>93</v>
      </c>
      <c r="AN1483" t="s">
        <v>94</v>
      </c>
      <c r="AO1483" t="s">
        <v>74</v>
      </c>
      <c r="AP1483" t="s">
        <v>74</v>
      </c>
      <c r="AQ1483" t="s">
        <v>24051</v>
      </c>
      <c r="AR1483" t="s">
        <v>74</v>
      </c>
      <c r="AS1483" t="s">
        <v>74</v>
      </c>
      <c r="AT1483" t="s">
        <v>74</v>
      </c>
      <c r="AU1483">
        <v>2023</v>
      </c>
      <c r="AV1483" t="s">
        <v>74</v>
      </c>
      <c r="AW1483" t="s">
        <v>74</v>
      </c>
      <c r="AX1483" t="s">
        <v>74</v>
      </c>
      <c r="AY1483" t="s">
        <v>74</v>
      </c>
      <c r="AZ1483" t="s">
        <v>74</v>
      </c>
      <c r="BA1483" t="s">
        <v>74</v>
      </c>
      <c r="BB1483">
        <v>70</v>
      </c>
      <c r="BC1483">
        <v>78</v>
      </c>
      <c r="BD1483" t="s">
        <v>74</v>
      </c>
      <c r="BE1483" t="s">
        <v>26809</v>
      </c>
      <c r="BF1483" t="str">
        <f>HYPERLINK("http://dx.doi.org/10.1145/3577190.3614155","http://dx.doi.org/10.1145/3577190.3614155")</f>
        <v>http://dx.doi.org/10.1145/3577190.3614155</v>
      </c>
      <c r="BG1483" t="s">
        <v>74</v>
      </c>
      <c r="BH1483" t="s">
        <v>74</v>
      </c>
      <c r="BI1483">
        <v>9</v>
      </c>
      <c r="BJ1483" t="s">
        <v>331</v>
      </c>
      <c r="BK1483" t="s">
        <v>98</v>
      </c>
      <c r="BL1483" t="s">
        <v>99</v>
      </c>
      <c r="BM1483" t="s">
        <v>24053</v>
      </c>
      <c r="BN1483" t="s">
        <v>74</v>
      </c>
      <c r="BO1483" t="s">
        <v>161</v>
      </c>
      <c r="BP1483" t="s">
        <v>74</v>
      </c>
      <c r="BQ1483" t="s">
        <v>74</v>
      </c>
      <c r="BR1483" t="s">
        <v>101</v>
      </c>
      <c r="BS1483" t="s">
        <v>26810</v>
      </c>
      <c r="BT1483" t="str">
        <f>HYPERLINK("https%3A%2F%2Fwww.webofscience.com%2Fwos%2Fwoscc%2Ffull-record%2FWOS:001147764700011","View Full Record in Web of Science")</f>
        <v>View Full Record in Web of Science</v>
      </c>
    </row>
    <row r="1484" spans="1:72" x14ac:dyDescent="0.2">
      <c r="A1484" t="s">
        <v>103</v>
      </c>
      <c r="B1484" t="s">
        <v>26811</v>
      </c>
      <c r="C1484" t="s">
        <v>74</v>
      </c>
      <c r="D1484" t="s">
        <v>74</v>
      </c>
      <c r="E1484" t="s">
        <v>74</v>
      </c>
      <c r="F1484" t="s">
        <v>26812</v>
      </c>
      <c r="G1484" t="s">
        <v>74</v>
      </c>
      <c r="H1484" t="s">
        <v>74</v>
      </c>
      <c r="I1484" t="s">
        <v>26813</v>
      </c>
      <c r="J1484" t="s">
        <v>26814</v>
      </c>
      <c r="K1484" t="s">
        <v>74</v>
      </c>
      <c r="L1484" t="s">
        <v>74</v>
      </c>
      <c r="M1484" t="s">
        <v>79</v>
      </c>
      <c r="N1484" t="s">
        <v>108</v>
      </c>
      <c r="O1484" t="s">
        <v>74</v>
      </c>
      <c r="P1484" t="s">
        <v>74</v>
      </c>
      <c r="Q1484" t="s">
        <v>74</v>
      </c>
      <c r="R1484" t="s">
        <v>74</v>
      </c>
      <c r="S1484" t="s">
        <v>74</v>
      </c>
      <c r="T1484" t="s">
        <v>74</v>
      </c>
      <c r="U1484" t="s">
        <v>26815</v>
      </c>
      <c r="V1484" t="s">
        <v>26816</v>
      </c>
      <c r="W1484" t="s">
        <v>26817</v>
      </c>
      <c r="X1484" t="s">
        <v>26818</v>
      </c>
      <c r="Y1484" t="s">
        <v>26819</v>
      </c>
      <c r="Z1484" t="s">
        <v>26820</v>
      </c>
      <c r="AA1484" t="s">
        <v>26821</v>
      </c>
      <c r="AB1484" t="s">
        <v>26822</v>
      </c>
      <c r="AC1484" t="s">
        <v>26823</v>
      </c>
      <c r="AD1484" t="s">
        <v>26824</v>
      </c>
      <c r="AE1484" t="s">
        <v>26825</v>
      </c>
      <c r="AF1484" t="s">
        <v>74</v>
      </c>
      <c r="AG1484">
        <v>31</v>
      </c>
      <c r="AH1484">
        <v>3</v>
      </c>
      <c r="AI1484">
        <v>3</v>
      </c>
      <c r="AJ1484">
        <v>8</v>
      </c>
      <c r="AK1484">
        <v>16</v>
      </c>
      <c r="AL1484" t="s">
        <v>547</v>
      </c>
      <c r="AM1484" t="s">
        <v>548</v>
      </c>
      <c r="AN1484" t="s">
        <v>549</v>
      </c>
      <c r="AO1484" t="s">
        <v>26826</v>
      </c>
      <c r="AP1484" t="s">
        <v>26827</v>
      </c>
      <c r="AQ1484" t="s">
        <v>74</v>
      </c>
      <c r="AR1484" t="s">
        <v>26828</v>
      </c>
      <c r="AS1484" t="s">
        <v>26829</v>
      </c>
      <c r="AT1484" t="s">
        <v>26830</v>
      </c>
      <c r="AU1484">
        <v>2023</v>
      </c>
      <c r="AV1484">
        <v>95</v>
      </c>
      <c r="AW1484">
        <v>12</v>
      </c>
      <c r="AX1484" t="s">
        <v>74</v>
      </c>
      <c r="AY1484" t="s">
        <v>74</v>
      </c>
      <c r="AZ1484" t="s">
        <v>74</v>
      </c>
      <c r="BA1484" t="s">
        <v>74</v>
      </c>
      <c r="BB1484">
        <v>5393</v>
      </c>
      <c r="BC1484">
        <v>5401</v>
      </c>
      <c r="BD1484" t="s">
        <v>74</v>
      </c>
      <c r="BE1484" t="s">
        <v>26831</v>
      </c>
      <c r="BF1484" t="str">
        <f>HYPERLINK("http://dx.doi.org/10.1021/acs.analchem.2c05817","http://dx.doi.org/10.1021/acs.analchem.2c05817")</f>
        <v>http://dx.doi.org/10.1021/acs.analchem.2c05817</v>
      </c>
      <c r="BG1484" t="s">
        <v>74</v>
      </c>
      <c r="BH1484" t="s">
        <v>1431</v>
      </c>
      <c r="BI1484">
        <v>9</v>
      </c>
      <c r="BJ1484" t="s">
        <v>26832</v>
      </c>
      <c r="BK1484" t="s">
        <v>130</v>
      </c>
      <c r="BL1484" t="s">
        <v>11006</v>
      </c>
      <c r="BM1484" t="s">
        <v>26833</v>
      </c>
      <c r="BN1484">
        <v>36926883</v>
      </c>
      <c r="BO1484" t="s">
        <v>74</v>
      </c>
      <c r="BP1484" t="s">
        <v>74</v>
      </c>
      <c r="BQ1484" t="s">
        <v>74</v>
      </c>
      <c r="BR1484" t="s">
        <v>101</v>
      </c>
      <c r="BS1484" t="s">
        <v>26834</v>
      </c>
      <c r="BT1484" t="str">
        <f>HYPERLINK("https%3A%2F%2Fwww.webofscience.com%2Fwos%2Fwoscc%2Ffull-record%2FWOS:000962858300001","View Full Record in Web of Science")</f>
        <v>View Full Record in Web of Science</v>
      </c>
    </row>
    <row r="1485" spans="1:72" x14ac:dyDescent="0.2">
      <c r="A1485" t="s">
        <v>103</v>
      </c>
      <c r="B1485" t="s">
        <v>26835</v>
      </c>
      <c r="C1485" t="s">
        <v>74</v>
      </c>
      <c r="D1485" t="s">
        <v>74</v>
      </c>
      <c r="E1485" t="s">
        <v>74</v>
      </c>
      <c r="F1485" t="s">
        <v>26836</v>
      </c>
      <c r="G1485" t="s">
        <v>74</v>
      </c>
      <c r="H1485" t="s">
        <v>74</v>
      </c>
      <c r="I1485" t="s">
        <v>26837</v>
      </c>
      <c r="J1485" t="s">
        <v>26838</v>
      </c>
      <c r="K1485" t="s">
        <v>74</v>
      </c>
      <c r="L1485" t="s">
        <v>74</v>
      </c>
      <c r="M1485" t="s">
        <v>79</v>
      </c>
      <c r="N1485" t="s">
        <v>138</v>
      </c>
      <c r="O1485" t="s">
        <v>74</v>
      </c>
      <c r="P1485" t="s">
        <v>74</v>
      </c>
      <c r="Q1485" t="s">
        <v>74</v>
      </c>
      <c r="R1485" t="s">
        <v>74</v>
      </c>
      <c r="S1485" t="s">
        <v>74</v>
      </c>
      <c r="T1485" t="s">
        <v>26839</v>
      </c>
      <c r="U1485" t="s">
        <v>26840</v>
      </c>
      <c r="V1485" t="s">
        <v>26841</v>
      </c>
      <c r="W1485" t="s">
        <v>26842</v>
      </c>
      <c r="X1485" t="s">
        <v>26843</v>
      </c>
      <c r="Y1485" t="s">
        <v>26844</v>
      </c>
      <c r="Z1485" t="s">
        <v>26845</v>
      </c>
      <c r="AA1485" t="s">
        <v>74</v>
      </c>
      <c r="AB1485" t="s">
        <v>74</v>
      </c>
      <c r="AC1485" t="s">
        <v>26846</v>
      </c>
      <c r="AD1485" t="s">
        <v>26847</v>
      </c>
      <c r="AE1485" t="s">
        <v>26848</v>
      </c>
      <c r="AF1485" t="s">
        <v>74</v>
      </c>
      <c r="AG1485">
        <v>39</v>
      </c>
      <c r="AH1485">
        <v>1</v>
      </c>
      <c r="AI1485">
        <v>1</v>
      </c>
      <c r="AJ1485">
        <v>5</v>
      </c>
      <c r="AK1485">
        <v>5</v>
      </c>
      <c r="AL1485" t="s">
        <v>3165</v>
      </c>
      <c r="AM1485" t="s">
        <v>3166</v>
      </c>
      <c r="AN1485" t="s">
        <v>3167</v>
      </c>
      <c r="AO1485" t="s">
        <v>26849</v>
      </c>
      <c r="AP1485" t="s">
        <v>26850</v>
      </c>
      <c r="AQ1485" t="s">
        <v>74</v>
      </c>
      <c r="AR1485" t="s">
        <v>26851</v>
      </c>
      <c r="AS1485" t="s">
        <v>26852</v>
      </c>
      <c r="AT1485" t="s">
        <v>26853</v>
      </c>
      <c r="AU1485">
        <v>2023</v>
      </c>
      <c r="AV1485" t="s">
        <v>74</v>
      </c>
      <c r="AW1485" t="s">
        <v>74</v>
      </c>
      <c r="AX1485" t="s">
        <v>74</v>
      </c>
      <c r="AY1485" t="s">
        <v>74</v>
      </c>
      <c r="AZ1485" t="s">
        <v>74</v>
      </c>
      <c r="BA1485" t="s">
        <v>74</v>
      </c>
      <c r="BB1485" t="s">
        <v>74</v>
      </c>
      <c r="BC1485" t="s">
        <v>74</v>
      </c>
      <c r="BD1485" t="s">
        <v>74</v>
      </c>
      <c r="BE1485" t="s">
        <v>26854</v>
      </c>
      <c r="BF1485" t="str">
        <f>HYPERLINK("http://dx.doi.org/10.1002/jmri.29072","http://dx.doi.org/10.1002/jmri.29072")</f>
        <v>http://dx.doi.org/10.1002/jmri.29072</v>
      </c>
      <c r="BG1485" t="s">
        <v>74</v>
      </c>
      <c r="BH1485" t="s">
        <v>1886</v>
      </c>
      <c r="BI1485">
        <v>13</v>
      </c>
      <c r="BJ1485" t="s">
        <v>5360</v>
      </c>
      <c r="BK1485" t="s">
        <v>130</v>
      </c>
      <c r="BL1485" t="s">
        <v>5360</v>
      </c>
      <c r="BM1485" t="s">
        <v>26855</v>
      </c>
      <c r="BN1485">
        <v>37864370</v>
      </c>
      <c r="BO1485" t="s">
        <v>1237</v>
      </c>
      <c r="BP1485" t="s">
        <v>74</v>
      </c>
      <c r="BQ1485" t="s">
        <v>74</v>
      </c>
      <c r="BR1485" t="s">
        <v>101</v>
      </c>
      <c r="BS1485" t="s">
        <v>26856</v>
      </c>
      <c r="BT1485" t="str">
        <f>HYPERLINK("https%3A%2F%2Fwww.webofscience.com%2Fwos%2Fwoscc%2Ffull-record%2FWOS:001090314900001","View Full Record in Web of Science")</f>
        <v>View Full Record in Web of Science</v>
      </c>
    </row>
    <row r="1486" spans="1:72" x14ac:dyDescent="0.2">
      <c r="A1486" t="s">
        <v>72</v>
      </c>
      <c r="B1486" t="s">
        <v>26857</v>
      </c>
      <c r="C1486" t="s">
        <v>74</v>
      </c>
      <c r="D1486" t="s">
        <v>74</v>
      </c>
      <c r="E1486" t="s">
        <v>284</v>
      </c>
      <c r="F1486" t="s">
        <v>26858</v>
      </c>
      <c r="G1486" t="s">
        <v>74</v>
      </c>
      <c r="H1486" t="s">
        <v>74</v>
      </c>
      <c r="I1486" t="s">
        <v>26859</v>
      </c>
      <c r="J1486" t="s">
        <v>11058</v>
      </c>
      <c r="K1486" t="s">
        <v>11059</v>
      </c>
      <c r="L1486" t="s">
        <v>74</v>
      </c>
      <c r="M1486" t="s">
        <v>79</v>
      </c>
      <c r="N1486" t="s">
        <v>80</v>
      </c>
      <c r="O1486" t="s">
        <v>11060</v>
      </c>
      <c r="P1486" t="s">
        <v>11061</v>
      </c>
      <c r="Q1486" t="s">
        <v>11062</v>
      </c>
      <c r="R1486" t="s">
        <v>8249</v>
      </c>
      <c r="S1486" t="s">
        <v>74</v>
      </c>
      <c r="T1486" t="s">
        <v>74</v>
      </c>
      <c r="U1486" t="s">
        <v>26860</v>
      </c>
      <c r="V1486" t="s">
        <v>26861</v>
      </c>
      <c r="W1486" t="s">
        <v>26862</v>
      </c>
      <c r="X1486" t="s">
        <v>26863</v>
      </c>
      <c r="Y1486" t="s">
        <v>26864</v>
      </c>
      <c r="Z1486" t="s">
        <v>26865</v>
      </c>
      <c r="AA1486" t="s">
        <v>15002</v>
      </c>
      <c r="AB1486" t="s">
        <v>74</v>
      </c>
      <c r="AC1486" t="s">
        <v>74</v>
      </c>
      <c r="AD1486" t="s">
        <v>74</v>
      </c>
      <c r="AE1486" t="s">
        <v>74</v>
      </c>
      <c r="AF1486" t="s">
        <v>74</v>
      </c>
      <c r="AG1486">
        <v>97</v>
      </c>
      <c r="AH1486">
        <v>1</v>
      </c>
      <c r="AI1486">
        <v>1</v>
      </c>
      <c r="AJ1486">
        <v>1</v>
      </c>
      <c r="AK1486">
        <v>1</v>
      </c>
      <c r="AL1486" t="s">
        <v>638</v>
      </c>
      <c r="AM1486" t="s">
        <v>639</v>
      </c>
      <c r="AN1486" t="s">
        <v>640</v>
      </c>
      <c r="AO1486" t="s">
        <v>11070</v>
      </c>
      <c r="AP1486" t="s">
        <v>74</v>
      </c>
      <c r="AQ1486" t="s">
        <v>11071</v>
      </c>
      <c r="AR1486" t="s">
        <v>11072</v>
      </c>
      <c r="AS1486" t="s">
        <v>74</v>
      </c>
      <c r="AT1486" t="s">
        <v>74</v>
      </c>
      <c r="AU1486">
        <v>2023</v>
      </c>
      <c r="AV1486" t="s">
        <v>74</v>
      </c>
      <c r="AW1486" t="s">
        <v>74</v>
      </c>
      <c r="AX1486" t="s">
        <v>74</v>
      </c>
      <c r="AY1486" t="s">
        <v>74</v>
      </c>
      <c r="AZ1486" t="s">
        <v>74</v>
      </c>
      <c r="BA1486" t="s">
        <v>74</v>
      </c>
      <c r="BB1486">
        <v>6128</v>
      </c>
      <c r="BC1486">
        <v>6139</v>
      </c>
      <c r="BD1486" t="s">
        <v>74</v>
      </c>
      <c r="BE1486" t="s">
        <v>26866</v>
      </c>
      <c r="BF1486" t="str">
        <f>HYPERLINK("http://dx.doi.org/10.1109/WACV56688.2023.00608","http://dx.doi.org/10.1109/WACV56688.2023.00608")</f>
        <v>http://dx.doi.org/10.1109/WACV56688.2023.00608</v>
      </c>
      <c r="BG1486" t="s">
        <v>74</v>
      </c>
      <c r="BH1486" t="s">
        <v>74</v>
      </c>
      <c r="BI1486">
        <v>12</v>
      </c>
      <c r="BJ1486" t="s">
        <v>11074</v>
      </c>
      <c r="BK1486" t="s">
        <v>98</v>
      </c>
      <c r="BL1486" t="s">
        <v>11075</v>
      </c>
      <c r="BM1486" t="s">
        <v>11076</v>
      </c>
      <c r="BN1486" t="s">
        <v>74</v>
      </c>
      <c r="BO1486" t="s">
        <v>646</v>
      </c>
      <c r="BP1486" t="s">
        <v>74</v>
      </c>
      <c r="BQ1486" t="s">
        <v>74</v>
      </c>
      <c r="BR1486" t="s">
        <v>101</v>
      </c>
      <c r="BS1486" t="s">
        <v>26867</v>
      </c>
      <c r="BT1486" t="str">
        <f>HYPERLINK("https%3A%2F%2Fwww.webofscience.com%2Fwos%2Fwoscc%2Ffull-record%2FWOS:000971500206026","View Full Record in Web of Science")</f>
        <v>View Full Record in Web of Science</v>
      </c>
    </row>
    <row r="1487" spans="1:72" x14ac:dyDescent="0.2">
      <c r="A1487" t="s">
        <v>103</v>
      </c>
      <c r="B1487" t="s">
        <v>26868</v>
      </c>
      <c r="C1487" t="s">
        <v>74</v>
      </c>
      <c r="D1487" t="s">
        <v>74</v>
      </c>
      <c r="E1487" t="s">
        <v>74</v>
      </c>
      <c r="F1487" t="s">
        <v>26869</v>
      </c>
      <c r="G1487" t="s">
        <v>74</v>
      </c>
      <c r="H1487" t="s">
        <v>74</v>
      </c>
      <c r="I1487" t="s">
        <v>26870</v>
      </c>
      <c r="J1487" t="s">
        <v>7728</v>
      </c>
      <c r="K1487" t="s">
        <v>74</v>
      </c>
      <c r="L1487" t="s">
        <v>74</v>
      </c>
      <c r="M1487" t="s">
        <v>79</v>
      </c>
      <c r="N1487" t="s">
        <v>108</v>
      </c>
      <c r="O1487" t="s">
        <v>74</v>
      </c>
      <c r="P1487" t="s">
        <v>74</v>
      </c>
      <c r="Q1487" t="s">
        <v>74</v>
      </c>
      <c r="R1487" t="s">
        <v>74</v>
      </c>
      <c r="S1487" t="s">
        <v>74</v>
      </c>
      <c r="T1487" t="s">
        <v>26871</v>
      </c>
      <c r="U1487" t="s">
        <v>26872</v>
      </c>
      <c r="V1487" t="s">
        <v>26873</v>
      </c>
      <c r="W1487" t="s">
        <v>26874</v>
      </c>
      <c r="X1487" t="s">
        <v>26875</v>
      </c>
      <c r="Y1487" t="s">
        <v>26876</v>
      </c>
      <c r="Z1487" t="s">
        <v>26877</v>
      </c>
      <c r="AA1487" t="s">
        <v>74</v>
      </c>
      <c r="AB1487" t="s">
        <v>26878</v>
      </c>
      <c r="AC1487" t="s">
        <v>74</v>
      </c>
      <c r="AD1487" t="s">
        <v>74</v>
      </c>
      <c r="AE1487" t="s">
        <v>74</v>
      </c>
      <c r="AF1487" t="s">
        <v>74</v>
      </c>
      <c r="AG1487">
        <v>56</v>
      </c>
      <c r="AH1487">
        <v>13</v>
      </c>
      <c r="AI1487">
        <v>13</v>
      </c>
      <c r="AJ1487">
        <v>11</v>
      </c>
      <c r="AK1487">
        <v>16</v>
      </c>
      <c r="AL1487" t="s">
        <v>2010</v>
      </c>
      <c r="AM1487" t="s">
        <v>93</v>
      </c>
      <c r="AN1487" t="s">
        <v>2011</v>
      </c>
      <c r="AO1487" t="s">
        <v>7734</v>
      </c>
      <c r="AP1487" t="s">
        <v>7735</v>
      </c>
      <c r="AQ1487" t="s">
        <v>74</v>
      </c>
      <c r="AR1487" t="s">
        <v>7736</v>
      </c>
      <c r="AS1487" t="s">
        <v>7737</v>
      </c>
      <c r="AT1487" t="s">
        <v>771</v>
      </c>
      <c r="AU1487">
        <v>2023</v>
      </c>
      <c r="AV1487">
        <v>120</v>
      </c>
      <c r="AW1487">
        <v>3</v>
      </c>
      <c r="AX1487">
        <v>2</v>
      </c>
      <c r="AY1487" t="s">
        <v>74</v>
      </c>
      <c r="AZ1487" t="s">
        <v>74</v>
      </c>
      <c r="BA1487" t="s">
        <v>74</v>
      </c>
      <c r="BB1487">
        <v>575</v>
      </c>
      <c r="BC1487">
        <v>583</v>
      </c>
      <c r="BD1487" t="s">
        <v>74</v>
      </c>
      <c r="BE1487" t="s">
        <v>26879</v>
      </c>
      <c r="BF1487" t="str">
        <f>HYPERLINK("http://dx.doi.org/10.1016/j.fertnstert.2023.05.151","http://dx.doi.org/10.1016/j.fertnstert.2023.05.151")</f>
        <v>http://dx.doi.org/10.1016/j.fertnstert.2023.05.151</v>
      </c>
      <c r="BG1487" t="s">
        <v>74</v>
      </c>
      <c r="BH1487" t="s">
        <v>255</v>
      </c>
      <c r="BI1487">
        <v>9</v>
      </c>
      <c r="BJ1487" t="s">
        <v>7739</v>
      </c>
      <c r="BK1487" t="s">
        <v>130</v>
      </c>
      <c r="BL1487" t="s">
        <v>7739</v>
      </c>
      <c r="BM1487" t="s">
        <v>26880</v>
      </c>
      <c r="BN1487">
        <v>37217092</v>
      </c>
      <c r="BO1487" t="s">
        <v>161</v>
      </c>
      <c r="BP1487" t="s">
        <v>74</v>
      </c>
      <c r="BQ1487" t="s">
        <v>74</v>
      </c>
      <c r="BR1487" t="s">
        <v>101</v>
      </c>
      <c r="BS1487" t="s">
        <v>26881</v>
      </c>
      <c r="BT1487" t="str">
        <f>HYPERLINK("https%3A%2F%2Fwww.webofscience.com%2Fwos%2Fwoscc%2Ffull-record%2FWOS:001093006600001","View Full Record in Web of Science")</f>
        <v>View Full Record in Web of Science</v>
      </c>
    </row>
    <row r="1488" spans="1:72" x14ac:dyDescent="0.2">
      <c r="A1488" t="s">
        <v>103</v>
      </c>
      <c r="B1488" t="s">
        <v>26882</v>
      </c>
      <c r="C1488" t="s">
        <v>74</v>
      </c>
      <c r="D1488" t="s">
        <v>74</v>
      </c>
      <c r="E1488" t="s">
        <v>74</v>
      </c>
      <c r="F1488" t="s">
        <v>26883</v>
      </c>
      <c r="G1488" t="s">
        <v>74</v>
      </c>
      <c r="H1488" t="s">
        <v>74</v>
      </c>
      <c r="I1488" t="s">
        <v>26884</v>
      </c>
      <c r="J1488" t="s">
        <v>6611</v>
      </c>
      <c r="K1488" t="s">
        <v>74</v>
      </c>
      <c r="L1488" t="s">
        <v>74</v>
      </c>
      <c r="M1488" t="s">
        <v>79</v>
      </c>
      <c r="N1488" t="s">
        <v>108</v>
      </c>
      <c r="O1488" t="s">
        <v>74</v>
      </c>
      <c r="P1488" t="s">
        <v>74</v>
      </c>
      <c r="Q1488" t="s">
        <v>74</v>
      </c>
      <c r="R1488" t="s">
        <v>74</v>
      </c>
      <c r="S1488" t="s">
        <v>74</v>
      </c>
      <c r="T1488" t="s">
        <v>26885</v>
      </c>
      <c r="U1488" t="s">
        <v>26886</v>
      </c>
      <c r="V1488" t="s">
        <v>26887</v>
      </c>
      <c r="W1488" t="s">
        <v>26888</v>
      </c>
      <c r="X1488" t="s">
        <v>26889</v>
      </c>
      <c r="Y1488" t="s">
        <v>26890</v>
      </c>
      <c r="Z1488" t="s">
        <v>26891</v>
      </c>
      <c r="AA1488" t="s">
        <v>74</v>
      </c>
      <c r="AB1488" t="s">
        <v>26892</v>
      </c>
      <c r="AC1488" t="s">
        <v>26893</v>
      </c>
      <c r="AD1488" t="s">
        <v>26894</v>
      </c>
      <c r="AE1488" t="s">
        <v>26895</v>
      </c>
      <c r="AF1488" t="s">
        <v>74</v>
      </c>
      <c r="AG1488">
        <v>59</v>
      </c>
      <c r="AH1488">
        <v>0</v>
      </c>
      <c r="AI1488">
        <v>0</v>
      </c>
      <c r="AJ1488">
        <v>12</v>
      </c>
      <c r="AK1488">
        <v>12</v>
      </c>
      <c r="AL1488" t="s">
        <v>638</v>
      </c>
      <c r="AM1488" t="s">
        <v>639</v>
      </c>
      <c r="AN1488" t="s">
        <v>1557</v>
      </c>
      <c r="AO1488" t="s">
        <v>6621</v>
      </c>
      <c r="AP1488" t="s">
        <v>6622</v>
      </c>
      <c r="AQ1488" t="s">
        <v>74</v>
      </c>
      <c r="AR1488" t="s">
        <v>6623</v>
      </c>
      <c r="AS1488" t="s">
        <v>6624</v>
      </c>
      <c r="AT1488" t="s">
        <v>467</v>
      </c>
      <c r="AU1488">
        <v>2023</v>
      </c>
      <c r="AV1488">
        <v>45</v>
      </c>
      <c r="AW1488">
        <v>10</v>
      </c>
      <c r="AX1488" t="s">
        <v>74</v>
      </c>
      <c r="AY1488" t="s">
        <v>74</v>
      </c>
      <c r="AZ1488" t="s">
        <v>74</v>
      </c>
      <c r="BA1488" t="s">
        <v>74</v>
      </c>
      <c r="BB1488">
        <v>12377</v>
      </c>
      <c r="BC1488">
        <v>12393</v>
      </c>
      <c r="BD1488" t="s">
        <v>74</v>
      </c>
      <c r="BE1488" t="s">
        <v>26896</v>
      </c>
      <c r="BF1488" t="str">
        <f>HYPERLINK("http://dx.doi.org/10.1109/TPAMI.2023.3284431","http://dx.doi.org/10.1109/TPAMI.2023.3284431")</f>
        <v>http://dx.doi.org/10.1109/TPAMI.2023.3284431</v>
      </c>
      <c r="BG1488" t="s">
        <v>74</v>
      </c>
      <c r="BH1488" t="s">
        <v>74</v>
      </c>
      <c r="BI1488">
        <v>17</v>
      </c>
      <c r="BJ1488" t="s">
        <v>6627</v>
      </c>
      <c r="BK1488" t="s">
        <v>130</v>
      </c>
      <c r="BL1488" t="s">
        <v>906</v>
      </c>
      <c r="BM1488" t="s">
        <v>19257</v>
      </c>
      <c r="BN1488">
        <v>37294644</v>
      </c>
      <c r="BO1488" t="s">
        <v>208</v>
      </c>
      <c r="BP1488" t="s">
        <v>74</v>
      </c>
      <c r="BQ1488" t="s">
        <v>74</v>
      </c>
      <c r="BR1488" t="s">
        <v>101</v>
      </c>
      <c r="BS1488" t="s">
        <v>26897</v>
      </c>
      <c r="BT1488" t="str">
        <f>HYPERLINK("https%3A%2F%2Fwww.webofscience.com%2Fwos%2Fwoscc%2Ffull-record%2FWOS:001068816800054","View Full Record in Web of Science")</f>
        <v>View Full Record in Web of Science</v>
      </c>
    </row>
    <row r="1489" spans="1:72" x14ac:dyDescent="0.2">
      <c r="A1489" t="s">
        <v>72</v>
      </c>
      <c r="B1489" t="s">
        <v>26898</v>
      </c>
      <c r="C1489" t="s">
        <v>74</v>
      </c>
      <c r="D1489" t="s">
        <v>74</v>
      </c>
      <c r="E1489" t="s">
        <v>284</v>
      </c>
      <c r="F1489" t="s">
        <v>26899</v>
      </c>
      <c r="G1489" t="s">
        <v>74</v>
      </c>
      <c r="H1489" t="s">
        <v>74</v>
      </c>
      <c r="I1489" t="s">
        <v>26900</v>
      </c>
      <c r="J1489" t="s">
        <v>11243</v>
      </c>
      <c r="K1489" t="s">
        <v>11244</v>
      </c>
      <c r="L1489" t="s">
        <v>74</v>
      </c>
      <c r="M1489" t="s">
        <v>79</v>
      </c>
      <c r="N1489" t="s">
        <v>80</v>
      </c>
      <c r="O1489" t="s">
        <v>11245</v>
      </c>
      <c r="P1489" t="s">
        <v>11246</v>
      </c>
      <c r="Q1489" t="s">
        <v>11247</v>
      </c>
      <c r="R1489" t="s">
        <v>11248</v>
      </c>
      <c r="S1489" t="s">
        <v>74</v>
      </c>
      <c r="T1489" t="s">
        <v>26901</v>
      </c>
      <c r="U1489" t="s">
        <v>74</v>
      </c>
      <c r="V1489" t="s">
        <v>26902</v>
      </c>
      <c r="W1489" t="s">
        <v>26903</v>
      </c>
      <c r="X1489" t="s">
        <v>26904</v>
      </c>
      <c r="Y1489" t="s">
        <v>26905</v>
      </c>
      <c r="Z1489" t="s">
        <v>26906</v>
      </c>
      <c r="AA1489" t="s">
        <v>74</v>
      </c>
      <c r="AB1489" t="s">
        <v>74</v>
      </c>
      <c r="AC1489" t="s">
        <v>26907</v>
      </c>
      <c r="AD1489" t="s">
        <v>26908</v>
      </c>
      <c r="AE1489" t="s">
        <v>26909</v>
      </c>
      <c r="AF1489" t="s">
        <v>74</v>
      </c>
      <c r="AG1489">
        <v>8</v>
      </c>
      <c r="AH1489">
        <v>2</v>
      </c>
      <c r="AI1489">
        <v>2</v>
      </c>
      <c r="AJ1489">
        <v>0</v>
      </c>
      <c r="AK1489">
        <v>0</v>
      </c>
      <c r="AL1489" t="s">
        <v>284</v>
      </c>
      <c r="AM1489" t="s">
        <v>93</v>
      </c>
      <c r="AN1489" t="s">
        <v>299</v>
      </c>
      <c r="AO1489" t="s">
        <v>11260</v>
      </c>
      <c r="AP1489" t="s">
        <v>74</v>
      </c>
      <c r="AQ1489" t="s">
        <v>11261</v>
      </c>
      <c r="AR1489" t="s">
        <v>11262</v>
      </c>
      <c r="AS1489" t="s">
        <v>74</v>
      </c>
      <c r="AT1489" t="s">
        <v>74</v>
      </c>
      <c r="AU1489">
        <v>2023</v>
      </c>
      <c r="AV1489" t="s">
        <v>74</v>
      </c>
      <c r="AW1489" t="s">
        <v>74</v>
      </c>
      <c r="AX1489" t="s">
        <v>74</v>
      </c>
      <c r="AY1489" t="s">
        <v>74</v>
      </c>
      <c r="AZ1489" t="s">
        <v>74</v>
      </c>
      <c r="BA1489" t="s">
        <v>74</v>
      </c>
      <c r="BB1489">
        <v>748</v>
      </c>
      <c r="BC1489">
        <v>750</v>
      </c>
      <c r="BD1489" t="s">
        <v>74</v>
      </c>
      <c r="BE1489" t="s">
        <v>26910</v>
      </c>
      <c r="BF1489" t="str">
        <f>HYPERLINK("http://dx.doi.org/10.1109/ICAIIC57133.2023.10066995","http://dx.doi.org/10.1109/ICAIIC57133.2023.10066995")</f>
        <v>http://dx.doi.org/10.1109/ICAIIC57133.2023.10066995</v>
      </c>
      <c r="BG1489" t="s">
        <v>74</v>
      </c>
      <c r="BH1489" t="s">
        <v>74</v>
      </c>
      <c r="BI1489">
        <v>3</v>
      </c>
      <c r="BJ1489" t="s">
        <v>11264</v>
      </c>
      <c r="BK1489" t="s">
        <v>98</v>
      </c>
      <c r="BL1489" t="s">
        <v>906</v>
      </c>
      <c r="BM1489" t="s">
        <v>11265</v>
      </c>
      <c r="BN1489" t="s">
        <v>74</v>
      </c>
      <c r="BO1489" t="s">
        <v>74</v>
      </c>
      <c r="BP1489" t="s">
        <v>74</v>
      </c>
      <c r="BQ1489" t="s">
        <v>74</v>
      </c>
      <c r="BR1489" t="s">
        <v>101</v>
      </c>
      <c r="BS1489" t="s">
        <v>26911</v>
      </c>
      <c r="BT1489" t="str">
        <f>HYPERLINK("https%3A%2F%2Fwww.webofscience.com%2Fwos%2Fwoscc%2Ffull-record%2FWOS:001012997600146","View Full Record in Web of Science")</f>
        <v>View Full Record in Web of Science</v>
      </c>
    </row>
    <row r="1490" spans="1:72" x14ac:dyDescent="0.2">
      <c r="A1490" t="s">
        <v>103</v>
      </c>
      <c r="B1490" t="s">
        <v>26912</v>
      </c>
      <c r="C1490" t="s">
        <v>74</v>
      </c>
      <c r="D1490" t="s">
        <v>74</v>
      </c>
      <c r="E1490" t="s">
        <v>74</v>
      </c>
      <c r="F1490" t="s">
        <v>26913</v>
      </c>
      <c r="G1490" t="s">
        <v>74</v>
      </c>
      <c r="H1490" t="s">
        <v>74</v>
      </c>
      <c r="I1490" t="s">
        <v>26914</v>
      </c>
      <c r="J1490" t="s">
        <v>11742</v>
      </c>
      <c r="K1490" t="s">
        <v>74</v>
      </c>
      <c r="L1490" t="s">
        <v>74</v>
      </c>
      <c r="M1490" t="s">
        <v>79</v>
      </c>
      <c r="N1490" t="s">
        <v>108</v>
      </c>
      <c r="O1490" t="s">
        <v>74</v>
      </c>
      <c r="P1490" t="s">
        <v>74</v>
      </c>
      <c r="Q1490" t="s">
        <v>74</v>
      </c>
      <c r="R1490" t="s">
        <v>74</v>
      </c>
      <c r="S1490" t="s">
        <v>74</v>
      </c>
      <c r="T1490" t="s">
        <v>74</v>
      </c>
      <c r="U1490" t="s">
        <v>74</v>
      </c>
      <c r="V1490" t="s">
        <v>26915</v>
      </c>
      <c r="W1490" t="s">
        <v>26916</v>
      </c>
      <c r="X1490" t="s">
        <v>26917</v>
      </c>
      <c r="Y1490" t="s">
        <v>26918</v>
      </c>
      <c r="Z1490" t="s">
        <v>26919</v>
      </c>
      <c r="AA1490" t="s">
        <v>74</v>
      </c>
      <c r="AB1490" t="s">
        <v>26920</v>
      </c>
      <c r="AC1490" t="s">
        <v>26921</v>
      </c>
      <c r="AD1490" t="s">
        <v>26922</v>
      </c>
      <c r="AE1490" t="s">
        <v>26923</v>
      </c>
      <c r="AF1490" t="s">
        <v>74</v>
      </c>
      <c r="AG1490">
        <v>70</v>
      </c>
      <c r="AH1490">
        <v>0</v>
      </c>
      <c r="AI1490">
        <v>0</v>
      </c>
      <c r="AJ1490">
        <v>1</v>
      </c>
      <c r="AK1490">
        <v>1</v>
      </c>
      <c r="AL1490" t="s">
        <v>11754</v>
      </c>
      <c r="AM1490" t="s">
        <v>11755</v>
      </c>
      <c r="AN1490" t="s">
        <v>11756</v>
      </c>
      <c r="AO1490" t="s">
        <v>11757</v>
      </c>
      <c r="AP1490" t="s">
        <v>74</v>
      </c>
      <c r="AQ1490" t="s">
        <v>74</v>
      </c>
      <c r="AR1490" t="s">
        <v>11742</v>
      </c>
      <c r="AS1490" t="s">
        <v>11758</v>
      </c>
      <c r="AT1490" t="s">
        <v>26924</v>
      </c>
      <c r="AU1490">
        <v>2023</v>
      </c>
      <c r="AV1490">
        <v>18</v>
      </c>
      <c r="AW1490">
        <v>11</v>
      </c>
      <c r="AX1490" t="s">
        <v>74</v>
      </c>
      <c r="AY1490" t="s">
        <v>74</v>
      </c>
      <c r="AZ1490" t="s">
        <v>74</v>
      </c>
      <c r="BA1490" t="s">
        <v>74</v>
      </c>
      <c r="BB1490" t="s">
        <v>74</v>
      </c>
      <c r="BC1490" t="s">
        <v>74</v>
      </c>
      <c r="BD1490" t="s">
        <v>26925</v>
      </c>
      <c r="BE1490" t="s">
        <v>26926</v>
      </c>
      <c r="BF1490" t="str">
        <f>HYPERLINK("http://dx.doi.org/10.1371/journal.pone.0293885","http://dx.doi.org/10.1371/journal.pone.0293885")</f>
        <v>http://dx.doi.org/10.1371/journal.pone.0293885</v>
      </c>
      <c r="BG1490" t="s">
        <v>74</v>
      </c>
      <c r="BH1490" t="s">
        <v>74</v>
      </c>
      <c r="BI1490">
        <v>17</v>
      </c>
      <c r="BJ1490" t="s">
        <v>5686</v>
      </c>
      <c r="BK1490" t="s">
        <v>130</v>
      </c>
      <c r="BL1490" t="s">
        <v>5687</v>
      </c>
      <c r="BM1490" t="s">
        <v>26927</v>
      </c>
      <c r="BN1490">
        <v>37930987</v>
      </c>
      <c r="BO1490" t="s">
        <v>1728</v>
      </c>
      <c r="BP1490" t="s">
        <v>74</v>
      </c>
      <c r="BQ1490" t="s">
        <v>74</v>
      </c>
      <c r="BR1490" t="s">
        <v>101</v>
      </c>
      <c r="BS1490" t="s">
        <v>26928</v>
      </c>
      <c r="BT1490" t="str">
        <f>HYPERLINK("https%3A%2F%2Fwww.webofscience.com%2Fwos%2Fwoscc%2Ffull-record%2FWOS:001099911400018","View Full Record in Web of Science")</f>
        <v>View Full Record in Web of Science</v>
      </c>
    </row>
    <row r="1491" spans="1:72" x14ac:dyDescent="0.2">
      <c r="A1491" t="s">
        <v>72</v>
      </c>
      <c r="B1491" t="s">
        <v>26929</v>
      </c>
      <c r="C1491" t="s">
        <v>74</v>
      </c>
      <c r="D1491" t="s">
        <v>74</v>
      </c>
      <c r="E1491" t="s">
        <v>75</v>
      </c>
      <c r="F1491" t="s">
        <v>26930</v>
      </c>
      <c r="G1491" t="s">
        <v>74</v>
      </c>
      <c r="H1491" t="s">
        <v>74</v>
      </c>
      <c r="I1491" t="s">
        <v>26931</v>
      </c>
      <c r="J1491" t="s">
        <v>2829</v>
      </c>
      <c r="K1491" t="s">
        <v>74</v>
      </c>
      <c r="L1491" t="s">
        <v>74</v>
      </c>
      <c r="M1491" t="s">
        <v>79</v>
      </c>
      <c r="N1491" t="s">
        <v>80</v>
      </c>
      <c r="O1491" t="s">
        <v>2830</v>
      </c>
      <c r="P1491" t="s">
        <v>1221</v>
      </c>
      <c r="Q1491" t="s">
        <v>2831</v>
      </c>
      <c r="R1491" t="s">
        <v>1223</v>
      </c>
      <c r="S1491" t="s">
        <v>74</v>
      </c>
      <c r="T1491" t="s">
        <v>26932</v>
      </c>
      <c r="U1491" t="s">
        <v>26933</v>
      </c>
      <c r="V1491" t="s">
        <v>26934</v>
      </c>
      <c r="W1491" t="s">
        <v>26935</v>
      </c>
      <c r="X1491" t="s">
        <v>3996</v>
      </c>
      <c r="Y1491" t="s">
        <v>26936</v>
      </c>
      <c r="Z1491" t="s">
        <v>26937</v>
      </c>
      <c r="AA1491" t="s">
        <v>74</v>
      </c>
      <c r="AB1491" t="s">
        <v>26938</v>
      </c>
      <c r="AC1491" t="s">
        <v>26939</v>
      </c>
      <c r="AD1491" t="s">
        <v>26940</v>
      </c>
      <c r="AE1491" t="s">
        <v>26941</v>
      </c>
      <c r="AF1491" t="s">
        <v>74</v>
      </c>
      <c r="AG1491">
        <v>86</v>
      </c>
      <c r="AH1491">
        <v>1</v>
      </c>
      <c r="AI1491">
        <v>1</v>
      </c>
      <c r="AJ1491">
        <v>0</v>
      </c>
      <c r="AK1491">
        <v>0</v>
      </c>
      <c r="AL1491" t="s">
        <v>92</v>
      </c>
      <c r="AM1491" t="s">
        <v>93</v>
      </c>
      <c r="AN1491" t="s">
        <v>94</v>
      </c>
      <c r="AO1491" t="s">
        <v>74</v>
      </c>
      <c r="AP1491" t="s">
        <v>74</v>
      </c>
      <c r="AQ1491" t="s">
        <v>2839</v>
      </c>
      <c r="AR1491" t="s">
        <v>74</v>
      </c>
      <c r="AS1491" t="s">
        <v>74</v>
      </c>
      <c r="AT1491" t="s">
        <v>74</v>
      </c>
      <c r="AU1491">
        <v>2023</v>
      </c>
      <c r="AV1491" t="s">
        <v>74</v>
      </c>
      <c r="AW1491" t="s">
        <v>74</v>
      </c>
      <c r="AX1491" t="s">
        <v>74</v>
      </c>
      <c r="AY1491" t="s">
        <v>74</v>
      </c>
      <c r="AZ1491" t="s">
        <v>74</v>
      </c>
      <c r="BA1491" t="s">
        <v>74</v>
      </c>
      <c r="BB1491">
        <v>957</v>
      </c>
      <c r="BC1491">
        <v>977</v>
      </c>
      <c r="BD1491" t="s">
        <v>74</v>
      </c>
      <c r="BE1491" t="s">
        <v>26942</v>
      </c>
      <c r="BF1491" t="str">
        <f>HYPERLINK("http://dx.doi.org/10.1145/3563657.3596011","http://dx.doi.org/10.1145/3563657.3596011")</f>
        <v>http://dx.doi.org/10.1145/3563657.3596011</v>
      </c>
      <c r="BG1491" t="s">
        <v>74</v>
      </c>
      <c r="BH1491" t="s">
        <v>74</v>
      </c>
      <c r="BI1491">
        <v>21</v>
      </c>
      <c r="BJ1491" t="s">
        <v>1235</v>
      </c>
      <c r="BK1491" t="s">
        <v>180</v>
      </c>
      <c r="BL1491" t="s">
        <v>906</v>
      </c>
      <c r="BM1491" t="s">
        <v>2841</v>
      </c>
      <c r="BN1491" t="s">
        <v>74</v>
      </c>
      <c r="BO1491" t="s">
        <v>1237</v>
      </c>
      <c r="BP1491" t="s">
        <v>74</v>
      </c>
      <c r="BQ1491" t="s">
        <v>74</v>
      </c>
      <c r="BR1491" t="s">
        <v>101</v>
      </c>
      <c r="BS1491" t="s">
        <v>26943</v>
      </c>
      <c r="BT1491" t="str">
        <f>HYPERLINK("https%3A%2F%2Fwww.webofscience.com%2Fwos%2Fwoscc%2Ffull-record%2FWOS:001090855700064","View Full Record in Web of Science")</f>
        <v>View Full Record in Web of Science</v>
      </c>
    </row>
    <row r="1492" spans="1:72" x14ac:dyDescent="0.2">
      <c r="A1492" t="s">
        <v>103</v>
      </c>
      <c r="B1492" t="s">
        <v>26944</v>
      </c>
      <c r="C1492" t="s">
        <v>74</v>
      </c>
      <c r="D1492" t="s">
        <v>74</v>
      </c>
      <c r="E1492" t="s">
        <v>74</v>
      </c>
      <c r="F1492" t="s">
        <v>26945</v>
      </c>
      <c r="G1492" t="s">
        <v>74</v>
      </c>
      <c r="H1492" t="s">
        <v>74</v>
      </c>
      <c r="I1492" t="s">
        <v>26946</v>
      </c>
      <c r="J1492" t="s">
        <v>12176</v>
      </c>
      <c r="K1492" t="s">
        <v>74</v>
      </c>
      <c r="L1492" t="s">
        <v>74</v>
      </c>
      <c r="M1492" t="s">
        <v>79</v>
      </c>
      <c r="N1492" t="s">
        <v>108</v>
      </c>
      <c r="O1492" t="s">
        <v>74</v>
      </c>
      <c r="P1492" t="s">
        <v>74</v>
      </c>
      <c r="Q1492" t="s">
        <v>74</v>
      </c>
      <c r="R1492" t="s">
        <v>74</v>
      </c>
      <c r="S1492" t="s">
        <v>74</v>
      </c>
      <c r="T1492" t="s">
        <v>26947</v>
      </c>
      <c r="U1492" t="s">
        <v>16512</v>
      </c>
      <c r="V1492" t="s">
        <v>26948</v>
      </c>
      <c r="W1492" t="s">
        <v>26949</v>
      </c>
      <c r="X1492" t="s">
        <v>26950</v>
      </c>
      <c r="Y1492" t="s">
        <v>26951</v>
      </c>
      <c r="Z1492" t="s">
        <v>26952</v>
      </c>
      <c r="AA1492" t="s">
        <v>74</v>
      </c>
      <c r="AB1492" t="s">
        <v>26953</v>
      </c>
      <c r="AC1492" t="s">
        <v>26954</v>
      </c>
      <c r="AD1492" t="s">
        <v>26954</v>
      </c>
      <c r="AE1492" t="s">
        <v>26955</v>
      </c>
      <c r="AF1492" t="s">
        <v>74</v>
      </c>
      <c r="AG1492">
        <v>71</v>
      </c>
      <c r="AH1492">
        <v>2</v>
      </c>
      <c r="AI1492">
        <v>2</v>
      </c>
      <c r="AJ1492">
        <v>2</v>
      </c>
      <c r="AK1492">
        <v>10</v>
      </c>
      <c r="AL1492" t="s">
        <v>764</v>
      </c>
      <c r="AM1492" t="s">
        <v>765</v>
      </c>
      <c r="AN1492" t="s">
        <v>766</v>
      </c>
      <c r="AO1492" t="s">
        <v>12189</v>
      </c>
      <c r="AP1492" t="s">
        <v>12190</v>
      </c>
      <c r="AQ1492" t="s">
        <v>74</v>
      </c>
      <c r="AR1492" t="s">
        <v>12176</v>
      </c>
      <c r="AS1492" t="s">
        <v>12191</v>
      </c>
      <c r="AT1492" t="s">
        <v>26956</v>
      </c>
      <c r="AU1492">
        <v>2023</v>
      </c>
      <c r="AV1492">
        <v>534</v>
      </c>
      <c r="AW1492" t="s">
        <v>74</v>
      </c>
      <c r="AX1492" t="s">
        <v>74</v>
      </c>
      <c r="AY1492" t="s">
        <v>74</v>
      </c>
      <c r="AZ1492" t="s">
        <v>74</v>
      </c>
      <c r="BA1492" t="s">
        <v>74</v>
      </c>
      <c r="BB1492">
        <v>55</v>
      </c>
      <c r="BC1492">
        <v>66</v>
      </c>
      <c r="BD1492" t="s">
        <v>74</v>
      </c>
      <c r="BE1492" t="s">
        <v>26957</v>
      </c>
      <c r="BF1492" t="str">
        <f>HYPERLINK("http://dx.doi.org/10.1016/j.neucom.2023.03.009","http://dx.doi.org/10.1016/j.neucom.2023.03.009")</f>
        <v>http://dx.doi.org/10.1016/j.neucom.2023.03.009</v>
      </c>
      <c r="BG1492" t="s">
        <v>74</v>
      </c>
      <c r="BH1492" t="s">
        <v>1431</v>
      </c>
      <c r="BI1492">
        <v>12</v>
      </c>
      <c r="BJ1492" t="s">
        <v>304</v>
      </c>
      <c r="BK1492" t="s">
        <v>130</v>
      </c>
      <c r="BL1492" t="s">
        <v>99</v>
      </c>
      <c r="BM1492" t="s">
        <v>26958</v>
      </c>
      <c r="BN1492" t="s">
        <v>74</v>
      </c>
      <c r="BO1492" t="s">
        <v>74</v>
      </c>
      <c r="BP1492" t="s">
        <v>74</v>
      </c>
      <c r="BQ1492" t="s">
        <v>74</v>
      </c>
      <c r="BR1492" t="s">
        <v>101</v>
      </c>
      <c r="BS1492" t="s">
        <v>26959</v>
      </c>
      <c r="BT1492" t="str">
        <f>HYPERLINK("https%3A%2F%2Fwww.webofscience.com%2Fwos%2Fwoscc%2Ffull-record%2FWOS:000972613000001","View Full Record in Web of Science")</f>
        <v>View Full Record in Web of Science</v>
      </c>
    </row>
    <row r="1493" spans="1:72" x14ac:dyDescent="0.2">
      <c r="A1493" t="s">
        <v>103</v>
      </c>
      <c r="B1493" t="s">
        <v>26960</v>
      </c>
      <c r="C1493" t="s">
        <v>74</v>
      </c>
      <c r="D1493" t="s">
        <v>74</v>
      </c>
      <c r="E1493" t="s">
        <v>74</v>
      </c>
      <c r="F1493" t="s">
        <v>26961</v>
      </c>
      <c r="G1493" t="s">
        <v>74</v>
      </c>
      <c r="H1493" t="s">
        <v>74</v>
      </c>
      <c r="I1493" t="s">
        <v>26962</v>
      </c>
      <c r="J1493" t="s">
        <v>26963</v>
      </c>
      <c r="K1493" t="s">
        <v>74</v>
      </c>
      <c r="L1493" t="s">
        <v>74</v>
      </c>
      <c r="M1493" t="s">
        <v>79</v>
      </c>
      <c r="N1493" t="s">
        <v>108</v>
      </c>
      <c r="O1493" t="s">
        <v>74</v>
      </c>
      <c r="P1493" t="s">
        <v>74</v>
      </c>
      <c r="Q1493" t="s">
        <v>74</v>
      </c>
      <c r="R1493" t="s">
        <v>74</v>
      </c>
      <c r="S1493" t="s">
        <v>74</v>
      </c>
      <c r="T1493" t="s">
        <v>26964</v>
      </c>
      <c r="U1493" t="s">
        <v>26965</v>
      </c>
      <c r="V1493" t="s">
        <v>26966</v>
      </c>
      <c r="W1493" t="s">
        <v>26967</v>
      </c>
      <c r="X1493" t="s">
        <v>26968</v>
      </c>
      <c r="Y1493" t="s">
        <v>26969</v>
      </c>
      <c r="Z1493" t="s">
        <v>26970</v>
      </c>
      <c r="AA1493" t="s">
        <v>26971</v>
      </c>
      <c r="AB1493" t="s">
        <v>26972</v>
      </c>
      <c r="AC1493" t="s">
        <v>26973</v>
      </c>
      <c r="AD1493" t="s">
        <v>26974</v>
      </c>
      <c r="AE1493" t="s">
        <v>26975</v>
      </c>
      <c r="AF1493" t="s">
        <v>74</v>
      </c>
      <c r="AG1493">
        <v>46</v>
      </c>
      <c r="AH1493">
        <v>0</v>
      </c>
      <c r="AI1493">
        <v>0</v>
      </c>
      <c r="AJ1493">
        <v>1</v>
      </c>
      <c r="AK1493">
        <v>1</v>
      </c>
      <c r="AL1493" t="s">
        <v>3202</v>
      </c>
      <c r="AM1493" t="s">
        <v>120</v>
      </c>
      <c r="AN1493" t="s">
        <v>3203</v>
      </c>
      <c r="AO1493" t="s">
        <v>26976</v>
      </c>
      <c r="AP1493" t="s">
        <v>26977</v>
      </c>
      <c r="AQ1493" t="s">
        <v>74</v>
      </c>
      <c r="AR1493" t="s">
        <v>26978</v>
      </c>
      <c r="AS1493" t="s">
        <v>26979</v>
      </c>
      <c r="AT1493" t="s">
        <v>26980</v>
      </c>
      <c r="AU1493">
        <v>2023</v>
      </c>
      <c r="AV1493">
        <v>527</v>
      </c>
      <c r="AW1493">
        <v>4</v>
      </c>
      <c r="AX1493" t="s">
        <v>74</v>
      </c>
      <c r="AY1493" t="s">
        <v>74</v>
      </c>
      <c r="AZ1493" t="s">
        <v>74</v>
      </c>
      <c r="BA1493" t="s">
        <v>74</v>
      </c>
      <c r="BB1493">
        <v>10965</v>
      </c>
      <c r="BC1493">
        <v>10974</v>
      </c>
      <c r="BD1493" t="s">
        <v>74</v>
      </c>
      <c r="BE1493" t="s">
        <v>26981</v>
      </c>
      <c r="BF1493" t="str">
        <f>HYPERLINK("http://dx.doi.org/10.1093/mnras/stad3797","http://dx.doi.org/10.1093/mnras/stad3797")</f>
        <v>http://dx.doi.org/10.1093/mnras/stad3797</v>
      </c>
      <c r="BG1493" t="s">
        <v>74</v>
      </c>
      <c r="BH1493" t="s">
        <v>74</v>
      </c>
      <c r="BI1493">
        <v>10</v>
      </c>
      <c r="BJ1493" t="s">
        <v>26982</v>
      </c>
      <c r="BK1493" t="s">
        <v>130</v>
      </c>
      <c r="BL1493" t="s">
        <v>26982</v>
      </c>
      <c r="BM1493" t="s">
        <v>26983</v>
      </c>
      <c r="BN1493" t="s">
        <v>74</v>
      </c>
      <c r="BO1493" t="s">
        <v>2722</v>
      </c>
      <c r="BP1493" t="s">
        <v>74</v>
      </c>
      <c r="BQ1493" t="s">
        <v>74</v>
      </c>
      <c r="BR1493" t="s">
        <v>101</v>
      </c>
      <c r="BS1493" t="s">
        <v>26984</v>
      </c>
      <c r="BT1493" t="str">
        <f>HYPERLINK("https%3A%2F%2Fwww.webofscience.com%2Fwos%2Fwoscc%2Ffull-record%2FWOS:001159060500023","View Full Record in Web of Science")</f>
        <v>View Full Record in Web of Science</v>
      </c>
    </row>
    <row r="1494" spans="1:72" x14ac:dyDescent="0.2">
      <c r="A1494" t="s">
        <v>72</v>
      </c>
      <c r="B1494" t="s">
        <v>26985</v>
      </c>
      <c r="C1494" t="s">
        <v>74</v>
      </c>
      <c r="D1494" t="s">
        <v>8562</v>
      </c>
      <c r="E1494" t="s">
        <v>74</v>
      </c>
      <c r="F1494" t="s">
        <v>26986</v>
      </c>
      <c r="G1494" t="s">
        <v>74</v>
      </c>
      <c r="H1494" t="s">
        <v>74</v>
      </c>
      <c r="I1494" t="s">
        <v>26987</v>
      </c>
      <c r="J1494" t="s">
        <v>16322</v>
      </c>
      <c r="K1494" t="s">
        <v>1034</v>
      </c>
      <c r="L1494" t="s">
        <v>74</v>
      </c>
      <c r="M1494" t="s">
        <v>79</v>
      </c>
      <c r="N1494" t="s">
        <v>80</v>
      </c>
      <c r="O1494" t="s">
        <v>8566</v>
      </c>
      <c r="P1494" t="s">
        <v>8567</v>
      </c>
      <c r="Q1494" t="s">
        <v>8568</v>
      </c>
      <c r="R1494" t="s">
        <v>8569</v>
      </c>
      <c r="S1494" t="s">
        <v>74</v>
      </c>
      <c r="T1494" t="s">
        <v>26988</v>
      </c>
      <c r="U1494" t="s">
        <v>11896</v>
      </c>
      <c r="V1494" t="s">
        <v>26989</v>
      </c>
      <c r="W1494" t="s">
        <v>26990</v>
      </c>
      <c r="X1494" t="s">
        <v>20648</v>
      </c>
      <c r="Y1494" t="s">
        <v>26991</v>
      </c>
      <c r="Z1494" t="s">
        <v>26992</v>
      </c>
      <c r="AA1494" t="s">
        <v>26993</v>
      </c>
      <c r="AB1494" t="s">
        <v>74</v>
      </c>
      <c r="AC1494" t="s">
        <v>26994</v>
      </c>
      <c r="AD1494" t="s">
        <v>26995</v>
      </c>
      <c r="AE1494" t="s">
        <v>26996</v>
      </c>
      <c r="AF1494" t="s">
        <v>74</v>
      </c>
      <c r="AG1494">
        <v>28</v>
      </c>
      <c r="AH1494">
        <v>1</v>
      </c>
      <c r="AI1494">
        <v>1</v>
      </c>
      <c r="AJ1494">
        <v>0</v>
      </c>
      <c r="AK1494">
        <v>0</v>
      </c>
      <c r="AL1494" t="s">
        <v>325</v>
      </c>
      <c r="AM1494" t="s">
        <v>245</v>
      </c>
      <c r="AN1494" t="s">
        <v>246</v>
      </c>
      <c r="AO1494" t="s">
        <v>1042</v>
      </c>
      <c r="AP1494" t="s">
        <v>327</v>
      </c>
      <c r="AQ1494" t="s">
        <v>16331</v>
      </c>
      <c r="AR1494" t="s">
        <v>1044</v>
      </c>
      <c r="AS1494" t="s">
        <v>74</v>
      </c>
      <c r="AT1494" t="s">
        <v>74</v>
      </c>
      <c r="AU1494">
        <v>2023</v>
      </c>
      <c r="AV1494">
        <v>13717</v>
      </c>
      <c r="AW1494" t="s">
        <v>74</v>
      </c>
      <c r="AX1494" t="s">
        <v>74</v>
      </c>
      <c r="AY1494" t="s">
        <v>74</v>
      </c>
      <c r="AZ1494" t="s">
        <v>74</v>
      </c>
      <c r="BA1494" t="s">
        <v>74</v>
      </c>
      <c r="BB1494">
        <v>581</v>
      </c>
      <c r="BC1494">
        <v>597</v>
      </c>
      <c r="BD1494" t="s">
        <v>74</v>
      </c>
      <c r="BE1494" t="s">
        <v>26997</v>
      </c>
      <c r="BF1494" t="str">
        <f>HYPERLINK("http://dx.doi.org/10.1007/978-3-031-26419-1_35","http://dx.doi.org/10.1007/978-3-031-26419-1_35")</f>
        <v>http://dx.doi.org/10.1007/978-3-031-26419-1_35</v>
      </c>
      <c r="BG1494" t="s">
        <v>74</v>
      </c>
      <c r="BH1494" t="s">
        <v>74</v>
      </c>
      <c r="BI1494">
        <v>17</v>
      </c>
      <c r="BJ1494" t="s">
        <v>331</v>
      </c>
      <c r="BK1494" t="s">
        <v>98</v>
      </c>
      <c r="BL1494" t="s">
        <v>99</v>
      </c>
      <c r="BM1494" t="s">
        <v>16333</v>
      </c>
      <c r="BN1494" t="s">
        <v>74</v>
      </c>
      <c r="BO1494" t="s">
        <v>74</v>
      </c>
      <c r="BP1494" t="s">
        <v>74</v>
      </c>
      <c r="BQ1494" t="s">
        <v>74</v>
      </c>
      <c r="BR1494" t="s">
        <v>101</v>
      </c>
      <c r="BS1494" t="s">
        <v>26998</v>
      </c>
      <c r="BT1494" t="str">
        <f>HYPERLINK("https%3A%2F%2Fwww.webofscience.com%2Fwos%2Fwoscc%2Ffull-record%2FWOS:000999148200035","View Full Record in Web of Science")</f>
        <v>View Full Record in Web of Science</v>
      </c>
    </row>
    <row r="1495" spans="1:72" x14ac:dyDescent="0.2">
      <c r="A1495" t="s">
        <v>103</v>
      </c>
      <c r="B1495" t="s">
        <v>26999</v>
      </c>
      <c r="C1495" t="s">
        <v>74</v>
      </c>
      <c r="D1495" t="s">
        <v>74</v>
      </c>
      <c r="E1495" t="s">
        <v>74</v>
      </c>
      <c r="F1495" t="s">
        <v>27000</v>
      </c>
      <c r="G1495" t="s">
        <v>74</v>
      </c>
      <c r="H1495" t="s">
        <v>74</v>
      </c>
      <c r="I1495" t="s">
        <v>27001</v>
      </c>
      <c r="J1495" t="s">
        <v>18925</v>
      </c>
      <c r="K1495" t="s">
        <v>74</v>
      </c>
      <c r="L1495" t="s">
        <v>74</v>
      </c>
      <c r="M1495" t="s">
        <v>79</v>
      </c>
      <c r="N1495" t="s">
        <v>108</v>
      </c>
      <c r="O1495" t="s">
        <v>74</v>
      </c>
      <c r="P1495" t="s">
        <v>74</v>
      </c>
      <c r="Q1495" t="s">
        <v>74</v>
      </c>
      <c r="R1495" t="s">
        <v>74</v>
      </c>
      <c r="S1495" t="s">
        <v>74</v>
      </c>
      <c r="T1495" t="s">
        <v>27002</v>
      </c>
      <c r="U1495" t="s">
        <v>27003</v>
      </c>
      <c r="V1495" t="s">
        <v>27004</v>
      </c>
      <c r="W1495" t="s">
        <v>27005</v>
      </c>
      <c r="X1495" t="s">
        <v>27006</v>
      </c>
      <c r="Y1495" t="s">
        <v>27007</v>
      </c>
      <c r="Z1495" t="s">
        <v>27008</v>
      </c>
      <c r="AA1495" t="s">
        <v>74</v>
      </c>
      <c r="AB1495" t="s">
        <v>74</v>
      </c>
      <c r="AC1495" t="s">
        <v>27009</v>
      </c>
      <c r="AD1495" t="s">
        <v>27010</v>
      </c>
      <c r="AE1495" t="s">
        <v>27011</v>
      </c>
      <c r="AF1495" t="s">
        <v>74</v>
      </c>
      <c r="AG1495">
        <v>101</v>
      </c>
      <c r="AH1495">
        <v>0</v>
      </c>
      <c r="AI1495">
        <v>0</v>
      </c>
      <c r="AJ1495">
        <v>4</v>
      </c>
      <c r="AK1495">
        <v>6</v>
      </c>
      <c r="AL1495" t="s">
        <v>119</v>
      </c>
      <c r="AM1495" t="s">
        <v>120</v>
      </c>
      <c r="AN1495" t="s">
        <v>121</v>
      </c>
      <c r="AO1495" t="s">
        <v>18937</v>
      </c>
      <c r="AP1495" t="s">
        <v>18938</v>
      </c>
      <c r="AQ1495" t="s">
        <v>74</v>
      </c>
      <c r="AR1495" t="s">
        <v>18939</v>
      </c>
      <c r="AS1495" t="s">
        <v>18940</v>
      </c>
      <c r="AT1495" t="s">
        <v>22563</v>
      </c>
      <c r="AU1495">
        <v>2023</v>
      </c>
      <c r="AV1495">
        <v>228</v>
      </c>
      <c r="AW1495" t="s">
        <v>74</v>
      </c>
      <c r="AX1495" t="s">
        <v>74</v>
      </c>
      <c r="AY1495" t="s">
        <v>74</v>
      </c>
      <c r="AZ1495" t="s">
        <v>74</v>
      </c>
      <c r="BA1495" t="s">
        <v>74</v>
      </c>
      <c r="BB1495" t="s">
        <v>74</v>
      </c>
      <c r="BC1495" t="s">
        <v>74</v>
      </c>
      <c r="BD1495">
        <v>120118</v>
      </c>
      <c r="BE1495" t="s">
        <v>27012</v>
      </c>
      <c r="BF1495" t="str">
        <f>HYPERLINK("http://dx.doi.org/10.1016/j.eswa.2023.120118","http://dx.doi.org/10.1016/j.eswa.2023.120118")</f>
        <v>http://dx.doi.org/10.1016/j.eswa.2023.120118</v>
      </c>
      <c r="BG1495" t="s">
        <v>74</v>
      </c>
      <c r="BH1495" t="s">
        <v>2889</v>
      </c>
      <c r="BI1495">
        <v>14</v>
      </c>
      <c r="BJ1495" t="s">
        <v>18942</v>
      </c>
      <c r="BK1495" t="s">
        <v>130</v>
      </c>
      <c r="BL1495" t="s">
        <v>18943</v>
      </c>
      <c r="BM1495" t="s">
        <v>27013</v>
      </c>
      <c r="BN1495" t="s">
        <v>74</v>
      </c>
      <c r="BO1495" t="s">
        <v>646</v>
      </c>
      <c r="BP1495" t="s">
        <v>74</v>
      </c>
      <c r="BQ1495" t="s">
        <v>74</v>
      </c>
      <c r="BR1495" t="s">
        <v>101</v>
      </c>
      <c r="BS1495" t="s">
        <v>27014</v>
      </c>
      <c r="BT1495" t="str">
        <f>HYPERLINK("https%3A%2F%2Fwww.webofscience.com%2Fwos%2Fwoscc%2Ffull-record%2FWOS:001003262600001","View Full Record in Web of Science")</f>
        <v>View Full Record in Web of Science</v>
      </c>
    </row>
    <row r="1496" spans="1:72" x14ac:dyDescent="0.2">
      <c r="A1496" t="s">
        <v>103</v>
      </c>
      <c r="B1496" t="s">
        <v>27015</v>
      </c>
      <c r="C1496" t="s">
        <v>74</v>
      </c>
      <c r="D1496" t="s">
        <v>74</v>
      </c>
      <c r="E1496" t="s">
        <v>74</v>
      </c>
      <c r="F1496" t="s">
        <v>27016</v>
      </c>
      <c r="G1496" t="s">
        <v>74</v>
      </c>
      <c r="H1496" t="s">
        <v>74</v>
      </c>
      <c r="I1496" t="s">
        <v>27017</v>
      </c>
      <c r="J1496" t="s">
        <v>16356</v>
      </c>
      <c r="K1496" t="s">
        <v>74</v>
      </c>
      <c r="L1496" t="s">
        <v>74</v>
      </c>
      <c r="M1496" t="s">
        <v>79</v>
      </c>
      <c r="N1496" t="s">
        <v>108</v>
      </c>
      <c r="O1496" t="s">
        <v>74</v>
      </c>
      <c r="P1496" t="s">
        <v>74</v>
      </c>
      <c r="Q1496" t="s">
        <v>74</v>
      </c>
      <c r="R1496" t="s">
        <v>74</v>
      </c>
      <c r="S1496" t="s">
        <v>74</v>
      </c>
      <c r="T1496" t="s">
        <v>27018</v>
      </c>
      <c r="U1496" t="s">
        <v>27019</v>
      </c>
      <c r="V1496" t="s">
        <v>27020</v>
      </c>
      <c r="W1496" t="s">
        <v>27021</v>
      </c>
      <c r="X1496" t="s">
        <v>27022</v>
      </c>
      <c r="Y1496" t="s">
        <v>27023</v>
      </c>
      <c r="Z1496" t="s">
        <v>27024</v>
      </c>
      <c r="AA1496" t="s">
        <v>74</v>
      </c>
      <c r="AB1496" t="s">
        <v>27025</v>
      </c>
      <c r="AC1496" t="s">
        <v>27026</v>
      </c>
      <c r="AD1496" t="s">
        <v>27027</v>
      </c>
      <c r="AE1496" t="s">
        <v>27028</v>
      </c>
      <c r="AF1496" t="s">
        <v>74</v>
      </c>
      <c r="AG1496">
        <v>38</v>
      </c>
      <c r="AH1496">
        <v>1</v>
      </c>
      <c r="AI1496">
        <v>1</v>
      </c>
      <c r="AJ1496">
        <v>4</v>
      </c>
      <c r="AK1496">
        <v>7</v>
      </c>
      <c r="AL1496" t="s">
        <v>6584</v>
      </c>
      <c r="AM1496" t="s">
        <v>149</v>
      </c>
      <c r="AN1496" t="s">
        <v>6585</v>
      </c>
      <c r="AO1496" t="s">
        <v>16366</v>
      </c>
      <c r="AP1496" t="s">
        <v>16367</v>
      </c>
      <c r="AQ1496" t="s">
        <v>74</v>
      </c>
      <c r="AR1496" t="s">
        <v>16368</v>
      </c>
      <c r="AS1496" t="s">
        <v>16369</v>
      </c>
      <c r="AT1496" t="s">
        <v>2582</v>
      </c>
      <c r="AU1496">
        <v>2023</v>
      </c>
      <c r="AV1496">
        <v>65</v>
      </c>
      <c r="AW1496">
        <v>6</v>
      </c>
      <c r="AX1496" t="s">
        <v>74</v>
      </c>
      <c r="AY1496" t="s">
        <v>74</v>
      </c>
      <c r="AZ1496" t="s">
        <v>74</v>
      </c>
      <c r="BA1496" t="s">
        <v>74</v>
      </c>
      <c r="BB1496">
        <v>2699</v>
      </c>
      <c r="BC1496">
        <v>2729</v>
      </c>
      <c r="BD1496" t="s">
        <v>74</v>
      </c>
      <c r="BE1496" t="s">
        <v>27029</v>
      </c>
      <c r="BF1496" t="str">
        <f>HYPERLINK("http://dx.doi.org/10.1007/s10115-023-01847-0","http://dx.doi.org/10.1007/s10115-023-01847-0")</f>
        <v>http://dx.doi.org/10.1007/s10115-023-01847-0</v>
      </c>
      <c r="BG1496" t="s">
        <v>74</v>
      </c>
      <c r="BH1496" t="s">
        <v>1431</v>
      </c>
      <c r="BI1496">
        <v>31</v>
      </c>
      <c r="BJ1496" t="s">
        <v>883</v>
      </c>
      <c r="BK1496" t="s">
        <v>130</v>
      </c>
      <c r="BL1496" t="s">
        <v>99</v>
      </c>
      <c r="BM1496" t="s">
        <v>27030</v>
      </c>
      <c r="BN1496">
        <v>37035130</v>
      </c>
      <c r="BO1496" t="s">
        <v>17828</v>
      </c>
      <c r="BP1496" t="s">
        <v>74</v>
      </c>
      <c r="BQ1496" t="s">
        <v>74</v>
      </c>
      <c r="BR1496" t="s">
        <v>101</v>
      </c>
      <c r="BS1496" t="s">
        <v>27031</v>
      </c>
      <c r="BT1496" t="str">
        <f>HYPERLINK("https%3A%2F%2Fwww.webofscience.com%2Fwos%2Fwoscc%2Ffull-record%2FWOS:000945694700002","View Full Record in Web of Science")</f>
        <v>View Full Record in Web of Science</v>
      </c>
    </row>
    <row r="1497" spans="1:72" x14ac:dyDescent="0.2">
      <c r="A1497" t="s">
        <v>103</v>
      </c>
      <c r="B1497" t="s">
        <v>27032</v>
      </c>
      <c r="C1497" t="s">
        <v>74</v>
      </c>
      <c r="D1497" t="s">
        <v>74</v>
      </c>
      <c r="E1497" t="s">
        <v>74</v>
      </c>
      <c r="F1497" t="s">
        <v>27033</v>
      </c>
      <c r="G1497" t="s">
        <v>74</v>
      </c>
      <c r="H1497" t="s">
        <v>74</v>
      </c>
      <c r="I1497" t="s">
        <v>27034</v>
      </c>
      <c r="J1497" t="s">
        <v>12578</v>
      </c>
      <c r="K1497" t="s">
        <v>74</v>
      </c>
      <c r="L1497" t="s">
        <v>74</v>
      </c>
      <c r="M1497" t="s">
        <v>79</v>
      </c>
      <c r="N1497" t="s">
        <v>108</v>
      </c>
      <c r="O1497" t="s">
        <v>74</v>
      </c>
      <c r="P1497" t="s">
        <v>74</v>
      </c>
      <c r="Q1497" t="s">
        <v>74</v>
      </c>
      <c r="R1497" t="s">
        <v>74</v>
      </c>
      <c r="S1497" t="s">
        <v>74</v>
      </c>
      <c r="T1497" t="s">
        <v>27035</v>
      </c>
      <c r="U1497" t="s">
        <v>16512</v>
      </c>
      <c r="V1497" t="s">
        <v>27036</v>
      </c>
      <c r="W1497" t="s">
        <v>27037</v>
      </c>
      <c r="X1497" t="s">
        <v>27038</v>
      </c>
      <c r="Y1497" t="s">
        <v>27039</v>
      </c>
      <c r="Z1497" t="s">
        <v>27040</v>
      </c>
      <c r="AA1497" t="s">
        <v>74</v>
      </c>
      <c r="AB1497" t="s">
        <v>74</v>
      </c>
      <c r="AC1497" t="s">
        <v>27041</v>
      </c>
      <c r="AD1497" t="s">
        <v>27042</v>
      </c>
      <c r="AE1497" t="s">
        <v>27043</v>
      </c>
      <c r="AF1497" t="s">
        <v>74</v>
      </c>
      <c r="AG1497">
        <v>30</v>
      </c>
      <c r="AH1497">
        <v>2</v>
      </c>
      <c r="AI1497">
        <v>2</v>
      </c>
      <c r="AJ1497">
        <v>22</v>
      </c>
      <c r="AK1497">
        <v>33</v>
      </c>
      <c r="AL1497" t="s">
        <v>3202</v>
      </c>
      <c r="AM1497" t="s">
        <v>120</v>
      </c>
      <c r="AN1497" t="s">
        <v>3203</v>
      </c>
      <c r="AO1497" t="s">
        <v>12590</v>
      </c>
      <c r="AP1497" t="s">
        <v>12591</v>
      </c>
      <c r="AQ1497" t="s">
        <v>74</v>
      </c>
      <c r="AR1497" t="s">
        <v>12592</v>
      </c>
      <c r="AS1497" t="s">
        <v>12593</v>
      </c>
      <c r="AT1497" t="s">
        <v>615</v>
      </c>
      <c r="AU1497">
        <v>2023</v>
      </c>
      <c r="AV1497">
        <v>24</v>
      </c>
      <c r="AW1497">
        <v>4</v>
      </c>
      <c r="AX1497" t="s">
        <v>74</v>
      </c>
      <c r="AY1497" t="s">
        <v>74</v>
      </c>
      <c r="AZ1497" t="s">
        <v>74</v>
      </c>
      <c r="BA1497" t="s">
        <v>74</v>
      </c>
      <c r="BB1497" t="s">
        <v>74</v>
      </c>
      <c r="BC1497" t="s">
        <v>74</v>
      </c>
      <c r="BD1497" t="s">
        <v>74</v>
      </c>
      <c r="BE1497" t="s">
        <v>27044</v>
      </c>
      <c r="BF1497" t="str">
        <f>HYPERLINK("http://dx.doi.org/10.1093/bib/bbad185","http://dx.doi.org/10.1093/bib/bbad185")</f>
        <v>http://dx.doi.org/10.1093/bib/bbad185</v>
      </c>
      <c r="BG1497" t="s">
        <v>74</v>
      </c>
      <c r="BH1497" t="s">
        <v>2889</v>
      </c>
      <c r="BI1497">
        <v>12</v>
      </c>
      <c r="BJ1497" t="s">
        <v>12570</v>
      </c>
      <c r="BK1497" t="s">
        <v>130</v>
      </c>
      <c r="BL1497" t="s">
        <v>12571</v>
      </c>
      <c r="BM1497" t="s">
        <v>27045</v>
      </c>
      <c r="BN1497">
        <v>37193672</v>
      </c>
      <c r="BO1497" t="s">
        <v>74</v>
      </c>
      <c r="BP1497" t="s">
        <v>74</v>
      </c>
      <c r="BQ1497" t="s">
        <v>74</v>
      </c>
      <c r="BR1497" t="s">
        <v>101</v>
      </c>
      <c r="BS1497" t="s">
        <v>27046</v>
      </c>
      <c r="BT1497" t="str">
        <f>HYPERLINK("https%3A%2F%2Fwww.webofscience.com%2Fwos%2Fwoscc%2Ffull-record%2FWOS:000988165200001","View Full Record in Web of Science")</f>
        <v>View Full Record in Web of Science</v>
      </c>
    </row>
    <row r="1498" spans="1:72" x14ac:dyDescent="0.2">
      <c r="A1498" t="s">
        <v>72</v>
      </c>
      <c r="B1498" t="s">
        <v>27047</v>
      </c>
      <c r="C1498" t="s">
        <v>74</v>
      </c>
      <c r="D1498" t="s">
        <v>74</v>
      </c>
      <c r="E1498" t="s">
        <v>284</v>
      </c>
      <c r="F1498" t="s">
        <v>27048</v>
      </c>
      <c r="G1498" t="s">
        <v>74</v>
      </c>
      <c r="H1498" t="s">
        <v>74</v>
      </c>
      <c r="I1498" t="s">
        <v>27049</v>
      </c>
      <c r="J1498" t="s">
        <v>8245</v>
      </c>
      <c r="K1498" t="s">
        <v>8246</v>
      </c>
      <c r="L1498" t="s">
        <v>74</v>
      </c>
      <c r="M1498" t="s">
        <v>79</v>
      </c>
      <c r="N1498" t="s">
        <v>80</v>
      </c>
      <c r="O1498" t="s">
        <v>8247</v>
      </c>
      <c r="P1498" t="s">
        <v>8248</v>
      </c>
      <c r="Q1498" t="s">
        <v>6017</v>
      </c>
      <c r="R1498" t="s">
        <v>8249</v>
      </c>
      <c r="S1498" t="s">
        <v>74</v>
      </c>
      <c r="T1498" t="s">
        <v>74</v>
      </c>
      <c r="U1498" t="s">
        <v>74</v>
      </c>
      <c r="V1498" t="s">
        <v>27050</v>
      </c>
      <c r="W1498" t="s">
        <v>27051</v>
      </c>
      <c r="X1498" t="s">
        <v>27052</v>
      </c>
      <c r="Y1498" t="s">
        <v>27053</v>
      </c>
      <c r="Z1498" t="s">
        <v>27054</v>
      </c>
      <c r="AA1498" t="s">
        <v>27055</v>
      </c>
      <c r="AB1498" t="s">
        <v>27056</v>
      </c>
      <c r="AC1498" t="s">
        <v>27057</v>
      </c>
      <c r="AD1498" t="s">
        <v>27058</v>
      </c>
      <c r="AE1498" t="s">
        <v>27059</v>
      </c>
      <c r="AF1498" t="s">
        <v>74</v>
      </c>
      <c r="AG1498">
        <v>50</v>
      </c>
      <c r="AH1498">
        <v>1</v>
      </c>
      <c r="AI1498">
        <v>1</v>
      </c>
      <c r="AJ1498">
        <v>4</v>
      </c>
      <c r="AK1498">
        <v>4</v>
      </c>
      <c r="AL1498" t="s">
        <v>638</v>
      </c>
      <c r="AM1498" t="s">
        <v>639</v>
      </c>
      <c r="AN1498" t="s">
        <v>640</v>
      </c>
      <c r="AO1498" t="s">
        <v>8260</v>
      </c>
      <c r="AP1498" t="s">
        <v>74</v>
      </c>
      <c r="AQ1498" t="s">
        <v>8261</v>
      </c>
      <c r="AR1498" t="s">
        <v>8262</v>
      </c>
      <c r="AS1498" t="s">
        <v>74</v>
      </c>
      <c r="AT1498" t="s">
        <v>74</v>
      </c>
      <c r="AU1498">
        <v>2023</v>
      </c>
      <c r="AV1498" t="s">
        <v>74</v>
      </c>
      <c r="AW1498" t="s">
        <v>74</v>
      </c>
      <c r="AX1498" t="s">
        <v>74</v>
      </c>
      <c r="AY1498" t="s">
        <v>74</v>
      </c>
      <c r="AZ1498" t="s">
        <v>74</v>
      </c>
      <c r="BA1498" t="s">
        <v>74</v>
      </c>
      <c r="BB1498">
        <v>13581</v>
      </c>
      <c r="BC1498">
        <v>13590</v>
      </c>
      <c r="BD1498" t="s">
        <v>74</v>
      </c>
      <c r="BE1498" t="s">
        <v>27060</v>
      </c>
      <c r="BF1498" t="str">
        <f>HYPERLINK("http://dx.doi.org/10.1109/CVPR52729.2023.01305","http://dx.doi.org/10.1109/CVPR52729.2023.01305")</f>
        <v>http://dx.doi.org/10.1109/CVPR52729.2023.01305</v>
      </c>
      <c r="BG1498" t="s">
        <v>74</v>
      </c>
      <c r="BH1498" t="s">
        <v>74</v>
      </c>
      <c r="BI1498">
        <v>10</v>
      </c>
      <c r="BJ1498" t="s">
        <v>304</v>
      </c>
      <c r="BK1498" t="s">
        <v>98</v>
      </c>
      <c r="BL1498" t="s">
        <v>99</v>
      </c>
      <c r="BM1498" t="s">
        <v>8264</v>
      </c>
      <c r="BN1498" t="s">
        <v>74</v>
      </c>
      <c r="BO1498" t="s">
        <v>74</v>
      </c>
      <c r="BP1498" t="s">
        <v>74</v>
      </c>
      <c r="BQ1498" t="s">
        <v>74</v>
      </c>
      <c r="BR1498" t="s">
        <v>101</v>
      </c>
      <c r="BS1498" t="s">
        <v>27061</v>
      </c>
      <c r="BT1498" t="str">
        <f>HYPERLINK("https%3A%2F%2Fwww.webofscience.com%2Fwos%2Fwoscc%2Ffull-record%2FWOS:001062522105086","View Full Record in Web of Science")</f>
        <v>View Full Record in Web of Science</v>
      </c>
    </row>
    <row r="1499" spans="1:72" x14ac:dyDescent="0.2">
      <c r="A1499" t="s">
        <v>103</v>
      </c>
      <c r="B1499" t="s">
        <v>27062</v>
      </c>
      <c r="C1499" t="s">
        <v>74</v>
      </c>
      <c r="D1499" t="s">
        <v>74</v>
      </c>
      <c r="E1499" t="s">
        <v>74</v>
      </c>
      <c r="F1499" t="s">
        <v>27063</v>
      </c>
      <c r="G1499" t="s">
        <v>74</v>
      </c>
      <c r="H1499" t="s">
        <v>74</v>
      </c>
      <c r="I1499" t="s">
        <v>27064</v>
      </c>
      <c r="J1499" t="s">
        <v>7805</v>
      </c>
      <c r="K1499" t="s">
        <v>74</v>
      </c>
      <c r="L1499" t="s">
        <v>74</v>
      </c>
      <c r="M1499" t="s">
        <v>79</v>
      </c>
      <c r="N1499" t="s">
        <v>108</v>
      </c>
      <c r="O1499" t="s">
        <v>74</v>
      </c>
      <c r="P1499" t="s">
        <v>74</v>
      </c>
      <c r="Q1499" t="s">
        <v>74</v>
      </c>
      <c r="R1499" t="s">
        <v>74</v>
      </c>
      <c r="S1499" t="s">
        <v>74</v>
      </c>
      <c r="T1499" t="s">
        <v>27065</v>
      </c>
      <c r="U1499" t="s">
        <v>27066</v>
      </c>
      <c r="V1499" t="s">
        <v>27067</v>
      </c>
      <c r="W1499" t="s">
        <v>27068</v>
      </c>
      <c r="X1499" t="s">
        <v>27069</v>
      </c>
      <c r="Y1499" t="s">
        <v>27070</v>
      </c>
      <c r="Z1499" t="s">
        <v>27071</v>
      </c>
      <c r="AA1499" t="s">
        <v>22959</v>
      </c>
      <c r="AB1499" t="s">
        <v>27072</v>
      </c>
      <c r="AC1499" t="s">
        <v>27073</v>
      </c>
      <c r="AD1499" t="s">
        <v>27074</v>
      </c>
      <c r="AE1499" t="s">
        <v>27075</v>
      </c>
      <c r="AF1499" t="s">
        <v>74</v>
      </c>
      <c r="AG1499">
        <v>27</v>
      </c>
      <c r="AH1499">
        <v>8</v>
      </c>
      <c r="AI1499">
        <v>8</v>
      </c>
      <c r="AJ1499">
        <v>2</v>
      </c>
      <c r="AK1499">
        <v>15</v>
      </c>
      <c r="AL1499" t="s">
        <v>1379</v>
      </c>
      <c r="AM1499" t="s">
        <v>1380</v>
      </c>
      <c r="AN1499" t="s">
        <v>1381</v>
      </c>
      <c r="AO1499" t="s">
        <v>7816</v>
      </c>
      <c r="AP1499" t="s">
        <v>7817</v>
      </c>
      <c r="AQ1499" t="s">
        <v>74</v>
      </c>
      <c r="AR1499" t="s">
        <v>7818</v>
      </c>
      <c r="AS1499" t="s">
        <v>7819</v>
      </c>
      <c r="AT1499" t="s">
        <v>467</v>
      </c>
      <c r="AU1499">
        <v>2023</v>
      </c>
      <c r="AV1499">
        <v>27</v>
      </c>
      <c r="AW1499">
        <v>10</v>
      </c>
      <c r="AX1499" t="s">
        <v>74</v>
      </c>
      <c r="AY1499" t="s">
        <v>74</v>
      </c>
      <c r="AZ1499" t="s">
        <v>74</v>
      </c>
      <c r="BA1499" t="s">
        <v>74</v>
      </c>
      <c r="BB1499">
        <v>5134</v>
      </c>
      <c r="BC1499">
        <v>5142</v>
      </c>
      <c r="BD1499" t="s">
        <v>74</v>
      </c>
      <c r="BE1499" t="s">
        <v>27076</v>
      </c>
      <c r="BF1499" t="str">
        <f>HYPERLINK("http://dx.doi.org/10.1109/JBHI.2022.3158897","http://dx.doi.org/10.1109/JBHI.2022.3158897")</f>
        <v>http://dx.doi.org/10.1109/JBHI.2022.3158897</v>
      </c>
      <c r="BG1499" t="s">
        <v>74</v>
      </c>
      <c r="BH1499" t="s">
        <v>74</v>
      </c>
      <c r="BI1499">
        <v>9</v>
      </c>
      <c r="BJ1499" t="s">
        <v>7821</v>
      </c>
      <c r="BK1499" t="s">
        <v>130</v>
      </c>
      <c r="BL1499" t="s">
        <v>7822</v>
      </c>
      <c r="BM1499" t="s">
        <v>7823</v>
      </c>
      <c r="BN1499">
        <v>35290192</v>
      </c>
      <c r="BO1499" t="s">
        <v>646</v>
      </c>
      <c r="BP1499" t="s">
        <v>74</v>
      </c>
      <c r="BQ1499" t="s">
        <v>74</v>
      </c>
      <c r="BR1499" t="s">
        <v>101</v>
      </c>
      <c r="BS1499" t="s">
        <v>27077</v>
      </c>
      <c r="BT1499" t="str">
        <f>HYPERLINK("https%3A%2F%2Fwww.webofscience.com%2Fwos%2Fwoscc%2Ffull-record%2FWOS:001083127700044","View Full Record in Web of Science")</f>
        <v>View Full Record in Web of Science</v>
      </c>
    </row>
    <row r="1500" spans="1:72" x14ac:dyDescent="0.2">
      <c r="A1500" t="s">
        <v>72</v>
      </c>
      <c r="B1500" t="s">
        <v>27078</v>
      </c>
      <c r="C1500" t="s">
        <v>74</v>
      </c>
      <c r="D1500" t="s">
        <v>74</v>
      </c>
      <c r="E1500" t="s">
        <v>284</v>
      </c>
      <c r="F1500" t="s">
        <v>27079</v>
      </c>
      <c r="G1500" t="s">
        <v>74</v>
      </c>
      <c r="H1500" t="s">
        <v>74</v>
      </c>
      <c r="I1500" t="s">
        <v>27080</v>
      </c>
      <c r="J1500" t="s">
        <v>8245</v>
      </c>
      <c r="K1500" t="s">
        <v>8246</v>
      </c>
      <c r="L1500" t="s">
        <v>74</v>
      </c>
      <c r="M1500" t="s">
        <v>79</v>
      </c>
      <c r="N1500" t="s">
        <v>80</v>
      </c>
      <c r="O1500" t="s">
        <v>8247</v>
      </c>
      <c r="P1500" t="s">
        <v>8248</v>
      </c>
      <c r="Q1500" t="s">
        <v>6017</v>
      </c>
      <c r="R1500" t="s">
        <v>8249</v>
      </c>
      <c r="S1500" t="s">
        <v>74</v>
      </c>
      <c r="T1500" t="s">
        <v>74</v>
      </c>
      <c r="U1500" t="s">
        <v>74</v>
      </c>
      <c r="V1500" t="s">
        <v>27081</v>
      </c>
      <c r="W1500" t="s">
        <v>27082</v>
      </c>
      <c r="X1500" t="s">
        <v>13105</v>
      </c>
      <c r="Y1500" t="s">
        <v>27083</v>
      </c>
      <c r="Z1500" t="s">
        <v>27084</v>
      </c>
      <c r="AA1500" t="s">
        <v>74</v>
      </c>
      <c r="AB1500" t="s">
        <v>74</v>
      </c>
      <c r="AC1500" t="s">
        <v>74</v>
      </c>
      <c r="AD1500" t="s">
        <v>74</v>
      </c>
      <c r="AE1500" t="s">
        <v>74</v>
      </c>
      <c r="AF1500" t="s">
        <v>74</v>
      </c>
      <c r="AG1500">
        <v>55</v>
      </c>
      <c r="AH1500">
        <v>6</v>
      </c>
      <c r="AI1500">
        <v>7</v>
      </c>
      <c r="AJ1500">
        <v>5</v>
      </c>
      <c r="AK1500">
        <v>5</v>
      </c>
      <c r="AL1500" t="s">
        <v>638</v>
      </c>
      <c r="AM1500" t="s">
        <v>639</v>
      </c>
      <c r="AN1500" t="s">
        <v>640</v>
      </c>
      <c r="AO1500" t="s">
        <v>8260</v>
      </c>
      <c r="AP1500" t="s">
        <v>74</v>
      </c>
      <c r="AQ1500" t="s">
        <v>8261</v>
      </c>
      <c r="AR1500" t="s">
        <v>8262</v>
      </c>
      <c r="AS1500" t="s">
        <v>74</v>
      </c>
      <c r="AT1500" t="s">
        <v>74</v>
      </c>
      <c r="AU1500">
        <v>2023</v>
      </c>
      <c r="AV1500" t="s">
        <v>74</v>
      </c>
      <c r="AW1500" t="s">
        <v>74</v>
      </c>
      <c r="AX1500" t="s">
        <v>74</v>
      </c>
      <c r="AY1500" t="s">
        <v>74</v>
      </c>
      <c r="AZ1500" t="s">
        <v>74</v>
      </c>
      <c r="BA1500" t="s">
        <v>74</v>
      </c>
      <c r="BB1500">
        <v>23359</v>
      </c>
      <c r="BC1500">
        <v>23368</v>
      </c>
      <c r="BD1500" t="s">
        <v>74</v>
      </c>
      <c r="BE1500" t="s">
        <v>27085</v>
      </c>
      <c r="BF1500" t="str">
        <f>HYPERLINK("http://dx.doi.org/10.1109/CVPR52729.2023.02237","http://dx.doi.org/10.1109/CVPR52729.2023.02237")</f>
        <v>http://dx.doi.org/10.1109/CVPR52729.2023.02237</v>
      </c>
      <c r="BG1500" t="s">
        <v>74</v>
      </c>
      <c r="BH1500" t="s">
        <v>74</v>
      </c>
      <c r="BI1500">
        <v>10</v>
      </c>
      <c r="BJ1500" t="s">
        <v>304</v>
      </c>
      <c r="BK1500" t="s">
        <v>98</v>
      </c>
      <c r="BL1500" t="s">
        <v>99</v>
      </c>
      <c r="BM1500" t="s">
        <v>9731</v>
      </c>
      <c r="BN1500" t="s">
        <v>74</v>
      </c>
      <c r="BO1500" t="s">
        <v>646</v>
      </c>
      <c r="BP1500" t="s">
        <v>74</v>
      </c>
      <c r="BQ1500" t="s">
        <v>74</v>
      </c>
      <c r="BR1500" t="s">
        <v>101</v>
      </c>
      <c r="BS1500" t="s">
        <v>27086</v>
      </c>
      <c r="BT1500" t="str">
        <f>HYPERLINK("https%3A%2F%2Fwww.webofscience.com%2Fwos%2Fwoscc%2Ffull-record%2FWOS:001062531307066","View Full Record in Web of Science")</f>
        <v>View Full Record in Web of Science</v>
      </c>
    </row>
    <row r="1501" spans="1:72" x14ac:dyDescent="0.2">
      <c r="A1501" t="s">
        <v>103</v>
      </c>
      <c r="B1501" t="s">
        <v>27087</v>
      </c>
      <c r="C1501" t="s">
        <v>74</v>
      </c>
      <c r="D1501" t="s">
        <v>74</v>
      </c>
      <c r="E1501" t="s">
        <v>74</v>
      </c>
      <c r="F1501" t="s">
        <v>27088</v>
      </c>
      <c r="G1501" t="s">
        <v>74</v>
      </c>
      <c r="H1501" t="s">
        <v>74</v>
      </c>
      <c r="I1501" t="s">
        <v>27089</v>
      </c>
      <c r="J1501" t="s">
        <v>21789</v>
      </c>
      <c r="K1501" t="s">
        <v>74</v>
      </c>
      <c r="L1501" t="s">
        <v>74</v>
      </c>
      <c r="M1501" t="s">
        <v>79</v>
      </c>
      <c r="N1501" t="s">
        <v>108</v>
      </c>
      <c r="O1501" t="s">
        <v>74</v>
      </c>
      <c r="P1501" t="s">
        <v>74</v>
      </c>
      <c r="Q1501" t="s">
        <v>74</v>
      </c>
      <c r="R1501" t="s">
        <v>74</v>
      </c>
      <c r="S1501" t="s">
        <v>74</v>
      </c>
      <c r="T1501" t="s">
        <v>27090</v>
      </c>
      <c r="U1501" t="s">
        <v>27091</v>
      </c>
      <c r="V1501" t="s">
        <v>27092</v>
      </c>
      <c r="W1501" t="s">
        <v>27093</v>
      </c>
      <c r="X1501" t="s">
        <v>27094</v>
      </c>
      <c r="Y1501" t="s">
        <v>27095</v>
      </c>
      <c r="Z1501" t="s">
        <v>27096</v>
      </c>
      <c r="AA1501" t="s">
        <v>27097</v>
      </c>
      <c r="AB1501" t="s">
        <v>27098</v>
      </c>
      <c r="AC1501" t="s">
        <v>74</v>
      </c>
      <c r="AD1501" t="s">
        <v>74</v>
      </c>
      <c r="AE1501" t="s">
        <v>74</v>
      </c>
      <c r="AF1501" t="s">
        <v>74</v>
      </c>
      <c r="AG1501">
        <v>35</v>
      </c>
      <c r="AH1501">
        <v>3</v>
      </c>
      <c r="AI1501">
        <v>3</v>
      </c>
      <c r="AJ1501">
        <v>3</v>
      </c>
      <c r="AK1501">
        <v>7</v>
      </c>
      <c r="AL1501" t="s">
        <v>939</v>
      </c>
      <c r="AM1501" t="s">
        <v>940</v>
      </c>
      <c r="AN1501" t="s">
        <v>941</v>
      </c>
      <c r="AO1501" t="s">
        <v>74</v>
      </c>
      <c r="AP1501" t="s">
        <v>21802</v>
      </c>
      <c r="AQ1501" t="s">
        <v>74</v>
      </c>
      <c r="AR1501" t="s">
        <v>21789</v>
      </c>
      <c r="AS1501" t="s">
        <v>21803</v>
      </c>
      <c r="AT1501" t="s">
        <v>126</v>
      </c>
      <c r="AU1501">
        <v>2023</v>
      </c>
      <c r="AV1501">
        <v>13</v>
      </c>
      <c r="AW1501">
        <v>5</v>
      </c>
      <c r="AX1501" t="s">
        <v>74</v>
      </c>
      <c r="AY1501" t="s">
        <v>74</v>
      </c>
      <c r="AZ1501" t="s">
        <v>74</v>
      </c>
      <c r="BA1501" t="s">
        <v>74</v>
      </c>
      <c r="BB1501" t="s">
        <v>74</v>
      </c>
      <c r="BC1501" t="s">
        <v>74</v>
      </c>
      <c r="BD1501">
        <v>996</v>
      </c>
      <c r="BE1501" t="s">
        <v>27099</v>
      </c>
      <c r="BF1501" t="str">
        <f>HYPERLINK("http://dx.doi.org/10.3390/diagnostics13050996","http://dx.doi.org/10.3390/diagnostics13050996")</f>
        <v>http://dx.doi.org/10.3390/diagnostics13050996</v>
      </c>
      <c r="BG1501" t="s">
        <v>74</v>
      </c>
      <c r="BH1501" t="s">
        <v>74</v>
      </c>
      <c r="BI1501">
        <v>10</v>
      </c>
      <c r="BJ1501" t="s">
        <v>3440</v>
      </c>
      <c r="BK1501" t="s">
        <v>130</v>
      </c>
      <c r="BL1501" t="s">
        <v>3441</v>
      </c>
      <c r="BM1501" t="s">
        <v>27100</v>
      </c>
      <c r="BN1501">
        <v>36900140</v>
      </c>
      <c r="BO1501" t="s">
        <v>4185</v>
      </c>
      <c r="BP1501" t="s">
        <v>74</v>
      </c>
      <c r="BQ1501" t="s">
        <v>74</v>
      </c>
      <c r="BR1501" t="s">
        <v>101</v>
      </c>
      <c r="BS1501" t="s">
        <v>27101</v>
      </c>
      <c r="BT1501" t="str">
        <f>HYPERLINK("https%3A%2F%2Fwww.webofscience.com%2Fwos%2Fwoscc%2Ffull-record%2FWOS:000947443500001","View Full Record in Web of Science")</f>
        <v>View Full Record in Web of Science</v>
      </c>
    </row>
    <row r="1502" spans="1:72" x14ac:dyDescent="0.2">
      <c r="A1502" t="s">
        <v>103</v>
      </c>
      <c r="B1502" t="s">
        <v>27102</v>
      </c>
      <c r="C1502" t="s">
        <v>74</v>
      </c>
      <c r="D1502" t="s">
        <v>74</v>
      </c>
      <c r="E1502" t="s">
        <v>74</v>
      </c>
      <c r="F1502" t="s">
        <v>27103</v>
      </c>
      <c r="G1502" t="s">
        <v>74</v>
      </c>
      <c r="H1502" t="s">
        <v>74</v>
      </c>
      <c r="I1502" t="s">
        <v>27104</v>
      </c>
      <c r="J1502" t="s">
        <v>6611</v>
      </c>
      <c r="K1502" t="s">
        <v>74</v>
      </c>
      <c r="L1502" t="s">
        <v>74</v>
      </c>
      <c r="M1502" t="s">
        <v>79</v>
      </c>
      <c r="N1502" t="s">
        <v>108</v>
      </c>
      <c r="O1502" t="s">
        <v>74</v>
      </c>
      <c r="P1502" t="s">
        <v>74</v>
      </c>
      <c r="Q1502" t="s">
        <v>74</v>
      </c>
      <c r="R1502" t="s">
        <v>74</v>
      </c>
      <c r="S1502" t="s">
        <v>74</v>
      </c>
      <c r="T1502" t="s">
        <v>27105</v>
      </c>
      <c r="U1502" t="s">
        <v>27106</v>
      </c>
      <c r="V1502" t="s">
        <v>27107</v>
      </c>
      <c r="W1502" t="s">
        <v>27108</v>
      </c>
      <c r="X1502" t="s">
        <v>27109</v>
      </c>
      <c r="Y1502" t="s">
        <v>27110</v>
      </c>
      <c r="Z1502" t="s">
        <v>27111</v>
      </c>
      <c r="AA1502" t="s">
        <v>27112</v>
      </c>
      <c r="AB1502" t="s">
        <v>27113</v>
      </c>
      <c r="AC1502" t="s">
        <v>74</v>
      </c>
      <c r="AD1502" t="s">
        <v>74</v>
      </c>
      <c r="AE1502" t="s">
        <v>74</v>
      </c>
      <c r="AF1502" t="s">
        <v>74</v>
      </c>
      <c r="AG1502">
        <v>254</v>
      </c>
      <c r="AH1502">
        <v>49</v>
      </c>
      <c r="AI1502">
        <v>51</v>
      </c>
      <c r="AJ1502">
        <v>67</v>
      </c>
      <c r="AK1502">
        <v>128</v>
      </c>
      <c r="AL1502" t="s">
        <v>638</v>
      </c>
      <c r="AM1502" t="s">
        <v>639</v>
      </c>
      <c r="AN1502" t="s">
        <v>1557</v>
      </c>
      <c r="AO1502" t="s">
        <v>6621</v>
      </c>
      <c r="AP1502" t="s">
        <v>6622</v>
      </c>
      <c r="AQ1502" t="s">
        <v>74</v>
      </c>
      <c r="AR1502" t="s">
        <v>6623</v>
      </c>
      <c r="AS1502" t="s">
        <v>6624</v>
      </c>
      <c r="AT1502" t="s">
        <v>20086</v>
      </c>
      <c r="AU1502">
        <v>2023</v>
      </c>
      <c r="AV1502">
        <v>45</v>
      </c>
      <c r="AW1502">
        <v>1</v>
      </c>
      <c r="AX1502" t="s">
        <v>74</v>
      </c>
      <c r="AY1502" t="s">
        <v>74</v>
      </c>
      <c r="AZ1502" t="s">
        <v>74</v>
      </c>
      <c r="BA1502" t="s">
        <v>74</v>
      </c>
      <c r="BB1502">
        <v>539</v>
      </c>
      <c r="BC1502">
        <v>559</v>
      </c>
      <c r="BD1502" t="s">
        <v>74</v>
      </c>
      <c r="BE1502" t="s">
        <v>27114</v>
      </c>
      <c r="BF1502" t="str">
        <f>HYPERLINK("http://dx.doi.org/10.1109/TPAMI.2022.3148210","http://dx.doi.org/10.1109/TPAMI.2022.3148210")</f>
        <v>http://dx.doi.org/10.1109/TPAMI.2022.3148210</v>
      </c>
      <c r="BG1502" t="s">
        <v>74</v>
      </c>
      <c r="BH1502" t="s">
        <v>74</v>
      </c>
      <c r="BI1502">
        <v>21</v>
      </c>
      <c r="BJ1502" t="s">
        <v>6627</v>
      </c>
      <c r="BK1502" t="s">
        <v>130</v>
      </c>
      <c r="BL1502" t="s">
        <v>906</v>
      </c>
      <c r="BM1502" t="s">
        <v>25722</v>
      </c>
      <c r="BN1502">
        <v>35130142</v>
      </c>
      <c r="BO1502" t="s">
        <v>646</v>
      </c>
      <c r="BP1502" t="s">
        <v>1434</v>
      </c>
      <c r="BQ1502" t="s">
        <v>1912</v>
      </c>
      <c r="BR1502" t="s">
        <v>101</v>
      </c>
      <c r="BS1502" t="s">
        <v>27115</v>
      </c>
      <c r="BT1502" t="str">
        <f>HYPERLINK("https%3A%2F%2Fwww.webofscience.com%2Fwos%2Fwoscc%2Ffull-record%2FWOS:000899419900033","View Full Record in Web of Science")</f>
        <v>View Full Record in Web of Science</v>
      </c>
    </row>
    <row r="1503" spans="1:72" x14ac:dyDescent="0.2">
      <c r="A1503" t="s">
        <v>72</v>
      </c>
      <c r="B1503" t="s">
        <v>27116</v>
      </c>
      <c r="C1503" t="s">
        <v>74</v>
      </c>
      <c r="D1503" t="s">
        <v>74</v>
      </c>
      <c r="E1503" t="s">
        <v>284</v>
      </c>
      <c r="F1503" t="s">
        <v>27117</v>
      </c>
      <c r="G1503" t="s">
        <v>74</v>
      </c>
      <c r="H1503" t="s">
        <v>74</v>
      </c>
      <c r="I1503" t="s">
        <v>27118</v>
      </c>
      <c r="J1503" t="s">
        <v>8245</v>
      </c>
      <c r="K1503" t="s">
        <v>8246</v>
      </c>
      <c r="L1503" t="s">
        <v>74</v>
      </c>
      <c r="M1503" t="s">
        <v>79</v>
      </c>
      <c r="N1503" t="s">
        <v>80</v>
      </c>
      <c r="O1503" t="s">
        <v>8247</v>
      </c>
      <c r="P1503" t="s">
        <v>8248</v>
      </c>
      <c r="Q1503" t="s">
        <v>6017</v>
      </c>
      <c r="R1503" t="s">
        <v>8249</v>
      </c>
      <c r="S1503" t="s">
        <v>74</v>
      </c>
      <c r="T1503" t="s">
        <v>74</v>
      </c>
      <c r="U1503" t="s">
        <v>74</v>
      </c>
      <c r="V1503" t="s">
        <v>27119</v>
      </c>
      <c r="W1503" t="s">
        <v>27120</v>
      </c>
      <c r="X1503" t="s">
        <v>27121</v>
      </c>
      <c r="Y1503" t="s">
        <v>27122</v>
      </c>
      <c r="Z1503" t="s">
        <v>74</v>
      </c>
      <c r="AA1503" t="s">
        <v>74</v>
      </c>
      <c r="AB1503" t="s">
        <v>74</v>
      </c>
      <c r="AC1503" t="s">
        <v>27123</v>
      </c>
      <c r="AD1503" t="s">
        <v>27124</v>
      </c>
      <c r="AE1503" t="s">
        <v>27125</v>
      </c>
      <c r="AF1503" t="s">
        <v>74</v>
      </c>
      <c r="AG1503">
        <v>77</v>
      </c>
      <c r="AH1503">
        <v>0</v>
      </c>
      <c r="AI1503">
        <v>0</v>
      </c>
      <c r="AJ1503">
        <v>1</v>
      </c>
      <c r="AK1503">
        <v>1</v>
      </c>
      <c r="AL1503" t="s">
        <v>638</v>
      </c>
      <c r="AM1503" t="s">
        <v>639</v>
      </c>
      <c r="AN1503" t="s">
        <v>640</v>
      </c>
      <c r="AO1503" t="s">
        <v>8260</v>
      </c>
      <c r="AP1503" t="s">
        <v>74</v>
      </c>
      <c r="AQ1503" t="s">
        <v>8261</v>
      </c>
      <c r="AR1503" t="s">
        <v>8262</v>
      </c>
      <c r="AS1503" t="s">
        <v>74</v>
      </c>
      <c r="AT1503" t="s">
        <v>74</v>
      </c>
      <c r="AU1503">
        <v>2023</v>
      </c>
      <c r="AV1503" t="s">
        <v>74</v>
      </c>
      <c r="AW1503" t="s">
        <v>74</v>
      </c>
      <c r="AX1503" t="s">
        <v>74</v>
      </c>
      <c r="AY1503" t="s">
        <v>74</v>
      </c>
      <c r="AZ1503" t="s">
        <v>74</v>
      </c>
      <c r="BA1503" t="s">
        <v>74</v>
      </c>
      <c r="BB1503">
        <v>12094</v>
      </c>
      <c r="BC1503">
        <v>12104</v>
      </c>
      <c r="BD1503" t="s">
        <v>74</v>
      </c>
      <c r="BE1503" t="s">
        <v>27126</v>
      </c>
      <c r="BF1503" t="str">
        <f>HYPERLINK("http://dx.doi.org/10.1109/CVPR52729.2023.01164","http://dx.doi.org/10.1109/CVPR52729.2023.01164")</f>
        <v>http://dx.doi.org/10.1109/CVPR52729.2023.01164</v>
      </c>
      <c r="BG1503" t="s">
        <v>74</v>
      </c>
      <c r="BH1503" t="s">
        <v>74</v>
      </c>
      <c r="BI1503">
        <v>11</v>
      </c>
      <c r="BJ1503" t="s">
        <v>304</v>
      </c>
      <c r="BK1503" t="s">
        <v>98</v>
      </c>
      <c r="BL1503" t="s">
        <v>99</v>
      </c>
      <c r="BM1503" t="s">
        <v>8264</v>
      </c>
      <c r="BN1503" t="s">
        <v>74</v>
      </c>
      <c r="BO1503" t="s">
        <v>646</v>
      </c>
      <c r="BP1503" t="s">
        <v>74</v>
      </c>
      <c r="BQ1503" t="s">
        <v>74</v>
      </c>
      <c r="BR1503" t="s">
        <v>101</v>
      </c>
      <c r="BS1503" t="s">
        <v>27127</v>
      </c>
      <c r="BT1503" t="str">
        <f>HYPERLINK("https%3A%2F%2Fwww.webofscience.com%2Fwos%2Fwoscc%2Ffull-record%2FWOS:001062522104040","View Full Record in Web of Science")</f>
        <v>View Full Record in Web of Science</v>
      </c>
    </row>
    <row r="1504" spans="1:72" x14ac:dyDescent="0.2">
      <c r="A1504" t="s">
        <v>103</v>
      </c>
      <c r="B1504" t="s">
        <v>27128</v>
      </c>
      <c r="C1504" t="s">
        <v>74</v>
      </c>
      <c r="D1504" t="s">
        <v>74</v>
      </c>
      <c r="E1504" t="s">
        <v>74</v>
      </c>
      <c r="F1504" t="s">
        <v>27129</v>
      </c>
      <c r="G1504" t="s">
        <v>74</v>
      </c>
      <c r="H1504" t="s">
        <v>74</v>
      </c>
      <c r="I1504" t="s">
        <v>27130</v>
      </c>
      <c r="J1504" t="s">
        <v>27131</v>
      </c>
      <c r="K1504" t="s">
        <v>74</v>
      </c>
      <c r="L1504" t="s">
        <v>74</v>
      </c>
      <c r="M1504" t="s">
        <v>79</v>
      </c>
      <c r="N1504" t="s">
        <v>108</v>
      </c>
      <c r="O1504" t="s">
        <v>74</v>
      </c>
      <c r="P1504" t="s">
        <v>74</v>
      </c>
      <c r="Q1504" t="s">
        <v>74</v>
      </c>
      <c r="R1504" t="s">
        <v>74</v>
      </c>
      <c r="S1504" t="s">
        <v>74</v>
      </c>
      <c r="T1504" t="s">
        <v>27132</v>
      </c>
      <c r="U1504" t="s">
        <v>27133</v>
      </c>
      <c r="V1504" t="s">
        <v>27134</v>
      </c>
      <c r="W1504" t="s">
        <v>27135</v>
      </c>
      <c r="X1504" t="s">
        <v>27136</v>
      </c>
      <c r="Y1504" t="s">
        <v>27137</v>
      </c>
      <c r="Z1504" t="s">
        <v>27138</v>
      </c>
      <c r="AA1504" t="s">
        <v>74</v>
      </c>
      <c r="AB1504" t="s">
        <v>27139</v>
      </c>
      <c r="AC1504" t="s">
        <v>27140</v>
      </c>
      <c r="AD1504" t="s">
        <v>27141</v>
      </c>
      <c r="AE1504" t="s">
        <v>27142</v>
      </c>
      <c r="AF1504" t="s">
        <v>74</v>
      </c>
      <c r="AG1504">
        <v>83</v>
      </c>
      <c r="AH1504">
        <v>3</v>
      </c>
      <c r="AI1504">
        <v>3</v>
      </c>
      <c r="AJ1504">
        <v>22</v>
      </c>
      <c r="AK1504">
        <v>30</v>
      </c>
      <c r="AL1504" t="s">
        <v>939</v>
      </c>
      <c r="AM1504" t="s">
        <v>940</v>
      </c>
      <c r="AN1504" t="s">
        <v>941</v>
      </c>
      <c r="AO1504" t="s">
        <v>74</v>
      </c>
      <c r="AP1504" t="s">
        <v>27143</v>
      </c>
      <c r="AQ1504" t="s">
        <v>74</v>
      </c>
      <c r="AR1504" t="s">
        <v>27144</v>
      </c>
      <c r="AS1504" t="s">
        <v>27145</v>
      </c>
      <c r="AT1504" t="s">
        <v>27146</v>
      </c>
      <c r="AU1504">
        <v>2023</v>
      </c>
      <c r="AV1504">
        <v>15</v>
      </c>
      <c r="AW1504">
        <v>9</v>
      </c>
      <c r="AX1504" t="s">
        <v>74</v>
      </c>
      <c r="AY1504" t="s">
        <v>74</v>
      </c>
      <c r="AZ1504" t="s">
        <v>74</v>
      </c>
      <c r="BA1504" t="s">
        <v>74</v>
      </c>
      <c r="BB1504" t="s">
        <v>74</v>
      </c>
      <c r="BC1504" t="s">
        <v>74</v>
      </c>
      <c r="BD1504">
        <v>1760</v>
      </c>
      <c r="BE1504" t="s">
        <v>27147</v>
      </c>
      <c r="BF1504" t="str">
        <f>HYPERLINK("http://dx.doi.org/10.3390/w15091760","http://dx.doi.org/10.3390/w15091760")</f>
        <v>http://dx.doi.org/10.3390/w15091760</v>
      </c>
      <c r="BG1504" t="s">
        <v>74</v>
      </c>
      <c r="BH1504" t="s">
        <v>74</v>
      </c>
      <c r="BI1504">
        <v>23</v>
      </c>
      <c r="BJ1504" t="s">
        <v>27148</v>
      </c>
      <c r="BK1504" t="s">
        <v>130</v>
      </c>
      <c r="BL1504" t="s">
        <v>27149</v>
      </c>
      <c r="BM1504" t="s">
        <v>27150</v>
      </c>
      <c r="BN1504" t="s">
        <v>74</v>
      </c>
      <c r="BO1504" t="s">
        <v>425</v>
      </c>
      <c r="BP1504" t="s">
        <v>74</v>
      </c>
      <c r="BQ1504" t="s">
        <v>74</v>
      </c>
      <c r="BR1504" t="s">
        <v>101</v>
      </c>
      <c r="BS1504" t="s">
        <v>27151</v>
      </c>
      <c r="BT1504" t="str">
        <f>HYPERLINK("https%3A%2F%2Fwww.webofscience.com%2Fwos%2Fwoscc%2Ffull-record%2FWOS:000987806100001","View Full Record in Web of Science")</f>
        <v>View Full Record in Web of Science</v>
      </c>
    </row>
    <row r="1505" spans="1:72" x14ac:dyDescent="0.2">
      <c r="A1505" t="s">
        <v>72</v>
      </c>
      <c r="B1505" t="s">
        <v>27152</v>
      </c>
      <c r="C1505" t="s">
        <v>74</v>
      </c>
      <c r="D1505" t="s">
        <v>74</v>
      </c>
      <c r="E1505" t="s">
        <v>284</v>
      </c>
      <c r="F1505" t="s">
        <v>27153</v>
      </c>
      <c r="G1505" t="s">
        <v>74</v>
      </c>
      <c r="H1505" t="s">
        <v>74</v>
      </c>
      <c r="I1505" t="s">
        <v>27154</v>
      </c>
      <c r="J1505" t="s">
        <v>26180</v>
      </c>
      <c r="K1505" t="s">
        <v>26181</v>
      </c>
      <c r="L1505" t="s">
        <v>74</v>
      </c>
      <c r="M1505" t="s">
        <v>79</v>
      </c>
      <c r="N1505" t="s">
        <v>80</v>
      </c>
      <c r="O1505" t="s">
        <v>26182</v>
      </c>
      <c r="P1505" t="s">
        <v>26183</v>
      </c>
      <c r="Q1505" t="s">
        <v>26184</v>
      </c>
      <c r="R1505" t="s">
        <v>26185</v>
      </c>
      <c r="S1505" t="s">
        <v>74</v>
      </c>
      <c r="T1505" t="s">
        <v>27155</v>
      </c>
      <c r="U1505" t="s">
        <v>27156</v>
      </c>
      <c r="V1505" t="s">
        <v>27157</v>
      </c>
      <c r="W1505" t="s">
        <v>27158</v>
      </c>
      <c r="X1505" t="s">
        <v>27159</v>
      </c>
      <c r="Y1505" t="s">
        <v>27160</v>
      </c>
      <c r="Z1505" t="s">
        <v>74</v>
      </c>
      <c r="AA1505" t="s">
        <v>27161</v>
      </c>
      <c r="AB1505" t="s">
        <v>27162</v>
      </c>
      <c r="AC1505" t="s">
        <v>27163</v>
      </c>
      <c r="AD1505" t="s">
        <v>27164</v>
      </c>
      <c r="AE1505" t="s">
        <v>27165</v>
      </c>
      <c r="AF1505" t="s">
        <v>74</v>
      </c>
      <c r="AG1505">
        <v>19</v>
      </c>
      <c r="AH1505">
        <v>0</v>
      </c>
      <c r="AI1505">
        <v>0</v>
      </c>
      <c r="AJ1505">
        <v>0</v>
      </c>
      <c r="AK1505">
        <v>0</v>
      </c>
      <c r="AL1505" t="s">
        <v>284</v>
      </c>
      <c r="AM1505" t="s">
        <v>93</v>
      </c>
      <c r="AN1505" t="s">
        <v>299</v>
      </c>
      <c r="AO1505" t="s">
        <v>26194</v>
      </c>
      <c r="AP1505" t="s">
        <v>74</v>
      </c>
      <c r="AQ1505" t="s">
        <v>26195</v>
      </c>
      <c r="AR1505" t="s">
        <v>26196</v>
      </c>
      <c r="AS1505" t="s">
        <v>74</v>
      </c>
      <c r="AT1505" t="s">
        <v>74</v>
      </c>
      <c r="AU1505">
        <v>2023</v>
      </c>
      <c r="AV1505" t="s">
        <v>74</v>
      </c>
      <c r="AW1505" t="s">
        <v>74</v>
      </c>
      <c r="AX1505" t="s">
        <v>74</v>
      </c>
      <c r="AY1505" t="s">
        <v>74</v>
      </c>
      <c r="AZ1505" t="s">
        <v>74</v>
      </c>
      <c r="BA1505" t="s">
        <v>74</v>
      </c>
      <c r="BB1505" t="s">
        <v>74</v>
      </c>
      <c r="BC1505" t="s">
        <v>74</v>
      </c>
      <c r="BD1505" t="s">
        <v>74</v>
      </c>
      <c r="BE1505" t="s">
        <v>27166</v>
      </c>
      <c r="BF1505" t="str">
        <f>HYPERLINK("http://dx.doi.org/10.1109/ISBI53787.2023.10230645","http://dx.doi.org/10.1109/ISBI53787.2023.10230645")</f>
        <v>http://dx.doi.org/10.1109/ISBI53787.2023.10230645</v>
      </c>
      <c r="BG1505" t="s">
        <v>74</v>
      </c>
      <c r="BH1505" t="s">
        <v>74</v>
      </c>
      <c r="BI1505">
        <v>5</v>
      </c>
      <c r="BJ1505" t="s">
        <v>26198</v>
      </c>
      <c r="BK1505" t="s">
        <v>98</v>
      </c>
      <c r="BL1505" t="s">
        <v>10749</v>
      </c>
      <c r="BM1505" t="s">
        <v>26199</v>
      </c>
      <c r="BN1505" t="s">
        <v>74</v>
      </c>
      <c r="BO1505" t="s">
        <v>74</v>
      </c>
      <c r="BP1505" t="s">
        <v>74</v>
      </c>
      <c r="BQ1505" t="s">
        <v>74</v>
      </c>
      <c r="BR1505" t="s">
        <v>101</v>
      </c>
      <c r="BS1505" t="s">
        <v>27167</v>
      </c>
      <c r="BT1505" t="str">
        <f>HYPERLINK("https%3A%2F%2Fwww.webofscience.com%2Fwos%2Fwoscc%2Ffull-record%2FWOS:001062050500322","View Full Record in Web of Science")</f>
        <v>View Full Record in Web of Science</v>
      </c>
    </row>
    <row r="1506" spans="1:72" x14ac:dyDescent="0.2">
      <c r="A1506" t="s">
        <v>103</v>
      </c>
      <c r="B1506" t="s">
        <v>27168</v>
      </c>
      <c r="C1506" t="s">
        <v>74</v>
      </c>
      <c r="D1506" t="s">
        <v>74</v>
      </c>
      <c r="E1506" t="s">
        <v>74</v>
      </c>
      <c r="F1506" t="s">
        <v>27169</v>
      </c>
      <c r="G1506" t="s">
        <v>74</v>
      </c>
      <c r="H1506" t="s">
        <v>74</v>
      </c>
      <c r="I1506" t="s">
        <v>27170</v>
      </c>
      <c r="J1506" t="s">
        <v>27171</v>
      </c>
      <c r="K1506" t="s">
        <v>74</v>
      </c>
      <c r="L1506" t="s">
        <v>74</v>
      </c>
      <c r="M1506" t="s">
        <v>79</v>
      </c>
      <c r="N1506" t="s">
        <v>108</v>
      </c>
      <c r="O1506" t="s">
        <v>74</v>
      </c>
      <c r="P1506" t="s">
        <v>74</v>
      </c>
      <c r="Q1506" t="s">
        <v>74</v>
      </c>
      <c r="R1506" t="s">
        <v>74</v>
      </c>
      <c r="S1506" t="s">
        <v>74</v>
      </c>
      <c r="T1506" t="s">
        <v>27172</v>
      </c>
      <c r="U1506" t="s">
        <v>27173</v>
      </c>
      <c r="V1506" t="s">
        <v>27174</v>
      </c>
      <c r="W1506" t="s">
        <v>27175</v>
      </c>
      <c r="X1506" t="s">
        <v>22057</v>
      </c>
      <c r="Y1506" t="s">
        <v>27176</v>
      </c>
      <c r="Z1506" t="s">
        <v>27177</v>
      </c>
      <c r="AA1506" t="s">
        <v>74</v>
      </c>
      <c r="AB1506" t="s">
        <v>27178</v>
      </c>
      <c r="AC1506" t="s">
        <v>27179</v>
      </c>
      <c r="AD1506" t="s">
        <v>6006</v>
      </c>
      <c r="AE1506" t="s">
        <v>27180</v>
      </c>
      <c r="AF1506" t="s">
        <v>74</v>
      </c>
      <c r="AG1506">
        <v>64</v>
      </c>
      <c r="AH1506">
        <v>1</v>
      </c>
      <c r="AI1506">
        <v>1</v>
      </c>
      <c r="AJ1506">
        <v>0</v>
      </c>
      <c r="AK1506">
        <v>0</v>
      </c>
      <c r="AL1506" t="s">
        <v>13480</v>
      </c>
      <c r="AM1506" t="s">
        <v>13481</v>
      </c>
      <c r="AN1506" t="s">
        <v>13482</v>
      </c>
      <c r="AO1506" t="s">
        <v>27181</v>
      </c>
      <c r="AP1506" t="s">
        <v>27182</v>
      </c>
      <c r="AQ1506" t="s">
        <v>74</v>
      </c>
      <c r="AR1506" t="s">
        <v>27183</v>
      </c>
      <c r="AS1506" t="s">
        <v>27184</v>
      </c>
      <c r="AT1506" t="s">
        <v>5486</v>
      </c>
      <c r="AU1506">
        <v>2023</v>
      </c>
      <c r="AV1506">
        <v>487</v>
      </c>
      <c r="AW1506" t="s">
        <v>74</v>
      </c>
      <c r="AX1506" t="s">
        <v>74</v>
      </c>
      <c r="AY1506" t="s">
        <v>74</v>
      </c>
      <c r="AZ1506" t="s">
        <v>74</v>
      </c>
      <c r="BA1506" t="s">
        <v>74</v>
      </c>
      <c r="BB1506" t="s">
        <v>74</v>
      </c>
      <c r="BC1506" t="s">
        <v>74</v>
      </c>
      <c r="BD1506">
        <v>112155</v>
      </c>
      <c r="BE1506" t="s">
        <v>27185</v>
      </c>
      <c r="BF1506" t="str">
        <f>HYPERLINK("http://dx.doi.org/10.1016/j.jcp.2023.112155","http://dx.doi.org/10.1016/j.jcp.2023.112155")</f>
        <v>http://dx.doi.org/10.1016/j.jcp.2023.112155</v>
      </c>
      <c r="BG1506" t="s">
        <v>74</v>
      </c>
      <c r="BH1506" t="s">
        <v>2889</v>
      </c>
      <c r="BI1506">
        <v>30</v>
      </c>
      <c r="BJ1506" t="s">
        <v>27186</v>
      </c>
      <c r="BK1506" t="s">
        <v>130</v>
      </c>
      <c r="BL1506" t="s">
        <v>13320</v>
      </c>
      <c r="BM1506" t="s">
        <v>27187</v>
      </c>
      <c r="BN1506" t="s">
        <v>74</v>
      </c>
      <c r="BO1506" t="s">
        <v>646</v>
      </c>
      <c r="BP1506" t="s">
        <v>74</v>
      </c>
      <c r="BQ1506" t="s">
        <v>74</v>
      </c>
      <c r="BR1506" t="s">
        <v>101</v>
      </c>
      <c r="BS1506" t="s">
        <v>27188</v>
      </c>
      <c r="BT1506" t="str">
        <f>HYPERLINK("https%3A%2F%2Fwww.webofscience.com%2Fwos%2Fwoscc%2Ffull-record%2FWOS:001054132500001","View Full Record in Web of Science")</f>
        <v>View Full Record in Web of Science</v>
      </c>
    </row>
    <row r="1507" spans="1:72" x14ac:dyDescent="0.2">
      <c r="A1507" t="s">
        <v>103</v>
      </c>
      <c r="B1507" t="s">
        <v>27189</v>
      </c>
      <c r="C1507" t="s">
        <v>74</v>
      </c>
      <c r="D1507" t="s">
        <v>74</v>
      </c>
      <c r="E1507" t="s">
        <v>74</v>
      </c>
      <c r="F1507" t="s">
        <v>27190</v>
      </c>
      <c r="G1507" t="s">
        <v>74</v>
      </c>
      <c r="H1507" t="s">
        <v>74</v>
      </c>
      <c r="I1507" t="s">
        <v>27191</v>
      </c>
      <c r="J1507" t="s">
        <v>18651</v>
      </c>
      <c r="K1507" t="s">
        <v>74</v>
      </c>
      <c r="L1507" t="s">
        <v>74</v>
      </c>
      <c r="M1507" t="s">
        <v>79</v>
      </c>
      <c r="N1507" t="s">
        <v>108</v>
      </c>
      <c r="O1507" t="s">
        <v>74</v>
      </c>
      <c r="P1507" t="s">
        <v>74</v>
      </c>
      <c r="Q1507" t="s">
        <v>74</v>
      </c>
      <c r="R1507" t="s">
        <v>74</v>
      </c>
      <c r="S1507" t="s">
        <v>74</v>
      </c>
      <c r="T1507" t="s">
        <v>27192</v>
      </c>
      <c r="U1507" t="s">
        <v>74</v>
      </c>
      <c r="V1507" t="s">
        <v>27193</v>
      </c>
      <c r="W1507" t="s">
        <v>27194</v>
      </c>
      <c r="X1507" t="s">
        <v>27195</v>
      </c>
      <c r="Y1507" t="s">
        <v>27196</v>
      </c>
      <c r="Z1507" t="s">
        <v>27197</v>
      </c>
      <c r="AA1507" t="s">
        <v>27198</v>
      </c>
      <c r="AB1507" t="s">
        <v>27199</v>
      </c>
      <c r="AC1507" t="s">
        <v>27200</v>
      </c>
      <c r="AD1507" t="s">
        <v>27201</v>
      </c>
      <c r="AE1507" t="s">
        <v>27202</v>
      </c>
      <c r="AF1507" t="s">
        <v>74</v>
      </c>
      <c r="AG1507">
        <v>75</v>
      </c>
      <c r="AH1507">
        <v>0</v>
      </c>
      <c r="AI1507">
        <v>0</v>
      </c>
      <c r="AJ1507">
        <v>6</v>
      </c>
      <c r="AK1507">
        <v>10</v>
      </c>
      <c r="AL1507" t="s">
        <v>343</v>
      </c>
      <c r="AM1507" t="s">
        <v>521</v>
      </c>
      <c r="AN1507" t="s">
        <v>522</v>
      </c>
      <c r="AO1507" t="s">
        <v>18663</v>
      </c>
      <c r="AP1507" t="s">
        <v>18664</v>
      </c>
      <c r="AQ1507" t="s">
        <v>74</v>
      </c>
      <c r="AR1507" t="s">
        <v>18665</v>
      </c>
      <c r="AS1507" t="s">
        <v>18666</v>
      </c>
      <c r="AT1507" t="s">
        <v>771</v>
      </c>
      <c r="AU1507">
        <v>2023</v>
      </c>
      <c r="AV1507">
        <v>131</v>
      </c>
      <c r="AW1507">
        <v>9</v>
      </c>
      <c r="AX1507" t="s">
        <v>74</v>
      </c>
      <c r="AY1507" t="s">
        <v>74</v>
      </c>
      <c r="AZ1507" t="s">
        <v>74</v>
      </c>
      <c r="BA1507" t="s">
        <v>74</v>
      </c>
      <c r="BB1507">
        <v>2425</v>
      </c>
      <c r="BC1507">
        <v>2445</v>
      </c>
      <c r="BD1507" t="s">
        <v>74</v>
      </c>
      <c r="BE1507" t="s">
        <v>27203</v>
      </c>
      <c r="BF1507" t="str">
        <f>HYPERLINK("http://dx.doi.org/10.1007/s11263-023-01820-y","http://dx.doi.org/10.1007/s11263-023-01820-y")</f>
        <v>http://dx.doi.org/10.1007/s11263-023-01820-y</v>
      </c>
      <c r="BG1507" t="s">
        <v>74</v>
      </c>
      <c r="BH1507" t="s">
        <v>1910</v>
      </c>
      <c r="BI1507">
        <v>21</v>
      </c>
      <c r="BJ1507" t="s">
        <v>304</v>
      </c>
      <c r="BK1507" t="s">
        <v>130</v>
      </c>
      <c r="BL1507" t="s">
        <v>99</v>
      </c>
      <c r="BM1507" t="s">
        <v>27204</v>
      </c>
      <c r="BN1507" t="s">
        <v>74</v>
      </c>
      <c r="BO1507" t="s">
        <v>74</v>
      </c>
      <c r="BP1507" t="s">
        <v>74</v>
      </c>
      <c r="BQ1507" t="s">
        <v>74</v>
      </c>
      <c r="BR1507" t="s">
        <v>101</v>
      </c>
      <c r="BS1507" t="s">
        <v>27205</v>
      </c>
      <c r="BT1507" t="str">
        <f>HYPERLINK("https%3A%2F%2Fwww.webofscience.com%2Fwos%2Fwoscc%2Ffull-record%2FWOS:001003323700001","View Full Record in Web of Science")</f>
        <v>View Full Record in Web of Science</v>
      </c>
    </row>
    <row r="1508" spans="1:72" x14ac:dyDescent="0.2">
      <c r="A1508" t="s">
        <v>103</v>
      </c>
      <c r="B1508" t="s">
        <v>27206</v>
      </c>
      <c r="C1508" t="s">
        <v>74</v>
      </c>
      <c r="D1508" t="s">
        <v>74</v>
      </c>
      <c r="E1508" t="s">
        <v>74</v>
      </c>
      <c r="F1508" t="s">
        <v>27207</v>
      </c>
      <c r="G1508" t="s">
        <v>74</v>
      </c>
      <c r="H1508" t="s">
        <v>74</v>
      </c>
      <c r="I1508" t="s">
        <v>27208</v>
      </c>
      <c r="J1508" t="s">
        <v>18651</v>
      </c>
      <c r="K1508" t="s">
        <v>74</v>
      </c>
      <c r="L1508" t="s">
        <v>74</v>
      </c>
      <c r="M1508" t="s">
        <v>79</v>
      </c>
      <c r="N1508" t="s">
        <v>138</v>
      </c>
      <c r="O1508" t="s">
        <v>74</v>
      </c>
      <c r="P1508" t="s">
        <v>74</v>
      </c>
      <c r="Q1508" t="s">
        <v>74</v>
      </c>
      <c r="R1508" t="s">
        <v>74</v>
      </c>
      <c r="S1508" t="s">
        <v>74</v>
      </c>
      <c r="T1508" t="s">
        <v>27209</v>
      </c>
      <c r="U1508" t="s">
        <v>27210</v>
      </c>
      <c r="V1508" t="s">
        <v>27211</v>
      </c>
      <c r="W1508" t="s">
        <v>27212</v>
      </c>
      <c r="X1508" t="s">
        <v>27213</v>
      </c>
      <c r="Y1508" t="s">
        <v>27214</v>
      </c>
      <c r="Z1508" t="s">
        <v>27215</v>
      </c>
      <c r="AA1508" t="s">
        <v>27198</v>
      </c>
      <c r="AB1508" t="s">
        <v>27199</v>
      </c>
      <c r="AC1508" t="s">
        <v>27216</v>
      </c>
      <c r="AD1508" t="s">
        <v>27217</v>
      </c>
      <c r="AE1508" t="s">
        <v>27218</v>
      </c>
      <c r="AF1508" t="s">
        <v>74</v>
      </c>
      <c r="AG1508">
        <v>78</v>
      </c>
      <c r="AH1508">
        <v>0</v>
      </c>
      <c r="AI1508">
        <v>0</v>
      </c>
      <c r="AJ1508">
        <v>7</v>
      </c>
      <c r="AK1508">
        <v>7</v>
      </c>
      <c r="AL1508" t="s">
        <v>343</v>
      </c>
      <c r="AM1508" t="s">
        <v>521</v>
      </c>
      <c r="AN1508" t="s">
        <v>522</v>
      </c>
      <c r="AO1508" t="s">
        <v>18663</v>
      </c>
      <c r="AP1508" t="s">
        <v>18664</v>
      </c>
      <c r="AQ1508" t="s">
        <v>74</v>
      </c>
      <c r="AR1508" t="s">
        <v>18665</v>
      </c>
      <c r="AS1508" t="s">
        <v>18666</v>
      </c>
      <c r="AT1508" t="s">
        <v>11451</v>
      </c>
      <c r="AU1508">
        <v>2023</v>
      </c>
      <c r="AV1508" t="s">
        <v>74</v>
      </c>
      <c r="AW1508" t="s">
        <v>74</v>
      </c>
      <c r="AX1508" t="s">
        <v>74</v>
      </c>
      <c r="AY1508" t="s">
        <v>74</v>
      </c>
      <c r="AZ1508" t="s">
        <v>74</v>
      </c>
      <c r="BA1508" t="s">
        <v>74</v>
      </c>
      <c r="BB1508" t="s">
        <v>74</v>
      </c>
      <c r="BC1508" t="s">
        <v>74</v>
      </c>
      <c r="BD1508" t="s">
        <v>74</v>
      </c>
      <c r="BE1508" t="s">
        <v>27219</v>
      </c>
      <c r="BF1508" t="str">
        <f>HYPERLINK("http://dx.doi.org/10.1007/s11263-023-01940-5","http://dx.doi.org/10.1007/s11263-023-01940-5")</f>
        <v>http://dx.doi.org/10.1007/s11263-023-01940-5</v>
      </c>
      <c r="BG1508" t="s">
        <v>74</v>
      </c>
      <c r="BH1508" t="s">
        <v>157</v>
      </c>
      <c r="BI1508">
        <v>21</v>
      </c>
      <c r="BJ1508" t="s">
        <v>304</v>
      </c>
      <c r="BK1508" t="s">
        <v>130</v>
      </c>
      <c r="BL1508" t="s">
        <v>99</v>
      </c>
      <c r="BM1508" t="s">
        <v>27220</v>
      </c>
      <c r="BN1508" t="s">
        <v>74</v>
      </c>
      <c r="BO1508" t="s">
        <v>74</v>
      </c>
      <c r="BP1508" t="s">
        <v>74</v>
      </c>
      <c r="BQ1508" t="s">
        <v>74</v>
      </c>
      <c r="BR1508" t="s">
        <v>101</v>
      </c>
      <c r="BS1508" t="s">
        <v>27221</v>
      </c>
      <c r="BT1508" t="str">
        <f>HYPERLINK("https%3A%2F%2Fwww.webofscience.com%2Fwos%2Fwoscc%2Ffull-record%2FWOS:001113215300001","View Full Record in Web of Science")</f>
        <v>View Full Record in Web of Science</v>
      </c>
    </row>
    <row r="1509" spans="1:72" x14ac:dyDescent="0.2">
      <c r="A1509" t="s">
        <v>72</v>
      </c>
      <c r="B1509" t="s">
        <v>27222</v>
      </c>
      <c r="C1509" t="s">
        <v>74</v>
      </c>
      <c r="D1509" t="s">
        <v>8562</v>
      </c>
      <c r="E1509" t="s">
        <v>74</v>
      </c>
      <c r="F1509" t="s">
        <v>27223</v>
      </c>
      <c r="G1509" t="s">
        <v>74</v>
      </c>
      <c r="H1509" t="s">
        <v>74</v>
      </c>
      <c r="I1509" t="s">
        <v>27224</v>
      </c>
      <c r="J1509" t="s">
        <v>26052</v>
      </c>
      <c r="K1509" t="s">
        <v>1034</v>
      </c>
      <c r="L1509" t="s">
        <v>74</v>
      </c>
      <c r="M1509" t="s">
        <v>79</v>
      </c>
      <c r="N1509" t="s">
        <v>80</v>
      </c>
      <c r="O1509" t="s">
        <v>8566</v>
      </c>
      <c r="P1509" t="s">
        <v>8567</v>
      </c>
      <c r="Q1509" t="s">
        <v>8568</v>
      </c>
      <c r="R1509" t="s">
        <v>8569</v>
      </c>
      <c r="S1509" t="s">
        <v>74</v>
      </c>
      <c r="T1509" t="s">
        <v>27225</v>
      </c>
      <c r="U1509" t="s">
        <v>74</v>
      </c>
      <c r="V1509" t="s">
        <v>27226</v>
      </c>
      <c r="W1509" t="s">
        <v>27227</v>
      </c>
      <c r="X1509" t="s">
        <v>27228</v>
      </c>
      <c r="Y1509" t="s">
        <v>27229</v>
      </c>
      <c r="Z1509" t="s">
        <v>27230</v>
      </c>
      <c r="AA1509" t="s">
        <v>74</v>
      </c>
      <c r="AB1509" t="s">
        <v>74</v>
      </c>
      <c r="AC1509" t="s">
        <v>74</v>
      </c>
      <c r="AD1509" t="s">
        <v>74</v>
      </c>
      <c r="AE1509" t="s">
        <v>74</v>
      </c>
      <c r="AF1509" t="s">
        <v>74</v>
      </c>
      <c r="AG1509">
        <v>25</v>
      </c>
      <c r="AH1509">
        <v>0</v>
      </c>
      <c r="AI1509">
        <v>0</v>
      </c>
      <c r="AJ1509">
        <v>0</v>
      </c>
      <c r="AK1509">
        <v>1</v>
      </c>
      <c r="AL1509" t="s">
        <v>325</v>
      </c>
      <c r="AM1509" t="s">
        <v>245</v>
      </c>
      <c r="AN1509" t="s">
        <v>246</v>
      </c>
      <c r="AO1509" t="s">
        <v>1042</v>
      </c>
      <c r="AP1509" t="s">
        <v>327</v>
      </c>
      <c r="AQ1509" t="s">
        <v>26060</v>
      </c>
      <c r="AR1509" t="s">
        <v>1044</v>
      </c>
      <c r="AS1509" t="s">
        <v>74</v>
      </c>
      <c r="AT1509" t="s">
        <v>74</v>
      </c>
      <c r="AU1509">
        <v>2023</v>
      </c>
      <c r="AV1509">
        <v>13713</v>
      </c>
      <c r="AW1509" t="s">
        <v>74</v>
      </c>
      <c r="AX1509" t="s">
        <v>74</v>
      </c>
      <c r="AY1509" t="s">
        <v>74</v>
      </c>
      <c r="AZ1509" t="s">
        <v>74</v>
      </c>
      <c r="BA1509" t="s">
        <v>74</v>
      </c>
      <c r="BB1509">
        <v>275</v>
      </c>
      <c r="BC1509">
        <v>290</v>
      </c>
      <c r="BD1509" t="s">
        <v>74</v>
      </c>
      <c r="BE1509" t="s">
        <v>27231</v>
      </c>
      <c r="BF1509" t="str">
        <f>HYPERLINK("http://dx.doi.org/10.1007/978-3-031-26387-3_17","http://dx.doi.org/10.1007/978-3-031-26387-3_17")</f>
        <v>http://dx.doi.org/10.1007/978-3-031-26387-3_17</v>
      </c>
      <c r="BG1509" t="s">
        <v>74</v>
      </c>
      <c r="BH1509" t="s">
        <v>74</v>
      </c>
      <c r="BI1509">
        <v>16</v>
      </c>
      <c r="BJ1509" t="s">
        <v>3012</v>
      </c>
      <c r="BK1509" t="s">
        <v>98</v>
      </c>
      <c r="BL1509" t="s">
        <v>99</v>
      </c>
      <c r="BM1509" t="s">
        <v>26062</v>
      </c>
      <c r="BN1509" t="s">
        <v>74</v>
      </c>
      <c r="BO1509" t="s">
        <v>74</v>
      </c>
      <c r="BP1509" t="s">
        <v>74</v>
      </c>
      <c r="BQ1509" t="s">
        <v>74</v>
      </c>
      <c r="BR1509" t="s">
        <v>101</v>
      </c>
      <c r="BS1509" t="s">
        <v>27232</v>
      </c>
      <c r="BT1509" t="str">
        <f>HYPERLINK("https%3A%2F%2Fwww.webofscience.com%2Fwos%2Fwoscc%2Ffull-record%2FWOS:000999035400017","View Full Record in Web of Science")</f>
        <v>View Full Record in Web of Science</v>
      </c>
    </row>
    <row r="1510" spans="1:72" x14ac:dyDescent="0.2">
      <c r="A1510" t="s">
        <v>72</v>
      </c>
      <c r="B1510" t="s">
        <v>27233</v>
      </c>
      <c r="C1510" t="s">
        <v>74</v>
      </c>
      <c r="D1510" t="s">
        <v>1751</v>
      </c>
      <c r="E1510" t="s">
        <v>74</v>
      </c>
      <c r="F1510" t="s">
        <v>27234</v>
      </c>
      <c r="G1510" t="s">
        <v>74</v>
      </c>
      <c r="H1510" t="s">
        <v>74</v>
      </c>
      <c r="I1510" t="s">
        <v>27235</v>
      </c>
      <c r="J1510" t="s">
        <v>1754</v>
      </c>
      <c r="K1510" t="s">
        <v>1755</v>
      </c>
      <c r="L1510" t="s">
        <v>74</v>
      </c>
      <c r="M1510" t="s">
        <v>79</v>
      </c>
      <c r="N1510" t="s">
        <v>80</v>
      </c>
      <c r="O1510" t="s">
        <v>1756</v>
      </c>
      <c r="P1510" t="s">
        <v>1757</v>
      </c>
      <c r="Q1510" t="s">
        <v>1758</v>
      </c>
      <c r="R1510" t="s">
        <v>1759</v>
      </c>
      <c r="S1510" t="s">
        <v>74</v>
      </c>
      <c r="T1510" t="s">
        <v>27236</v>
      </c>
      <c r="U1510" t="s">
        <v>74</v>
      </c>
      <c r="V1510" t="s">
        <v>27237</v>
      </c>
      <c r="W1510" t="s">
        <v>27238</v>
      </c>
      <c r="X1510" t="s">
        <v>5534</v>
      </c>
      <c r="Y1510" t="s">
        <v>27239</v>
      </c>
      <c r="Z1510" t="s">
        <v>74</v>
      </c>
      <c r="AA1510" t="s">
        <v>74</v>
      </c>
      <c r="AB1510" t="s">
        <v>74</v>
      </c>
      <c r="AC1510" t="s">
        <v>27240</v>
      </c>
      <c r="AD1510" t="s">
        <v>27241</v>
      </c>
      <c r="AE1510" t="s">
        <v>27242</v>
      </c>
      <c r="AF1510" t="s">
        <v>74</v>
      </c>
      <c r="AG1510">
        <v>60</v>
      </c>
      <c r="AH1510">
        <v>1</v>
      </c>
      <c r="AI1510">
        <v>1</v>
      </c>
      <c r="AJ1510">
        <v>1</v>
      </c>
      <c r="AK1510">
        <v>1</v>
      </c>
      <c r="AL1510" t="s">
        <v>1766</v>
      </c>
      <c r="AM1510" t="s">
        <v>765</v>
      </c>
      <c r="AN1510" t="s">
        <v>1767</v>
      </c>
      <c r="AO1510" t="s">
        <v>1768</v>
      </c>
      <c r="AP1510" t="s">
        <v>1769</v>
      </c>
      <c r="AQ1510" t="s">
        <v>1770</v>
      </c>
      <c r="AR1510" t="s">
        <v>1771</v>
      </c>
      <c r="AS1510" t="s">
        <v>74</v>
      </c>
      <c r="AT1510" t="s">
        <v>74</v>
      </c>
      <c r="AU1510">
        <v>2023</v>
      </c>
      <c r="AV1510">
        <v>368</v>
      </c>
      <c r="AW1510" t="s">
        <v>74</v>
      </c>
      <c r="AX1510" t="s">
        <v>74</v>
      </c>
      <c r="AY1510" t="s">
        <v>74</v>
      </c>
      <c r="AZ1510" t="s">
        <v>74</v>
      </c>
      <c r="BA1510" t="s">
        <v>74</v>
      </c>
      <c r="BB1510">
        <v>445</v>
      </c>
      <c r="BC1510">
        <v>458</v>
      </c>
      <c r="BD1510" t="s">
        <v>74</v>
      </c>
      <c r="BE1510" t="s">
        <v>27243</v>
      </c>
      <c r="BF1510" t="str">
        <f>HYPERLINK("http://dx.doi.org/10.3233/FAIA230124","http://dx.doi.org/10.3233/FAIA230124")</f>
        <v>http://dx.doi.org/10.3233/FAIA230124</v>
      </c>
      <c r="BG1510" t="s">
        <v>74</v>
      </c>
      <c r="BH1510" t="s">
        <v>74</v>
      </c>
      <c r="BI1510">
        <v>14</v>
      </c>
      <c r="BJ1510" t="s">
        <v>304</v>
      </c>
      <c r="BK1510" t="s">
        <v>98</v>
      </c>
      <c r="BL1510" t="s">
        <v>99</v>
      </c>
      <c r="BM1510" t="s">
        <v>1773</v>
      </c>
      <c r="BN1510" t="s">
        <v>74</v>
      </c>
      <c r="BO1510" t="s">
        <v>161</v>
      </c>
      <c r="BP1510" t="s">
        <v>74</v>
      </c>
      <c r="BQ1510" t="s">
        <v>74</v>
      </c>
      <c r="BR1510" t="s">
        <v>101</v>
      </c>
      <c r="BS1510" t="s">
        <v>27244</v>
      </c>
      <c r="BT1510" t="str">
        <f>HYPERLINK("https%3A%2F%2Fwww.webofscience.com%2Fwos%2Fwoscc%2Ffull-record%2FWOS:001150361600052","View Full Record in Web of Science")</f>
        <v>View Full Record in Web of Science</v>
      </c>
    </row>
    <row r="1511" spans="1:72" x14ac:dyDescent="0.2">
      <c r="A1511" t="s">
        <v>103</v>
      </c>
      <c r="B1511" t="s">
        <v>27245</v>
      </c>
      <c r="C1511" t="s">
        <v>74</v>
      </c>
      <c r="D1511" t="s">
        <v>74</v>
      </c>
      <c r="E1511" t="s">
        <v>74</v>
      </c>
      <c r="F1511" t="s">
        <v>27246</v>
      </c>
      <c r="G1511" t="s">
        <v>74</v>
      </c>
      <c r="H1511" t="s">
        <v>74</v>
      </c>
      <c r="I1511" t="s">
        <v>27247</v>
      </c>
      <c r="J1511" t="s">
        <v>11185</v>
      </c>
      <c r="K1511" t="s">
        <v>74</v>
      </c>
      <c r="L1511" t="s">
        <v>74</v>
      </c>
      <c r="M1511" t="s">
        <v>79</v>
      </c>
      <c r="N1511" t="s">
        <v>108</v>
      </c>
      <c r="O1511" t="s">
        <v>74</v>
      </c>
      <c r="P1511" t="s">
        <v>74</v>
      </c>
      <c r="Q1511" t="s">
        <v>74</v>
      </c>
      <c r="R1511" t="s">
        <v>74</v>
      </c>
      <c r="S1511" t="s">
        <v>74</v>
      </c>
      <c r="T1511" t="s">
        <v>27248</v>
      </c>
      <c r="U1511" t="s">
        <v>27249</v>
      </c>
      <c r="V1511" t="s">
        <v>27250</v>
      </c>
      <c r="W1511" t="s">
        <v>27251</v>
      </c>
      <c r="X1511" t="s">
        <v>27252</v>
      </c>
      <c r="Y1511" t="s">
        <v>27253</v>
      </c>
      <c r="Z1511" t="s">
        <v>27254</v>
      </c>
      <c r="AA1511" t="s">
        <v>74</v>
      </c>
      <c r="AB1511" t="s">
        <v>27255</v>
      </c>
      <c r="AC1511" t="s">
        <v>74</v>
      </c>
      <c r="AD1511" t="s">
        <v>74</v>
      </c>
      <c r="AE1511" t="s">
        <v>74</v>
      </c>
      <c r="AF1511" t="s">
        <v>74</v>
      </c>
      <c r="AG1511">
        <v>39</v>
      </c>
      <c r="AH1511">
        <v>4</v>
      </c>
      <c r="AI1511">
        <v>4</v>
      </c>
      <c r="AJ1511">
        <v>10</v>
      </c>
      <c r="AK1511">
        <v>10</v>
      </c>
      <c r="AL1511" t="s">
        <v>1379</v>
      </c>
      <c r="AM1511" t="s">
        <v>1380</v>
      </c>
      <c r="AN1511" t="s">
        <v>1381</v>
      </c>
      <c r="AO1511" t="s">
        <v>11197</v>
      </c>
      <c r="AP1511" t="s">
        <v>74</v>
      </c>
      <c r="AQ1511" t="s">
        <v>74</v>
      </c>
      <c r="AR1511" t="s">
        <v>11198</v>
      </c>
      <c r="AS1511" t="s">
        <v>11199</v>
      </c>
      <c r="AT1511" t="s">
        <v>27256</v>
      </c>
      <c r="AU1511">
        <v>2023</v>
      </c>
      <c r="AV1511">
        <v>14</v>
      </c>
      <c r="AW1511">
        <v>2</v>
      </c>
      <c r="AX1511" t="s">
        <v>74</v>
      </c>
      <c r="AY1511" t="s">
        <v>74</v>
      </c>
      <c r="AZ1511" t="s">
        <v>74</v>
      </c>
      <c r="BA1511" t="s">
        <v>74</v>
      </c>
      <c r="BB1511">
        <v>1098</v>
      </c>
      <c r="BC1511">
        <v>1109</v>
      </c>
      <c r="BD1511" t="s">
        <v>74</v>
      </c>
      <c r="BE1511" t="s">
        <v>27257</v>
      </c>
      <c r="BF1511" t="str">
        <f>HYPERLINK("http://dx.doi.org/10.1109/TAFFC.2021.3111110","http://dx.doi.org/10.1109/TAFFC.2021.3111110")</f>
        <v>http://dx.doi.org/10.1109/TAFFC.2021.3111110</v>
      </c>
      <c r="BG1511" t="s">
        <v>74</v>
      </c>
      <c r="BH1511" t="s">
        <v>74</v>
      </c>
      <c r="BI1511">
        <v>12</v>
      </c>
      <c r="BJ1511" t="s">
        <v>5138</v>
      </c>
      <c r="BK1511" t="s">
        <v>130</v>
      </c>
      <c r="BL1511" t="s">
        <v>99</v>
      </c>
      <c r="BM1511" t="s">
        <v>27258</v>
      </c>
      <c r="BN1511" t="s">
        <v>74</v>
      </c>
      <c r="BO1511" t="s">
        <v>74</v>
      </c>
      <c r="BP1511" t="s">
        <v>74</v>
      </c>
      <c r="BQ1511" t="s">
        <v>74</v>
      </c>
      <c r="BR1511" t="s">
        <v>101</v>
      </c>
      <c r="BS1511" t="s">
        <v>27259</v>
      </c>
      <c r="BT1511" t="str">
        <f>HYPERLINK("https%3A%2F%2Fwww.webofscience.com%2Fwos%2Fwoscc%2Ffull-record%2FWOS:001000299100018","View Full Record in Web of Science")</f>
        <v>View Full Record in Web of Science</v>
      </c>
    </row>
    <row r="1512" spans="1:72" x14ac:dyDescent="0.2">
      <c r="A1512" t="s">
        <v>103</v>
      </c>
      <c r="B1512" t="s">
        <v>27260</v>
      </c>
      <c r="C1512" t="s">
        <v>74</v>
      </c>
      <c r="D1512" t="s">
        <v>74</v>
      </c>
      <c r="E1512" t="s">
        <v>74</v>
      </c>
      <c r="F1512" t="s">
        <v>27261</v>
      </c>
      <c r="G1512" t="s">
        <v>74</v>
      </c>
      <c r="H1512" t="s">
        <v>74</v>
      </c>
      <c r="I1512" t="s">
        <v>27262</v>
      </c>
      <c r="J1512" t="s">
        <v>23253</v>
      </c>
      <c r="K1512" t="s">
        <v>74</v>
      </c>
      <c r="L1512" t="s">
        <v>74</v>
      </c>
      <c r="M1512" t="s">
        <v>79</v>
      </c>
      <c r="N1512" t="s">
        <v>108</v>
      </c>
      <c r="O1512" t="s">
        <v>74</v>
      </c>
      <c r="P1512" t="s">
        <v>74</v>
      </c>
      <c r="Q1512" t="s">
        <v>74</v>
      </c>
      <c r="R1512" t="s">
        <v>74</v>
      </c>
      <c r="S1512" t="s">
        <v>74</v>
      </c>
      <c r="T1512" t="s">
        <v>74</v>
      </c>
      <c r="U1512" t="s">
        <v>27263</v>
      </c>
      <c r="V1512" t="s">
        <v>27264</v>
      </c>
      <c r="W1512" t="s">
        <v>27265</v>
      </c>
      <c r="X1512" t="s">
        <v>27266</v>
      </c>
      <c r="Y1512" t="s">
        <v>27267</v>
      </c>
      <c r="Z1512" t="s">
        <v>27268</v>
      </c>
      <c r="AA1512" t="s">
        <v>27269</v>
      </c>
      <c r="AB1512" t="s">
        <v>27270</v>
      </c>
      <c r="AC1512" t="s">
        <v>27271</v>
      </c>
      <c r="AD1512" t="s">
        <v>27272</v>
      </c>
      <c r="AE1512" t="s">
        <v>27273</v>
      </c>
      <c r="AF1512" t="s">
        <v>74</v>
      </c>
      <c r="AG1512">
        <v>49</v>
      </c>
      <c r="AH1512">
        <v>2</v>
      </c>
      <c r="AI1512">
        <v>2</v>
      </c>
      <c r="AJ1512">
        <v>32</v>
      </c>
      <c r="AK1512">
        <v>32</v>
      </c>
      <c r="AL1512" t="s">
        <v>2032</v>
      </c>
      <c r="AM1512" t="s">
        <v>149</v>
      </c>
      <c r="AN1512" t="s">
        <v>2033</v>
      </c>
      <c r="AO1512" t="s">
        <v>74</v>
      </c>
      <c r="AP1512" t="s">
        <v>23264</v>
      </c>
      <c r="AQ1512" t="s">
        <v>74</v>
      </c>
      <c r="AR1512" t="s">
        <v>23265</v>
      </c>
      <c r="AS1512" t="s">
        <v>23266</v>
      </c>
      <c r="AT1512" t="s">
        <v>467</v>
      </c>
      <c r="AU1512">
        <v>2023</v>
      </c>
      <c r="AV1512">
        <v>3</v>
      </c>
      <c r="AW1512">
        <v>10</v>
      </c>
      <c r="AX1512" t="s">
        <v>74</v>
      </c>
      <c r="AY1512" t="s">
        <v>74</v>
      </c>
      <c r="AZ1512" t="s">
        <v>74</v>
      </c>
      <c r="BA1512" t="s">
        <v>74</v>
      </c>
      <c r="BB1512">
        <v>849</v>
      </c>
      <c r="BC1512">
        <v>859</v>
      </c>
      <c r="BD1512" t="s">
        <v>74</v>
      </c>
      <c r="BE1512" t="s">
        <v>27274</v>
      </c>
      <c r="BF1512" t="str">
        <f>HYPERLINK("http://dx.doi.org/10.1038/s43588-023-00530-2","http://dx.doi.org/10.1038/s43588-023-00530-2")</f>
        <v>http://dx.doi.org/10.1038/s43588-023-00530-2</v>
      </c>
      <c r="BG1512" t="s">
        <v>74</v>
      </c>
      <c r="BH1512" t="s">
        <v>1886</v>
      </c>
      <c r="BI1512">
        <v>11</v>
      </c>
      <c r="BJ1512" t="s">
        <v>23268</v>
      </c>
      <c r="BK1512" t="s">
        <v>352</v>
      </c>
      <c r="BL1512" t="s">
        <v>1320</v>
      </c>
      <c r="BM1512" t="s">
        <v>27275</v>
      </c>
      <c r="BN1512">
        <v>38177756</v>
      </c>
      <c r="BO1512" t="s">
        <v>74</v>
      </c>
      <c r="BP1512" t="s">
        <v>74</v>
      </c>
      <c r="BQ1512" t="s">
        <v>74</v>
      </c>
      <c r="BR1512" t="s">
        <v>101</v>
      </c>
      <c r="BS1512" t="s">
        <v>27276</v>
      </c>
      <c r="BT1512" t="str">
        <f>HYPERLINK("https%3A%2F%2Fwww.webofscience.com%2Fwos%2Fwoscc%2Ffull-record%2FWOS:001078069800001","View Full Record in Web of Science")</f>
        <v>View Full Record in Web of Science</v>
      </c>
    </row>
    <row r="1513" spans="1:72" x14ac:dyDescent="0.2">
      <c r="A1513" t="s">
        <v>103</v>
      </c>
      <c r="B1513" t="s">
        <v>27277</v>
      </c>
      <c r="C1513" t="s">
        <v>74</v>
      </c>
      <c r="D1513" t="s">
        <v>74</v>
      </c>
      <c r="E1513" t="s">
        <v>74</v>
      </c>
      <c r="F1513" t="s">
        <v>27278</v>
      </c>
      <c r="G1513" t="s">
        <v>74</v>
      </c>
      <c r="H1513" t="s">
        <v>74</v>
      </c>
      <c r="I1513" t="s">
        <v>27279</v>
      </c>
      <c r="J1513" t="s">
        <v>26694</v>
      </c>
      <c r="K1513" t="s">
        <v>74</v>
      </c>
      <c r="L1513" t="s">
        <v>74</v>
      </c>
      <c r="M1513" t="s">
        <v>79</v>
      </c>
      <c r="N1513" t="s">
        <v>108</v>
      </c>
      <c r="O1513" t="s">
        <v>74</v>
      </c>
      <c r="P1513" t="s">
        <v>74</v>
      </c>
      <c r="Q1513" t="s">
        <v>74</v>
      </c>
      <c r="R1513" t="s">
        <v>74</v>
      </c>
      <c r="S1513" t="s">
        <v>74</v>
      </c>
      <c r="T1513" t="s">
        <v>27280</v>
      </c>
      <c r="U1513" t="s">
        <v>27281</v>
      </c>
      <c r="V1513" t="s">
        <v>27282</v>
      </c>
      <c r="W1513" t="s">
        <v>27283</v>
      </c>
      <c r="X1513" t="s">
        <v>27284</v>
      </c>
      <c r="Y1513" t="s">
        <v>27285</v>
      </c>
      <c r="Z1513" t="s">
        <v>27286</v>
      </c>
      <c r="AA1513" t="s">
        <v>27287</v>
      </c>
      <c r="AB1513" t="s">
        <v>27288</v>
      </c>
      <c r="AC1513" t="s">
        <v>27289</v>
      </c>
      <c r="AD1513" t="s">
        <v>27290</v>
      </c>
      <c r="AE1513" t="s">
        <v>27291</v>
      </c>
      <c r="AF1513" t="s">
        <v>74</v>
      </c>
      <c r="AG1513">
        <v>30</v>
      </c>
      <c r="AH1513">
        <v>3</v>
      </c>
      <c r="AI1513">
        <v>3</v>
      </c>
      <c r="AJ1513">
        <v>7</v>
      </c>
      <c r="AK1513">
        <v>21</v>
      </c>
      <c r="AL1513" t="s">
        <v>764</v>
      </c>
      <c r="AM1513" t="s">
        <v>765</v>
      </c>
      <c r="AN1513" t="s">
        <v>766</v>
      </c>
      <c r="AO1513" t="s">
        <v>26705</v>
      </c>
      <c r="AP1513" t="s">
        <v>26706</v>
      </c>
      <c r="AQ1513" t="s">
        <v>74</v>
      </c>
      <c r="AR1513" t="s">
        <v>26707</v>
      </c>
      <c r="AS1513" t="s">
        <v>26708</v>
      </c>
      <c r="AT1513" t="s">
        <v>27292</v>
      </c>
      <c r="AU1513">
        <v>2023</v>
      </c>
      <c r="AV1513">
        <v>266</v>
      </c>
      <c r="AW1513" t="s">
        <v>74</v>
      </c>
      <c r="AX1513" t="s">
        <v>74</v>
      </c>
      <c r="AY1513" t="s">
        <v>74</v>
      </c>
      <c r="AZ1513" t="s">
        <v>74</v>
      </c>
      <c r="BA1513" t="s">
        <v>74</v>
      </c>
      <c r="BB1513" t="s">
        <v>74</v>
      </c>
      <c r="BC1513" t="s">
        <v>74</v>
      </c>
      <c r="BD1513">
        <v>110384</v>
      </c>
      <c r="BE1513" t="s">
        <v>27293</v>
      </c>
      <c r="BF1513" t="str">
        <f>HYPERLINK("http://dx.doi.org/10.1016/j.knosys.2023.110384","http://dx.doi.org/10.1016/j.knosys.2023.110384")</f>
        <v>http://dx.doi.org/10.1016/j.knosys.2023.110384</v>
      </c>
      <c r="BG1513" t="s">
        <v>74</v>
      </c>
      <c r="BH1513" t="s">
        <v>2647</v>
      </c>
      <c r="BI1513">
        <v>10</v>
      </c>
      <c r="BJ1513" t="s">
        <v>304</v>
      </c>
      <c r="BK1513" t="s">
        <v>130</v>
      </c>
      <c r="BL1513" t="s">
        <v>99</v>
      </c>
      <c r="BM1513" t="s">
        <v>27294</v>
      </c>
      <c r="BN1513" t="s">
        <v>74</v>
      </c>
      <c r="BO1513" t="s">
        <v>74</v>
      </c>
      <c r="BP1513" t="s">
        <v>74</v>
      </c>
      <c r="BQ1513" t="s">
        <v>74</v>
      </c>
      <c r="BR1513" t="s">
        <v>101</v>
      </c>
      <c r="BS1513" t="s">
        <v>27295</v>
      </c>
      <c r="BT1513" t="str">
        <f>HYPERLINK("https%3A%2F%2Fwww.webofscience.com%2Fwos%2Fwoscc%2Ffull-record%2FWOS:000949035600001","View Full Record in Web of Science")</f>
        <v>View Full Record in Web of Science</v>
      </c>
    </row>
    <row r="1514" spans="1:72" x14ac:dyDescent="0.2">
      <c r="A1514" t="s">
        <v>72</v>
      </c>
      <c r="B1514" t="s">
        <v>27296</v>
      </c>
      <c r="C1514" t="s">
        <v>74</v>
      </c>
      <c r="D1514" t="s">
        <v>74</v>
      </c>
      <c r="E1514" t="s">
        <v>284</v>
      </c>
      <c r="F1514" t="s">
        <v>27297</v>
      </c>
      <c r="G1514" t="s">
        <v>74</v>
      </c>
      <c r="H1514" t="s">
        <v>74</v>
      </c>
      <c r="I1514" t="s">
        <v>27298</v>
      </c>
      <c r="J1514" t="s">
        <v>8245</v>
      </c>
      <c r="K1514" t="s">
        <v>8246</v>
      </c>
      <c r="L1514" t="s">
        <v>74</v>
      </c>
      <c r="M1514" t="s">
        <v>79</v>
      </c>
      <c r="N1514" t="s">
        <v>80</v>
      </c>
      <c r="O1514" t="s">
        <v>8247</v>
      </c>
      <c r="P1514" t="s">
        <v>8248</v>
      </c>
      <c r="Q1514" t="s">
        <v>6017</v>
      </c>
      <c r="R1514" t="s">
        <v>8249</v>
      </c>
      <c r="S1514" t="s">
        <v>74</v>
      </c>
      <c r="T1514" t="s">
        <v>74</v>
      </c>
      <c r="U1514" t="s">
        <v>74</v>
      </c>
      <c r="V1514" t="s">
        <v>27299</v>
      </c>
      <c r="W1514" t="s">
        <v>27300</v>
      </c>
      <c r="X1514" t="s">
        <v>9584</v>
      </c>
      <c r="Y1514" t="s">
        <v>27301</v>
      </c>
      <c r="Z1514" t="s">
        <v>27302</v>
      </c>
      <c r="AA1514" t="s">
        <v>74</v>
      </c>
      <c r="AB1514" t="s">
        <v>74</v>
      </c>
      <c r="AC1514" t="s">
        <v>27303</v>
      </c>
      <c r="AD1514" t="s">
        <v>27304</v>
      </c>
      <c r="AE1514" t="s">
        <v>27305</v>
      </c>
      <c r="AF1514" t="s">
        <v>74</v>
      </c>
      <c r="AG1514">
        <v>27</v>
      </c>
      <c r="AH1514">
        <v>0</v>
      </c>
      <c r="AI1514">
        <v>1</v>
      </c>
      <c r="AJ1514">
        <v>2</v>
      </c>
      <c r="AK1514">
        <v>2</v>
      </c>
      <c r="AL1514" t="s">
        <v>638</v>
      </c>
      <c r="AM1514" t="s">
        <v>639</v>
      </c>
      <c r="AN1514" t="s">
        <v>640</v>
      </c>
      <c r="AO1514" t="s">
        <v>8260</v>
      </c>
      <c r="AP1514" t="s">
        <v>74</v>
      </c>
      <c r="AQ1514" t="s">
        <v>8261</v>
      </c>
      <c r="AR1514" t="s">
        <v>8262</v>
      </c>
      <c r="AS1514" t="s">
        <v>74</v>
      </c>
      <c r="AT1514" t="s">
        <v>74</v>
      </c>
      <c r="AU1514">
        <v>2023</v>
      </c>
      <c r="AV1514" t="s">
        <v>74</v>
      </c>
      <c r="AW1514" t="s">
        <v>74</v>
      </c>
      <c r="AX1514" t="s">
        <v>74</v>
      </c>
      <c r="AY1514" t="s">
        <v>74</v>
      </c>
      <c r="AZ1514" t="s">
        <v>74</v>
      </c>
      <c r="BA1514" t="s">
        <v>74</v>
      </c>
      <c r="BB1514">
        <v>20504</v>
      </c>
      <c r="BC1514">
        <v>20513</v>
      </c>
      <c r="BD1514" t="s">
        <v>74</v>
      </c>
      <c r="BE1514" t="s">
        <v>27306</v>
      </c>
      <c r="BF1514" t="str">
        <f>HYPERLINK("http://dx.doi.org/10.1109/CVPR52729.2023.01964","http://dx.doi.org/10.1109/CVPR52729.2023.01964")</f>
        <v>http://dx.doi.org/10.1109/CVPR52729.2023.01964</v>
      </c>
      <c r="BG1514" t="s">
        <v>74</v>
      </c>
      <c r="BH1514" t="s">
        <v>74</v>
      </c>
      <c r="BI1514">
        <v>10</v>
      </c>
      <c r="BJ1514" t="s">
        <v>304</v>
      </c>
      <c r="BK1514" t="s">
        <v>98</v>
      </c>
      <c r="BL1514" t="s">
        <v>99</v>
      </c>
      <c r="BM1514" t="s">
        <v>9731</v>
      </c>
      <c r="BN1514" t="s">
        <v>74</v>
      </c>
      <c r="BO1514" t="s">
        <v>646</v>
      </c>
      <c r="BP1514" t="s">
        <v>74</v>
      </c>
      <c r="BQ1514" t="s">
        <v>74</v>
      </c>
      <c r="BR1514" t="s">
        <v>101</v>
      </c>
      <c r="BS1514" t="s">
        <v>27307</v>
      </c>
      <c r="BT1514" t="str">
        <f>HYPERLINK("https%3A%2F%2Fwww.webofscience.com%2Fwos%2Fwoscc%2Ffull-record%2FWOS:001062531304080","View Full Record in Web of Science")</f>
        <v>View Full Record in Web of Science</v>
      </c>
    </row>
    <row r="1515" spans="1:72" x14ac:dyDescent="0.2">
      <c r="A1515" t="s">
        <v>103</v>
      </c>
      <c r="B1515" t="s">
        <v>27308</v>
      </c>
      <c r="C1515" t="s">
        <v>74</v>
      </c>
      <c r="D1515" t="s">
        <v>74</v>
      </c>
      <c r="E1515" t="s">
        <v>74</v>
      </c>
      <c r="F1515" t="s">
        <v>27309</v>
      </c>
      <c r="G1515" t="s">
        <v>74</v>
      </c>
      <c r="H1515" t="s">
        <v>74</v>
      </c>
      <c r="I1515" t="s">
        <v>27310</v>
      </c>
      <c r="J1515" t="s">
        <v>107</v>
      </c>
      <c r="K1515" t="s">
        <v>74</v>
      </c>
      <c r="L1515" t="s">
        <v>74</v>
      </c>
      <c r="M1515" t="s">
        <v>79</v>
      </c>
      <c r="N1515" t="s">
        <v>108</v>
      </c>
      <c r="O1515" t="s">
        <v>74</v>
      </c>
      <c r="P1515" t="s">
        <v>74</v>
      </c>
      <c r="Q1515" t="s">
        <v>74</v>
      </c>
      <c r="R1515" t="s">
        <v>74</v>
      </c>
      <c r="S1515" t="s">
        <v>74</v>
      </c>
      <c r="T1515" t="s">
        <v>27311</v>
      </c>
      <c r="U1515" t="s">
        <v>27312</v>
      </c>
      <c r="V1515" t="s">
        <v>27313</v>
      </c>
      <c r="W1515" t="s">
        <v>27314</v>
      </c>
      <c r="X1515" t="s">
        <v>27315</v>
      </c>
      <c r="Y1515" t="s">
        <v>27316</v>
      </c>
      <c r="Z1515" t="s">
        <v>27317</v>
      </c>
      <c r="AA1515" t="s">
        <v>27318</v>
      </c>
      <c r="AB1515" t="s">
        <v>27319</v>
      </c>
      <c r="AC1515" t="s">
        <v>27320</v>
      </c>
      <c r="AD1515" t="s">
        <v>27321</v>
      </c>
      <c r="AE1515" t="s">
        <v>27322</v>
      </c>
      <c r="AF1515" t="s">
        <v>74</v>
      </c>
      <c r="AG1515">
        <v>60</v>
      </c>
      <c r="AH1515">
        <v>0</v>
      </c>
      <c r="AI1515">
        <v>0</v>
      </c>
      <c r="AJ1515">
        <v>5</v>
      </c>
      <c r="AK1515">
        <v>5</v>
      </c>
      <c r="AL1515" t="s">
        <v>119</v>
      </c>
      <c r="AM1515" t="s">
        <v>120</v>
      </c>
      <c r="AN1515" t="s">
        <v>121</v>
      </c>
      <c r="AO1515" t="s">
        <v>122</v>
      </c>
      <c r="AP1515" t="s">
        <v>123</v>
      </c>
      <c r="AQ1515" t="s">
        <v>74</v>
      </c>
      <c r="AR1515" t="s">
        <v>124</v>
      </c>
      <c r="AS1515" t="s">
        <v>125</v>
      </c>
      <c r="AT1515" t="s">
        <v>2016</v>
      </c>
      <c r="AU1515">
        <v>2024</v>
      </c>
      <c r="AV1515">
        <v>127</v>
      </c>
      <c r="AW1515" t="s">
        <v>74</v>
      </c>
      <c r="AX1515" t="s">
        <v>3738</v>
      </c>
      <c r="AY1515" t="s">
        <v>74</v>
      </c>
      <c r="AZ1515" t="s">
        <v>74</v>
      </c>
      <c r="BA1515" t="s">
        <v>74</v>
      </c>
      <c r="BB1515" t="s">
        <v>74</v>
      </c>
      <c r="BC1515" t="s">
        <v>74</v>
      </c>
      <c r="BD1515">
        <v>107275</v>
      </c>
      <c r="BE1515" t="s">
        <v>27323</v>
      </c>
      <c r="BF1515" t="str">
        <f>HYPERLINK("http://dx.doi.org/10.1016/j.engappai.2023.107275","http://dx.doi.org/10.1016/j.engappai.2023.107275")</f>
        <v>http://dx.doi.org/10.1016/j.engappai.2023.107275</v>
      </c>
      <c r="BG1515" t="s">
        <v>74</v>
      </c>
      <c r="BH1515" t="s">
        <v>1886</v>
      </c>
      <c r="BI1515">
        <v>13</v>
      </c>
      <c r="BJ1515" t="s">
        <v>129</v>
      </c>
      <c r="BK1515" t="s">
        <v>130</v>
      </c>
      <c r="BL1515" t="s">
        <v>131</v>
      </c>
      <c r="BM1515" t="s">
        <v>27324</v>
      </c>
      <c r="BN1515" t="s">
        <v>74</v>
      </c>
      <c r="BO1515" t="s">
        <v>646</v>
      </c>
      <c r="BP1515" t="s">
        <v>74</v>
      </c>
      <c r="BQ1515" t="s">
        <v>74</v>
      </c>
      <c r="BR1515" t="s">
        <v>101</v>
      </c>
      <c r="BS1515" t="s">
        <v>27325</v>
      </c>
      <c r="BT1515" t="str">
        <f>HYPERLINK("https%3A%2F%2Fwww.webofscience.com%2Fwos%2Fwoscc%2Ffull-record%2FWOS:001096361800001","View Full Record in Web of Science")</f>
        <v>View Full Record in Web of Science</v>
      </c>
    </row>
    <row r="1516" spans="1:72" x14ac:dyDescent="0.2">
      <c r="A1516" t="s">
        <v>72</v>
      </c>
      <c r="B1516" t="s">
        <v>27326</v>
      </c>
      <c r="C1516" t="s">
        <v>74</v>
      </c>
      <c r="D1516" t="s">
        <v>74</v>
      </c>
      <c r="E1516" t="s">
        <v>284</v>
      </c>
      <c r="F1516" t="s">
        <v>27327</v>
      </c>
      <c r="G1516" t="s">
        <v>74</v>
      </c>
      <c r="H1516" t="s">
        <v>74</v>
      </c>
      <c r="I1516" t="s">
        <v>27328</v>
      </c>
      <c r="J1516" t="s">
        <v>10100</v>
      </c>
      <c r="K1516" t="s">
        <v>8246</v>
      </c>
      <c r="L1516" t="s">
        <v>74</v>
      </c>
      <c r="M1516" t="s">
        <v>79</v>
      </c>
      <c r="N1516" t="s">
        <v>80</v>
      </c>
      <c r="O1516" t="s">
        <v>8247</v>
      </c>
      <c r="P1516" t="s">
        <v>8248</v>
      </c>
      <c r="Q1516" t="s">
        <v>6017</v>
      </c>
      <c r="R1516" t="s">
        <v>8249</v>
      </c>
      <c r="S1516" t="s">
        <v>74</v>
      </c>
      <c r="T1516" t="s">
        <v>74</v>
      </c>
      <c r="U1516" t="s">
        <v>74</v>
      </c>
      <c r="V1516" t="s">
        <v>27329</v>
      </c>
      <c r="W1516" t="s">
        <v>27330</v>
      </c>
      <c r="X1516" t="s">
        <v>27331</v>
      </c>
      <c r="Y1516" t="s">
        <v>27332</v>
      </c>
      <c r="Z1516" t="s">
        <v>74</v>
      </c>
      <c r="AA1516" t="s">
        <v>74</v>
      </c>
      <c r="AB1516" t="s">
        <v>74</v>
      </c>
      <c r="AC1516" t="s">
        <v>27333</v>
      </c>
      <c r="AD1516" t="s">
        <v>27334</v>
      </c>
      <c r="AE1516" t="s">
        <v>27335</v>
      </c>
      <c r="AF1516" t="s">
        <v>74</v>
      </c>
      <c r="AG1516">
        <v>41</v>
      </c>
      <c r="AH1516">
        <v>0</v>
      </c>
      <c r="AI1516">
        <v>0</v>
      </c>
      <c r="AJ1516">
        <v>1</v>
      </c>
      <c r="AK1516">
        <v>1</v>
      </c>
      <c r="AL1516" t="s">
        <v>638</v>
      </c>
      <c r="AM1516" t="s">
        <v>639</v>
      </c>
      <c r="AN1516" t="s">
        <v>640</v>
      </c>
      <c r="AO1516" t="s">
        <v>8260</v>
      </c>
      <c r="AP1516" t="s">
        <v>74</v>
      </c>
      <c r="AQ1516" t="s">
        <v>8261</v>
      </c>
      <c r="AR1516" t="s">
        <v>8262</v>
      </c>
      <c r="AS1516" t="s">
        <v>74</v>
      </c>
      <c r="AT1516" t="s">
        <v>74</v>
      </c>
      <c r="AU1516">
        <v>2023</v>
      </c>
      <c r="AV1516" t="s">
        <v>74</v>
      </c>
      <c r="AW1516" t="s">
        <v>74</v>
      </c>
      <c r="AX1516" t="s">
        <v>74</v>
      </c>
      <c r="AY1516" t="s">
        <v>74</v>
      </c>
      <c r="AZ1516" t="s">
        <v>74</v>
      </c>
      <c r="BA1516" t="s">
        <v>74</v>
      </c>
      <c r="BB1516">
        <v>342</v>
      </c>
      <c r="BC1516">
        <v>351</v>
      </c>
      <c r="BD1516" t="s">
        <v>74</v>
      </c>
      <c r="BE1516" t="s">
        <v>27336</v>
      </c>
      <c r="BF1516" t="str">
        <f>HYPERLINK("http://dx.doi.org/10.1109/CVPR52729.2023.00041","http://dx.doi.org/10.1109/CVPR52729.2023.00041")</f>
        <v>http://dx.doi.org/10.1109/CVPR52729.2023.00041</v>
      </c>
      <c r="BG1516" t="s">
        <v>74</v>
      </c>
      <c r="BH1516" t="s">
        <v>74</v>
      </c>
      <c r="BI1516">
        <v>10</v>
      </c>
      <c r="BJ1516" t="s">
        <v>10109</v>
      </c>
      <c r="BK1516" t="s">
        <v>98</v>
      </c>
      <c r="BL1516" t="s">
        <v>99</v>
      </c>
      <c r="BM1516" t="s">
        <v>10110</v>
      </c>
      <c r="BN1516" t="s">
        <v>74</v>
      </c>
      <c r="BO1516" t="s">
        <v>646</v>
      </c>
      <c r="BP1516" t="s">
        <v>74</v>
      </c>
      <c r="BQ1516" t="s">
        <v>74</v>
      </c>
      <c r="BR1516" t="s">
        <v>101</v>
      </c>
      <c r="BS1516" t="s">
        <v>27337</v>
      </c>
      <c r="BT1516" t="str">
        <f>HYPERLINK("https%3A%2F%2Fwww.webofscience.com%2Fwos%2Fwoscc%2Ffull-record%2FWOS:001058542600033","View Full Record in Web of Science")</f>
        <v>View Full Record in Web of Science</v>
      </c>
    </row>
    <row r="1517" spans="1:72" x14ac:dyDescent="0.2">
      <c r="A1517" t="s">
        <v>103</v>
      </c>
      <c r="B1517" t="s">
        <v>27338</v>
      </c>
      <c r="C1517" t="s">
        <v>74</v>
      </c>
      <c r="D1517" t="s">
        <v>74</v>
      </c>
      <c r="E1517" t="s">
        <v>74</v>
      </c>
      <c r="F1517" t="s">
        <v>27339</v>
      </c>
      <c r="G1517" t="s">
        <v>74</v>
      </c>
      <c r="H1517" t="s">
        <v>74</v>
      </c>
      <c r="I1517" t="s">
        <v>27340</v>
      </c>
      <c r="J1517" t="s">
        <v>15381</v>
      </c>
      <c r="K1517" t="s">
        <v>74</v>
      </c>
      <c r="L1517" t="s">
        <v>74</v>
      </c>
      <c r="M1517" t="s">
        <v>79</v>
      </c>
      <c r="N1517" t="s">
        <v>108</v>
      </c>
      <c r="O1517" t="s">
        <v>74</v>
      </c>
      <c r="P1517" t="s">
        <v>74</v>
      </c>
      <c r="Q1517" t="s">
        <v>74</v>
      </c>
      <c r="R1517" t="s">
        <v>74</v>
      </c>
      <c r="S1517" t="s">
        <v>74</v>
      </c>
      <c r="T1517" t="s">
        <v>27341</v>
      </c>
      <c r="U1517" t="s">
        <v>27342</v>
      </c>
      <c r="V1517" t="s">
        <v>27343</v>
      </c>
      <c r="W1517" t="s">
        <v>27344</v>
      </c>
      <c r="X1517" t="s">
        <v>27345</v>
      </c>
      <c r="Y1517" t="s">
        <v>27346</v>
      </c>
      <c r="Z1517" t="s">
        <v>27347</v>
      </c>
      <c r="AA1517" t="s">
        <v>27348</v>
      </c>
      <c r="AB1517" t="s">
        <v>27349</v>
      </c>
      <c r="AC1517" t="s">
        <v>27350</v>
      </c>
      <c r="AD1517" t="s">
        <v>27351</v>
      </c>
      <c r="AE1517" t="s">
        <v>27352</v>
      </c>
      <c r="AF1517" t="s">
        <v>74</v>
      </c>
      <c r="AG1517">
        <v>47</v>
      </c>
      <c r="AH1517">
        <v>1</v>
      </c>
      <c r="AI1517">
        <v>1</v>
      </c>
      <c r="AJ1517">
        <v>22</v>
      </c>
      <c r="AK1517">
        <v>22</v>
      </c>
      <c r="AL1517" t="s">
        <v>1379</v>
      </c>
      <c r="AM1517" t="s">
        <v>1380</v>
      </c>
      <c r="AN1517" t="s">
        <v>1381</v>
      </c>
      <c r="AO1517" t="s">
        <v>15394</v>
      </c>
      <c r="AP1517" t="s">
        <v>15395</v>
      </c>
      <c r="AQ1517" t="s">
        <v>74</v>
      </c>
      <c r="AR1517" t="s">
        <v>15396</v>
      </c>
      <c r="AS1517" t="s">
        <v>15397</v>
      </c>
      <c r="AT1517" t="s">
        <v>12891</v>
      </c>
      <c r="AU1517">
        <v>2023</v>
      </c>
      <c r="AV1517">
        <v>23</v>
      </c>
      <c r="AW1517">
        <v>19</v>
      </c>
      <c r="AX1517" t="s">
        <v>74</v>
      </c>
      <c r="AY1517" t="s">
        <v>74</v>
      </c>
      <c r="AZ1517" t="s">
        <v>74</v>
      </c>
      <c r="BA1517" t="s">
        <v>74</v>
      </c>
      <c r="BB1517">
        <v>23903</v>
      </c>
      <c r="BC1517">
        <v>23915</v>
      </c>
      <c r="BD1517" t="s">
        <v>74</v>
      </c>
      <c r="BE1517" t="s">
        <v>27353</v>
      </c>
      <c r="BF1517" t="str">
        <f>HYPERLINK("http://dx.doi.org/10.1109/JSEN.2023.3308172","http://dx.doi.org/10.1109/JSEN.2023.3308172")</f>
        <v>http://dx.doi.org/10.1109/JSEN.2023.3308172</v>
      </c>
      <c r="BG1517" t="s">
        <v>74</v>
      </c>
      <c r="BH1517" t="s">
        <v>74</v>
      </c>
      <c r="BI1517">
        <v>13</v>
      </c>
      <c r="BJ1517" t="s">
        <v>15400</v>
      </c>
      <c r="BK1517" t="s">
        <v>130</v>
      </c>
      <c r="BL1517" t="s">
        <v>15401</v>
      </c>
      <c r="BM1517" t="s">
        <v>27354</v>
      </c>
      <c r="BN1517" t="s">
        <v>74</v>
      </c>
      <c r="BO1517" t="s">
        <v>74</v>
      </c>
      <c r="BP1517" t="s">
        <v>74</v>
      </c>
      <c r="BQ1517" t="s">
        <v>74</v>
      </c>
      <c r="BR1517" t="s">
        <v>101</v>
      </c>
      <c r="BS1517" t="s">
        <v>27355</v>
      </c>
      <c r="BT1517" t="str">
        <f>HYPERLINK("https%3A%2F%2Fwww.webofscience.com%2Fwos%2Fwoscc%2Ffull-record%2FWOS:001087769200169","View Full Record in Web of Science")</f>
        <v>View Full Record in Web of Science</v>
      </c>
    </row>
    <row r="1518" spans="1:72" x14ac:dyDescent="0.2">
      <c r="A1518" t="s">
        <v>103</v>
      </c>
      <c r="B1518" t="s">
        <v>27356</v>
      </c>
      <c r="C1518" t="s">
        <v>74</v>
      </c>
      <c r="D1518" t="s">
        <v>74</v>
      </c>
      <c r="E1518" t="s">
        <v>74</v>
      </c>
      <c r="F1518" t="s">
        <v>27357</v>
      </c>
      <c r="G1518" t="s">
        <v>74</v>
      </c>
      <c r="H1518" t="s">
        <v>74</v>
      </c>
      <c r="I1518" t="s">
        <v>27358</v>
      </c>
      <c r="J1518" t="s">
        <v>11830</v>
      </c>
      <c r="K1518" t="s">
        <v>74</v>
      </c>
      <c r="L1518" t="s">
        <v>74</v>
      </c>
      <c r="M1518" t="s">
        <v>79</v>
      </c>
      <c r="N1518" t="s">
        <v>108</v>
      </c>
      <c r="O1518" t="s">
        <v>74</v>
      </c>
      <c r="P1518" t="s">
        <v>74</v>
      </c>
      <c r="Q1518" t="s">
        <v>74</v>
      </c>
      <c r="R1518" t="s">
        <v>74</v>
      </c>
      <c r="S1518" t="s">
        <v>74</v>
      </c>
      <c r="T1518" t="s">
        <v>74</v>
      </c>
      <c r="U1518" t="s">
        <v>27359</v>
      </c>
      <c r="V1518" t="s">
        <v>27360</v>
      </c>
      <c r="W1518" t="s">
        <v>27361</v>
      </c>
      <c r="X1518" t="s">
        <v>27362</v>
      </c>
      <c r="Y1518" t="s">
        <v>27363</v>
      </c>
      <c r="Z1518" t="s">
        <v>27364</v>
      </c>
      <c r="AA1518" t="s">
        <v>27365</v>
      </c>
      <c r="AB1518" t="s">
        <v>27366</v>
      </c>
      <c r="AC1518" t="s">
        <v>27367</v>
      </c>
      <c r="AD1518" t="s">
        <v>27368</v>
      </c>
      <c r="AE1518" t="s">
        <v>27369</v>
      </c>
      <c r="AF1518" t="s">
        <v>74</v>
      </c>
      <c r="AG1518">
        <v>64</v>
      </c>
      <c r="AH1518">
        <v>0</v>
      </c>
      <c r="AI1518">
        <v>0</v>
      </c>
      <c r="AJ1518">
        <v>7</v>
      </c>
      <c r="AK1518">
        <v>7</v>
      </c>
      <c r="AL1518" t="s">
        <v>547</v>
      </c>
      <c r="AM1518" t="s">
        <v>548</v>
      </c>
      <c r="AN1518" t="s">
        <v>549</v>
      </c>
      <c r="AO1518" t="s">
        <v>11842</v>
      </c>
      <c r="AP1518" t="s">
        <v>11843</v>
      </c>
      <c r="AQ1518" t="s">
        <v>74</v>
      </c>
      <c r="AR1518" t="s">
        <v>11844</v>
      </c>
      <c r="AS1518" t="s">
        <v>11845</v>
      </c>
      <c r="AT1518" t="s">
        <v>9410</v>
      </c>
      <c r="AU1518">
        <v>2023</v>
      </c>
      <c r="AV1518">
        <v>19</v>
      </c>
      <c r="AW1518">
        <v>22</v>
      </c>
      <c r="AX1518" t="s">
        <v>74</v>
      </c>
      <c r="AY1518" t="s">
        <v>74</v>
      </c>
      <c r="AZ1518" t="s">
        <v>74</v>
      </c>
      <c r="BA1518" t="s">
        <v>74</v>
      </c>
      <c r="BB1518">
        <v>8460</v>
      </c>
      <c r="BC1518">
        <v>8471</v>
      </c>
      <c r="BD1518" t="s">
        <v>74</v>
      </c>
      <c r="BE1518" t="s">
        <v>27370</v>
      </c>
      <c r="BF1518" t="str">
        <f>HYPERLINK("http://dx.doi.org/10.1021/acs.jctc.3c00528","http://dx.doi.org/10.1021/acs.jctc.3c00528")</f>
        <v>http://dx.doi.org/10.1021/acs.jctc.3c00528</v>
      </c>
      <c r="BG1518" t="s">
        <v>74</v>
      </c>
      <c r="BH1518" t="s">
        <v>74</v>
      </c>
      <c r="BI1518">
        <v>12</v>
      </c>
      <c r="BJ1518" t="s">
        <v>11848</v>
      </c>
      <c r="BK1518" t="s">
        <v>130</v>
      </c>
      <c r="BL1518" t="s">
        <v>11849</v>
      </c>
      <c r="BM1518" t="s">
        <v>27371</v>
      </c>
      <c r="BN1518">
        <v>37947474</v>
      </c>
      <c r="BO1518" t="s">
        <v>646</v>
      </c>
      <c r="BP1518" t="s">
        <v>74</v>
      </c>
      <c r="BQ1518" t="s">
        <v>74</v>
      </c>
      <c r="BR1518" t="s">
        <v>101</v>
      </c>
      <c r="BS1518" t="s">
        <v>27372</v>
      </c>
      <c r="BT1518" t="str">
        <f>HYPERLINK("https%3A%2F%2Fwww.webofscience.com%2Fwos%2Fwoscc%2Ffull-record%2FWOS:001110613700001","View Full Record in Web of Science")</f>
        <v>View Full Record in Web of Science</v>
      </c>
    </row>
    <row r="1519" spans="1:72" x14ac:dyDescent="0.2">
      <c r="A1519" t="s">
        <v>72</v>
      </c>
      <c r="B1519" t="s">
        <v>27373</v>
      </c>
      <c r="C1519" t="s">
        <v>74</v>
      </c>
      <c r="D1519" t="s">
        <v>74</v>
      </c>
      <c r="E1519" t="s">
        <v>75</v>
      </c>
      <c r="F1519" t="s">
        <v>27374</v>
      </c>
      <c r="G1519" t="s">
        <v>74</v>
      </c>
      <c r="H1519" t="s">
        <v>74</v>
      </c>
      <c r="I1519" t="s">
        <v>27375</v>
      </c>
      <c r="J1519" t="s">
        <v>24037</v>
      </c>
      <c r="K1519" t="s">
        <v>74</v>
      </c>
      <c r="L1519" t="s">
        <v>74</v>
      </c>
      <c r="M1519" t="s">
        <v>79</v>
      </c>
      <c r="N1519" t="s">
        <v>80</v>
      </c>
      <c r="O1519" t="s">
        <v>24038</v>
      </c>
      <c r="P1519" t="s">
        <v>24039</v>
      </c>
      <c r="Q1519" t="s">
        <v>24040</v>
      </c>
      <c r="R1519" t="s">
        <v>24041</v>
      </c>
      <c r="S1519" t="s">
        <v>24042</v>
      </c>
      <c r="T1519" t="s">
        <v>27376</v>
      </c>
      <c r="U1519" t="s">
        <v>27377</v>
      </c>
      <c r="V1519" t="s">
        <v>27378</v>
      </c>
      <c r="W1519" t="s">
        <v>27379</v>
      </c>
      <c r="X1519" t="s">
        <v>27380</v>
      </c>
      <c r="Y1519" t="s">
        <v>27381</v>
      </c>
      <c r="Z1519" t="s">
        <v>27382</v>
      </c>
      <c r="AA1519" t="s">
        <v>74</v>
      </c>
      <c r="AB1519" t="s">
        <v>74</v>
      </c>
      <c r="AC1519" t="s">
        <v>27383</v>
      </c>
      <c r="AD1519" t="s">
        <v>15672</v>
      </c>
      <c r="AE1519" t="s">
        <v>27384</v>
      </c>
      <c r="AF1519" t="s">
        <v>74</v>
      </c>
      <c r="AG1519">
        <v>28</v>
      </c>
      <c r="AH1519">
        <v>0</v>
      </c>
      <c r="AI1519">
        <v>0</v>
      </c>
      <c r="AJ1519">
        <v>0</v>
      </c>
      <c r="AK1519">
        <v>0</v>
      </c>
      <c r="AL1519" t="s">
        <v>92</v>
      </c>
      <c r="AM1519" t="s">
        <v>93</v>
      </c>
      <c r="AN1519" t="s">
        <v>94</v>
      </c>
      <c r="AO1519" t="s">
        <v>74</v>
      </c>
      <c r="AP1519" t="s">
        <v>74</v>
      </c>
      <c r="AQ1519" t="s">
        <v>24051</v>
      </c>
      <c r="AR1519" t="s">
        <v>74</v>
      </c>
      <c r="AS1519" t="s">
        <v>74</v>
      </c>
      <c r="AT1519" t="s">
        <v>74</v>
      </c>
      <c r="AU1519">
        <v>2023</v>
      </c>
      <c r="AV1519" t="s">
        <v>74</v>
      </c>
      <c r="AW1519" t="s">
        <v>74</v>
      </c>
      <c r="AX1519" t="s">
        <v>74</v>
      </c>
      <c r="AY1519" t="s">
        <v>74</v>
      </c>
      <c r="AZ1519" t="s">
        <v>74</v>
      </c>
      <c r="BA1519" t="s">
        <v>74</v>
      </c>
      <c r="BB1519">
        <v>661</v>
      </c>
      <c r="BC1519">
        <v>669</v>
      </c>
      <c r="BD1519" t="s">
        <v>74</v>
      </c>
      <c r="BE1519" t="s">
        <v>27385</v>
      </c>
      <c r="BF1519" t="str">
        <f>HYPERLINK("http://dx.doi.org/10.1145/3577190.3614119","http://dx.doi.org/10.1145/3577190.3614119")</f>
        <v>http://dx.doi.org/10.1145/3577190.3614119</v>
      </c>
      <c r="BG1519" t="s">
        <v>74</v>
      </c>
      <c r="BH1519" t="s">
        <v>74</v>
      </c>
      <c r="BI1519">
        <v>9</v>
      </c>
      <c r="BJ1519" t="s">
        <v>331</v>
      </c>
      <c r="BK1519" t="s">
        <v>98</v>
      </c>
      <c r="BL1519" t="s">
        <v>99</v>
      </c>
      <c r="BM1519" t="s">
        <v>24053</v>
      </c>
      <c r="BN1519" t="s">
        <v>74</v>
      </c>
      <c r="BO1519" t="s">
        <v>646</v>
      </c>
      <c r="BP1519" t="s">
        <v>74</v>
      </c>
      <c r="BQ1519" t="s">
        <v>74</v>
      </c>
      <c r="BR1519" t="s">
        <v>101</v>
      </c>
      <c r="BS1519" t="s">
        <v>27386</v>
      </c>
      <c r="BT1519" t="str">
        <f>HYPERLINK("https%3A%2F%2Fwww.webofscience.com%2Fwos%2Fwoscc%2Ffull-record%2FWOS:001147764700076","View Full Record in Web of Science")</f>
        <v>View Full Record in Web of Science</v>
      </c>
    </row>
    <row r="1520" spans="1:72" x14ac:dyDescent="0.2">
      <c r="A1520" t="s">
        <v>72</v>
      </c>
      <c r="B1520" t="s">
        <v>27387</v>
      </c>
      <c r="C1520" t="s">
        <v>74</v>
      </c>
      <c r="D1520" t="s">
        <v>74</v>
      </c>
      <c r="E1520" t="s">
        <v>75</v>
      </c>
      <c r="F1520" t="s">
        <v>27388</v>
      </c>
      <c r="G1520" t="s">
        <v>74</v>
      </c>
      <c r="H1520" t="s">
        <v>74</v>
      </c>
      <c r="I1520" t="s">
        <v>27389</v>
      </c>
      <c r="J1520" t="s">
        <v>24037</v>
      </c>
      <c r="K1520" t="s">
        <v>74</v>
      </c>
      <c r="L1520" t="s">
        <v>74</v>
      </c>
      <c r="M1520" t="s">
        <v>79</v>
      </c>
      <c r="N1520" t="s">
        <v>80</v>
      </c>
      <c r="O1520" t="s">
        <v>24038</v>
      </c>
      <c r="P1520" t="s">
        <v>24039</v>
      </c>
      <c r="Q1520" t="s">
        <v>24040</v>
      </c>
      <c r="R1520" t="s">
        <v>24041</v>
      </c>
      <c r="S1520" t="s">
        <v>24042</v>
      </c>
      <c r="T1520" t="s">
        <v>27390</v>
      </c>
      <c r="U1520" t="s">
        <v>74</v>
      </c>
      <c r="V1520" t="s">
        <v>27391</v>
      </c>
      <c r="W1520" t="s">
        <v>27392</v>
      </c>
      <c r="X1520" t="s">
        <v>27393</v>
      </c>
      <c r="Y1520" t="s">
        <v>27394</v>
      </c>
      <c r="Z1520" t="s">
        <v>27395</v>
      </c>
      <c r="AA1520" t="s">
        <v>74</v>
      </c>
      <c r="AB1520" t="s">
        <v>74</v>
      </c>
      <c r="AC1520" t="s">
        <v>74</v>
      </c>
      <c r="AD1520" t="s">
        <v>74</v>
      </c>
      <c r="AE1520" t="s">
        <v>74</v>
      </c>
      <c r="AF1520" t="s">
        <v>74</v>
      </c>
      <c r="AG1520">
        <v>58</v>
      </c>
      <c r="AH1520">
        <v>0</v>
      </c>
      <c r="AI1520">
        <v>0</v>
      </c>
      <c r="AJ1520">
        <v>0</v>
      </c>
      <c r="AK1520">
        <v>0</v>
      </c>
      <c r="AL1520" t="s">
        <v>92</v>
      </c>
      <c r="AM1520" t="s">
        <v>93</v>
      </c>
      <c r="AN1520" t="s">
        <v>94</v>
      </c>
      <c r="AO1520" t="s">
        <v>74</v>
      </c>
      <c r="AP1520" t="s">
        <v>74</v>
      </c>
      <c r="AQ1520" t="s">
        <v>24051</v>
      </c>
      <c r="AR1520" t="s">
        <v>74</v>
      </c>
      <c r="AS1520" t="s">
        <v>74</v>
      </c>
      <c r="AT1520" t="s">
        <v>74</v>
      </c>
      <c r="AU1520">
        <v>2023</v>
      </c>
      <c r="AV1520" t="s">
        <v>74</v>
      </c>
      <c r="AW1520" t="s">
        <v>74</v>
      </c>
      <c r="AX1520" t="s">
        <v>74</v>
      </c>
      <c r="AY1520" t="s">
        <v>74</v>
      </c>
      <c r="AZ1520" t="s">
        <v>74</v>
      </c>
      <c r="BA1520" t="s">
        <v>74</v>
      </c>
      <c r="BB1520">
        <v>60</v>
      </c>
      <c r="BC1520">
        <v>69</v>
      </c>
      <c r="BD1520" t="s">
        <v>74</v>
      </c>
      <c r="BE1520" t="s">
        <v>27396</v>
      </c>
      <c r="BF1520" t="str">
        <f>HYPERLINK("http://dx.doi.org/10.1145/3577190.3614135","http://dx.doi.org/10.1145/3577190.3614135")</f>
        <v>http://dx.doi.org/10.1145/3577190.3614135</v>
      </c>
      <c r="BG1520" t="s">
        <v>74</v>
      </c>
      <c r="BH1520" t="s">
        <v>74</v>
      </c>
      <c r="BI1520">
        <v>10</v>
      </c>
      <c r="BJ1520" t="s">
        <v>331</v>
      </c>
      <c r="BK1520" t="s">
        <v>98</v>
      </c>
      <c r="BL1520" t="s">
        <v>99</v>
      </c>
      <c r="BM1520" t="s">
        <v>24053</v>
      </c>
      <c r="BN1520" t="s">
        <v>74</v>
      </c>
      <c r="BO1520" t="s">
        <v>2568</v>
      </c>
      <c r="BP1520" t="s">
        <v>74</v>
      </c>
      <c r="BQ1520" t="s">
        <v>74</v>
      </c>
      <c r="BR1520" t="s">
        <v>101</v>
      </c>
      <c r="BS1520" t="s">
        <v>27397</v>
      </c>
      <c r="BT1520" t="str">
        <f>HYPERLINK("https%3A%2F%2Fwww.webofscience.com%2Fwos%2Fwoscc%2Ffull-record%2FWOS:001147764700010","View Full Record in Web of Science")</f>
        <v>View Full Record in Web of Science</v>
      </c>
    </row>
    <row r="1521" spans="1:72" x14ac:dyDescent="0.2">
      <c r="A1521" t="s">
        <v>72</v>
      </c>
      <c r="B1521" t="s">
        <v>27398</v>
      </c>
      <c r="C1521" t="s">
        <v>74</v>
      </c>
      <c r="D1521" t="s">
        <v>74</v>
      </c>
      <c r="E1521" t="s">
        <v>284</v>
      </c>
      <c r="F1521" t="s">
        <v>27399</v>
      </c>
      <c r="G1521" t="s">
        <v>74</v>
      </c>
      <c r="H1521" t="s">
        <v>74</v>
      </c>
      <c r="I1521" t="s">
        <v>27400</v>
      </c>
      <c r="J1521" t="s">
        <v>10100</v>
      </c>
      <c r="K1521" t="s">
        <v>8246</v>
      </c>
      <c r="L1521" t="s">
        <v>74</v>
      </c>
      <c r="M1521" t="s">
        <v>79</v>
      </c>
      <c r="N1521" t="s">
        <v>80</v>
      </c>
      <c r="O1521" t="s">
        <v>8247</v>
      </c>
      <c r="P1521" t="s">
        <v>8248</v>
      </c>
      <c r="Q1521" t="s">
        <v>6017</v>
      </c>
      <c r="R1521" t="s">
        <v>8249</v>
      </c>
      <c r="S1521" t="s">
        <v>74</v>
      </c>
      <c r="T1521" t="s">
        <v>74</v>
      </c>
      <c r="U1521" t="s">
        <v>74</v>
      </c>
      <c r="V1521" t="s">
        <v>27401</v>
      </c>
      <c r="W1521" t="s">
        <v>27402</v>
      </c>
      <c r="X1521" t="s">
        <v>27403</v>
      </c>
      <c r="Y1521" t="s">
        <v>27404</v>
      </c>
      <c r="Z1521" t="s">
        <v>74</v>
      </c>
      <c r="AA1521" t="s">
        <v>27405</v>
      </c>
      <c r="AB1521" t="s">
        <v>27406</v>
      </c>
      <c r="AC1521" t="s">
        <v>27407</v>
      </c>
      <c r="AD1521" t="s">
        <v>27408</v>
      </c>
      <c r="AE1521" t="s">
        <v>27409</v>
      </c>
      <c r="AF1521" t="s">
        <v>74</v>
      </c>
      <c r="AG1521">
        <v>55</v>
      </c>
      <c r="AH1521">
        <v>2</v>
      </c>
      <c r="AI1521">
        <v>2</v>
      </c>
      <c r="AJ1521">
        <v>1</v>
      </c>
      <c r="AK1521">
        <v>1</v>
      </c>
      <c r="AL1521" t="s">
        <v>638</v>
      </c>
      <c r="AM1521" t="s">
        <v>639</v>
      </c>
      <c r="AN1521" t="s">
        <v>640</v>
      </c>
      <c r="AO1521" t="s">
        <v>8260</v>
      </c>
      <c r="AP1521" t="s">
        <v>74</v>
      </c>
      <c r="AQ1521" t="s">
        <v>8261</v>
      </c>
      <c r="AR1521" t="s">
        <v>8262</v>
      </c>
      <c r="AS1521" t="s">
        <v>74</v>
      </c>
      <c r="AT1521" t="s">
        <v>74</v>
      </c>
      <c r="AU1521">
        <v>2023</v>
      </c>
      <c r="AV1521" t="s">
        <v>74</v>
      </c>
      <c r="AW1521" t="s">
        <v>74</v>
      </c>
      <c r="AX1521" t="s">
        <v>74</v>
      </c>
      <c r="AY1521" t="s">
        <v>74</v>
      </c>
      <c r="AZ1521" t="s">
        <v>74</v>
      </c>
      <c r="BA1521" t="s">
        <v>74</v>
      </c>
      <c r="BB1521">
        <v>2173</v>
      </c>
      <c r="BC1521">
        <v>2182</v>
      </c>
      <c r="BD1521" t="s">
        <v>74</v>
      </c>
      <c r="BE1521" t="s">
        <v>27410</v>
      </c>
      <c r="BF1521" t="str">
        <f>HYPERLINK("http://dx.doi.org/10.1109/CVPR52729.2023.00216","http://dx.doi.org/10.1109/CVPR52729.2023.00216")</f>
        <v>http://dx.doi.org/10.1109/CVPR52729.2023.00216</v>
      </c>
      <c r="BG1521" t="s">
        <v>74</v>
      </c>
      <c r="BH1521" t="s">
        <v>74</v>
      </c>
      <c r="BI1521">
        <v>10</v>
      </c>
      <c r="BJ1521" t="s">
        <v>10109</v>
      </c>
      <c r="BK1521" t="s">
        <v>98</v>
      </c>
      <c r="BL1521" t="s">
        <v>99</v>
      </c>
      <c r="BM1521" t="s">
        <v>10110</v>
      </c>
      <c r="BN1521" t="s">
        <v>74</v>
      </c>
      <c r="BO1521" t="s">
        <v>646</v>
      </c>
      <c r="BP1521" t="s">
        <v>74</v>
      </c>
      <c r="BQ1521" t="s">
        <v>74</v>
      </c>
      <c r="BR1521" t="s">
        <v>101</v>
      </c>
      <c r="BS1521" t="s">
        <v>27411</v>
      </c>
      <c r="BT1521" t="str">
        <f>HYPERLINK("https%3A%2F%2Fwww.webofscience.com%2Fwos%2Fwoscc%2Ffull-record%2FWOS:001058542602049","View Full Record in Web of Science")</f>
        <v>View Full Record in Web of Science</v>
      </c>
    </row>
    <row r="1522" spans="1:72" x14ac:dyDescent="0.2">
      <c r="A1522" t="s">
        <v>72</v>
      </c>
      <c r="B1522" t="s">
        <v>27412</v>
      </c>
      <c r="C1522" t="s">
        <v>74</v>
      </c>
      <c r="D1522" t="s">
        <v>74</v>
      </c>
      <c r="E1522" t="s">
        <v>75</v>
      </c>
      <c r="F1522" t="s">
        <v>27413</v>
      </c>
      <c r="G1522" t="s">
        <v>74</v>
      </c>
      <c r="H1522" t="s">
        <v>74</v>
      </c>
      <c r="I1522" t="s">
        <v>27414</v>
      </c>
      <c r="J1522" t="s">
        <v>24037</v>
      </c>
      <c r="K1522" t="s">
        <v>74</v>
      </c>
      <c r="L1522" t="s">
        <v>74</v>
      </c>
      <c r="M1522" t="s">
        <v>79</v>
      </c>
      <c r="N1522" t="s">
        <v>80</v>
      </c>
      <c r="O1522" t="s">
        <v>24038</v>
      </c>
      <c r="P1522" t="s">
        <v>24039</v>
      </c>
      <c r="Q1522" t="s">
        <v>24040</v>
      </c>
      <c r="R1522" t="s">
        <v>24041</v>
      </c>
      <c r="S1522" t="s">
        <v>24042</v>
      </c>
      <c r="T1522" t="s">
        <v>27415</v>
      </c>
      <c r="U1522" t="s">
        <v>74</v>
      </c>
      <c r="V1522" t="s">
        <v>27416</v>
      </c>
      <c r="W1522" t="s">
        <v>27417</v>
      </c>
      <c r="X1522" t="s">
        <v>13690</v>
      </c>
      <c r="Y1522" t="s">
        <v>27418</v>
      </c>
      <c r="Z1522" t="s">
        <v>27419</v>
      </c>
      <c r="AA1522" t="s">
        <v>74</v>
      </c>
      <c r="AB1522" t="s">
        <v>74</v>
      </c>
      <c r="AC1522" t="s">
        <v>74</v>
      </c>
      <c r="AD1522" t="s">
        <v>74</v>
      </c>
      <c r="AE1522" t="s">
        <v>74</v>
      </c>
      <c r="AF1522" t="s">
        <v>74</v>
      </c>
      <c r="AG1522">
        <v>22</v>
      </c>
      <c r="AH1522">
        <v>0</v>
      </c>
      <c r="AI1522">
        <v>0</v>
      </c>
      <c r="AJ1522">
        <v>0</v>
      </c>
      <c r="AK1522">
        <v>0</v>
      </c>
      <c r="AL1522" t="s">
        <v>92</v>
      </c>
      <c r="AM1522" t="s">
        <v>93</v>
      </c>
      <c r="AN1522" t="s">
        <v>94</v>
      </c>
      <c r="AO1522" t="s">
        <v>74</v>
      </c>
      <c r="AP1522" t="s">
        <v>74</v>
      </c>
      <c r="AQ1522" t="s">
        <v>24051</v>
      </c>
      <c r="AR1522" t="s">
        <v>74</v>
      </c>
      <c r="AS1522" t="s">
        <v>74</v>
      </c>
      <c r="AT1522" t="s">
        <v>74</v>
      </c>
      <c r="AU1522">
        <v>2023</v>
      </c>
      <c r="AV1522" t="s">
        <v>74</v>
      </c>
      <c r="AW1522" t="s">
        <v>74</v>
      </c>
      <c r="AX1522" t="s">
        <v>74</v>
      </c>
      <c r="AY1522" t="s">
        <v>74</v>
      </c>
      <c r="AZ1522" t="s">
        <v>74</v>
      </c>
      <c r="BA1522" t="s">
        <v>74</v>
      </c>
      <c r="BB1522">
        <v>679</v>
      </c>
      <c r="BC1522">
        <v>683</v>
      </c>
      <c r="BD1522" t="s">
        <v>74</v>
      </c>
      <c r="BE1522" t="s">
        <v>27420</v>
      </c>
      <c r="BF1522" t="str">
        <f>HYPERLINK("http://dx.doi.org/10.1145/3577190.3616123","http://dx.doi.org/10.1145/3577190.3616123")</f>
        <v>http://dx.doi.org/10.1145/3577190.3616123</v>
      </c>
      <c r="BG1522" t="s">
        <v>74</v>
      </c>
      <c r="BH1522" t="s">
        <v>74</v>
      </c>
      <c r="BI1522">
        <v>5</v>
      </c>
      <c r="BJ1522" t="s">
        <v>331</v>
      </c>
      <c r="BK1522" t="s">
        <v>98</v>
      </c>
      <c r="BL1522" t="s">
        <v>99</v>
      </c>
      <c r="BM1522" t="s">
        <v>24053</v>
      </c>
      <c r="BN1522" t="s">
        <v>74</v>
      </c>
      <c r="BO1522" t="s">
        <v>161</v>
      </c>
      <c r="BP1522" t="s">
        <v>74</v>
      </c>
      <c r="BQ1522" t="s">
        <v>74</v>
      </c>
      <c r="BR1522" t="s">
        <v>101</v>
      </c>
      <c r="BS1522" t="s">
        <v>27421</v>
      </c>
      <c r="BT1522" t="str">
        <f>HYPERLINK("https%3A%2F%2Fwww.webofscience.com%2Fwos%2Fwoscc%2Ffull-record%2FWOS:001147764700078","View Full Record in Web of Science")</f>
        <v>View Full Record in Web of Science</v>
      </c>
    </row>
    <row r="1523" spans="1:72" x14ac:dyDescent="0.2">
      <c r="A1523" t="s">
        <v>72</v>
      </c>
      <c r="B1523" t="s">
        <v>27422</v>
      </c>
      <c r="C1523" t="s">
        <v>74</v>
      </c>
      <c r="D1523" t="s">
        <v>6011</v>
      </c>
      <c r="E1523" t="s">
        <v>74</v>
      </c>
      <c r="F1523" t="s">
        <v>27423</v>
      </c>
      <c r="G1523" t="s">
        <v>74</v>
      </c>
      <c r="H1523" t="s">
        <v>74</v>
      </c>
      <c r="I1523" t="s">
        <v>27424</v>
      </c>
      <c r="J1523" t="s">
        <v>16815</v>
      </c>
      <c r="K1523" t="s">
        <v>312</v>
      </c>
      <c r="L1523" t="s">
        <v>74</v>
      </c>
      <c r="M1523" t="s">
        <v>79</v>
      </c>
      <c r="N1523" t="s">
        <v>80</v>
      </c>
      <c r="O1523" t="s">
        <v>6015</v>
      </c>
      <c r="P1523" t="s">
        <v>6016</v>
      </c>
      <c r="Q1523" t="s">
        <v>6017</v>
      </c>
      <c r="R1523" t="s">
        <v>74</v>
      </c>
      <c r="S1523" t="s">
        <v>74</v>
      </c>
      <c r="T1523" t="s">
        <v>27425</v>
      </c>
      <c r="U1523" t="s">
        <v>74</v>
      </c>
      <c r="V1523" t="s">
        <v>27426</v>
      </c>
      <c r="W1523" t="s">
        <v>27427</v>
      </c>
      <c r="X1523" t="s">
        <v>27428</v>
      </c>
      <c r="Y1523" t="s">
        <v>27429</v>
      </c>
      <c r="Z1523" t="s">
        <v>27430</v>
      </c>
      <c r="AA1523" t="s">
        <v>27431</v>
      </c>
      <c r="AB1523" t="s">
        <v>27432</v>
      </c>
      <c r="AC1523" t="s">
        <v>27433</v>
      </c>
      <c r="AD1523" t="s">
        <v>27434</v>
      </c>
      <c r="AE1523" t="s">
        <v>27435</v>
      </c>
      <c r="AF1523" t="s">
        <v>74</v>
      </c>
      <c r="AG1523">
        <v>23</v>
      </c>
      <c r="AH1523">
        <v>0</v>
      </c>
      <c r="AI1523">
        <v>0</v>
      </c>
      <c r="AJ1523">
        <v>2</v>
      </c>
      <c r="AK1523">
        <v>2</v>
      </c>
      <c r="AL1523" t="s">
        <v>325</v>
      </c>
      <c r="AM1523" t="s">
        <v>245</v>
      </c>
      <c r="AN1523" t="s">
        <v>246</v>
      </c>
      <c r="AO1523" t="s">
        <v>326</v>
      </c>
      <c r="AP1523" t="s">
        <v>327</v>
      </c>
      <c r="AQ1523" t="s">
        <v>16826</v>
      </c>
      <c r="AR1523" t="s">
        <v>329</v>
      </c>
      <c r="AS1523" t="s">
        <v>74</v>
      </c>
      <c r="AT1523" t="s">
        <v>74</v>
      </c>
      <c r="AU1523">
        <v>2023</v>
      </c>
      <c r="AV1523">
        <v>14229</v>
      </c>
      <c r="AW1523" t="s">
        <v>74</v>
      </c>
      <c r="AX1523" t="s">
        <v>74</v>
      </c>
      <c r="AY1523" t="s">
        <v>74</v>
      </c>
      <c r="AZ1523" t="s">
        <v>74</v>
      </c>
      <c r="BA1523" t="s">
        <v>74</v>
      </c>
      <c r="BB1523">
        <v>3</v>
      </c>
      <c r="BC1523">
        <v>12</v>
      </c>
      <c r="BD1523" t="s">
        <v>74</v>
      </c>
      <c r="BE1523" t="s">
        <v>27436</v>
      </c>
      <c r="BF1523" t="str">
        <f>HYPERLINK("http://dx.doi.org/10.1007/978-3-031-43999-5_1","http://dx.doi.org/10.1007/978-3-031-43999-5_1")</f>
        <v>http://dx.doi.org/10.1007/978-3-031-43999-5_1</v>
      </c>
      <c r="BG1523" t="s">
        <v>74</v>
      </c>
      <c r="BH1523" t="s">
        <v>74</v>
      </c>
      <c r="BI1523">
        <v>10</v>
      </c>
      <c r="BJ1523" t="s">
        <v>6029</v>
      </c>
      <c r="BK1523" t="s">
        <v>98</v>
      </c>
      <c r="BL1523" t="s">
        <v>6030</v>
      </c>
      <c r="BM1523" t="s">
        <v>16828</v>
      </c>
      <c r="BN1523" t="s">
        <v>74</v>
      </c>
      <c r="BO1523" t="s">
        <v>646</v>
      </c>
      <c r="BP1523" t="s">
        <v>74</v>
      </c>
      <c r="BQ1523" t="s">
        <v>74</v>
      </c>
      <c r="BR1523" t="s">
        <v>101</v>
      </c>
      <c r="BS1523" t="s">
        <v>27437</v>
      </c>
      <c r="BT1523" t="str">
        <f>HYPERLINK("https%3A%2F%2Fwww.webofscience.com%2Fwos%2Fwoscc%2Ffull-record%2FWOS:001109641000001","View Full Record in Web of Science")</f>
        <v>View Full Record in Web of Science</v>
      </c>
    </row>
    <row r="1524" spans="1:72" x14ac:dyDescent="0.2">
      <c r="A1524" t="s">
        <v>103</v>
      </c>
      <c r="B1524" t="s">
        <v>27438</v>
      </c>
      <c r="C1524" t="s">
        <v>74</v>
      </c>
      <c r="D1524" t="s">
        <v>74</v>
      </c>
      <c r="E1524" t="s">
        <v>74</v>
      </c>
      <c r="F1524" t="s">
        <v>27439</v>
      </c>
      <c r="G1524" t="s">
        <v>74</v>
      </c>
      <c r="H1524" t="s">
        <v>74</v>
      </c>
      <c r="I1524" t="s">
        <v>27440</v>
      </c>
      <c r="J1524" t="s">
        <v>27441</v>
      </c>
      <c r="K1524" t="s">
        <v>74</v>
      </c>
      <c r="L1524" t="s">
        <v>74</v>
      </c>
      <c r="M1524" t="s">
        <v>79</v>
      </c>
      <c r="N1524" t="s">
        <v>108</v>
      </c>
      <c r="O1524" t="s">
        <v>74</v>
      </c>
      <c r="P1524" t="s">
        <v>74</v>
      </c>
      <c r="Q1524" t="s">
        <v>74</v>
      </c>
      <c r="R1524" t="s">
        <v>74</v>
      </c>
      <c r="S1524" t="s">
        <v>74</v>
      </c>
      <c r="T1524" t="s">
        <v>27442</v>
      </c>
      <c r="U1524" t="s">
        <v>27443</v>
      </c>
      <c r="V1524" t="s">
        <v>27444</v>
      </c>
      <c r="W1524" t="s">
        <v>27445</v>
      </c>
      <c r="X1524" t="s">
        <v>27446</v>
      </c>
      <c r="Y1524" t="s">
        <v>27447</v>
      </c>
      <c r="Z1524" t="s">
        <v>27448</v>
      </c>
      <c r="AA1524" t="s">
        <v>74</v>
      </c>
      <c r="AB1524" t="s">
        <v>27449</v>
      </c>
      <c r="AC1524" t="s">
        <v>27450</v>
      </c>
      <c r="AD1524" t="s">
        <v>27451</v>
      </c>
      <c r="AE1524" t="s">
        <v>27452</v>
      </c>
      <c r="AF1524" t="s">
        <v>74</v>
      </c>
      <c r="AG1524">
        <v>87</v>
      </c>
      <c r="AH1524">
        <v>0</v>
      </c>
      <c r="AI1524">
        <v>0</v>
      </c>
      <c r="AJ1524">
        <v>0</v>
      </c>
      <c r="AK1524">
        <v>5</v>
      </c>
      <c r="AL1524" t="s">
        <v>1379</v>
      </c>
      <c r="AM1524" t="s">
        <v>1380</v>
      </c>
      <c r="AN1524" t="s">
        <v>1381</v>
      </c>
      <c r="AO1524" t="s">
        <v>27453</v>
      </c>
      <c r="AP1524" t="s">
        <v>27454</v>
      </c>
      <c r="AQ1524" t="s">
        <v>74</v>
      </c>
      <c r="AR1524" t="s">
        <v>27455</v>
      </c>
      <c r="AS1524" t="s">
        <v>27456</v>
      </c>
      <c r="AT1524" t="s">
        <v>74</v>
      </c>
      <c r="AU1524">
        <v>2023</v>
      </c>
      <c r="AV1524">
        <v>16</v>
      </c>
      <c r="AW1524" t="s">
        <v>74</v>
      </c>
      <c r="AX1524" t="s">
        <v>74</v>
      </c>
      <c r="AY1524" t="s">
        <v>74</v>
      </c>
      <c r="AZ1524" t="s">
        <v>74</v>
      </c>
      <c r="BA1524" t="s">
        <v>74</v>
      </c>
      <c r="BB1524">
        <v>356</v>
      </c>
      <c r="BC1524">
        <v>368</v>
      </c>
      <c r="BD1524" t="s">
        <v>74</v>
      </c>
      <c r="BE1524" t="s">
        <v>27457</v>
      </c>
      <c r="BF1524" t="str">
        <f>HYPERLINK("http://dx.doi.org/10.1109/JSTARS.2022.3224911","http://dx.doi.org/10.1109/JSTARS.2022.3224911")</f>
        <v>http://dx.doi.org/10.1109/JSTARS.2022.3224911</v>
      </c>
      <c r="BG1524" t="s">
        <v>74</v>
      </c>
      <c r="BH1524" t="s">
        <v>74</v>
      </c>
      <c r="BI1524">
        <v>13</v>
      </c>
      <c r="BJ1524" t="s">
        <v>27458</v>
      </c>
      <c r="BK1524" t="s">
        <v>130</v>
      </c>
      <c r="BL1524" t="s">
        <v>27459</v>
      </c>
      <c r="BM1524" t="s">
        <v>27460</v>
      </c>
      <c r="BN1524" t="s">
        <v>74</v>
      </c>
      <c r="BO1524" t="s">
        <v>425</v>
      </c>
      <c r="BP1524" t="s">
        <v>74</v>
      </c>
      <c r="BQ1524" t="s">
        <v>74</v>
      </c>
      <c r="BR1524" t="s">
        <v>101</v>
      </c>
      <c r="BS1524" t="s">
        <v>27461</v>
      </c>
      <c r="BT1524" t="str">
        <f>HYPERLINK("https%3A%2F%2Fwww.webofscience.com%2Fwos%2Fwoscc%2Ffull-record%2FWOS:000900007800004","View Full Record in Web of Science")</f>
        <v>View Full Record in Web of Science</v>
      </c>
    </row>
    <row r="1525" spans="1:72" x14ac:dyDescent="0.2">
      <c r="A1525" t="s">
        <v>103</v>
      </c>
      <c r="B1525" t="s">
        <v>27462</v>
      </c>
      <c r="C1525" t="s">
        <v>74</v>
      </c>
      <c r="D1525" t="s">
        <v>74</v>
      </c>
      <c r="E1525" t="s">
        <v>74</v>
      </c>
      <c r="F1525" t="s">
        <v>27463</v>
      </c>
      <c r="G1525" t="s">
        <v>74</v>
      </c>
      <c r="H1525" t="s">
        <v>74</v>
      </c>
      <c r="I1525" t="s">
        <v>27464</v>
      </c>
      <c r="J1525" t="s">
        <v>27465</v>
      </c>
      <c r="K1525" t="s">
        <v>74</v>
      </c>
      <c r="L1525" t="s">
        <v>74</v>
      </c>
      <c r="M1525" t="s">
        <v>79</v>
      </c>
      <c r="N1525" t="s">
        <v>108</v>
      </c>
      <c r="O1525" t="s">
        <v>74</v>
      </c>
      <c r="P1525" t="s">
        <v>74</v>
      </c>
      <c r="Q1525" t="s">
        <v>74</v>
      </c>
      <c r="R1525" t="s">
        <v>74</v>
      </c>
      <c r="S1525" t="s">
        <v>74</v>
      </c>
      <c r="T1525" t="s">
        <v>27466</v>
      </c>
      <c r="U1525" t="s">
        <v>27467</v>
      </c>
      <c r="V1525" t="s">
        <v>27468</v>
      </c>
      <c r="W1525" t="s">
        <v>27469</v>
      </c>
      <c r="X1525" t="s">
        <v>74</v>
      </c>
      <c r="Y1525" t="s">
        <v>27470</v>
      </c>
      <c r="Z1525" t="s">
        <v>27471</v>
      </c>
      <c r="AA1525" t="s">
        <v>74</v>
      </c>
      <c r="AB1525" t="s">
        <v>74</v>
      </c>
      <c r="AC1525" t="s">
        <v>27472</v>
      </c>
      <c r="AD1525" t="s">
        <v>27472</v>
      </c>
      <c r="AE1525" t="s">
        <v>27473</v>
      </c>
      <c r="AF1525" t="s">
        <v>74</v>
      </c>
      <c r="AG1525">
        <v>120</v>
      </c>
      <c r="AH1525">
        <v>0</v>
      </c>
      <c r="AI1525">
        <v>0</v>
      </c>
      <c r="AJ1525">
        <v>0</v>
      </c>
      <c r="AK1525">
        <v>0</v>
      </c>
      <c r="AL1525" t="s">
        <v>764</v>
      </c>
      <c r="AM1525" t="s">
        <v>765</v>
      </c>
      <c r="AN1525" t="s">
        <v>766</v>
      </c>
      <c r="AO1525" t="s">
        <v>74</v>
      </c>
      <c r="AP1525" t="s">
        <v>27474</v>
      </c>
      <c r="AQ1525" t="s">
        <v>74</v>
      </c>
      <c r="AR1525" t="s">
        <v>27475</v>
      </c>
      <c r="AS1525" t="s">
        <v>27476</v>
      </c>
      <c r="AT1525" t="s">
        <v>2016</v>
      </c>
      <c r="AU1525">
        <v>2024</v>
      </c>
      <c r="AV1525">
        <v>37</v>
      </c>
      <c r="AW1525" t="s">
        <v>74</v>
      </c>
      <c r="AX1525" t="s">
        <v>74</v>
      </c>
      <c r="AY1525" t="s">
        <v>74</v>
      </c>
      <c r="AZ1525" t="s">
        <v>74</v>
      </c>
      <c r="BA1525" t="s">
        <v>74</v>
      </c>
      <c r="BB1525" t="s">
        <v>74</v>
      </c>
      <c r="BC1525" t="s">
        <v>74</v>
      </c>
      <c r="BD1525">
        <v>102556</v>
      </c>
      <c r="BE1525" t="s">
        <v>27477</v>
      </c>
      <c r="BF1525" t="str">
        <f>HYPERLINK("http://dx.doi.org/10.1016/j.pmedr.2023.102556","http://dx.doi.org/10.1016/j.pmedr.2023.102556")</f>
        <v>http://dx.doi.org/10.1016/j.pmedr.2023.102556</v>
      </c>
      <c r="BG1525" t="s">
        <v>74</v>
      </c>
      <c r="BH1525" t="s">
        <v>128</v>
      </c>
      <c r="BI1525">
        <v>17</v>
      </c>
      <c r="BJ1525" t="s">
        <v>10919</v>
      </c>
      <c r="BK1525" t="s">
        <v>130</v>
      </c>
      <c r="BL1525" t="s">
        <v>10919</v>
      </c>
      <c r="BM1525" t="s">
        <v>27478</v>
      </c>
      <c r="BN1525">
        <v>38186660</v>
      </c>
      <c r="BO1525" t="s">
        <v>74</v>
      </c>
      <c r="BP1525" t="s">
        <v>74</v>
      </c>
      <c r="BQ1525" t="s">
        <v>74</v>
      </c>
      <c r="BR1525" t="s">
        <v>101</v>
      </c>
      <c r="BS1525" t="s">
        <v>27479</v>
      </c>
      <c r="BT1525" t="str">
        <f>HYPERLINK("https%3A%2F%2Fwww.webofscience.com%2Fwos%2Fwoscc%2Ffull-record%2FWOS:001144460700001","View Full Record in Web of Science")</f>
        <v>View Full Record in Web of Science</v>
      </c>
    </row>
    <row r="1526" spans="1:72" x14ac:dyDescent="0.2">
      <c r="A1526" t="s">
        <v>103</v>
      </c>
      <c r="B1526" t="s">
        <v>27480</v>
      </c>
      <c r="C1526" t="s">
        <v>74</v>
      </c>
      <c r="D1526" t="s">
        <v>74</v>
      </c>
      <c r="E1526" t="s">
        <v>74</v>
      </c>
      <c r="F1526" t="s">
        <v>27481</v>
      </c>
      <c r="G1526" t="s">
        <v>74</v>
      </c>
      <c r="H1526" t="s">
        <v>74</v>
      </c>
      <c r="I1526" t="s">
        <v>27482</v>
      </c>
      <c r="J1526" t="s">
        <v>21131</v>
      </c>
      <c r="K1526" t="s">
        <v>74</v>
      </c>
      <c r="L1526" t="s">
        <v>74</v>
      </c>
      <c r="M1526" t="s">
        <v>79</v>
      </c>
      <c r="N1526" t="s">
        <v>108</v>
      </c>
      <c r="O1526" t="s">
        <v>74</v>
      </c>
      <c r="P1526" t="s">
        <v>74</v>
      </c>
      <c r="Q1526" t="s">
        <v>74</v>
      </c>
      <c r="R1526" t="s">
        <v>74</v>
      </c>
      <c r="S1526" t="s">
        <v>74</v>
      </c>
      <c r="T1526" t="s">
        <v>74</v>
      </c>
      <c r="U1526" t="s">
        <v>27483</v>
      </c>
      <c r="V1526" t="s">
        <v>27484</v>
      </c>
      <c r="W1526" t="s">
        <v>27485</v>
      </c>
      <c r="X1526" t="s">
        <v>27486</v>
      </c>
      <c r="Y1526" t="s">
        <v>27487</v>
      </c>
      <c r="Z1526" t="s">
        <v>27488</v>
      </c>
      <c r="AA1526" t="s">
        <v>74</v>
      </c>
      <c r="AB1526" t="s">
        <v>27489</v>
      </c>
      <c r="AC1526" t="s">
        <v>27490</v>
      </c>
      <c r="AD1526" t="s">
        <v>27491</v>
      </c>
      <c r="AE1526" t="s">
        <v>27492</v>
      </c>
      <c r="AF1526" t="s">
        <v>74</v>
      </c>
      <c r="AG1526">
        <v>51</v>
      </c>
      <c r="AH1526">
        <v>4</v>
      </c>
      <c r="AI1526">
        <v>4</v>
      </c>
      <c r="AJ1526">
        <v>8</v>
      </c>
      <c r="AK1526">
        <v>16</v>
      </c>
      <c r="AL1526" t="s">
        <v>3980</v>
      </c>
      <c r="AM1526" t="s">
        <v>1153</v>
      </c>
      <c r="AN1526" t="s">
        <v>3981</v>
      </c>
      <c r="AO1526" t="s">
        <v>21141</v>
      </c>
      <c r="AP1526" t="s">
        <v>21142</v>
      </c>
      <c r="AQ1526" t="s">
        <v>74</v>
      </c>
      <c r="AR1526" t="s">
        <v>21143</v>
      </c>
      <c r="AS1526" t="s">
        <v>21144</v>
      </c>
      <c r="AT1526" t="s">
        <v>27493</v>
      </c>
      <c r="AU1526">
        <v>2023</v>
      </c>
      <c r="AV1526">
        <v>14</v>
      </c>
      <c r="AW1526">
        <v>12</v>
      </c>
      <c r="AX1526" t="s">
        <v>74</v>
      </c>
      <c r="AY1526" t="s">
        <v>74</v>
      </c>
      <c r="AZ1526" t="s">
        <v>74</v>
      </c>
      <c r="BA1526" t="s">
        <v>74</v>
      </c>
      <c r="BB1526">
        <v>3235</v>
      </c>
      <c r="BC1526">
        <v>3246</v>
      </c>
      <c r="BD1526" t="s">
        <v>74</v>
      </c>
      <c r="BE1526" t="s">
        <v>27494</v>
      </c>
      <c r="BF1526" t="str">
        <f>HYPERLINK("http://dx.doi.org/10.1039/d2sc06798f","http://dx.doi.org/10.1039/d2sc06798f")</f>
        <v>http://dx.doi.org/10.1039/d2sc06798f</v>
      </c>
      <c r="BG1526" t="s">
        <v>74</v>
      </c>
      <c r="BH1526" t="s">
        <v>1431</v>
      </c>
      <c r="BI1526">
        <v>12</v>
      </c>
      <c r="BJ1526" t="s">
        <v>11005</v>
      </c>
      <c r="BK1526" t="s">
        <v>130</v>
      </c>
      <c r="BL1526" t="s">
        <v>11006</v>
      </c>
      <c r="BM1526" t="s">
        <v>27495</v>
      </c>
      <c r="BN1526">
        <v>36970100</v>
      </c>
      <c r="BO1526" t="s">
        <v>4185</v>
      </c>
      <c r="BP1526" t="s">
        <v>74</v>
      </c>
      <c r="BQ1526" t="s">
        <v>74</v>
      </c>
      <c r="BR1526" t="s">
        <v>101</v>
      </c>
      <c r="BS1526" t="s">
        <v>27496</v>
      </c>
      <c r="BT1526" t="str">
        <f>HYPERLINK("https%3A%2F%2Fwww.webofscience.com%2Fwos%2Fwoscc%2Ffull-record%2FWOS:000940741300001","View Full Record in Web of Science")</f>
        <v>View Full Record in Web of Science</v>
      </c>
    </row>
    <row r="1527" spans="1:72" x14ac:dyDescent="0.2">
      <c r="A1527" t="s">
        <v>72</v>
      </c>
      <c r="B1527" t="s">
        <v>27497</v>
      </c>
      <c r="C1527" t="s">
        <v>74</v>
      </c>
      <c r="D1527" t="s">
        <v>74</v>
      </c>
      <c r="E1527" t="s">
        <v>75</v>
      </c>
      <c r="F1527" t="s">
        <v>27498</v>
      </c>
      <c r="G1527" t="s">
        <v>74</v>
      </c>
      <c r="H1527" t="s">
        <v>74</v>
      </c>
      <c r="I1527" t="s">
        <v>27499</v>
      </c>
      <c r="J1527" t="s">
        <v>11855</v>
      </c>
      <c r="K1527" t="s">
        <v>74</v>
      </c>
      <c r="L1527" t="s">
        <v>74</v>
      </c>
      <c r="M1527" t="s">
        <v>79</v>
      </c>
      <c r="N1527" t="s">
        <v>80</v>
      </c>
      <c r="O1527" t="s">
        <v>11856</v>
      </c>
      <c r="P1527" t="s">
        <v>11857</v>
      </c>
      <c r="Q1527" t="s">
        <v>11858</v>
      </c>
      <c r="R1527" t="s">
        <v>11859</v>
      </c>
      <c r="S1527" t="s">
        <v>74</v>
      </c>
      <c r="T1527" t="s">
        <v>27500</v>
      </c>
      <c r="U1527" t="s">
        <v>74</v>
      </c>
      <c r="V1527" t="s">
        <v>27501</v>
      </c>
      <c r="W1527" t="s">
        <v>27502</v>
      </c>
      <c r="X1527" t="s">
        <v>27503</v>
      </c>
      <c r="Y1527" t="s">
        <v>27504</v>
      </c>
      <c r="Z1527" t="s">
        <v>27505</v>
      </c>
      <c r="AA1527" t="s">
        <v>74</v>
      </c>
      <c r="AB1527" t="s">
        <v>27506</v>
      </c>
      <c r="AC1527" t="s">
        <v>27507</v>
      </c>
      <c r="AD1527" t="s">
        <v>27508</v>
      </c>
      <c r="AE1527" t="s">
        <v>27509</v>
      </c>
      <c r="AF1527" t="s">
        <v>74</v>
      </c>
      <c r="AG1527">
        <v>43</v>
      </c>
      <c r="AH1527">
        <v>0</v>
      </c>
      <c r="AI1527">
        <v>0</v>
      </c>
      <c r="AJ1527">
        <v>2</v>
      </c>
      <c r="AK1527">
        <v>2</v>
      </c>
      <c r="AL1527" t="s">
        <v>92</v>
      </c>
      <c r="AM1527" t="s">
        <v>93</v>
      </c>
      <c r="AN1527" t="s">
        <v>94</v>
      </c>
      <c r="AO1527" t="s">
        <v>74</v>
      </c>
      <c r="AP1527" t="s">
        <v>74</v>
      </c>
      <c r="AQ1527" t="s">
        <v>11869</v>
      </c>
      <c r="AR1527" t="s">
        <v>74</v>
      </c>
      <c r="AS1527" t="s">
        <v>74</v>
      </c>
      <c r="AT1527" t="s">
        <v>74</v>
      </c>
      <c r="AU1527">
        <v>2023</v>
      </c>
      <c r="AV1527" t="s">
        <v>74</v>
      </c>
      <c r="AW1527" t="s">
        <v>74</v>
      </c>
      <c r="AX1527" t="s">
        <v>74</v>
      </c>
      <c r="AY1527" t="s">
        <v>74</v>
      </c>
      <c r="AZ1527" t="s">
        <v>74</v>
      </c>
      <c r="BA1527" t="s">
        <v>74</v>
      </c>
      <c r="BB1527">
        <v>272</v>
      </c>
      <c r="BC1527">
        <v>281</v>
      </c>
      <c r="BD1527" t="s">
        <v>74</v>
      </c>
      <c r="BE1527" t="s">
        <v>27510</v>
      </c>
      <c r="BF1527" t="str">
        <f>HYPERLINK("http://dx.doi.org/10.1145/3624918.3625331","http://dx.doi.org/10.1145/3624918.3625331")</f>
        <v>http://dx.doi.org/10.1145/3624918.3625331</v>
      </c>
      <c r="BG1527" t="s">
        <v>74</v>
      </c>
      <c r="BH1527" t="s">
        <v>74</v>
      </c>
      <c r="BI1527">
        <v>10</v>
      </c>
      <c r="BJ1527" t="s">
        <v>9511</v>
      </c>
      <c r="BK1527" t="s">
        <v>98</v>
      </c>
      <c r="BL1527" t="s">
        <v>99</v>
      </c>
      <c r="BM1527" t="s">
        <v>11871</v>
      </c>
      <c r="BN1527" t="s">
        <v>74</v>
      </c>
      <c r="BO1527" t="s">
        <v>1237</v>
      </c>
      <c r="BP1527" t="s">
        <v>74</v>
      </c>
      <c r="BQ1527" t="s">
        <v>74</v>
      </c>
      <c r="BR1527" t="s">
        <v>101</v>
      </c>
      <c r="BS1527" t="s">
        <v>27511</v>
      </c>
      <c r="BT1527" t="str">
        <f>HYPERLINK("https%3A%2F%2Fwww.webofscience.com%2Fwos%2Fwoscc%2Ffull-record%2FWOS:001122582700030","View Full Record in Web of Science")</f>
        <v>View Full Record in Web of Science</v>
      </c>
    </row>
    <row r="1528" spans="1:72" x14ac:dyDescent="0.2">
      <c r="A1528" t="s">
        <v>72</v>
      </c>
      <c r="B1528" t="s">
        <v>27512</v>
      </c>
      <c r="C1528" t="s">
        <v>74</v>
      </c>
      <c r="D1528" t="s">
        <v>8562</v>
      </c>
      <c r="E1528" t="s">
        <v>74</v>
      </c>
      <c r="F1528" t="s">
        <v>27513</v>
      </c>
      <c r="G1528" t="s">
        <v>74</v>
      </c>
      <c r="H1528" t="s">
        <v>74</v>
      </c>
      <c r="I1528" t="s">
        <v>27514</v>
      </c>
      <c r="J1528" t="s">
        <v>16322</v>
      </c>
      <c r="K1528" t="s">
        <v>1034</v>
      </c>
      <c r="L1528" t="s">
        <v>74</v>
      </c>
      <c r="M1528" t="s">
        <v>79</v>
      </c>
      <c r="N1528" t="s">
        <v>80</v>
      </c>
      <c r="O1528" t="s">
        <v>8566</v>
      </c>
      <c r="P1528" t="s">
        <v>8567</v>
      </c>
      <c r="Q1528" t="s">
        <v>8568</v>
      </c>
      <c r="R1528" t="s">
        <v>8569</v>
      </c>
      <c r="S1528" t="s">
        <v>74</v>
      </c>
      <c r="T1528" t="s">
        <v>27515</v>
      </c>
      <c r="U1528" t="s">
        <v>74</v>
      </c>
      <c r="V1528" t="s">
        <v>27516</v>
      </c>
      <c r="W1528" t="s">
        <v>27517</v>
      </c>
      <c r="X1528" t="s">
        <v>27518</v>
      </c>
      <c r="Y1528" t="s">
        <v>27519</v>
      </c>
      <c r="Z1528" t="s">
        <v>27520</v>
      </c>
      <c r="AA1528" t="s">
        <v>27521</v>
      </c>
      <c r="AB1528" t="s">
        <v>27522</v>
      </c>
      <c r="AC1528" t="s">
        <v>27523</v>
      </c>
      <c r="AD1528" t="s">
        <v>27524</v>
      </c>
      <c r="AE1528" t="s">
        <v>27525</v>
      </c>
      <c r="AF1528" t="s">
        <v>74</v>
      </c>
      <c r="AG1528">
        <v>38</v>
      </c>
      <c r="AH1528">
        <v>0</v>
      </c>
      <c r="AI1528">
        <v>0</v>
      </c>
      <c r="AJ1528">
        <v>3</v>
      </c>
      <c r="AK1528">
        <v>4</v>
      </c>
      <c r="AL1528" t="s">
        <v>325</v>
      </c>
      <c r="AM1528" t="s">
        <v>245</v>
      </c>
      <c r="AN1528" t="s">
        <v>246</v>
      </c>
      <c r="AO1528" t="s">
        <v>1042</v>
      </c>
      <c r="AP1528" t="s">
        <v>327</v>
      </c>
      <c r="AQ1528" t="s">
        <v>16331</v>
      </c>
      <c r="AR1528" t="s">
        <v>1044</v>
      </c>
      <c r="AS1528" t="s">
        <v>74</v>
      </c>
      <c r="AT1528" t="s">
        <v>74</v>
      </c>
      <c r="AU1528">
        <v>2023</v>
      </c>
      <c r="AV1528">
        <v>13717</v>
      </c>
      <c r="AW1528" t="s">
        <v>74</v>
      </c>
      <c r="AX1528" t="s">
        <v>74</v>
      </c>
      <c r="AY1528" t="s">
        <v>74</v>
      </c>
      <c r="AZ1528" t="s">
        <v>74</v>
      </c>
      <c r="BA1528" t="s">
        <v>74</v>
      </c>
      <c r="BB1528">
        <v>291</v>
      </c>
      <c r="BC1528">
        <v>307</v>
      </c>
      <c r="BD1528" t="s">
        <v>74</v>
      </c>
      <c r="BE1528" t="s">
        <v>27526</v>
      </c>
      <c r="BF1528" t="str">
        <f>HYPERLINK("http://dx.doi.org/10.1007/978-3-031-26419-1_18","http://dx.doi.org/10.1007/978-3-031-26419-1_18")</f>
        <v>http://dx.doi.org/10.1007/978-3-031-26419-1_18</v>
      </c>
      <c r="BG1528" t="s">
        <v>74</v>
      </c>
      <c r="BH1528" t="s">
        <v>74</v>
      </c>
      <c r="BI1528">
        <v>17</v>
      </c>
      <c r="BJ1528" t="s">
        <v>331</v>
      </c>
      <c r="BK1528" t="s">
        <v>98</v>
      </c>
      <c r="BL1528" t="s">
        <v>99</v>
      </c>
      <c r="BM1528" t="s">
        <v>16333</v>
      </c>
      <c r="BN1528" t="s">
        <v>74</v>
      </c>
      <c r="BO1528" t="s">
        <v>646</v>
      </c>
      <c r="BP1528" t="s">
        <v>74</v>
      </c>
      <c r="BQ1528" t="s">
        <v>74</v>
      </c>
      <c r="BR1528" t="s">
        <v>101</v>
      </c>
      <c r="BS1528" t="s">
        <v>27527</v>
      </c>
      <c r="BT1528" t="str">
        <f>HYPERLINK("https%3A%2F%2Fwww.webofscience.com%2Fwos%2Fwoscc%2Ffull-record%2FWOS:000999148200018","View Full Record in Web of Science")</f>
        <v>View Full Record in Web of Science</v>
      </c>
    </row>
    <row r="1529" spans="1:72" x14ac:dyDescent="0.2">
      <c r="A1529" t="s">
        <v>103</v>
      </c>
      <c r="B1529" t="s">
        <v>27528</v>
      </c>
      <c r="C1529" t="s">
        <v>74</v>
      </c>
      <c r="D1529" t="s">
        <v>74</v>
      </c>
      <c r="E1529" t="s">
        <v>74</v>
      </c>
      <c r="F1529" t="s">
        <v>27529</v>
      </c>
      <c r="G1529" t="s">
        <v>74</v>
      </c>
      <c r="H1529" t="s">
        <v>74</v>
      </c>
      <c r="I1529" t="s">
        <v>27530</v>
      </c>
      <c r="J1529" t="s">
        <v>27531</v>
      </c>
      <c r="K1529" t="s">
        <v>74</v>
      </c>
      <c r="L1529" t="s">
        <v>74</v>
      </c>
      <c r="M1529" t="s">
        <v>79</v>
      </c>
      <c r="N1529" t="s">
        <v>108</v>
      </c>
      <c r="O1529" t="s">
        <v>74</v>
      </c>
      <c r="P1529" t="s">
        <v>74</v>
      </c>
      <c r="Q1529" t="s">
        <v>74</v>
      </c>
      <c r="R1529" t="s">
        <v>74</v>
      </c>
      <c r="S1529" t="s">
        <v>74</v>
      </c>
      <c r="T1529" t="s">
        <v>27532</v>
      </c>
      <c r="U1529" t="s">
        <v>27533</v>
      </c>
      <c r="V1529" t="s">
        <v>27534</v>
      </c>
      <c r="W1529" t="s">
        <v>27535</v>
      </c>
      <c r="X1529" t="s">
        <v>27536</v>
      </c>
      <c r="Y1529" t="s">
        <v>27537</v>
      </c>
      <c r="Z1529" t="s">
        <v>27538</v>
      </c>
      <c r="AA1529" t="s">
        <v>27539</v>
      </c>
      <c r="AB1529" t="s">
        <v>27540</v>
      </c>
      <c r="AC1529" t="s">
        <v>27541</v>
      </c>
      <c r="AD1529" t="s">
        <v>27542</v>
      </c>
      <c r="AE1529" t="s">
        <v>27543</v>
      </c>
      <c r="AF1529" t="s">
        <v>74</v>
      </c>
      <c r="AG1529">
        <v>29</v>
      </c>
      <c r="AH1529">
        <v>2</v>
      </c>
      <c r="AI1529">
        <v>2</v>
      </c>
      <c r="AJ1529">
        <v>11</v>
      </c>
      <c r="AK1529">
        <v>21</v>
      </c>
      <c r="AL1529" t="s">
        <v>270</v>
      </c>
      <c r="AM1529" t="s">
        <v>120</v>
      </c>
      <c r="AN1529" t="s">
        <v>271</v>
      </c>
      <c r="AO1529" t="s">
        <v>27544</v>
      </c>
      <c r="AP1529" t="s">
        <v>27545</v>
      </c>
      <c r="AQ1529" t="s">
        <v>74</v>
      </c>
      <c r="AR1529" t="s">
        <v>27546</v>
      </c>
      <c r="AS1529" t="s">
        <v>27547</v>
      </c>
      <c r="AT1529" t="s">
        <v>276</v>
      </c>
      <c r="AU1529">
        <v>2023</v>
      </c>
      <c r="AV1529">
        <v>43</v>
      </c>
      <c r="AW1529">
        <v>14</v>
      </c>
      <c r="AX1529" t="s">
        <v>74</v>
      </c>
      <c r="AY1529" t="s">
        <v>74</v>
      </c>
      <c r="AZ1529" t="s">
        <v>74</v>
      </c>
      <c r="BA1529" t="s">
        <v>74</v>
      </c>
      <c r="BB1529">
        <v>6628</v>
      </c>
      <c r="BC1529">
        <v>6633</v>
      </c>
      <c r="BD1529" t="s">
        <v>74</v>
      </c>
      <c r="BE1529" t="s">
        <v>27548</v>
      </c>
      <c r="BF1529" t="str">
        <f>HYPERLINK("http://dx.doi.org/10.1016/j.jeurceramsoc.2023.06.071","http://dx.doi.org/10.1016/j.jeurceramsoc.2023.06.071")</f>
        <v>http://dx.doi.org/10.1016/j.jeurceramsoc.2023.06.071</v>
      </c>
      <c r="BG1529" t="s">
        <v>74</v>
      </c>
      <c r="BH1529" t="s">
        <v>229</v>
      </c>
      <c r="BI1529">
        <v>6</v>
      </c>
      <c r="BJ1529" t="s">
        <v>27549</v>
      </c>
      <c r="BK1529" t="s">
        <v>130</v>
      </c>
      <c r="BL1529" t="s">
        <v>3847</v>
      </c>
      <c r="BM1529" t="s">
        <v>27550</v>
      </c>
      <c r="BN1529" t="s">
        <v>74</v>
      </c>
      <c r="BO1529" t="s">
        <v>74</v>
      </c>
      <c r="BP1529" t="s">
        <v>74</v>
      </c>
      <c r="BQ1529" t="s">
        <v>74</v>
      </c>
      <c r="BR1529" t="s">
        <v>101</v>
      </c>
      <c r="BS1529" t="s">
        <v>27551</v>
      </c>
      <c r="BT1529" t="str">
        <f>HYPERLINK("https%3A%2F%2Fwww.webofscience.com%2Fwos%2Fwoscc%2Ffull-record%2FWOS:001044460400001","View Full Record in Web of Science")</f>
        <v>View Full Record in Web of Science</v>
      </c>
    </row>
    <row r="1530" spans="1:72" x14ac:dyDescent="0.2">
      <c r="A1530" t="s">
        <v>103</v>
      </c>
      <c r="B1530" t="s">
        <v>27552</v>
      </c>
      <c r="C1530" t="s">
        <v>74</v>
      </c>
      <c r="D1530" t="s">
        <v>74</v>
      </c>
      <c r="E1530" t="s">
        <v>74</v>
      </c>
      <c r="F1530" t="s">
        <v>27553</v>
      </c>
      <c r="G1530" t="s">
        <v>74</v>
      </c>
      <c r="H1530" t="s">
        <v>74</v>
      </c>
      <c r="I1530" t="s">
        <v>27554</v>
      </c>
      <c r="J1530" t="s">
        <v>27555</v>
      </c>
      <c r="K1530" t="s">
        <v>74</v>
      </c>
      <c r="L1530" t="s">
        <v>74</v>
      </c>
      <c r="M1530" t="s">
        <v>79</v>
      </c>
      <c r="N1530" t="s">
        <v>108</v>
      </c>
      <c r="O1530" t="s">
        <v>74</v>
      </c>
      <c r="P1530" t="s">
        <v>74</v>
      </c>
      <c r="Q1530" t="s">
        <v>74</v>
      </c>
      <c r="R1530" t="s">
        <v>74</v>
      </c>
      <c r="S1530" t="s">
        <v>74</v>
      </c>
      <c r="T1530" t="s">
        <v>27556</v>
      </c>
      <c r="U1530" t="s">
        <v>27557</v>
      </c>
      <c r="V1530" t="s">
        <v>27558</v>
      </c>
      <c r="W1530" t="s">
        <v>27559</v>
      </c>
      <c r="X1530" t="s">
        <v>16798</v>
      </c>
      <c r="Y1530" t="s">
        <v>27560</v>
      </c>
      <c r="Z1530" t="s">
        <v>27561</v>
      </c>
      <c r="AA1530" t="s">
        <v>74</v>
      </c>
      <c r="AB1530" t="s">
        <v>74</v>
      </c>
      <c r="AC1530" t="s">
        <v>27562</v>
      </c>
      <c r="AD1530" t="s">
        <v>27563</v>
      </c>
      <c r="AE1530" t="s">
        <v>27564</v>
      </c>
      <c r="AF1530" t="s">
        <v>74</v>
      </c>
      <c r="AG1530">
        <v>48</v>
      </c>
      <c r="AH1530">
        <v>1</v>
      </c>
      <c r="AI1530">
        <v>1</v>
      </c>
      <c r="AJ1530">
        <v>8</v>
      </c>
      <c r="AK1530">
        <v>10</v>
      </c>
      <c r="AL1530" t="s">
        <v>2010</v>
      </c>
      <c r="AM1530" t="s">
        <v>93</v>
      </c>
      <c r="AN1530" t="s">
        <v>2011</v>
      </c>
      <c r="AO1530" t="s">
        <v>27565</v>
      </c>
      <c r="AP1530" t="s">
        <v>27566</v>
      </c>
      <c r="AQ1530" t="s">
        <v>74</v>
      </c>
      <c r="AR1530" t="s">
        <v>27567</v>
      </c>
      <c r="AS1530" t="s">
        <v>27568</v>
      </c>
      <c r="AT1530" t="s">
        <v>15843</v>
      </c>
      <c r="AU1530">
        <v>2023</v>
      </c>
      <c r="AV1530">
        <v>290</v>
      </c>
      <c r="AW1530" t="s">
        <v>74</v>
      </c>
      <c r="AX1530" t="s">
        <v>74</v>
      </c>
      <c r="AY1530" t="s">
        <v>74</v>
      </c>
      <c r="AZ1530" t="s">
        <v>74</v>
      </c>
      <c r="BA1530" t="s">
        <v>74</v>
      </c>
      <c r="BB1530" t="s">
        <v>74</v>
      </c>
      <c r="BC1530" t="s">
        <v>74</v>
      </c>
      <c r="BD1530">
        <v>106792</v>
      </c>
      <c r="BE1530" t="s">
        <v>27569</v>
      </c>
      <c r="BF1530" t="str">
        <f>HYPERLINK("http://dx.doi.org/10.1016/j.atmosres.2023.106792","http://dx.doi.org/10.1016/j.atmosres.2023.106792")</f>
        <v>http://dx.doi.org/10.1016/j.atmosres.2023.106792</v>
      </c>
      <c r="BG1530" t="s">
        <v>74</v>
      </c>
      <c r="BH1530" t="s">
        <v>2889</v>
      </c>
      <c r="BI1530">
        <v>12</v>
      </c>
      <c r="BJ1530" t="s">
        <v>17768</v>
      </c>
      <c r="BK1530" t="s">
        <v>130</v>
      </c>
      <c r="BL1530" t="s">
        <v>17768</v>
      </c>
      <c r="BM1530" t="s">
        <v>27570</v>
      </c>
      <c r="BN1530" t="s">
        <v>74</v>
      </c>
      <c r="BO1530" t="s">
        <v>74</v>
      </c>
      <c r="BP1530" t="s">
        <v>74</v>
      </c>
      <c r="BQ1530" t="s">
        <v>74</v>
      </c>
      <c r="BR1530" t="s">
        <v>101</v>
      </c>
      <c r="BS1530" t="s">
        <v>27571</v>
      </c>
      <c r="BT1530" t="str">
        <f>HYPERLINK("https%3A%2F%2Fwww.webofscience.com%2Fwos%2Fwoscc%2Ffull-record%2FWOS:001007380100001","View Full Record in Web of Science")</f>
        <v>View Full Record in Web of Science</v>
      </c>
    </row>
    <row r="1531" spans="1:72" x14ac:dyDescent="0.2">
      <c r="A1531" t="s">
        <v>103</v>
      </c>
      <c r="B1531" t="s">
        <v>27572</v>
      </c>
      <c r="C1531" t="s">
        <v>74</v>
      </c>
      <c r="D1531" t="s">
        <v>74</v>
      </c>
      <c r="E1531" t="s">
        <v>74</v>
      </c>
      <c r="F1531" t="s">
        <v>27573</v>
      </c>
      <c r="G1531" t="s">
        <v>74</v>
      </c>
      <c r="H1531" t="s">
        <v>74</v>
      </c>
      <c r="I1531" t="s">
        <v>27574</v>
      </c>
      <c r="J1531" t="s">
        <v>25251</v>
      </c>
      <c r="K1531" t="s">
        <v>74</v>
      </c>
      <c r="L1531" t="s">
        <v>74</v>
      </c>
      <c r="M1531" t="s">
        <v>79</v>
      </c>
      <c r="N1531" t="s">
        <v>108</v>
      </c>
      <c r="O1531" t="s">
        <v>74</v>
      </c>
      <c r="P1531" t="s">
        <v>74</v>
      </c>
      <c r="Q1531" t="s">
        <v>74</v>
      </c>
      <c r="R1531" t="s">
        <v>74</v>
      </c>
      <c r="S1531" t="s">
        <v>74</v>
      </c>
      <c r="T1531" t="s">
        <v>27575</v>
      </c>
      <c r="U1531" t="s">
        <v>27576</v>
      </c>
      <c r="V1531" t="s">
        <v>27577</v>
      </c>
      <c r="W1531" t="s">
        <v>27578</v>
      </c>
      <c r="X1531" t="s">
        <v>16798</v>
      </c>
      <c r="Y1531" t="s">
        <v>27579</v>
      </c>
      <c r="Z1531" t="s">
        <v>27580</v>
      </c>
      <c r="AA1531" t="s">
        <v>74</v>
      </c>
      <c r="AB1531" t="s">
        <v>27581</v>
      </c>
      <c r="AC1531" t="s">
        <v>27582</v>
      </c>
      <c r="AD1531" t="s">
        <v>27583</v>
      </c>
      <c r="AE1531" t="s">
        <v>27584</v>
      </c>
      <c r="AF1531" t="s">
        <v>74</v>
      </c>
      <c r="AG1531">
        <v>73</v>
      </c>
      <c r="AH1531">
        <v>0</v>
      </c>
      <c r="AI1531">
        <v>0</v>
      </c>
      <c r="AJ1531">
        <v>2</v>
      </c>
      <c r="AK1531">
        <v>7</v>
      </c>
      <c r="AL1531" t="s">
        <v>1379</v>
      </c>
      <c r="AM1531" t="s">
        <v>1380</v>
      </c>
      <c r="AN1531" t="s">
        <v>1381</v>
      </c>
      <c r="AO1531" t="s">
        <v>25263</v>
      </c>
      <c r="AP1531" t="s">
        <v>25264</v>
      </c>
      <c r="AQ1531" t="s">
        <v>74</v>
      </c>
      <c r="AR1531" t="s">
        <v>25265</v>
      </c>
      <c r="AS1531" t="s">
        <v>25266</v>
      </c>
      <c r="AT1531" t="s">
        <v>74</v>
      </c>
      <c r="AU1531">
        <v>2023</v>
      </c>
      <c r="AV1531">
        <v>61</v>
      </c>
      <c r="AW1531" t="s">
        <v>74</v>
      </c>
      <c r="AX1531" t="s">
        <v>74</v>
      </c>
      <c r="AY1531" t="s">
        <v>74</v>
      </c>
      <c r="AZ1531" t="s">
        <v>74</v>
      </c>
      <c r="BA1531" t="s">
        <v>74</v>
      </c>
      <c r="BB1531" t="s">
        <v>74</v>
      </c>
      <c r="BC1531" t="s">
        <v>74</v>
      </c>
      <c r="BD1531">
        <v>4204415</v>
      </c>
      <c r="BE1531" t="s">
        <v>27585</v>
      </c>
      <c r="BF1531" t="str">
        <f>HYPERLINK("http://dx.doi.org/10.1109/TGRS.2023.3272677","http://dx.doi.org/10.1109/TGRS.2023.3272677")</f>
        <v>http://dx.doi.org/10.1109/TGRS.2023.3272677</v>
      </c>
      <c r="BG1531" t="s">
        <v>74</v>
      </c>
      <c r="BH1531" t="s">
        <v>74</v>
      </c>
      <c r="BI1531">
        <v>15</v>
      </c>
      <c r="BJ1531" t="s">
        <v>25268</v>
      </c>
      <c r="BK1531" t="s">
        <v>130</v>
      </c>
      <c r="BL1531" t="s">
        <v>25269</v>
      </c>
      <c r="BM1531" t="s">
        <v>27586</v>
      </c>
      <c r="BN1531" t="s">
        <v>74</v>
      </c>
      <c r="BO1531" t="s">
        <v>74</v>
      </c>
      <c r="BP1531" t="s">
        <v>74</v>
      </c>
      <c r="BQ1531" t="s">
        <v>74</v>
      </c>
      <c r="BR1531" t="s">
        <v>101</v>
      </c>
      <c r="BS1531" t="s">
        <v>27587</v>
      </c>
      <c r="BT1531" t="str">
        <f>HYPERLINK("https%3A%2F%2Fwww.webofscience.com%2Fwos%2Fwoscc%2Ffull-record%2FWOS:000994834000018","View Full Record in Web of Science")</f>
        <v>View Full Record in Web of Science</v>
      </c>
    </row>
    <row r="1532" spans="1:72" x14ac:dyDescent="0.2">
      <c r="A1532" t="s">
        <v>72</v>
      </c>
      <c r="B1532" t="s">
        <v>27588</v>
      </c>
      <c r="C1532" t="s">
        <v>74</v>
      </c>
      <c r="D1532" t="s">
        <v>20914</v>
      </c>
      <c r="E1532" t="s">
        <v>74</v>
      </c>
      <c r="F1532" t="s">
        <v>27589</v>
      </c>
      <c r="G1532" t="s">
        <v>74</v>
      </c>
      <c r="H1532" t="s">
        <v>74</v>
      </c>
      <c r="I1532" t="s">
        <v>27590</v>
      </c>
      <c r="J1532" t="s">
        <v>21416</v>
      </c>
      <c r="K1532" t="s">
        <v>312</v>
      </c>
      <c r="L1532" t="s">
        <v>74</v>
      </c>
      <c r="M1532" t="s">
        <v>79</v>
      </c>
      <c r="N1532" t="s">
        <v>80</v>
      </c>
      <c r="O1532" t="s">
        <v>20918</v>
      </c>
      <c r="P1532" t="s">
        <v>1245</v>
      </c>
      <c r="Q1532" t="s">
        <v>20919</v>
      </c>
      <c r="R1532" t="s">
        <v>20920</v>
      </c>
      <c r="S1532" t="s">
        <v>74</v>
      </c>
      <c r="T1532" t="s">
        <v>27591</v>
      </c>
      <c r="U1532" t="s">
        <v>74</v>
      </c>
      <c r="V1532" t="s">
        <v>27592</v>
      </c>
      <c r="W1532" t="s">
        <v>27593</v>
      </c>
      <c r="X1532" t="s">
        <v>27594</v>
      </c>
      <c r="Y1532" t="s">
        <v>27595</v>
      </c>
      <c r="Z1532" t="s">
        <v>27596</v>
      </c>
      <c r="AA1532" t="s">
        <v>74</v>
      </c>
      <c r="AB1532" t="s">
        <v>27597</v>
      </c>
      <c r="AC1532" t="s">
        <v>74</v>
      </c>
      <c r="AD1532" t="s">
        <v>74</v>
      </c>
      <c r="AE1532" t="s">
        <v>74</v>
      </c>
      <c r="AF1532" t="s">
        <v>74</v>
      </c>
      <c r="AG1532">
        <v>45</v>
      </c>
      <c r="AH1532">
        <v>0</v>
      </c>
      <c r="AI1532">
        <v>0</v>
      </c>
      <c r="AJ1532">
        <v>1</v>
      </c>
      <c r="AK1532">
        <v>1</v>
      </c>
      <c r="AL1532" t="s">
        <v>325</v>
      </c>
      <c r="AM1532" t="s">
        <v>245</v>
      </c>
      <c r="AN1532" t="s">
        <v>246</v>
      </c>
      <c r="AO1532" t="s">
        <v>326</v>
      </c>
      <c r="AP1532" t="s">
        <v>327</v>
      </c>
      <c r="AQ1532" t="s">
        <v>21428</v>
      </c>
      <c r="AR1532" t="s">
        <v>329</v>
      </c>
      <c r="AS1532" t="s">
        <v>74</v>
      </c>
      <c r="AT1532" t="s">
        <v>74</v>
      </c>
      <c r="AU1532">
        <v>2023</v>
      </c>
      <c r="AV1532">
        <v>14234</v>
      </c>
      <c r="AW1532" t="s">
        <v>74</v>
      </c>
      <c r="AX1532" t="s">
        <v>74</v>
      </c>
      <c r="AY1532" t="s">
        <v>74</v>
      </c>
      <c r="AZ1532" t="s">
        <v>74</v>
      </c>
      <c r="BA1532" t="s">
        <v>74</v>
      </c>
      <c r="BB1532">
        <v>209</v>
      </c>
      <c r="BC1532">
        <v>222</v>
      </c>
      <c r="BD1532" t="s">
        <v>74</v>
      </c>
      <c r="BE1532" t="s">
        <v>27598</v>
      </c>
      <c r="BF1532" t="str">
        <f>HYPERLINK("http://dx.doi.org/10.1007/978-3-031-43153-1_18","http://dx.doi.org/10.1007/978-3-031-43153-1_18")</f>
        <v>http://dx.doi.org/10.1007/978-3-031-43153-1_18</v>
      </c>
      <c r="BG1532" t="s">
        <v>74</v>
      </c>
      <c r="BH1532" t="s">
        <v>74</v>
      </c>
      <c r="BI1532">
        <v>14</v>
      </c>
      <c r="BJ1532" t="s">
        <v>331</v>
      </c>
      <c r="BK1532" t="s">
        <v>98</v>
      </c>
      <c r="BL1532" t="s">
        <v>99</v>
      </c>
      <c r="BM1532" t="s">
        <v>21430</v>
      </c>
      <c r="BN1532" t="s">
        <v>74</v>
      </c>
      <c r="BO1532" t="s">
        <v>74</v>
      </c>
      <c r="BP1532" t="s">
        <v>74</v>
      </c>
      <c r="BQ1532" t="s">
        <v>74</v>
      </c>
      <c r="BR1532" t="s">
        <v>101</v>
      </c>
      <c r="BS1532" t="s">
        <v>27599</v>
      </c>
      <c r="BT1532" t="str">
        <f>HYPERLINK("https%3A%2F%2Fwww.webofscience.com%2Fwos%2Fwoscc%2Ffull-record%2FWOS:001156197500018","View Full Record in Web of Science")</f>
        <v>View Full Record in Web of Science</v>
      </c>
    </row>
    <row r="1533" spans="1:72" x14ac:dyDescent="0.2">
      <c r="A1533" t="s">
        <v>72</v>
      </c>
      <c r="B1533" t="s">
        <v>27600</v>
      </c>
      <c r="C1533" t="s">
        <v>74</v>
      </c>
      <c r="D1533" t="s">
        <v>74</v>
      </c>
      <c r="E1533" t="s">
        <v>284</v>
      </c>
      <c r="F1533" t="s">
        <v>27601</v>
      </c>
      <c r="G1533" t="s">
        <v>74</v>
      </c>
      <c r="H1533" t="s">
        <v>74</v>
      </c>
      <c r="I1533" t="s">
        <v>27602</v>
      </c>
      <c r="J1533" t="s">
        <v>11243</v>
      </c>
      <c r="K1533" t="s">
        <v>11244</v>
      </c>
      <c r="L1533" t="s">
        <v>74</v>
      </c>
      <c r="M1533" t="s">
        <v>79</v>
      </c>
      <c r="N1533" t="s">
        <v>80</v>
      </c>
      <c r="O1533" t="s">
        <v>11245</v>
      </c>
      <c r="P1533" t="s">
        <v>11246</v>
      </c>
      <c r="Q1533" t="s">
        <v>11247</v>
      </c>
      <c r="R1533" t="s">
        <v>11248</v>
      </c>
      <c r="S1533" t="s">
        <v>74</v>
      </c>
      <c r="T1533" t="s">
        <v>27603</v>
      </c>
      <c r="U1533" t="s">
        <v>74</v>
      </c>
      <c r="V1533" t="s">
        <v>27604</v>
      </c>
      <c r="W1533" t="s">
        <v>27605</v>
      </c>
      <c r="X1533" t="s">
        <v>27606</v>
      </c>
      <c r="Y1533" t="s">
        <v>27607</v>
      </c>
      <c r="Z1533" t="s">
        <v>27608</v>
      </c>
      <c r="AA1533" t="s">
        <v>74</v>
      </c>
      <c r="AB1533" t="s">
        <v>74</v>
      </c>
      <c r="AC1533" t="s">
        <v>74</v>
      </c>
      <c r="AD1533" t="s">
        <v>74</v>
      </c>
      <c r="AE1533" t="s">
        <v>74</v>
      </c>
      <c r="AF1533" t="s">
        <v>74</v>
      </c>
      <c r="AG1533">
        <v>34</v>
      </c>
      <c r="AH1533">
        <v>0</v>
      </c>
      <c r="AI1533">
        <v>0</v>
      </c>
      <c r="AJ1533">
        <v>1</v>
      </c>
      <c r="AK1533">
        <v>1</v>
      </c>
      <c r="AL1533" t="s">
        <v>284</v>
      </c>
      <c r="AM1533" t="s">
        <v>93</v>
      </c>
      <c r="AN1533" t="s">
        <v>299</v>
      </c>
      <c r="AO1533" t="s">
        <v>11260</v>
      </c>
      <c r="AP1533" t="s">
        <v>74</v>
      </c>
      <c r="AQ1533" t="s">
        <v>11261</v>
      </c>
      <c r="AR1533" t="s">
        <v>11262</v>
      </c>
      <c r="AS1533" t="s">
        <v>74</v>
      </c>
      <c r="AT1533" t="s">
        <v>74</v>
      </c>
      <c r="AU1533">
        <v>2023</v>
      </c>
      <c r="AV1533" t="s">
        <v>74</v>
      </c>
      <c r="AW1533" t="s">
        <v>74</v>
      </c>
      <c r="AX1533" t="s">
        <v>74</v>
      </c>
      <c r="AY1533" t="s">
        <v>74</v>
      </c>
      <c r="AZ1533" t="s">
        <v>74</v>
      </c>
      <c r="BA1533" t="s">
        <v>74</v>
      </c>
      <c r="BB1533">
        <v>419</v>
      </c>
      <c r="BC1533">
        <v>424</v>
      </c>
      <c r="BD1533" t="s">
        <v>74</v>
      </c>
      <c r="BE1533" t="s">
        <v>27609</v>
      </c>
      <c r="BF1533" t="str">
        <f>HYPERLINK("http://dx.doi.org/10.1109/ICAIIC57133.2023.10067122","http://dx.doi.org/10.1109/ICAIIC57133.2023.10067122")</f>
        <v>http://dx.doi.org/10.1109/ICAIIC57133.2023.10067122</v>
      </c>
      <c r="BG1533" t="s">
        <v>74</v>
      </c>
      <c r="BH1533" t="s">
        <v>74</v>
      </c>
      <c r="BI1533">
        <v>6</v>
      </c>
      <c r="BJ1533" t="s">
        <v>11264</v>
      </c>
      <c r="BK1533" t="s">
        <v>98</v>
      </c>
      <c r="BL1533" t="s">
        <v>906</v>
      </c>
      <c r="BM1533" t="s">
        <v>11265</v>
      </c>
      <c r="BN1533" t="s">
        <v>74</v>
      </c>
      <c r="BO1533" t="s">
        <v>74</v>
      </c>
      <c r="BP1533" t="s">
        <v>74</v>
      </c>
      <c r="BQ1533" t="s">
        <v>74</v>
      </c>
      <c r="BR1533" t="s">
        <v>101</v>
      </c>
      <c r="BS1533" t="s">
        <v>27610</v>
      </c>
      <c r="BT1533" t="str">
        <f>HYPERLINK("https%3A%2F%2Fwww.webofscience.com%2Fwos%2Fwoscc%2Ffull-record%2FWOS:001012997600077","View Full Record in Web of Science")</f>
        <v>View Full Record in Web of Science</v>
      </c>
    </row>
    <row r="1534" spans="1:72" x14ac:dyDescent="0.2">
      <c r="A1534" t="s">
        <v>72</v>
      </c>
      <c r="B1534" t="s">
        <v>27611</v>
      </c>
      <c r="C1534" t="s">
        <v>74</v>
      </c>
      <c r="D1534" t="s">
        <v>74</v>
      </c>
      <c r="E1534" t="s">
        <v>13296</v>
      </c>
      <c r="F1534" t="s">
        <v>27612</v>
      </c>
      <c r="G1534" t="s">
        <v>74</v>
      </c>
      <c r="H1534" t="s">
        <v>74</v>
      </c>
      <c r="I1534" t="s">
        <v>27613</v>
      </c>
      <c r="J1534" t="s">
        <v>13299</v>
      </c>
      <c r="K1534" t="s">
        <v>13300</v>
      </c>
      <c r="L1534" t="s">
        <v>74</v>
      </c>
      <c r="M1534" t="s">
        <v>79</v>
      </c>
      <c r="N1534" t="s">
        <v>80</v>
      </c>
      <c r="O1534" t="s">
        <v>13301</v>
      </c>
      <c r="P1534" t="s">
        <v>13302</v>
      </c>
      <c r="Q1534" t="s">
        <v>169</v>
      </c>
      <c r="R1534" t="s">
        <v>13303</v>
      </c>
      <c r="S1534" t="s">
        <v>74</v>
      </c>
      <c r="T1534" t="s">
        <v>27614</v>
      </c>
      <c r="U1534" t="s">
        <v>74</v>
      </c>
      <c r="V1534" t="s">
        <v>27615</v>
      </c>
      <c r="W1534" t="s">
        <v>27616</v>
      </c>
      <c r="X1534" t="s">
        <v>27617</v>
      </c>
      <c r="Y1534" t="s">
        <v>27618</v>
      </c>
      <c r="Z1534" t="s">
        <v>27619</v>
      </c>
      <c r="AA1534" t="s">
        <v>27620</v>
      </c>
      <c r="AB1534" t="s">
        <v>27621</v>
      </c>
      <c r="AC1534" t="s">
        <v>74</v>
      </c>
      <c r="AD1534" t="s">
        <v>74</v>
      </c>
      <c r="AE1534" t="s">
        <v>74</v>
      </c>
      <c r="AF1534" t="s">
        <v>74</v>
      </c>
      <c r="AG1534">
        <v>21</v>
      </c>
      <c r="AH1534">
        <v>0</v>
      </c>
      <c r="AI1534">
        <v>0</v>
      </c>
      <c r="AJ1534">
        <v>3</v>
      </c>
      <c r="AK1534">
        <v>3</v>
      </c>
      <c r="AL1534" t="s">
        <v>13313</v>
      </c>
      <c r="AM1534" t="s">
        <v>1451</v>
      </c>
      <c r="AN1534" t="s">
        <v>13314</v>
      </c>
      <c r="AO1534" t="s">
        <v>13315</v>
      </c>
      <c r="AP1534" t="s">
        <v>13316</v>
      </c>
      <c r="AQ1534" t="s">
        <v>74</v>
      </c>
      <c r="AR1534" t="s">
        <v>13317</v>
      </c>
      <c r="AS1534" t="s">
        <v>74</v>
      </c>
      <c r="AT1534" t="s">
        <v>74</v>
      </c>
      <c r="AU1534">
        <v>2023</v>
      </c>
      <c r="AV1534">
        <v>2438</v>
      </c>
      <c r="AW1534" t="s">
        <v>74</v>
      </c>
      <c r="AX1534" t="s">
        <v>74</v>
      </c>
      <c r="AY1534" t="s">
        <v>74</v>
      </c>
      <c r="AZ1534" t="s">
        <v>74</v>
      </c>
      <c r="BA1534" t="s">
        <v>74</v>
      </c>
      <c r="BB1534" t="s">
        <v>74</v>
      </c>
      <c r="BC1534" t="s">
        <v>74</v>
      </c>
      <c r="BD1534">
        <v>12150</v>
      </c>
      <c r="BE1534" t="s">
        <v>27622</v>
      </c>
      <c r="BF1534" t="str">
        <f>HYPERLINK("http://dx.doi.org/10.1088/1742-6596/2438/1/012150","http://dx.doi.org/10.1088/1742-6596/2438/1/012150")</f>
        <v>http://dx.doi.org/10.1088/1742-6596/2438/1/012150</v>
      </c>
      <c r="BG1534" t="s">
        <v>74</v>
      </c>
      <c r="BH1534" t="s">
        <v>74</v>
      </c>
      <c r="BI1534">
        <v>11</v>
      </c>
      <c r="BJ1534" t="s">
        <v>13319</v>
      </c>
      <c r="BK1534" t="s">
        <v>98</v>
      </c>
      <c r="BL1534" t="s">
        <v>13320</v>
      </c>
      <c r="BM1534" t="s">
        <v>13321</v>
      </c>
      <c r="BN1534" t="s">
        <v>74</v>
      </c>
      <c r="BO1534" t="s">
        <v>1071</v>
      </c>
      <c r="BP1534" t="s">
        <v>74</v>
      </c>
      <c r="BQ1534" t="s">
        <v>74</v>
      </c>
      <c r="BR1534" t="s">
        <v>101</v>
      </c>
      <c r="BS1534" t="s">
        <v>27623</v>
      </c>
      <c r="BT1534" t="str">
        <f>HYPERLINK("https%3A%2F%2Fwww.webofscience.com%2Fwos%2Fwoscc%2Ffull-record%2FWOS:001026601300150","View Full Record in Web of Science")</f>
        <v>View Full Record in Web of Science</v>
      </c>
    </row>
    <row r="1535" spans="1:72" x14ac:dyDescent="0.2">
      <c r="A1535" t="s">
        <v>103</v>
      </c>
      <c r="B1535" t="s">
        <v>27624</v>
      </c>
      <c r="C1535" t="s">
        <v>74</v>
      </c>
      <c r="D1535" t="s">
        <v>74</v>
      </c>
      <c r="E1535" t="s">
        <v>74</v>
      </c>
      <c r="F1535" t="s">
        <v>27625</v>
      </c>
      <c r="G1535" t="s">
        <v>74</v>
      </c>
      <c r="H1535" t="s">
        <v>74</v>
      </c>
      <c r="I1535" t="s">
        <v>27626</v>
      </c>
      <c r="J1535" t="s">
        <v>18026</v>
      </c>
      <c r="K1535" t="s">
        <v>74</v>
      </c>
      <c r="L1535" t="s">
        <v>74</v>
      </c>
      <c r="M1535" t="s">
        <v>79</v>
      </c>
      <c r="N1535" t="s">
        <v>108</v>
      </c>
      <c r="O1535" t="s">
        <v>74</v>
      </c>
      <c r="P1535" t="s">
        <v>74</v>
      </c>
      <c r="Q1535" t="s">
        <v>74</v>
      </c>
      <c r="R1535" t="s">
        <v>74</v>
      </c>
      <c r="S1535" t="s">
        <v>74</v>
      </c>
      <c r="T1535" t="s">
        <v>27627</v>
      </c>
      <c r="U1535" t="s">
        <v>74</v>
      </c>
      <c r="V1535" t="s">
        <v>27628</v>
      </c>
      <c r="W1535" t="s">
        <v>27629</v>
      </c>
      <c r="X1535" t="s">
        <v>27630</v>
      </c>
      <c r="Y1535" t="s">
        <v>27631</v>
      </c>
      <c r="Z1535" t="s">
        <v>27632</v>
      </c>
      <c r="AA1535" t="s">
        <v>27633</v>
      </c>
      <c r="AB1535" t="s">
        <v>27634</v>
      </c>
      <c r="AC1535" t="s">
        <v>27635</v>
      </c>
      <c r="AD1535" t="s">
        <v>27636</v>
      </c>
      <c r="AE1535" t="s">
        <v>27637</v>
      </c>
      <c r="AF1535" t="s">
        <v>74</v>
      </c>
      <c r="AG1535">
        <v>66</v>
      </c>
      <c r="AH1535">
        <v>41</v>
      </c>
      <c r="AI1535">
        <v>42</v>
      </c>
      <c r="AJ1535">
        <v>19</v>
      </c>
      <c r="AK1535">
        <v>19</v>
      </c>
      <c r="AL1535" t="s">
        <v>638</v>
      </c>
      <c r="AM1535" t="s">
        <v>639</v>
      </c>
      <c r="AN1535" t="s">
        <v>1557</v>
      </c>
      <c r="AO1535" t="s">
        <v>18038</v>
      </c>
      <c r="AP1535" t="s">
        <v>74</v>
      </c>
      <c r="AQ1535" t="s">
        <v>74</v>
      </c>
      <c r="AR1535" t="s">
        <v>18039</v>
      </c>
      <c r="AS1535" t="s">
        <v>18040</v>
      </c>
      <c r="AT1535" t="s">
        <v>18041</v>
      </c>
      <c r="AU1535">
        <v>2023</v>
      </c>
      <c r="AV1535">
        <v>10</v>
      </c>
      <c r="AW1535">
        <v>5</v>
      </c>
      <c r="AX1535" t="s">
        <v>74</v>
      </c>
      <c r="AY1535" t="s">
        <v>74</v>
      </c>
      <c r="AZ1535" t="s">
        <v>74</v>
      </c>
      <c r="BA1535" t="s">
        <v>74</v>
      </c>
      <c r="BB1535">
        <v>2779</v>
      </c>
      <c r="BC1535">
        <v>2790</v>
      </c>
      <c r="BD1535" t="s">
        <v>74</v>
      </c>
      <c r="BE1535" t="s">
        <v>27638</v>
      </c>
      <c r="BF1535" t="str">
        <f>HYPERLINK("http://dx.doi.org/10.1109/TNSE.2022.3199919","http://dx.doi.org/10.1109/TNSE.2022.3199919")</f>
        <v>http://dx.doi.org/10.1109/TNSE.2022.3199919</v>
      </c>
      <c r="BG1535" t="s">
        <v>74</v>
      </c>
      <c r="BH1535" t="s">
        <v>74</v>
      </c>
      <c r="BI1535">
        <v>12</v>
      </c>
      <c r="BJ1535" t="s">
        <v>10368</v>
      </c>
      <c r="BK1535" t="s">
        <v>130</v>
      </c>
      <c r="BL1535" t="s">
        <v>4562</v>
      </c>
      <c r="BM1535" t="s">
        <v>18043</v>
      </c>
      <c r="BN1535" t="s">
        <v>74</v>
      </c>
      <c r="BO1535" t="s">
        <v>74</v>
      </c>
      <c r="BP1535" t="s">
        <v>1434</v>
      </c>
      <c r="BQ1535" t="s">
        <v>1434</v>
      </c>
      <c r="BR1535" t="s">
        <v>101</v>
      </c>
      <c r="BS1535" t="s">
        <v>27639</v>
      </c>
      <c r="BT1535" t="str">
        <f>HYPERLINK("https%3A%2F%2Fwww.webofscience.com%2Fwos%2Fwoscc%2Ffull-record%2FWOS:001071466900035","View Full Record in Web of Science")</f>
        <v>View Full Record in Web of Science</v>
      </c>
    </row>
    <row r="1536" spans="1:72" x14ac:dyDescent="0.2">
      <c r="A1536" t="s">
        <v>103</v>
      </c>
      <c r="B1536" t="s">
        <v>27640</v>
      </c>
      <c r="C1536" t="s">
        <v>74</v>
      </c>
      <c r="D1536" t="s">
        <v>74</v>
      </c>
      <c r="E1536" t="s">
        <v>74</v>
      </c>
      <c r="F1536" t="s">
        <v>27641</v>
      </c>
      <c r="G1536" t="s">
        <v>74</v>
      </c>
      <c r="H1536" t="s">
        <v>74</v>
      </c>
      <c r="I1536" t="s">
        <v>27642</v>
      </c>
      <c r="J1536" t="s">
        <v>20071</v>
      </c>
      <c r="K1536" t="s">
        <v>74</v>
      </c>
      <c r="L1536" t="s">
        <v>74</v>
      </c>
      <c r="M1536" t="s">
        <v>79</v>
      </c>
      <c r="N1536" t="s">
        <v>108</v>
      </c>
      <c r="O1536" t="s">
        <v>74</v>
      </c>
      <c r="P1536" t="s">
        <v>74</v>
      </c>
      <c r="Q1536" t="s">
        <v>74</v>
      </c>
      <c r="R1536" t="s">
        <v>74</v>
      </c>
      <c r="S1536" t="s">
        <v>74</v>
      </c>
      <c r="T1536" t="s">
        <v>27643</v>
      </c>
      <c r="U1536" t="s">
        <v>27644</v>
      </c>
      <c r="V1536" t="s">
        <v>27645</v>
      </c>
      <c r="W1536" t="s">
        <v>27646</v>
      </c>
      <c r="X1536" t="s">
        <v>27647</v>
      </c>
      <c r="Y1536" t="s">
        <v>27648</v>
      </c>
      <c r="Z1536" t="s">
        <v>27649</v>
      </c>
      <c r="AA1536" t="s">
        <v>27650</v>
      </c>
      <c r="AB1536" t="s">
        <v>27651</v>
      </c>
      <c r="AC1536" t="s">
        <v>27652</v>
      </c>
      <c r="AD1536" t="s">
        <v>27653</v>
      </c>
      <c r="AE1536" t="s">
        <v>27654</v>
      </c>
      <c r="AF1536" t="s">
        <v>74</v>
      </c>
      <c r="AG1536">
        <v>68</v>
      </c>
      <c r="AH1536">
        <v>1</v>
      </c>
      <c r="AI1536">
        <v>1</v>
      </c>
      <c r="AJ1536">
        <v>9</v>
      </c>
      <c r="AK1536">
        <v>14</v>
      </c>
      <c r="AL1536" t="s">
        <v>270</v>
      </c>
      <c r="AM1536" t="s">
        <v>120</v>
      </c>
      <c r="AN1536" t="s">
        <v>271</v>
      </c>
      <c r="AO1536" t="s">
        <v>20082</v>
      </c>
      <c r="AP1536" t="s">
        <v>20083</v>
      </c>
      <c r="AQ1536" t="s">
        <v>74</v>
      </c>
      <c r="AR1536" t="s">
        <v>20084</v>
      </c>
      <c r="AS1536" t="s">
        <v>20085</v>
      </c>
      <c r="AT1536" t="s">
        <v>7209</v>
      </c>
      <c r="AU1536">
        <v>2023</v>
      </c>
      <c r="AV1536">
        <v>346</v>
      </c>
      <c r="AW1536" t="s">
        <v>74</v>
      </c>
      <c r="AX1536" t="s">
        <v>74</v>
      </c>
      <c r="AY1536" t="s">
        <v>74</v>
      </c>
      <c r="AZ1536" t="s">
        <v>74</v>
      </c>
      <c r="BA1536" t="s">
        <v>74</v>
      </c>
      <c r="BB1536" t="s">
        <v>74</v>
      </c>
      <c r="BC1536" t="s">
        <v>74</v>
      </c>
      <c r="BD1536">
        <v>121370</v>
      </c>
      <c r="BE1536" t="s">
        <v>27655</v>
      </c>
      <c r="BF1536" t="str">
        <f>HYPERLINK("http://dx.doi.org/10.1016/j.apenergy.2023.121370","http://dx.doi.org/10.1016/j.apenergy.2023.121370")</f>
        <v>http://dx.doi.org/10.1016/j.apenergy.2023.121370</v>
      </c>
      <c r="BG1536" t="s">
        <v>74</v>
      </c>
      <c r="BH1536" t="s">
        <v>1910</v>
      </c>
      <c r="BI1536">
        <v>13</v>
      </c>
      <c r="BJ1536" t="s">
        <v>20088</v>
      </c>
      <c r="BK1536" t="s">
        <v>130</v>
      </c>
      <c r="BL1536" t="s">
        <v>20089</v>
      </c>
      <c r="BM1536" t="s">
        <v>27656</v>
      </c>
      <c r="BN1536" t="s">
        <v>74</v>
      </c>
      <c r="BO1536" t="s">
        <v>646</v>
      </c>
      <c r="BP1536" t="s">
        <v>74</v>
      </c>
      <c r="BQ1536" t="s">
        <v>74</v>
      </c>
      <c r="BR1536" t="s">
        <v>101</v>
      </c>
      <c r="BS1536" t="s">
        <v>27657</v>
      </c>
      <c r="BT1536" t="str">
        <f>HYPERLINK("https%3A%2F%2Fwww.webofscience.com%2Fwos%2Fwoscc%2Ffull-record%2FWOS:001019112700001","View Full Record in Web of Science")</f>
        <v>View Full Record in Web of Science</v>
      </c>
    </row>
    <row r="1537" spans="1:72" x14ac:dyDescent="0.2">
      <c r="A1537" t="s">
        <v>103</v>
      </c>
      <c r="B1537" t="s">
        <v>27658</v>
      </c>
      <c r="C1537" t="s">
        <v>74</v>
      </c>
      <c r="D1537" t="s">
        <v>74</v>
      </c>
      <c r="E1537" t="s">
        <v>74</v>
      </c>
      <c r="F1537" t="s">
        <v>27659</v>
      </c>
      <c r="G1537" t="s">
        <v>74</v>
      </c>
      <c r="H1537" t="s">
        <v>74</v>
      </c>
      <c r="I1537" t="s">
        <v>27660</v>
      </c>
      <c r="J1537" t="s">
        <v>12899</v>
      </c>
      <c r="K1537" t="s">
        <v>74</v>
      </c>
      <c r="L1537" t="s">
        <v>74</v>
      </c>
      <c r="M1537" t="s">
        <v>79</v>
      </c>
      <c r="N1537" t="s">
        <v>108</v>
      </c>
      <c r="O1537" t="s">
        <v>74</v>
      </c>
      <c r="P1537" t="s">
        <v>74</v>
      </c>
      <c r="Q1537" t="s">
        <v>74</v>
      </c>
      <c r="R1537" t="s">
        <v>74</v>
      </c>
      <c r="S1537" t="s">
        <v>74</v>
      </c>
      <c r="T1537" t="s">
        <v>27661</v>
      </c>
      <c r="U1537" t="s">
        <v>74</v>
      </c>
      <c r="V1537" t="s">
        <v>27662</v>
      </c>
      <c r="W1537" t="s">
        <v>27663</v>
      </c>
      <c r="X1537" t="s">
        <v>27664</v>
      </c>
      <c r="Y1537" t="s">
        <v>27665</v>
      </c>
      <c r="Z1537" t="s">
        <v>27666</v>
      </c>
      <c r="AA1537" t="s">
        <v>27667</v>
      </c>
      <c r="AB1537" t="s">
        <v>27668</v>
      </c>
      <c r="AC1537" t="s">
        <v>27669</v>
      </c>
      <c r="AD1537" t="s">
        <v>27669</v>
      </c>
      <c r="AE1537" t="s">
        <v>27670</v>
      </c>
      <c r="AF1537" t="s">
        <v>74</v>
      </c>
      <c r="AG1537">
        <v>40</v>
      </c>
      <c r="AH1537">
        <v>0</v>
      </c>
      <c r="AI1537">
        <v>0</v>
      </c>
      <c r="AJ1537">
        <v>1</v>
      </c>
      <c r="AK1537">
        <v>1</v>
      </c>
      <c r="AL1537" t="s">
        <v>764</v>
      </c>
      <c r="AM1537" t="s">
        <v>765</v>
      </c>
      <c r="AN1537" t="s">
        <v>766</v>
      </c>
      <c r="AO1537" t="s">
        <v>12908</v>
      </c>
      <c r="AP1537" t="s">
        <v>12909</v>
      </c>
      <c r="AQ1537" t="s">
        <v>74</v>
      </c>
      <c r="AR1537" t="s">
        <v>12910</v>
      </c>
      <c r="AS1537" t="s">
        <v>12911</v>
      </c>
      <c r="AT1537" t="s">
        <v>445</v>
      </c>
      <c r="AU1537">
        <v>2023</v>
      </c>
      <c r="AV1537">
        <v>35</v>
      </c>
      <c r="AW1537">
        <v>4</v>
      </c>
      <c r="AX1537" t="s">
        <v>74</v>
      </c>
      <c r="AY1537" t="s">
        <v>74</v>
      </c>
      <c r="AZ1537" t="s">
        <v>74</v>
      </c>
      <c r="BA1537" t="s">
        <v>74</v>
      </c>
      <c r="BB1537">
        <v>224</v>
      </c>
      <c r="BC1537">
        <v>235</v>
      </c>
      <c r="BD1537" t="s">
        <v>74</v>
      </c>
      <c r="BE1537" t="s">
        <v>27671</v>
      </c>
      <c r="BF1537" t="str">
        <f>HYPERLINK("http://dx.doi.org/10.1016/j.jksuci.2023.03.015","http://dx.doi.org/10.1016/j.jksuci.2023.03.015")</f>
        <v>http://dx.doi.org/10.1016/j.jksuci.2023.03.015</v>
      </c>
      <c r="BG1537" t="s">
        <v>74</v>
      </c>
      <c r="BH1537" t="s">
        <v>793</v>
      </c>
      <c r="BI1537">
        <v>12</v>
      </c>
      <c r="BJ1537" t="s">
        <v>230</v>
      </c>
      <c r="BK1537" t="s">
        <v>130</v>
      </c>
      <c r="BL1537" t="s">
        <v>99</v>
      </c>
      <c r="BM1537" t="s">
        <v>27672</v>
      </c>
      <c r="BN1537" t="s">
        <v>74</v>
      </c>
      <c r="BO1537" t="s">
        <v>425</v>
      </c>
      <c r="BP1537" t="s">
        <v>74</v>
      </c>
      <c r="BQ1537" t="s">
        <v>74</v>
      </c>
      <c r="BR1537" t="s">
        <v>101</v>
      </c>
      <c r="BS1537" t="s">
        <v>27673</v>
      </c>
      <c r="BT1537" t="str">
        <f>HYPERLINK("https%3A%2F%2Fwww.webofscience.com%2Fwos%2Fwoscc%2Ffull-record%2FWOS:000995611600001","View Full Record in Web of Science")</f>
        <v>View Full Record in Web of Science</v>
      </c>
    </row>
    <row r="1538" spans="1:72" x14ac:dyDescent="0.2">
      <c r="A1538" t="s">
        <v>72</v>
      </c>
      <c r="B1538" t="s">
        <v>27674</v>
      </c>
      <c r="C1538" t="s">
        <v>74</v>
      </c>
      <c r="D1538" t="s">
        <v>74</v>
      </c>
      <c r="E1538" t="s">
        <v>284</v>
      </c>
      <c r="F1538" t="s">
        <v>27675</v>
      </c>
      <c r="G1538" t="s">
        <v>74</v>
      </c>
      <c r="H1538" t="s">
        <v>74</v>
      </c>
      <c r="I1538" t="s">
        <v>27676</v>
      </c>
      <c r="J1538" t="s">
        <v>8245</v>
      </c>
      <c r="K1538" t="s">
        <v>8246</v>
      </c>
      <c r="L1538" t="s">
        <v>74</v>
      </c>
      <c r="M1538" t="s">
        <v>79</v>
      </c>
      <c r="N1538" t="s">
        <v>80</v>
      </c>
      <c r="O1538" t="s">
        <v>8247</v>
      </c>
      <c r="P1538" t="s">
        <v>8248</v>
      </c>
      <c r="Q1538" t="s">
        <v>6017</v>
      </c>
      <c r="R1538" t="s">
        <v>8249</v>
      </c>
      <c r="S1538" t="s">
        <v>74</v>
      </c>
      <c r="T1538" t="s">
        <v>74</v>
      </c>
      <c r="U1538" t="s">
        <v>74</v>
      </c>
      <c r="V1538" t="s">
        <v>27677</v>
      </c>
      <c r="W1538" t="s">
        <v>27678</v>
      </c>
      <c r="X1538" t="s">
        <v>27679</v>
      </c>
      <c r="Y1538" t="s">
        <v>27680</v>
      </c>
      <c r="Z1538" t="s">
        <v>27681</v>
      </c>
      <c r="AA1538" t="s">
        <v>27682</v>
      </c>
      <c r="AB1538" t="s">
        <v>27683</v>
      </c>
      <c r="AC1538" t="s">
        <v>27684</v>
      </c>
      <c r="AD1538" t="s">
        <v>27685</v>
      </c>
      <c r="AE1538" t="s">
        <v>27686</v>
      </c>
      <c r="AF1538" t="s">
        <v>74</v>
      </c>
      <c r="AG1538">
        <v>59</v>
      </c>
      <c r="AH1538">
        <v>0</v>
      </c>
      <c r="AI1538">
        <v>0</v>
      </c>
      <c r="AJ1538">
        <v>3</v>
      </c>
      <c r="AK1538">
        <v>3</v>
      </c>
      <c r="AL1538" t="s">
        <v>638</v>
      </c>
      <c r="AM1538" t="s">
        <v>639</v>
      </c>
      <c r="AN1538" t="s">
        <v>640</v>
      </c>
      <c r="AO1538" t="s">
        <v>8260</v>
      </c>
      <c r="AP1538" t="s">
        <v>74</v>
      </c>
      <c r="AQ1538" t="s">
        <v>8261</v>
      </c>
      <c r="AR1538" t="s">
        <v>8262</v>
      </c>
      <c r="AS1538" t="s">
        <v>74</v>
      </c>
      <c r="AT1538" t="s">
        <v>74</v>
      </c>
      <c r="AU1538">
        <v>2023</v>
      </c>
      <c r="AV1538" t="s">
        <v>74</v>
      </c>
      <c r="AW1538" t="s">
        <v>74</v>
      </c>
      <c r="AX1538" t="s">
        <v>74</v>
      </c>
      <c r="AY1538" t="s">
        <v>74</v>
      </c>
      <c r="AZ1538" t="s">
        <v>74</v>
      </c>
      <c r="BA1538" t="s">
        <v>74</v>
      </c>
      <c r="BB1538">
        <v>16219</v>
      </c>
      <c r="BC1538">
        <v>16229</v>
      </c>
      <c r="BD1538" t="s">
        <v>74</v>
      </c>
      <c r="BE1538" t="s">
        <v>27687</v>
      </c>
      <c r="BF1538" t="str">
        <f>HYPERLINK("http://dx.doi.org/10.1109/CVPR52729.2023.01556","http://dx.doi.org/10.1109/CVPR52729.2023.01556")</f>
        <v>http://dx.doi.org/10.1109/CVPR52729.2023.01556</v>
      </c>
      <c r="BG1538" t="s">
        <v>74</v>
      </c>
      <c r="BH1538" t="s">
        <v>74</v>
      </c>
      <c r="BI1538">
        <v>11</v>
      </c>
      <c r="BJ1538" t="s">
        <v>304</v>
      </c>
      <c r="BK1538" t="s">
        <v>98</v>
      </c>
      <c r="BL1538" t="s">
        <v>99</v>
      </c>
      <c r="BM1538" t="s">
        <v>9731</v>
      </c>
      <c r="BN1538" t="s">
        <v>74</v>
      </c>
      <c r="BO1538" t="s">
        <v>208</v>
      </c>
      <c r="BP1538" t="s">
        <v>74</v>
      </c>
      <c r="BQ1538" t="s">
        <v>74</v>
      </c>
      <c r="BR1538" t="s">
        <v>101</v>
      </c>
      <c r="BS1538" t="s">
        <v>27688</v>
      </c>
      <c r="BT1538" t="str">
        <f>HYPERLINK("https%3A%2F%2Fwww.webofscience.com%2Fwos%2Fwoscc%2Ffull-record%2FWOS:001062531300021","View Full Record in Web of Science")</f>
        <v>View Full Record in Web of Science</v>
      </c>
    </row>
    <row r="1539" spans="1:72" x14ac:dyDescent="0.2">
      <c r="A1539" t="s">
        <v>103</v>
      </c>
      <c r="B1539" t="s">
        <v>27689</v>
      </c>
      <c r="C1539" t="s">
        <v>74</v>
      </c>
      <c r="D1539" t="s">
        <v>74</v>
      </c>
      <c r="E1539" t="s">
        <v>74</v>
      </c>
      <c r="F1539" t="s">
        <v>27690</v>
      </c>
      <c r="G1539" t="s">
        <v>74</v>
      </c>
      <c r="H1539" t="s">
        <v>74</v>
      </c>
      <c r="I1539" t="s">
        <v>27691</v>
      </c>
      <c r="J1539" t="s">
        <v>27692</v>
      </c>
      <c r="K1539" t="s">
        <v>74</v>
      </c>
      <c r="L1539" t="s">
        <v>74</v>
      </c>
      <c r="M1539" t="s">
        <v>79</v>
      </c>
      <c r="N1539" t="s">
        <v>108</v>
      </c>
      <c r="O1539" t="s">
        <v>74</v>
      </c>
      <c r="P1539" t="s">
        <v>74</v>
      </c>
      <c r="Q1539" t="s">
        <v>74</v>
      </c>
      <c r="R1539" t="s">
        <v>74</v>
      </c>
      <c r="S1539" t="s">
        <v>74</v>
      </c>
      <c r="T1539" t="s">
        <v>27693</v>
      </c>
      <c r="U1539" t="s">
        <v>27694</v>
      </c>
      <c r="V1539" t="s">
        <v>27695</v>
      </c>
      <c r="W1539" t="s">
        <v>27696</v>
      </c>
      <c r="X1539" t="s">
        <v>27697</v>
      </c>
      <c r="Y1539" t="s">
        <v>27698</v>
      </c>
      <c r="Z1539" t="s">
        <v>27699</v>
      </c>
      <c r="AA1539" t="s">
        <v>74</v>
      </c>
      <c r="AB1539" t="s">
        <v>74</v>
      </c>
      <c r="AC1539" t="s">
        <v>27700</v>
      </c>
      <c r="AD1539" t="s">
        <v>27701</v>
      </c>
      <c r="AE1539" t="s">
        <v>27702</v>
      </c>
      <c r="AF1539" t="s">
        <v>74</v>
      </c>
      <c r="AG1539">
        <v>58</v>
      </c>
      <c r="AH1539">
        <v>0</v>
      </c>
      <c r="AI1539">
        <v>0</v>
      </c>
      <c r="AJ1539">
        <v>16</v>
      </c>
      <c r="AK1539">
        <v>16</v>
      </c>
      <c r="AL1539" t="s">
        <v>3165</v>
      </c>
      <c r="AM1539" t="s">
        <v>3166</v>
      </c>
      <c r="AN1539" t="s">
        <v>3167</v>
      </c>
      <c r="AO1539" t="s">
        <v>27703</v>
      </c>
      <c r="AP1539" t="s">
        <v>27704</v>
      </c>
      <c r="AQ1539" t="s">
        <v>74</v>
      </c>
      <c r="AR1539" t="s">
        <v>27705</v>
      </c>
      <c r="AS1539" t="s">
        <v>27706</v>
      </c>
      <c r="AT1539" t="s">
        <v>251</v>
      </c>
      <c r="AU1539">
        <v>2024</v>
      </c>
      <c r="AV1539">
        <v>54</v>
      </c>
      <c r="AW1539">
        <v>2</v>
      </c>
      <c r="AX1539" t="s">
        <v>74</v>
      </c>
      <c r="AY1539" t="s">
        <v>74</v>
      </c>
      <c r="AZ1539" t="s">
        <v>74</v>
      </c>
      <c r="BA1539" t="s">
        <v>74</v>
      </c>
      <c r="BB1539">
        <v>308</v>
      </c>
      <c r="BC1539">
        <v>333</v>
      </c>
      <c r="BD1539" t="s">
        <v>74</v>
      </c>
      <c r="BE1539" t="s">
        <v>27707</v>
      </c>
      <c r="BF1539" t="str">
        <f>HYPERLINK("http://dx.doi.org/10.1002/spe.3274","http://dx.doi.org/10.1002/spe.3274")</f>
        <v>http://dx.doi.org/10.1002/spe.3274</v>
      </c>
      <c r="BG1539" t="s">
        <v>74</v>
      </c>
      <c r="BH1539" t="s">
        <v>278</v>
      </c>
      <c r="BI1539">
        <v>26</v>
      </c>
      <c r="BJ1539" t="s">
        <v>1563</v>
      </c>
      <c r="BK1539" t="s">
        <v>130</v>
      </c>
      <c r="BL1539" t="s">
        <v>99</v>
      </c>
      <c r="BM1539" t="s">
        <v>27708</v>
      </c>
      <c r="BN1539" t="s">
        <v>74</v>
      </c>
      <c r="BO1539" t="s">
        <v>74</v>
      </c>
      <c r="BP1539" t="s">
        <v>74</v>
      </c>
      <c r="BQ1539" t="s">
        <v>74</v>
      </c>
      <c r="BR1539" t="s">
        <v>101</v>
      </c>
      <c r="BS1539" t="s">
        <v>27709</v>
      </c>
      <c r="BT1539" t="str">
        <f>HYPERLINK("https%3A%2F%2Fwww.webofscience.com%2Fwos%2Fwoscc%2Ffull-record%2FWOS:001072827500001","View Full Record in Web of Science")</f>
        <v>View Full Record in Web of Science</v>
      </c>
    </row>
    <row r="1540" spans="1:72" x14ac:dyDescent="0.2">
      <c r="A1540" t="s">
        <v>72</v>
      </c>
      <c r="B1540" t="s">
        <v>27710</v>
      </c>
      <c r="C1540" t="s">
        <v>74</v>
      </c>
      <c r="D1540" t="s">
        <v>381</v>
      </c>
      <c r="E1540" t="s">
        <v>74</v>
      </c>
      <c r="F1540" t="s">
        <v>27711</v>
      </c>
      <c r="G1540" t="s">
        <v>74</v>
      </c>
      <c r="H1540" t="s">
        <v>74</v>
      </c>
      <c r="I1540" t="s">
        <v>27712</v>
      </c>
      <c r="J1540" t="s">
        <v>384</v>
      </c>
      <c r="K1540" t="s">
        <v>74</v>
      </c>
      <c r="L1540" t="s">
        <v>74</v>
      </c>
      <c r="M1540" t="s">
        <v>79</v>
      </c>
      <c r="N1540" t="s">
        <v>80</v>
      </c>
      <c r="O1540" t="s">
        <v>385</v>
      </c>
      <c r="P1540" t="s">
        <v>386</v>
      </c>
      <c r="Q1540" t="s">
        <v>387</v>
      </c>
      <c r="R1540" t="s">
        <v>388</v>
      </c>
      <c r="S1540" t="s">
        <v>389</v>
      </c>
      <c r="T1540" t="s">
        <v>27713</v>
      </c>
      <c r="U1540" t="s">
        <v>74</v>
      </c>
      <c r="V1540" t="s">
        <v>27714</v>
      </c>
      <c r="W1540" t="s">
        <v>27715</v>
      </c>
      <c r="X1540" t="s">
        <v>27716</v>
      </c>
      <c r="Y1540" t="s">
        <v>27717</v>
      </c>
      <c r="Z1540" t="s">
        <v>27718</v>
      </c>
      <c r="AA1540" t="s">
        <v>74</v>
      </c>
      <c r="AB1540" t="s">
        <v>74</v>
      </c>
      <c r="AC1540" t="s">
        <v>74</v>
      </c>
      <c r="AD1540" t="s">
        <v>74</v>
      </c>
      <c r="AE1540" t="s">
        <v>74</v>
      </c>
      <c r="AF1540" t="s">
        <v>74</v>
      </c>
      <c r="AG1540">
        <v>19</v>
      </c>
      <c r="AH1540">
        <v>0</v>
      </c>
      <c r="AI1540">
        <v>0</v>
      </c>
      <c r="AJ1540">
        <v>2</v>
      </c>
      <c r="AK1540">
        <v>2</v>
      </c>
      <c r="AL1540" t="s">
        <v>92</v>
      </c>
      <c r="AM1540" t="s">
        <v>93</v>
      </c>
      <c r="AN1540" t="s">
        <v>94</v>
      </c>
      <c r="AO1540" t="s">
        <v>74</v>
      </c>
      <c r="AP1540" t="s">
        <v>74</v>
      </c>
      <c r="AQ1540" t="s">
        <v>398</v>
      </c>
      <c r="AR1540" t="s">
        <v>74</v>
      </c>
      <c r="AS1540" t="s">
        <v>74</v>
      </c>
      <c r="AT1540" t="s">
        <v>74</v>
      </c>
      <c r="AU1540">
        <v>2023</v>
      </c>
      <c r="AV1540" t="s">
        <v>74</v>
      </c>
      <c r="AW1540" t="s">
        <v>74</v>
      </c>
      <c r="AX1540" t="s">
        <v>74</v>
      </c>
      <c r="AY1540" t="s">
        <v>74</v>
      </c>
      <c r="AZ1540" t="s">
        <v>74</v>
      </c>
      <c r="BA1540" t="s">
        <v>74</v>
      </c>
      <c r="BB1540">
        <v>44</v>
      </c>
      <c r="BC1540">
        <v>49</v>
      </c>
      <c r="BD1540" t="s">
        <v>74</v>
      </c>
      <c r="BE1540" t="s">
        <v>27719</v>
      </c>
      <c r="BF1540" t="str">
        <f>HYPERLINK("http://dx.doi.org/10.1145/3628096.3628747","http://dx.doi.org/10.1145/3628096.3628747")</f>
        <v>http://dx.doi.org/10.1145/3628096.3628747</v>
      </c>
      <c r="BG1540" t="s">
        <v>74</v>
      </c>
      <c r="BH1540" t="s">
        <v>74</v>
      </c>
      <c r="BI1540">
        <v>6</v>
      </c>
      <c r="BJ1540" t="s">
        <v>400</v>
      </c>
      <c r="BK1540" t="s">
        <v>98</v>
      </c>
      <c r="BL1540" t="s">
        <v>99</v>
      </c>
      <c r="BM1540" t="s">
        <v>401</v>
      </c>
      <c r="BN1540" t="s">
        <v>74</v>
      </c>
      <c r="BO1540" t="s">
        <v>74</v>
      </c>
      <c r="BP1540" t="s">
        <v>74</v>
      </c>
      <c r="BQ1540" t="s">
        <v>74</v>
      </c>
      <c r="BR1540" t="s">
        <v>101</v>
      </c>
      <c r="BS1540" t="s">
        <v>27720</v>
      </c>
      <c r="BT1540" t="str">
        <f>HYPERLINK("https%3A%2F%2Fwww.webofscience.com%2Fwos%2Fwoscc%2Ffull-record%2FWOS:001159802500009","View Full Record in Web of Science")</f>
        <v>View Full Record in Web of Science</v>
      </c>
    </row>
    <row r="1541" spans="1:72" x14ac:dyDescent="0.2">
      <c r="A1541" t="s">
        <v>72</v>
      </c>
      <c r="B1541" t="s">
        <v>27422</v>
      </c>
      <c r="C1541" t="s">
        <v>74</v>
      </c>
      <c r="D1541" t="s">
        <v>74</v>
      </c>
      <c r="E1541" t="s">
        <v>284</v>
      </c>
      <c r="F1541" t="s">
        <v>27423</v>
      </c>
      <c r="G1541" t="s">
        <v>74</v>
      </c>
      <c r="H1541" t="s">
        <v>74</v>
      </c>
      <c r="I1541" t="s">
        <v>27721</v>
      </c>
      <c r="J1541" t="s">
        <v>26180</v>
      </c>
      <c r="K1541" t="s">
        <v>26181</v>
      </c>
      <c r="L1541" t="s">
        <v>74</v>
      </c>
      <c r="M1541" t="s">
        <v>79</v>
      </c>
      <c r="N1541" t="s">
        <v>80</v>
      </c>
      <c r="O1541" t="s">
        <v>26182</v>
      </c>
      <c r="P1541" t="s">
        <v>26183</v>
      </c>
      <c r="Q1541" t="s">
        <v>26184</v>
      </c>
      <c r="R1541" t="s">
        <v>26185</v>
      </c>
      <c r="S1541" t="s">
        <v>74</v>
      </c>
      <c r="T1541" t="s">
        <v>27722</v>
      </c>
      <c r="U1541" t="s">
        <v>11395</v>
      </c>
      <c r="V1541" t="s">
        <v>27723</v>
      </c>
      <c r="W1541" t="s">
        <v>27724</v>
      </c>
      <c r="X1541" t="s">
        <v>27725</v>
      </c>
      <c r="Y1541" t="s">
        <v>27726</v>
      </c>
      <c r="Z1541" t="s">
        <v>27430</v>
      </c>
      <c r="AA1541" t="s">
        <v>27431</v>
      </c>
      <c r="AB1541" t="s">
        <v>27432</v>
      </c>
      <c r="AC1541" t="s">
        <v>27727</v>
      </c>
      <c r="AD1541" t="s">
        <v>27728</v>
      </c>
      <c r="AE1541" t="s">
        <v>27729</v>
      </c>
      <c r="AF1541" t="s">
        <v>74</v>
      </c>
      <c r="AG1541">
        <v>15</v>
      </c>
      <c r="AH1541">
        <v>0</v>
      </c>
      <c r="AI1541">
        <v>0</v>
      </c>
      <c r="AJ1541">
        <v>3</v>
      </c>
      <c r="AK1541">
        <v>3</v>
      </c>
      <c r="AL1541" t="s">
        <v>284</v>
      </c>
      <c r="AM1541" t="s">
        <v>93</v>
      </c>
      <c r="AN1541" t="s">
        <v>299</v>
      </c>
      <c r="AO1541" t="s">
        <v>26194</v>
      </c>
      <c r="AP1541" t="s">
        <v>74</v>
      </c>
      <c r="AQ1541" t="s">
        <v>26195</v>
      </c>
      <c r="AR1541" t="s">
        <v>26196</v>
      </c>
      <c r="AS1541" t="s">
        <v>74</v>
      </c>
      <c r="AT1541" t="s">
        <v>74</v>
      </c>
      <c r="AU1541">
        <v>2023</v>
      </c>
      <c r="AV1541" t="s">
        <v>74</v>
      </c>
      <c r="AW1541" t="s">
        <v>74</v>
      </c>
      <c r="AX1541" t="s">
        <v>74</v>
      </c>
      <c r="AY1541" t="s">
        <v>74</v>
      </c>
      <c r="AZ1541" t="s">
        <v>74</v>
      </c>
      <c r="BA1541" t="s">
        <v>74</v>
      </c>
      <c r="BB1541" t="s">
        <v>74</v>
      </c>
      <c r="BC1541" t="s">
        <v>74</v>
      </c>
      <c r="BD1541" t="s">
        <v>74</v>
      </c>
      <c r="BE1541" t="s">
        <v>27730</v>
      </c>
      <c r="BF1541" t="str">
        <f>HYPERLINK("http://dx.doi.org/10.1109/ISBI53787.2023.10230600","http://dx.doi.org/10.1109/ISBI53787.2023.10230600")</f>
        <v>http://dx.doi.org/10.1109/ISBI53787.2023.10230600</v>
      </c>
      <c r="BG1541" t="s">
        <v>74</v>
      </c>
      <c r="BH1541" t="s">
        <v>74</v>
      </c>
      <c r="BI1541">
        <v>5</v>
      </c>
      <c r="BJ1541" t="s">
        <v>26198</v>
      </c>
      <c r="BK1541" t="s">
        <v>98</v>
      </c>
      <c r="BL1541" t="s">
        <v>10749</v>
      </c>
      <c r="BM1541" t="s">
        <v>26199</v>
      </c>
      <c r="BN1541" t="s">
        <v>74</v>
      </c>
      <c r="BO1541" t="s">
        <v>646</v>
      </c>
      <c r="BP1541" t="s">
        <v>74</v>
      </c>
      <c r="BQ1541" t="s">
        <v>74</v>
      </c>
      <c r="BR1541" t="s">
        <v>101</v>
      </c>
      <c r="BS1541" t="s">
        <v>27731</v>
      </c>
      <c r="BT1541" t="str">
        <f>HYPERLINK("https%3A%2F%2Fwww.webofscience.com%2Fwos%2Fwoscc%2Ffull-record%2FWOS:001062050500277","View Full Record in Web of Science")</f>
        <v>View Full Record in Web of Science</v>
      </c>
    </row>
    <row r="1542" spans="1:72" x14ac:dyDescent="0.2">
      <c r="A1542" t="s">
        <v>72</v>
      </c>
      <c r="B1542" t="s">
        <v>27732</v>
      </c>
      <c r="C1542" t="s">
        <v>74</v>
      </c>
      <c r="D1542" t="s">
        <v>74</v>
      </c>
      <c r="E1542" t="s">
        <v>75</v>
      </c>
      <c r="F1542" t="s">
        <v>27733</v>
      </c>
      <c r="G1542" t="s">
        <v>74</v>
      </c>
      <c r="H1542" t="s">
        <v>74</v>
      </c>
      <c r="I1542" t="s">
        <v>27734</v>
      </c>
      <c r="J1542" t="s">
        <v>11855</v>
      </c>
      <c r="K1542" t="s">
        <v>74</v>
      </c>
      <c r="L1542" t="s">
        <v>74</v>
      </c>
      <c r="M1542" t="s">
        <v>79</v>
      </c>
      <c r="N1542" t="s">
        <v>80</v>
      </c>
      <c r="O1542" t="s">
        <v>11856</v>
      </c>
      <c r="P1542" t="s">
        <v>11857</v>
      </c>
      <c r="Q1542" t="s">
        <v>11858</v>
      </c>
      <c r="R1542" t="s">
        <v>11859</v>
      </c>
      <c r="S1542" t="s">
        <v>74</v>
      </c>
      <c r="T1542" t="s">
        <v>27735</v>
      </c>
      <c r="U1542" t="s">
        <v>74</v>
      </c>
      <c r="V1542" t="s">
        <v>27736</v>
      </c>
      <c r="W1542" t="s">
        <v>27737</v>
      </c>
      <c r="X1542" t="s">
        <v>27738</v>
      </c>
      <c r="Y1542" t="s">
        <v>27739</v>
      </c>
      <c r="Z1542" t="s">
        <v>27740</v>
      </c>
      <c r="AA1542" t="s">
        <v>74</v>
      </c>
      <c r="AB1542" t="s">
        <v>27741</v>
      </c>
      <c r="AC1542" t="s">
        <v>27742</v>
      </c>
      <c r="AD1542" t="s">
        <v>6006</v>
      </c>
      <c r="AE1542" t="s">
        <v>27743</v>
      </c>
      <c r="AF1542" t="s">
        <v>74</v>
      </c>
      <c r="AG1542">
        <v>36</v>
      </c>
      <c r="AH1542">
        <v>0</v>
      </c>
      <c r="AI1542">
        <v>0</v>
      </c>
      <c r="AJ1542">
        <v>2</v>
      </c>
      <c r="AK1542">
        <v>2</v>
      </c>
      <c r="AL1542" t="s">
        <v>92</v>
      </c>
      <c r="AM1542" t="s">
        <v>93</v>
      </c>
      <c r="AN1542" t="s">
        <v>94</v>
      </c>
      <c r="AO1542" t="s">
        <v>74</v>
      </c>
      <c r="AP1542" t="s">
        <v>74</v>
      </c>
      <c r="AQ1542" t="s">
        <v>11869</v>
      </c>
      <c r="AR1542" t="s">
        <v>74</v>
      </c>
      <c r="AS1542" t="s">
        <v>74</v>
      </c>
      <c r="AT1542" t="s">
        <v>74</v>
      </c>
      <c r="AU1542">
        <v>2023</v>
      </c>
      <c r="AV1542" t="s">
        <v>74</v>
      </c>
      <c r="AW1542" t="s">
        <v>74</v>
      </c>
      <c r="AX1542" t="s">
        <v>74</v>
      </c>
      <c r="AY1542" t="s">
        <v>74</v>
      </c>
      <c r="AZ1542" t="s">
        <v>74</v>
      </c>
      <c r="BA1542" t="s">
        <v>74</v>
      </c>
      <c r="BB1542">
        <v>195</v>
      </c>
      <c r="BC1542">
        <v>204</v>
      </c>
      <c r="BD1542" t="s">
        <v>74</v>
      </c>
      <c r="BE1542" t="s">
        <v>27744</v>
      </c>
      <c r="BF1542" t="str">
        <f>HYPERLINK("http://dx.doi.org/10.1145/3624918.3625339","http://dx.doi.org/10.1145/3624918.3625339")</f>
        <v>http://dx.doi.org/10.1145/3624918.3625339</v>
      </c>
      <c r="BG1542" t="s">
        <v>74</v>
      </c>
      <c r="BH1542" t="s">
        <v>74</v>
      </c>
      <c r="BI1542">
        <v>10</v>
      </c>
      <c r="BJ1542" t="s">
        <v>9511</v>
      </c>
      <c r="BK1542" t="s">
        <v>98</v>
      </c>
      <c r="BL1542" t="s">
        <v>99</v>
      </c>
      <c r="BM1542" t="s">
        <v>11871</v>
      </c>
      <c r="BN1542" t="s">
        <v>74</v>
      </c>
      <c r="BO1542" t="s">
        <v>646</v>
      </c>
      <c r="BP1542" t="s">
        <v>74</v>
      </c>
      <c r="BQ1542" t="s">
        <v>74</v>
      </c>
      <c r="BR1542" t="s">
        <v>101</v>
      </c>
      <c r="BS1542" t="s">
        <v>27745</v>
      </c>
      <c r="BT1542" t="str">
        <f>HYPERLINK("https%3A%2F%2Fwww.webofscience.com%2Fwos%2Fwoscc%2Ffull-record%2FWOS:001122582700022","View Full Record in Web of Science")</f>
        <v>View Full Record in Web of Science</v>
      </c>
    </row>
    <row r="1543" spans="1:72" x14ac:dyDescent="0.2">
      <c r="A1543" t="s">
        <v>72</v>
      </c>
      <c r="B1543" t="s">
        <v>27746</v>
      </c>
      <c r="C1543" t="s">
        <v>74</v>
      </c>
      <c r="D1543" t="s">
        <v>74</v>
      </c>
      <c r="E1543" t="s">
        <v>75</v>
      </c>
      <c r="F1543" t="s">
        <v>27747</v>
      </c>
      <c r="G1543" t="s">
        <v>74</v>
      </c>
      <c r="H1543" t="s">
        <v>74</v>
      </c>
      <c r="I1543" t="s">
        <v>27748</v>
      </c>
      <c r="J1543" t="s">
        <v>11855</v>
      </c>
      <c r="K1543" t="s">
        <v>74</v>
      </c>
      <c r="L1543" t="s">
        <v>74</v>
      </c>
      <c r="M1543" t="s">
        <v>79</v>
      </c>
      <c r="N1543" t="s">
        <v>80</v>
      </c>
      <c r="O1543" t="s">
        <v>11856</v>
      </c>
      <c r="P1543" t="s">
        <v>11857</v>
      </c>
      <c r="Q1543" t="s">
        <v>11858</v>
      </c>
      <c r="R1543" t="s">
        <v>11859</v>
      </c>
      <c r="S1543" t="s">
        <v>74</v>
      </c>
      <c r="T1543" t="s">
        <v>27749</v>
      </c>
      <c r="U1543" t="s">
        <v>74</v>
      </c>
      <c r="V1543" t="s">
        <v>27750</v>
      </c>
      <c r="W1543" t="s">
        <v>27751</v>
      </c>
      <c r="X1543" t="s">
        <v>27752</v>
      </c>
      <c r="Y1543" t="s">
        <v>27753</v>
      </c>
      <c r="Z1543" t="s">
        <v>27754</v>
      </c>
      <c r="AA1543" t="s">
        <v>74</v>
      </c>
      <c r="AB1543" t="s">
        <v>74</v>
      </c>
      <c r="AC1543" t="s">
        <v>74</v>
      </c>
      <c r="AD1543" t="s">
        <v>74</v>
      </c>
      <c r="AE1543" t="s">
        <v>74</v>
      </c>
      <c r="AF1543" t="s">
        <v>74</v>
      </c>
      <c r="AG1543">
        <v>50</v>
      </c>
      <c r="AH1543">
        <v>0</v>
      </c>
      <c r="AI1543">
        <v>0</v>
      </c>
      <c r="AJ1543">
        <v>2</v>
      </c>
      <c r="AK1543">
        <v>2</v>
      </c>
      <c r="AL1543" t="s">
        <v>92</v>
      </c>
      <c r="AM1543" t="s">
        <v>93</v>
      </c>
      <c r="AN1543" t="s">
        <v>94</v>
      </c>
      <c r="AO1543" t="s">
        <v>74</v>
      </c>
      <c r="AP1543" t="s">
        <v>74</v>
      </c>
      <c r="AQ1543" t="s">
        <v>11869</v>
      </c>
      <c r="AR1543" t="s">
        <v>74</v>
      </c>
      <c r="AS1543" t="s">
        <v>74</v>
      </c>
      <c r="AT1543" t="s">
        <v>74</v>
      </c>
      <c r="AU1543">
        <v>2023</v>
      </c>
      <c r="AV1543" t="s">
        <v>74</v>
      </c>
      <c r="AW1543" t="s">
        <v>74</v>
      </c>
      <c r="AX1543" t="s">
        <v>74</v>
      </c>
      <c r="AY1543" t="s">
        <v>74</v>
      </c>
      <c r="AZ1543" t="s">
        <v>74</v>
      </c>
      <c r="BA1543" t="s">
        <v>74</v>
      </c>
      <c r="BB1543">
        <v>52</v>
      </c>
      <c r="BC1543">
        <v>62</v>
      </c>
      <c r="BD1543" t="s">
        <v>74</v>
      </c>
      <c r="BE1543" t="s">
        <v>27755</v>
      </c>
      <c r="BF1543" t="str">
        <f>HYPERLINK("http://dx.doi.org/10.1145/3624918.3625315","http://dx.doi.org/10.1145/3624918.3625315")</f>
        <v>http://dx.doi.org/10.1145/3624918.3625315</v>
      </c>
      <c r="BG1543" t="s">
        <v>74</v>
      </c>
      <c r="BH1543" t="s">
        <v>74</v>
      </c>
      <c r="BI1543">
        <v>11</v>
      </c>
      <c r="BJ1543" t="s">
        <v>9511</v>
      </c>
      <c r="BK1543" t="s">
        <v>98</v>
      </c>
      <c r="BL1543" t="s">
        <v>99</v>
      </c>
      <c r="BM1543" t="s">
        <v>11871</v>
      </c>
      <c r="BN1543" t="s">
        <v>74</v>
      </c>
      <c r="BO1543" t="s">
        <v>74</v>
      </c>
      <c r="BP1543" t="s">
        <v>74</v>
      </c>
      <c r="BQ1543" t="s">
        <v>74</v>
      </c>
      <c r="BR1543" t="s">
        <v>101</v>
      </c>
      <c r="BS1543" t="s">
        <v>27756</v>
      </c>
      <c r="BT1543" t="str">
        <f>HYPERLINK("https%3A%2F%2Fwww.webofscience.com%2Fwos%2Fwoscc%2Ffull-record%2FWOS:001122582700007","View Full Record in Web of Science")</f>
        <v>View Full Record in Web of Science</v>
      </c>
    </row>
    <row r="1544" spans="1:72" x14ac:dyDescent="0.2">
      <c r="A1544" t="s">
        <v>103</v>
      </c>
      <c r="B1544" t="s">
        <v>27757</v>
      </c>
      <c r="C1544" t="s">
        <v>74</v>
      </c>
      <c r="D1544" t="s">
        <v>74</v>
      </c>
      <c r="E1544" t="s">
        <v>74</v>
      </c>
      <c r="F1544" t="s">
        <v>27758</v>
      </c>
      <c r="G1544" t="s">
        <v>74</v>
      </c>
      <c r="H1544" t="s">
        <v>74</v>
      </c>
      <c r="I1544" t="s">
        <v>27759</v>
      </c>
      <c r="J1544" t="s">
        <v>27760</v>
      </c>
      <c r="K1544" t="s">
        <v>74</v>
      </c>
      <c r="L1544" t="s">
        <v>74</v>
      </c>
      <c r="M1544" t="s">
        <v>79</v>
      </c>
      <c r="N1544" t="s">
        <v>108</v>
      </c>
      <c r="O1544" t="s">
        <v>74</v>
      </c>
      <c r="P1544" t="s">
        <v>74</v>
      </c>
      <c r="Q1544" t="s">
        <v>74</v>
      </c>
      <c r="R1544" t="s">
        <v>74</v>
      </c>
      <c r="S1544" t="s">
        <v>74</v>
      </c>
      <c r="T1544" t="s">
        <v>27761</v>
      </c>
      <c r="U1544" t="s">
        <v>27762</v>
      </c>
      <c r="V1544" t="s">
        <v>27763</v>
      </c>
      <c r="W1544" t="s">
        <v>27764</v>
      </c>
      <c r="X1544" t="s">
        <v>27765</v>
      </c>
      <c r="Y1544" t="s">
        <v>27766</v>
      </c>
      <c r="Z1544" t="s">
        <v>27767</v>
      </c>
      <c r="AA1544" t="s">
        <v>74</v>
      </c>
      <c r="AB1544" t="s">
        <v>74</v>
      </c>
      <c r="AC1544" t="s">
        <v>27768</v>
      </c>
      <c r="AD1544" t="s">
        <v>27769</v>
      </c>
      <c r="AE1544" t="s">
        <v>27770</v>
      </c>
      <c r="AF1544" t="s">
        <v>74</v>
      </c>
      <c r="AG1544">
        <v>24</v>
      </c>
      <c r="AH1544">
        <v>0</v>
      </c>
      <c r="AI1544">
        <v>0</v>
      </c>
      <c r="AJ1544">
        <v>5</v>
      </c>
      <c r="AK1544">
        <v>5</v>
      </c>
      <c r="AL1544" t="s">
        <v>764</v>
      </c>
      <c r="AM1544" t="s">
        <v>765</v>
      </c>
      <c r="AN1544" t="s">
        <v>766</v>
      </c>
      <c r="AO1544" t="s">
        <v>27771</v>
      </c>
      <c r="AP1544" t="s">
        <v>74</v>
      </c>
      <c r="AQ1544" t="s">
        <v>74</v>
      </c>
      <c r="AR1544" t="s">
        <v>27772</v>
      </c>
      <c r="AS1544" t="s">
        <v>27773</v>
      </c>
      <c r="AT1544" t="s">
        <v>276</v>
      </c>
      <c r="AU1544">
        <v>2023</v>
      </c>
      <c r="AV1544">
        <v>76</v>
      </c>
      <c r="AW1544" t="s">
        <v>74</v>
      </c>
      <c r="AX1544" t="s">
        <v>74</v>
      </c>
      <c r="AY1544" t="s">
        <v>74</v>
      </c>
      <c r="AZ1544" t="s">
        <v>74</v>
      </c>
      <c r="BA1544" t="s">
        <v>74</v>
      </c>
      <c r="BB1544" t="s">
        <v>74</v>
      </c>
      <c r="BC1544" t="s">
        <v>74</v>
      </c>
      <c r="BD1544">
        <v>103314</v>
      </c>
      <c r="BE1544" t="s">
        <v>27774</v>
      </c>
      <c r="BF1544" t="str">
        <f>HYPERLINK("http://dx.doi.org/10.1016/j.algal.2023.103314","http://dx.doi.org/10.1016/j.algal.2023.103314")</f>
        <v>http://dx.doi.org/10.1016/j.algal.2023.103314</v>
      </c>
      <c r="BG1544" t="s">
        <v>74</v>
      </c>
      <c r="BH1544" t="s">
        <v>157</v>
      </c>
      <c r="BI1544">
        <v>7</v>
      </c>
      <c r="BJ1544" t="s">
        <v>27775</v>
      </c>
      <c r="BK1544" t="s">
        <v>130</v>
      </c>
      <c r="BL1544" t="s">
        <v>27775</v>
      </c>
      <c r="BM1544" t="s">
        <v>27776</v>
      </c>
      <c r="BN1544" t="s">
        <v>74</v>
      </c>
      <c r="BO1544" t="s">
        <v>74</v>
      </c>
      <c r="BP1544" t="s">
        <v>74</v>
      </c>
      <c r="BQ1544" t="s">
        <v>74</v>
      </c>
      <c r="BR1544" t="s">
        <v>101</v>
      </c>
      <c r="BS1544" t="s">
        <v>27777</v>
      </c>
      <c r="BT1544" t="str">
        <f>HYPERLINK("https%3A%2F%2Fwww.webofscience.com%2Fwos%2Fwoscc%2Ffull-record%2FWOS:001111840400001","View Full Record in Web of Science")</f>
        <v>View Full Record in Web of Science</v>
      </c>
    </row>
    <row r="1545" spans="1:72" x14ac:dyDescent="0.2">
      <c r="A1545" t="s">
        <v>103</v>
      </c>
      <c r="B1545" t="s">
        <v>27778</v>
      </c>
      <c r="C1545" t="s">
        <v>74</v>
      </c>
      <c r="D1545" t="s">
        <v>74</v>
      </c>
      <c r="E1545" t="s">
        <v>74</v>
      </c>
      <c r="F1545" t="s">
        <v>27779</v>
      </c>
      <c r="G1545" t="s">
        <v>74</v>
      </c>
      <c r="H1545" t="s">
        <v>74</v>
      </c>
      <c r="I1545" t="s">
        <v>27780</v>
      </c>
      <c r="J1545" t="s">
        <v>3782</v>
      </c>
      <c r="K1545" t="s">
        <v>74</v>
      </c>
      <c r="L1545" t="s">
        <v>74</v>
      </c>
      <c r="M1545" t="s">
        <v>79</v>
      </c>
      <c r="N1545" t="s">
        <v>108</v>
      </c>
      <c r="O1545" t="s">
        <v>74</v>
      </c>
      <c r="P1545" t="s">
        <v>74</v>
      </c>
      <c r="Q1545" t="s">
        <v>74</v>
      </c>
      <c r="R1545" t="s">
        <v>74</v>
      </c>
      <c r="S1545" t="s">
        <v>74</v>
      </c>
      <c r="T1545" t="s">
        <v>27781</v>
      </c>
      <c r="U1545" t="s">
        <v>27782</v>
      </c>
      <c r="V1545" t="s">
        <v>27783</v>
      </c>
      <c r="W1545" t="s">
        <v>27784</v>
      </c>
      <c r="X1545" t="s">
        <v>27785</v>
      </c>
      <c r="Y1545" t="s">
        <v>27786</v>
      </c>
      <c r="Z1545" t="s">
        <v>27787</v>
      </c>
      <c r="AA1545" t="s">
        <v>74</v>
      </c>
      <c r="AB1545" t="s">
        <v>74</v>
      </c>
      <c r="AC1545" t="s">
        <v>27788</v>
      </c>
      <c r="AD1545" t="s">
        <v>27789</v>
      </c>
      <c r="AE1545" t="s">
        <v>27790</v>
      </c>
      <c r="AF1545" t="s">
        <v>74</v>
      </c>
      <c r="AG1545">
        <v>53</v>
      </c>
      <c r="AH1545">
        <v>5</v>
      </c>
      <c r="AI1545">
        <v>5</v>
      </c>
      <c r="AJ1545">
        <v>7</v>
      </c>
      <c r="AK1545">
        <v>13</v>
      </c>
      <c r="AL1545" t="s">
        <v>1379</v>
      </c>
      <c r="AM1545" t="s">
        <v>1380</v>
      </c>
      <c r="AN1545" t="s">
        <v>1381</v>
      </c>
      <c r="AO1545" t="s">
        <v>3794</v>
      </c>
      <c r="AP1545" t="s">
        <v>3795</v>
      </c>
      <c r="AQ1545" t="s">
        <v>74</v>
      </c>
      <c r="AR1545" t="s">
        <v>3796</v>
      </c>
      <c r="AS1545" t="s">
        <v>3797</v>
      </c>
      <c r="AT1545" t="s">
        <v>74</v>
      </c>
      <c r="AU1545">
        <v>2023</v>
      </c>
      <c r="AV1545">
        <v>25</v>
      </c>
      <c r="AW1545" t="s">
        <v>74</v>
      </c>
      <c r="AX1545" t="s">
        <v>74</v>
      </c>
      <c r="AY1545" t="s">
        <v>74</v>
      </c>
      <c r="AZ1545" t="s">
        <v>74</v>
      </c>
      <c r="BA1545" t="s">
        <v>74</v>
      </c>
      <c r="BB1545">
        <v>1111</v>
      </c>
      <c r="BC1545">
        <v>1124</v>
      </c>
      <c r="BD1545" t="s">
        <v>74</v>
      </c>
      <c r="BE1545" t="s">
        <v>27791</v>
      </c>
      <c r="BF1545" t="str">
        <f>HYPERLINK("http://dx.doi.org/10.1109/TMM.2021.3139209","http://dx.doi.org/10.1109/TMM.2021.3139209")</f>
        <v>http://dx.doi.org/10.1109/TMM.2021.3139209</v>
      </c>
      <c r="BG1545" t="s">
        <v>74</v>
      </c>
      <c r="BH1545" t="s">
        <v>74</v>
      </c>
      <c r="BI1545">
        <v>14</v>
      </c>
      <c r="BJ1545" t="s">
        <v>3799</v>
      </c>
      <c r="BK1545" t="s">
        <v>130</v>
      </c>
      <c r="BL1545" t="s">
        <v>644</v>
      </c>
      <c r="BM1545" t="s">
        <v>27792</v>
      </c>
      <c r="BN1545" t="s">
        <v>74</v>
      </c>
      <c r="BO1545" t="s">
        <v>74</v>
      </c>
      <c r="BP1545" t="s">
        <v>74</v>
      </c>
      <c r="BQ1545" t="s">
        <v>74</v>
      </c>
      <c r="BR1545" t="s">
        <v>101</v>
      </c>
      <c r="BS1545" t="s">
        <v>27793</v>
      </c>
      <c r="BT1545" t="str">
        <f>HYPERLINK("https%3A%2F%2Fwww.webofscience.com%2Fwos%2Fwoscc%2Ffull-record%2FWOS:000970791100007","View Full Record in Web of Science")</f>
        <v>View Full Record in Web of Science</v>
      </c>
    </row>
    <row r="1546" spans="1:72" x14ac:dyDescent="0.2">
      <c r="A1546" t="s">
        <v>103</v>
      </c>
      <c r="B1546" t="s">
        <v>27794</v>
      </c>
      <c r="C1546" t="s">
        <v>74</v>
      </c>
      <c r="D1546" t="s">
        <v>74</v>
      </c>
      <c r="E1546" t="s">
        <v>74</v>
      </c>
      <c r="F1546" t="s">
        <v>27795</v>
      </c>
      <c r="G1546" t="s">
        <v>74</v>
      </c>
      <c r="H1546" t="s">
        <v>74</v>
      </c>
      <c r="I1546" t="s">
        <v>27796</v>
      </c>
      <c r="J1546" t="s">
        <v>27797</v>
      </c>
      <c r="K1546" t="s">
        <v>74</v>
      </c>
      <c r="L1546" t="s">
        <v>74</v>
      </c>
      <c r="M1546" t="s">
        <v>79</v>
      </c>
      <c r="N1546" t="s">
        <v>108</v>
      </c>
      <c r="O1546" t="s">
        <v>74</v>
      </c>
      <c r="P1546" t="s">
        <v>74</v>
      </c>
      <c r="Q1546" t="s">
        <v>74</v>
      </c>
      <c r="R1546" t="s">
        <v>74</v>
      </c>
      <c r="S1546" t="s">
        <v>74</v>
      </c>
      <c r="T1546" t="s">
        <v>27798</v>
      </c>
      <c r="U1546" t="s">
        <v>27799</v>
      </c>
      <c r="V1546" t="s">
        <v>27800</v>
      </c>
      <c r="W1546" t="s">
        <v>27801</v>
      </c>
      <c r="X1546" t="s">
        <v>27802</v>
      </c>
      <c r="Y1546" t="s">
        <v>27803</v>
      </c>
      <c r="Z1546" t="s">
        <v>27804</v>
      </c>
      <c r="AA1546" t="s">
        <v>27805</v>
      </c>
      <c r="AB1546" t="s">
        <v>27806</v>
      </c>
      <c r="AC1546" t="s">
        <v>27807</v>
      </c>
      <c r="AD1546" t="s">
        <v>27808</v>
      </c>
      <c r="AE1546" t="s">
        <v>27809</v>
      </c>
      <c r="AF1546" t="s">
        <v>74</v>
      </c>
      <c r="AG1546">
        <v>38</v>
      </c>
      <c r="AH1546">
        <v>1</v>
      </c>
      <c r="AI1546">
        <v>1</v>
      </c>
      <c r="AJ1546">
        <v>18</v>
      </c>
      <c r="AK1546">
        <v>19</v>
      </c>
      <c r="AL1546" t="s">
        <v>1379</v>
      </c>
      <c r="AM1546" t="s">
        <v>1380</v>
      </c>
      <c r="AN1546" t="s">
        <v>1381</v>
      </c>
      <c r="AO1546" t="s">
        <v>27810</v>
      </c>
      <c r="AP1546" t="s">
        <v>27811</v>
      </c>
      <c r="AQ1546" t="s">
        <v>74</v>
      </c>
      <c r="AR1546" t="s">
        <v>27812</v>
      </c>
      <c r="AS1546" t="s">
        <v>27813</v>
      </c>
      <c r="AT1546" t="s">
        <v>74</v>
      </c>
      <c r="AU1546">
        <v>2023</v>
      </c>
      <c r="AV1546">
        <v>32</v>
      </c>
      <c r="AW1546" t="s">
        <v>74</v>
      </c>
      <c r="AX1546" t="s">
        <v>74</v>
      </c>
      <c r="AY1546" t="s">
        <v>74</v>
      </c>
      <c r="AZ1546" t="s">
        <v>74</v>
      </c>
      <c r="BA1546" t="s">
        <v>74</v>
      </c>
      <c r="BB1546">
        <v>5004</v>
      </c>
      <c r="BC1546">
        <v>5016</v>
      </c>
      <c r="BD1546" t="s">
        <v>74</v>
      </c>
      <c r="BE1546" t="s">
        <v>27814</v>
      </c>
      <c r="BF1546" t="str">
        <f>HYPERLINK("http://dx.doi.org/10.1109/TIP.2023.3309408","http://dx.doi.org/10.1109/TIP.2023.3309408")</f>
        <v>http://dx.doi.org/10.1109/TIP.2023.3309408</v>
      </c>
      <c r="BG1546" t="s">
        <v>74</v>
      </c>
      <c r="BH1546" t="s">
        <v>74</v>
      </c>
      <c r="BI1546">
        <v>13</v>
      </c>
      <c r="BJ1546" t="s">
        <v>6627</v>
      </c>
      <c r="BK1546" t="s">
        <v>130</v>
      </c>
      <c r="BL1546" t="s">
        <v>906</v>
      </c>
      <c r="BM1546" t="s">
        <v>27815</v>
      </c>
      <c r="BN1546">
        <v>37656642</v>
      </c>
      <c r="BO1546" t="s">
        <v>646</v>
      </c>
      <c r="BP1546" t="s">
        <v>74</v>
      </c>
      <c r="BQ1546" t="s">
        <v>74</v>
      </c>
      <c r="BR1546" t="s">
        <v>101</v>
      </c>
      <c r="BS1546" t="s">
        <v>27816</v>
      </c>
      <c r="BT1546" t="str">
        <f>HYPERLINK("https%3A%2F%2Fwww.webofscience.com%2Fwos%2Fwoscc%2Ffull-record%2FWOS:001064516200003","View Full Record in Web of Science")</f>
        <v>View Full Record in Web of Science</v>
      </c>
    </row>
    <row r="1547" spans="1:72" x14ac:dyDescent="0.2">
      <c r="A1547" t="s">
        <v>103</v>
      </c>
      <c r="B1547" t="s">
        <v>27817</v>
      </c>
      <c r="C1547" t="s">
        <v>74</v>
      </c>
      <c r="D1547" t="s">
        <v>74</v>
      </c>
      <c r="E1547" t="s">
        <v>74</v>
      </c>
      <c r="F1547" t="s">
        <v>27818</v>
      </c>
      <c r="G1547" t="s">
        <v>74</v>
      </c>
      <c r="H1547" t="s">
        <v>74</v>
      </c>
      <c r="I1547" t="s">
        <v>27819</v>
      </c>
      <c r="J1547" t="s">
        <v>27820</v>
      </c>
      <c r="K1547" t="s">
        <v>74</v>
      </c>
      <c r="L1547" t="s">
        <v>74</v>
      </c>
      <c r="M1547" t="s">
        <v>79</v>
      </c>
      <c r="N1547" t="s">
        <v>108</v>
      </c>
      <c r="O1547" t="s">
        <v>74</v>
      </c>
      <c r="P1547" t="s">
        <v>74</v>
      </c>
      <c r="Q1547" t="s">
        <v>74</v>
      </c>
      <c r="R1547" t="s">
        <v>74</v>
      </c>
      <c r="S1547" t="s">
        <v>74</v>
      </c>
      <c r="T1547" t="s">
        <v>27821</v>
      </c>
      <c r="U1547" t="s">
        <v>27822</v>
      </c>
      <c r="V1547" t="s">
        <v>27823</v>
      </c>
      <c r="W1547" t="s">
        <v>27824</v>
      </c>
      <c r="X1547" t="s">
        <v>27825</v>
      </c>
      <c r="Y1547" t="s">
        <v>27826</v>
      </c>
      <c r="Z1547" t="s">
        <v>27827</v>
      </c>
      <c r="AA1547" t="s">
        <v>74</v>
      </c>
      <c r="AB1547" t="s">
        <v>74</v>
      </c>
      <c r="AC1547" t="s">
        <v>27828</v>
      </c>
      <c r="AD1547" t="s">
        <v>27828</v>
      </c>
      <c r="AE1547" t="s">
        <v>27829</v>
      </c>
      <c r="AF1547" t="s">
        <v>74</v>
      </c>
      <c r="AG1547">
        <v>91</v>
      </c>
      <c r="AH1547">
        <v>0</v>
      </c>
      <c r="AI1547">
        <v>0</v>
      </c>
      <c r="AJ1547">
        <v>8</v>
      </c>
      <c r="AK1547">
        <v>8</v>
      </c>
      <c r="AL1547" t="s">
        <v>764</v>
      </c>
      <c r="AM1547" t="s">
        <v>765</v>
      </c>
      <c r="AN1547" t="s">
        <v>766</v>
      </c>
      <c r="AO1547" t="s">
        <v>27830</v>
      </c>
      <c r="AP1547" t="s">
        <v>27831</v>
      </c>
      <c r="AQ1547" t="s">
        <v>74</v>
      </c>
      <c r="AR1547" t="s">
        <v>27832</v>
      </c>
      <c r="AS1547" t="s">
        <v>27833</v>
      </c>
      <c r="AT1547" t="s">
        <v>2016</v>
      </c>
      <c r="AU1547">
        <v>2024</v>
      </c>
      <c r="AV1547">
        <v>185</v>
      </c>
      <c r="AW1547" t="s">
        <v>74</v>
      </c>
      <c r="AX1547" t="s">
        <v>74</v>
      </c>
      <c r="AY1547" t="s">
        <v>74</v>
      </c>
      <c r="AZ1547" t="s">
        <v>74</v>
      </c>
      <c r="BA1547" t="s">
        <v>74</v>
      </c>
      <c r="BB1547" t="s">
        <v>74</v>
      </c>
      <c r="BC1547" t="s">
        <v>74</v>
      </c>
      <c r="BD1547">
        <v>108725</v>
      </c>
      <c r="BE1547" t="s">
        <v>27834</v>
      </c>
      <c r="BF1547" t="str">
        <f>HYPERLINK("http://dx.doi.org/10.1016/j.biopsycho.2023.108725","http://dx.doi.org/10.1016/j.biopsycho.2023.108725")</f>
        <v>http://dx.doi.org/10.1016/j.biopsycho.2023.108725</v>
      </c>
      <c r="BG1547" t="s">
        <v>74</v>
      </c>
      <c r="BH1547" t="s">
        <v>128</v>
      </c>
      <c r="BI1547">
        <v>16</v>
      </c>
      <c r="BJ1547" t="s">
        <v>27835</v>
      </c>
      <c r="BK1547" t="s">
        <v>947</v>
      </c>
      <c r="BL1547" t="s">
        <v>27836</v>
      </c>
      <c r="BM1547" t="s">
        <v>27837</v>
      </c>
      <c r="BN1547">
        <v>37993083</v>
      </c>
      <c r="BO1547" t="s">
        <v>74</v>
      </c>
      <c r="BP1547" t="s">
        <v>74</v>
      </c>
      <c r="BQ1547" t="s">
        <v>74</v>
      </c>
      <c r="BR1547" t="s">
        <v>101</v>
      </c>
      <c r="BS1547" t="s">
        <v>27838</v>
      </c>
      <c r="BT1547" t="str">
        <f>HYPERLINK("https%3A%2F%2Fwww.webofscience.com%2Fwos%2Fwoscc%2Ffull-record%2FWOS:001131731100001","View Full Record in Web of Science")</f>
        <v>View Full Record in Web of Science</v>
      </c>
    </row>
    <row r="1548" spans="1:72" x14ac:dyDescent="0.2">
      <c r="A1548" t="s">
        <v>103</v>
      </c>
      <c r="B1548" t="s">
        <v>27839</v>
      </c>
      <c r="C1548" t="s">
        <v>74</v>
      </c>
      <c r="D1548" t="s">
        <v>74</v>
      </c>
      <c r="E1548" t="s">
        <v>74</v>
      </c>
      <c r="F1548" t="s">
        <v>27840</v>
      </c>
      <c r="G1548" t="s">
        <v>74</v>
      </c>
      <c r="H1548" t="s">
        <v>74</v>
      </c>
      <c r="I1548" t="s">
        <v>27841</v>
      </c>
      <c r="J1548" t="s">
        <v>10733</v>
      </c>
      <c r="K1548" t="s">
        <v>74</v>
      </c>
      <c r="L1548" t="s">
        <v>74</v>
      </c>
      <c r="M1548" t="s">
        <v>79</v>
      </c>
      <c r="N1548" t="s">
        <v>108</v>
      </c>
      <c r="O1548" t="s">
        <v>74</v>
      </c>
      <c r="P1548" t="s">
        <v>74</v>
      </c>
      <c r="Q1548" t="s">
        <v>74</v>
      </c>
      <c r="R1548" t="s">
        <v>74</v>
      </c>
      <c r="S1548" t="s">
        <v>74</v>
      </c>
      <c r="T1548" t="s">
        <v>27842</v>
      </c>
      <c r="U1548" t="s">
        <v>74</v>
      </c>
      <c r="V1548" t="s">
        <v>27843</v>
      </c>
      <c r="W1548" t="s">
        <v>27844</v>
      </c>
      <c r="X1548" t="s">
        <v>27845</v>
      </c>
      <c r="Y1548" t="s">
        <v>27846</v>
      </c>
      <c r="Z1548" t="s">
        <v>27847</v>
      </c>
      <c r="AA1548" t="s">
        <v>27848</v>
      </c>
      <c r="AB1548" t="s">
        <v>27849</v>
      </c>
      <c r="AC1548" t="s">
        <v>27850</v>
      </c>
      <c r="AD1548" t="s">
        <v>27851</v>
      </c>
      <c r="AE1548" t="s">
        <v>27852</v>
      </c>
      <c r="AF1548" t="s">
        <v>74</v>
      </c>
      <c r="AG1548">
        <v>51</v>
      </c>
      <c r="AH1548">
        <v>0</v>
      </c>
      <c r="AI1548">
        <v>0</v>
      </c>
      <c r="AJ1548">
        <v>6</v>
      </c>
      <c r="AK1548">
        <v>6</v>
      </c>
      <c r="AL1548" t="s">
        <v>764</v>
      </c>
      <c r="AM1548" t="s">
        <v>765</v>
      </c>
      <c r="AN1548" t="s">
        <v>766</v>
      </c>
      <c r="AO1548" t="s">
        <v>10743</v>
      </c>
      <c r="AP1548" t="s">
        <v>10744</v>
      </c>
      <c r="AQ1548" t="s">
        <v>74</v>
      </c>
      <c r="AR1548" t="s">
        <v>10745</v>
      </c>
      <c r="AS1548" t="s">
        <v>10746</v>
      </c>
      <c r="AT1548" t="s">
        <v>527</v>
      </c>
      <c r="AU1548">
        <v>2023</v>
      </c>
      <c r="AV1548">
        <v>90</v>
      </c>
      <c r="AW1548" t="s">
        <v>74</v>
      </c>
      <c r="AX1548" t="s">
        <v>74</v>
      </c>
      <c r="AY1548" t="s">
        <v>74</v>
      </c>
      <c r="AZ1548" t="s">
        <v>74</v>
      </c>
      <c r="BA1548" t="s">
        <v>74</v>
      </c>
      <c r="BB1548" t="s">
        <v>74</v>
      </c>
      <c r="BC1548" t="s">
        <v>74</v>
      </c>
      <c r="BD1548">
        <v>102967</v>
      </c>
      <c r="BE1548" t="s">
        <v>27853</v>
      </c>
      <c r="BF1548" t="str">
        <f>HYPERLINK("http://dx.doi.org/10.1016/j.media.2023.102967","http://dx.doi.org/10.1016/j.media.2023.102967")</f>
        <v>http://dx.doi.org/10.1016/j.media.2023.102967</v>
      </c>
      <c r="BG1548" t="s">
        <v>74</v>
      </c>
      <c r="BH1548" t="s">
        <v>278</v>
      </c>
      <c r="BI1548">
        <v>11</v>
      </c>
      <c r="BJ1548" t="s">
        <v>10748</v>
      </c>
      <c r="BK1548" t="s">
        <v>130</v>
      </c>
      <c r="BL1548" t="s">
        <v>10749</v>
      </c>
      <c r="BM1548" t="s">
        <v>27854</v>
      </c>
      <c r="BN1548">
        <v>37778102</v>
      </c>
      <c r="BO1548" t="s">
        <v>1214</v>
      </c>
      <c r="BP1548" t="s">
        <v>74</v>
      </c>
      <c r="BQ1548" t="s">
        <v>74</v>
      </c>
      <c r="BR1548" t="s">
        <v>101</v>
      </c>
      <c r="BS1548" t="s">
        <v>27855</v>
      </c>
      <c r="BT1548" t="str">
        <f>HYPERLINK("https%3A%2F%2Fwww.webofscience.com%2Fwos%2Fwoscc%2Ffull-record%2FWOS:001086674900001","View Full Record in Web of Science")</f>
        <v>View Full Record in Web of Science</v>
      </c>
    </row>
    <row r="1549" spans="1:72" x14ac:dyDescent="0.2">
      <c r="A1549" t="s">
        <v>103</v>
      </c>
      <c r="B1549" t="s">
        <v>27856</v>
      </c>
      <c r="C1549" t="s">
        <v>74</v>
      </c>
      <c r="D1549" t="s">
        <v>74</v>
      </c>
      <c r="E1549" t="s">
        <v>74</v>
      </c>
      <c r="F1549" t="s">
        <v>27857</v>
      </c>
      <c r="G1549" t="s">
        <v>74</v>
      </c>
      <c r="H1549" t="s">
        <v>74</v>
      </c>
      <c r="I1549" t="s">
        <v>27858</v>
      </c>
      <c r="J1549" t="s">
        <v>27859</v>
      </c>
      <c r="K1549" t="s">
        <v>74</v>
      </c>
      <c r="L1549" t="s">
        <v>74</v>
      </c>
      <c r="M1549" t="s">
        <v>79</v>
      </c>
      <c r="N1549" t="s">
        <v>108</v>
      </c>
      <c r="O1549" t="s">
        <v>74</v>
      </c>
      <c r="P1549" t="s">
        <v>74</v>
      </c>
      <c r="Q1549" t="s">
        <v>74</v>
      </c>
      <c r="R1549" t="s">
        <v>74</v>
      </c>
      <c r="S1549" t="s">
        <v>74</v>
      </c>
      <c r="T1549" t="s">
        <v>27860</v>
      </c>
      <c r="U1549" t="s">
        <v>27861</v>
      </c>
      <c r="V1549" t="s">
        <v>27862</v>
      </c>
      <c r="W1549" t="s">
        <v>27863</v>
      </c>
      <c r="X1549" t="s">
        <v>27864</v>
      </c>
      <c r="Y1549" t="s">
        <v>27865</v>
      </c>
      <c r="Z1549" t="s">
        <v>27866</v>
      </c>
      <c r="AA1549" t="s">
        <v>74</v>
      </c>
      <c r="AB1549" t="s">
        <v>74</v>
      </c>
      <c r="AC1549" t="s">
        <v>27867</v>
      </c>
      <c r="AD1549" t="s">
        <v>22791</v>
      </c>
      <c r="AE1549" t="s">
        <v>27868</v>
      </c>
      <c r="AF1549" t="s">
        <v>74</v>
      </c>
      <c r="AG1549">
        <v>51</v>
      </c>
      <c r="AH1549">
        <v>0</v>
      </c>
      <c r="AI1549">
        <v>0</v>
      </c>
      <c r="AJ1549">
        <v>0</v>
      </c>
      <c r="AK1549">
        <v>0</v>
      </c>
      <c r="AL1549" t="s">
        <v>939</v>
      </c>
      <c r="AM1549" t="s">
        <v>940</v>
      </c>
      <c r="AN1549" t="s">
        <v>941</v>
      </c>
      <c r="AO1549" t="s">
        <v>74</v>
      </c>
      <c r="AP1549" t="s">
        <v>27869</v>
      </c>
      <c r="AQ1549" t="s">
        <v>74</v>
      </c>
      <c r="AR1549" t="s">
        <v>27859</v>
      </c>
      <c r="AS1549" t="s">
        <v>27870</v>
      </c>
      <c r="AT1549" t="s">
        <v>527</v>
      </c>
      <c r="AU1549">
        <v>2023</v>
      </c>
      <c r="AV1549">
        <v>13</v>
      </c>
      <c r="AW1549">
        <v>12</v>
      </c>
      <c r="AX1549" t="s">
        <v>74</v>
      </c>
      <c r="AY1549" t="s">
        <v>74</v>
      </c>
      <c r="AZ1549" t="s">
        <v>74</v>
      </c>
      <c r="BA1549" t="s">
        <v>74</v>
      </c>
      <c r="BB1549" t="s">
        <v>74</v>
      </c>
      <c r="BC1549" t="s">
        <v>74</v>
      </c>
      <c r="BD1549">
        <v>2272</v>
      </c>
      <c r="BE1549" t="s">
        <v>27871</v>
      </c>
      <c r="BF1549" t="str">
        <f>HYPERLINK("http://dx.doi.org/10.3390/life13122272","http://dx.doi.org/10.3390/life13122272")</f>
        <v>http://dx.doi.org/10.3390/life13122272</v>
      </c>
      <c r="BG1549" t="s">
        <v>74</v>
      </c>
      <c r="BH1549" t="s">
        <v>74</v>
      </c>
      <c r="BI1549">
        <v>16</v>
      </c>
      <c r="BJ1549" t="s">
        <v>27872</v>
      </c>
      <c r="BK1549" t="s">
        <v>130</v>
      </c>
      <c r="BL1549" t="s">
        <v>27873</v>
      </c>
      <c r="BM1549" t="s">
        <v>27874</v>
      </c>
      <c r="BN1549">
        <v>38137873</v>
      </c>
      <c r="BO1549" t="s">
        <v>1728</v>
      </c>
      <c r="BP1549" t="s">
        <v>74</v>
      </c>
      <c r="BQ1549" t="s">
        <v>74</v>
      </c>
      <c r="BR1549" t="s">
        <v>101</v>
      </c>
      <c r="BS1549" t="s">
        <v>27875</v>
      </c>
      <c r="BT1549" t="str">
        <f>HYPERLINK("https%3A%2F%2Fwww.webofscience.com%2Fwos%2Fwoscc%2Ffull-record%2FWOS:001132137900001","View Full Record in Web of Science")</f>
        <v>View Full Record in Web of Science</v>
      </c>
    </row>
    <row r="1550" spans="1:72" x14ac:dyDescent="0.2">
      <c r="A1550" t="s">
        <v>72</v>
      </c>
      <c r="B1550" t="s">
        <v>27876</v>
      </c>
      <c r="C1550" t="s">
        <v>74</v>
      </c>
      <c r="D1550" t="s">
        <v>8562</v>
      </c>
      <c r="E1550" t="s">
        <v>74</v>
      </c>
      <c r="F1550" t="s">
        <v>27877</v>
      </c>
      <c r="G1550" t="s">
        <v>74</v>
      </c>
      <c r="H1550" t="s">
        <v>74</v>
      </c>
      <c r="I1550" t="s">
        <v>27878</v>
      </c>
      <c r="J1550" t="s">
        <v>10597</v>
      </c>
      <c r="K1550" t="s">
        <v>1034</v>
      </c>
      <c r="L1550" t="s">
        <v>74</v>
      </c>
      <c r="M1550" t="s">
        <v>79</v>
      </c>
      <c r="N1550" t="s">
        <v>80</v>
      </c>
      <c r="O1550" t="s">
        <v>8566</v>
      </c>
      <c r="P1550" t="s">
        <v>8567</v>
      </c>
      <c r="Q1550" t="s">
        <v>8568</v>
      </c>
      <c r="R1550" t="s">
        <v>8569</v>
      </c>
      <c r="S1550" t="s">
        <v>74</v>
      </c>
      <c r="T1550" t="s">
        <v>27879</v>
      </c>
      <c r="U1550" t="s">
        <v>74</v>
      </c>
      <c r="V1550" t="s">
        <v>27880</v>
      </c>
      <c r="W1550" t="s">
        <v>27881</v>
      </c>
      <c r="X1550" t="s">
        <v>3093</v>
      </c>
      <c r="Y1550" t="s">
        <v>27882</v>
      </c>
      <c r="Z1550" t="s">
        <v>27883</v>
      </c>
      <c r="AA1550" t="s">
        <v>17144</v>
      </c>
      <c r="AB1550" t="s">
        <v>27884</v>
      </c>
      <c r="AC1550" t="s">
        <v>27885</v>
      </c>
      <c r="AD1550" t="s">
        <v>27886</v>
      </c>
      <c r="AE1550" t="s">
        <v>27887</v>
      </c>
      <c r="AF1550" t="s">
        <v>74</v>
      </c>
      <c r="AG1550">
        <v>18</v>
      </c>
      <c r="AH1550">
        <v>0</v>
      </c>
      <c r="AI1550">
        <v>0</v>
      </c>
      <c r="AJ1550">
        <v>2</v>
      </c>
      <c r="AK1550">
        <v>3</v>
      </c>
      <c r="AL1550" t="s">
        <v>325</v>
      </c>
      <c r="AM1550" t="s">
        <v>245</v>
      </c>
      <c r="AN1550" t="s">
        <v>246</v>
      </c>
      <c r="AO1550" t="s">
        <v>1042</v>
      </c>
      <c r="AP1550" t="s">
        <v>327</v>
      </c>
      <c r="AQ1550" t="s">
        <v>10606</v>
      </c>
      <c r="AR1550" t="s">
        <v>1044</v>
      </c>
      <c r="AS1550" t="s">
        <v>74</v>
      </c>
      <c r="AT1550" t="s">
        <v>74</v>
      </c>
      <c r="AU1550">
        <v>2023</v>
      </c>
      <c r="AV1550">
        <v>13715</v>
      </c>
      <c r="AW1550" t="s">
        <v>74</v>
      </c>
      <c r="AX1550" t="s">
        <v>74</v>
      </c>
      <c r="AY1550" t="s">
        <v>74</v>
      </c>
      <c r="AZ1550" t="s">
        <v>74</v>
      </c>
      <c r="BA1550" t="s">
        <v>74</v>
      </c>
      <c r="BB1550">
        <v>137</v>
      </c>
      <c r="BC1550">
        <v>153</v>
      </c>
      <c r="BD1550" t="s">
        <v>74</v>
      </c>
      <c r="BE1550" t="s">
        <v>27888</v>
      </c>
      <c r="BF1550" t="str">
        <f>HYPERLINK("http://dx.doi.org/10.1007/978-3-031-26409-2_9","http://dx.doi.org/10.1007/978-3-031-26409-2_9")</f>
        <v>http://dx.doi.org/10.1007/978-3-031-26409-2_9</v>
      </c>
      <c r="BG1550" t="s">
        <v>74</v>
      </c>
      <c r="BH1550" t="s">
        <v>74</v>
      </c>
      <c r="BI1550">
        <v>17</v>
      </c>
      <c r="BJ1550" t="s">
        <v>331</v>
      </c>
      <c r="BK1550" t="s">
        <v>98</v>
      </c>
      <c r="BL1550" t="s">
        <v>99</v>
      </c>
      <c r="BM1550" t="s">
        <v>10608</v>
      </c>
      <c r="BN1550" t="s">
        <v>74</v>
      </c>
      <c r="BO1550" t="s">
        <v>74</v>
      </c>
      <c r="BP1550" t="s">
        <v>74</v>
      </c>
      <c r="BQ1550" t="s">
        <v>74</v>
      </c>
      <c r="BR1550" t="s">
        <v>101</v>
      </c>
      <c r="BS1550" t="s">
        <v>27889</v>
      </c>
      <c r="BT1550" t="str">
        <f>HYPERLINK("https%3A%2F%2Fwww.webofscience.com%2Fwos%2Fwoscc%2Ffull-record%2FWOS:000999043300009","View Full Record in Web of Science")</f>
        <v>View Full Record in Web of Science</v>
      </c>
    </row>
    <row r="1551" spans="1:72" x14ac:dyDescent="0.2">
      <c r="A1551" t="s">
        <v>72</v>
      </c>
      <c r="B1551" t="s">
        <v>27890</v>
      </c>
      <c r="C1551" t="s">
        <v>74</v>
      </c>
      <c r="D1551" t="s">
        <v>4124</v>
      </c>
      <c r="E1551" t="s">
        <v>74</v>
      </c>
      <c r="F1551" t="s">
        <v>27891</v>
      </c>
      <c r="G1551" t="s">
        <v>74</v>
      </c>
      <c r="H1551" t="s">
        <v>74</v>
      </c>
      <c r="I1551" t="s">
        <v>27892</v>
      </c>
      <c r="J1551" t="s">
        <v>4127</v>
      </c>
      <c r="K1551" t="s">
        <v>4128</v>
      </c>
      <c r="L1551" t="s">
        <v>74</v>
      </c>
      <c r="M1551" t="s">
        <v>79</v>
      </c>
      <c r="N1551" t="s">
        <v>80</v>
      </c>
      <c r="O1551" t="s">
        <v>4129</v>
      </c>
      <c r="P1551" t="s">
        <v>4130</v>
      </c>
      <c r="Q1551" t="s">
        <v>4131</v>
      </c>
      <c r="R1551" t="s">
        <v>4132</v>
      </c>
      <c r="S1551" t="s">
        <v>74</v>
      </c>
      <c r="T1551" t="s">
        <v>27893</v>
      </c>
      <c r="U1551" t="s">
        <v>74</v>
      </c>
      <c r="V1551" t="s">
        <v>27894</v>
      </c>
      <c r="W1551" t="s">
        <v>27895</v>
      </c>
      <c r="X1551" t="s">
        <v>27896</v>
      </c>
      <c r="Y1551" t="s">
        <v>27897</v>
      </c>
      <c r="Z1551" t="s">
        <v>27898</v>
      </c>
      <c r="AA1551" t="s">
        <v>74</v>
      </c>
      <c r="AB1551" t="s">
        <v>74</v>
      </c>
      <c r="AC1551" t="s">
        <v>27899</v>
      </c>
      <c r="AD1551" t="s">
        <v>27900</v>
      </c>
      <c r="AE1551" t="s">
        <v>27901</v>
      </c>
      <c r="AF1551" t="s">
        <v>74</v>
      </c>
      <c r="AG1551">
        <v>12</v>
      </c>
      <c r="AH1551">
        <v>0</v>
      </c>
      <c r="AI1551">
        <v>0</v>
      </c>
      <c r="AJ1551">
        <v>0</v>
      </c>
      <c r="AK1551">
        <v>0</v>
      </c>
      <c r="AL1551" t="s">
        <v>284</v>
      </c>
      <c r="AM1551" t="s">
        <v>93</v>
      </c>
      <c r="AN1551" t="s">
        <v>299</v>
      </c>
      <c r="AO1551" t="s">
        <v>4144</v>
      </c>
      <c r="AP1551" t="s">
        <v>74</v>
      </c>
      <c r="AQ1551" t="s">
        <v>4145</v>
      </c>
      <c r="AR1551" t="s">
        <v>4146</v>
      </c>
      <c r="AS1551" t="s">
        <v>74</v>
      </c>
      <c r="AT1551" t="s">
        <v>74</v>
      </c>
      <c r="AU1551">
        <v>2023</v>
      </c>
      <c r="AV1551" t="s">
        <v>74</v>
      </c>
      <c r="AW1551" t="s">
        <v>74</v>
      </c>
      <c r="AX1551" t="s">
        <v>74</v>
      </c>
      <c r="AY1551" t="s">
        <v>74</v>
      </c>
      <c r="AZ1551" t="s">
        <v>74</v>
      </c>
      <c r="BA1551" t="s">
        <v>74</v>
      </c>
      <c r="BB1551" t="s">
        <v>74</v>
      </c>
      <c r="BC1551" t="s">
        <v>74</v>
      </c>
      <c r="BD1551" t="s">
        <v>74</v>
      </c>
      <c r="BE1551" t="s">
        <v>74</v>
      </c>
      <c r="BF1551" t="s">
        <v>74</v>
      </c>
      <c r="BG1551" t="s">
        <v>74</v>
      </c>
      <c r="BH1551" t="s">
        <v>74</v>
      </c>
      <c r="BI1551">
        <v>7</v>
      </c>
      <c r="BJ1551" t="s">
        <v>1385</v>
      </c>
      <c r="BK1551" t="s">
        <v>98</v>
      </c>
      <c r="BL1551" t="s">
        <v>1386</v>
      </c>
      <c r="BM1551" t="s">
        <v>4147</v>
      </c>
      <c r="BN1551" t="s">
        <v>74</v>
      </c>
      <c r="BO1551" t="s">
        <v>74</v>
      </c>
      <c r="BP1551" t="s">
        <v>74</v>
      </c>
      <c r="BQ1551" t="s">
        <v>74</v>
      </c>
      <c r="BR1551" t="s">
        <v>101</v>
      </c>
      <c r="BS1551" t="s">
        <v>27902</v>
      </c>
      <c r="BT1551" t="str">
        <f>HYPERLINK("https%3A%2F%2Fwww.webofscience.com%2Fwos%2Fwoscc%2Ffull-record%2FWOS:001117985100054","View Full Record in Web of Science")</f>
        <v>View Full Record in Web of Science</v>
      </c>
    </row>
    <row r="1552" spans="1:72" x14ac:dyDescent="0.2">
      <c r="A1552" t="s">
        <v>103</v>
      </c>
      <c r="B1552" t="s">
        <v>27903</v>
      </c>
      <c r="C1552" t="s">
        <v>74</v>
      </c>
      <c r="D1552" t="s">
        <v>74</v>
      </c>
      <c r="E1552" t="s">
        <v>74</v>
      </c>
      <c r="F1552" t="s">
        <v>27904</v>
      </c>
      <c r="G1552" t="s">
        <v>74</v>
      </c>
      <c r="H1552" t="s">
        <v>74</v>
      </c>
      <c r="I1552" t="s">
        <v>27905</v>
      </c>
      <c r="J1552" t="s">
        <v>27906</v>
      </c>
      <c r="K1552" t="s">
        <v>74</v>
      </c>
      <c r="L1552" t="s">
        <v>74</v>
      </c>
      <c r="M1552" t="s">
        <v>79</v>
      </c>
      <c r="N1552" t="s">
        <v>108</v>
      </c>
      <c r="O1552" t="s">
        <v>74</v>
      </c>
      <c r="P1552" t="s">
        <v>74</v>
      </c>
      <c r="Q1552" t="s">
        <v>74</v>
      </c>
      <c r="R1552" t="s">
        <v>74</v>
      </c>
      <c r="S1552" t="s">
        <v>74</v>
      </c>
      <c r="T1552" t="s">
        <v>27907</v>
      </c>
      <c r="U1552" t="s">
        <v>27908</v>
      </c>
      <c r="V1552" t="s">
        <v>27909</v>
      </c>
      <c r="W1552" t="s">
        <v>27910</v>
      </c>
      <c r="X1552" t="s">
        <v>27911</v>
      </c>
      <c r="Y1552" t="s">
        <v>27912</v>
      </c>
      <c r="Z1552" t="s">
        <v>27913</v>
      </c>
      <c r="AA1552" t="s">
        <v>74</v>
      </c>
      <c r="AB1552" t="s">
        <v>27914</v>
      </c>
      <c r="AC1552" t="s">
        <v>27915</v>
      </c>
      <c r="AD1552" t="s">
        <v>27916</v>
      </c>
      <c r="AE1552" t="s">
        <v>27917</v>
      </c>
      <c r="AF1552" t="s">
        <v>74</v>
      </c>
      <c r="AG1552">
        <v>130</v>
      </c>
      <c r="AH1552">
        <v>0</v>
      </c>
      <c r="AI1552">
        <v>0</v>
      </c>
      <c r="AJ1552">
        <v>7</v>
      </c>
      <c r="AK1552">
        <v>9</v>
      </c>
      <c r="AL1552" t="s">
        <v>1987</v>
      </c>
      <c r="AM1552" t="s">
        <v>149</v>
      </c>
      <c r="AN1552" t="s">
        <v>1988</v>
      </c>
      <c r="AO1552" t="s">
        <v>27918</v>
      </c>
      <c r="AP1552" t="s">
        <v>74</v>
      </c>
      <c r="AQ1552" t="s">
        <v>74</v>
      </c>
      <c r="AR1552" t="s">
        <v>27919</v>
      </c>
      <c r="AS1552" t="s">
        <v>27920</v>
      </c>
      <c r="AT1552" t="s">
        <v>10726</v>
      </c>
      <c r="AU1552">
        <v>2023</v>
      </c>
      <c r="AV1552">
        <v>24</v>
      </c>
      <c r="AW1552">
        <v>1</v>
      </c>
      <c r="AX1552" t="s">
        <v>74</v>
      </c>
      <c r="AY1552" t="s">
        <v>74</v>
      </c>
      <c r="AZ1552" t="s">
        <v>74</v>
      </c>
      <c r="BA1552" t="s">
        <v>74</v>
      </c>
      <c r="BB1552" t="s">
        <v>74</v>
      </c>
      <c r="BC1552" t="s">
        <v>74</v>
      </c>
      <c r="BD1552" t="s">
        <v>74</v>
      </c>
      <c r="BE1552" t="s">
        <v>27921</v>
      </c>
      <c r="BF1552" t="str">
        <f>HYPERLINK("http://dx.doi.org/10.1186/s13059-023-03049-x","http://dx.doi.org/10.1186/s13059-023-03049-x")</f>
        <v>http://dx.doi.org/10.1186/s13059-023-03049-x</v>
      </c>
      <c r="BG1552" t="s">
        <v>74</v>
      </c>
      <c r="BH1552" t="s">
        <v>74</v>
      </c>
      <c r="BI1552">
        <v>40</v>
      </c>
      <c r="BJ1552" t="s">
        <v>27922</v>
      </c>
      <c r="BK1552" t="s">
        <v>130</v>
      </c>
      <c r="BL1552" t="s">
        <v>27922</v>
      </c>
      <c r="BM1552" t="s">
        <v>27923</v>
      </c>
      <c r="BN1552">
        <v>37730638</v>
      </c>
      <c r="BO1552" t="s">
        <v>4337</v>
      </c>
      <c r="BP1552" t="s">
        <v>74</v>
      </c>
      <c r="BQ1552" t="s">
        <v>74</v>
      </c>
      <c r="BR1552" t="s">
        <v>101</v>
      </c>
      <c r="BS1552" t="s">
        <v>27924</v>
      </c>
      <c r="BT1552" t="str">
        <f>HYPERLINK("https%3A%2F%2Fwww.webofscience.com%2Fwos%2Fwoscc%2Ffull-record%2FWOS:001167924600001","View Full Record in Web of Science")</f>
        <v>View Full Record in Web of Science</v>
      </c>
    </row>
    <row r="1553" spans="1:72" x14ac:dyDescent="0.2">
      <c r="A1553" t="s">
        <v>103</v>
      </c>
      <c r="B1553" t="s">
        <v>27925</v>
      </c>
      <c r="C1553" t="s">
        <v>74</v>
      </c>
      <c r="D1553" t="s">
        <v>74</v>
      </c>
      <c r="E1553" t="s">
        <v>74</v>
      </c>
      <c r="F1553" t="s">
        <v>27926</v>
      </c>
      <c r="G1553" t="s">
        <v>74</v>
      </c>
      <c r="H1553" t="s">
        <v>74</v>
      </c>
      <c r="I1553" t="s">
        <v>27927</v>
      </c>
      <c r="J1553" t="s">
        <v>11742</v>
      </c>
      <c r="K1553" t="s">
        <v>74</v>
      </c>
      <c r="L1553" t="s">
        <v>74</v>
      </c>
      <c r="M1553" t="s">
        <v>79</v>
      </c>
      <c r="N1553" t="s">
        <v>108</v>
      </c>
      <c r="O1553" t="s">
        <v>74</v>
      </c>
      <c r="P1553" t="s">
        <v>74</v>
      </c>
      <c r="Q1553" t="s">
        <v>74</v>
      </c>
      <c r="R1553" t="s">
        <v>74</v>
      </c>
      <c r="S1553" t="s">
        <v>74</v>
      </c>
      <c r="T1553" t="s">
        <v>74</v>
      </c>
      <c r="U1553" t="s">
        <v>27928</v>
      </c>
      <c r="V1553" t="s">
        <v>27929</v>
      </c>
      <c r="W1553" t="s">
        <v>27930</v>
      </c>
      <c r="X1553" t="s">
        <v>27931</v>
      </c>
      <c r="Y1553" t="s">
        <v>27932</v>
      </c>
      <c r="Z1553" t="s">
        <v>27933</v>
      </c>
      <c r="AA1553" t="s">
        <v>74</v>
      </c>
      <c r="AB1553" t="s">
        <v>27934</v>
      </c>
      <c r="AC1553" t="s">
        <v>74</v>
      </c>
      <c r="AD1553" t="s">
        <v>74</v>
      </c>
      <c r="AE1553" t="s">
        <v>74</v>
      </c>
      <c r="AF1553" t="s">
        <v>74</v>
      </c>
      <c r="AG1553">
        <v>68</v>
      </c>
      <c r="AH1553">
        <v>0</v>
      </c>
      <c r="AI1553">
        <v>0</v>
      </c>
      <c r="AJ1553">
        <v>12</v>
      </c>
      <c r="AK1553">
        <v>12</v>
      </c>
      <c r="AL1553" t="s">
        <v>11754</v>
      </c>
      <c r="AM1553" t="s">
        <v>11755</v>
      </c>
      <c r="AN1553" t="s">
        <v>11756</v>
      </c>
      <c r="AO1553" t="s">
        <v>11757</v>
      </c>
      <c r="AP1553" t="s">
        <v>74</v>
      </c>
      <c r="AQ1553" t="s">
        <v>74</v>
      </c>
      <c r="AR1553" t="s">
        <v>11742</v>
      </c>
      <c r="AS1553" t="s">
        <v>11758</v>
      </c>
      <c r="AT1553" t="s">
        <v>27935</v>
      </c>
      <c r="AU1553">
        <v>2023</v>
      </c>
      <c r="AV1553">
        <v>18</v>
      </c>
      <c r="AW1553">
        <v>10</v>
      </c>
      <c r="AX1553" t="s">
        <v>74</v>
      </c>
      <c r="AY1553" t="s">
        <v>74</v>
      </c>
      <c r="AZ1553" t="s">
        <v>74</v>
      </c>
      <c r="BA1553" t="s">
        <v>74</v>
      </c>
      <c r="BB1553" t="s">
        <v>74</v>
      </c>
      <c r="BC1553" t="s">
        <v>74</v>
      </c>
      <c r="BD1553" t="s">
        <v>27936</v>
      </c>
      <c r="BE1553" t="s">
        <v>27937</v>
      </c>
      <c r="BF1553" t="str">
        <f>HYPERLINK("http://dx.doi.org/10.1371/journal.pone.0283568","http://dx.doi.org/10.1371/journal.pone.0283568")</f>
        <v>http://dx.doi.org/10.1371/journal.pone.0283568</v>
      </c>
      <c r="BG1553" t="s">
        <v>74</v>
      </c>
      <c r="BH1553" t="s">
        <v>74</v>
      </c>
      <c r="BI1553">
        <v>22</v>
      </c>
      <c r="BJ1553" t="s">
        <v>5686</v>
      </c>
      <c r="BK1553" t="s">
        <v>130</v>
      </c>
      <c r="BL1553" t="s">
        <v>5687</v>
      </c>
      <c r="BM1553" t="s">
        <v>27938</v>
      </c>
      <c r="BN1553">
        <v>37788295</v>
      </c>
      <c r="BO1553" t="s">
        <v>4185</v>
      </c>
      <c r="BP1553" t="s">
        <v>74</v>
      </c>
      <c r="BQ1553" t="s">
        <v>74</v>
      </c>
      <c r="BR1553" t="s">
        <v>101</v>
      </c>
      <c r="BS1553" t="s">
        <v>27939</v>
      </c>
      <c r="BT1553" t="str">
        <f>HYPERLINK("https%3A%2F%2Fwww.webofscience.com%2Fwos%2Fwoscc%2Ffull-record%2FWOS:001082402300028","View Full Record in Web of Science")</f>
        <v>View Full Record in Web of Science</v>
      </c>
    </row>
    <row r="1554" spans="1:72" x14ac:dyDescent="0.2">
      <c r="A1554" t="s">
        <v>103</v>
      </c>
      <c r="B1554" t="s">
        <v>27940</v>
      </c>
      <c r="C1554" t="s">
        <v>74</v>
      </c>
      <c r="D1554" t="s">
        <v>74</v>
      </c>
      <c r="E1554" t="s">
        <v>74</v>
      </c>
      <c r="F1554" t="s">
        <v>27941</v>
      </c>
      <c r="G1554" t="s">
        <v>74</v>
      </c>
      <c r="H1554" t="s">
        <v>74</v>
      </c>
      <c r="I1554" t="s">
        <v>27942</v>
      </c>
      <c r="J1554" t="s">
        <v>27943</v>
      </c>
      <c r="K1554" t="s">
        <v>74</v>
      </c>
      <c r="L1554" t="s">
        <v>74</v>
      </c>
      <c r="M1554" t="s">
        <v>79</v>
      </c>
      <c r="N1554" t="s">
        <v>108</v>
      </c>
      <c r="O1554" t="s">
        <v>74</v>
      </c>
      <c r="P1554" t="s">
        <v>74</v>
      </c>
      <c r="Q1554" t="s">
        <v>74</v>
      </c>
      <c r="R1554" t="s">
        <v>74</v>
      </c>
      <c r="S1554" t="s">
        <v>74</v>
      </c>
      <c r="T1554" t="s">
        <v>74</v>
      </c>
      <c r="U1554" t="s">
        <v>27944</v>
      </c>
      <c r="V1554" t="s">
        <v>27945</v>
      </c>
      <c r="W1554" t="s">
        <v>27946</v>
      </c>
      <c r="X1554" t="s">
        <v>27947</v>
      </c>
      <c r="Y1554" t="s">
        <v>27948</v>
      </c>
      <c r="Z1554" t="s">
        <v>27949</v>
      </c>
      <c r="AA1554" t="s">
        <v>74</v>
      </c>
      <c r="AB1554" t="s">
        <v>27950</v>
      </c>
      <c r="AC1554" t="s">
        <v>27951</v>
      </c>
      <c r="AD1554" t="s">
        <v>27952</v>
      </c>
      <c r="AE1554" t="s">
        <v>27953</v>
      </c>
      <c r="AF1554" t="s">
        <v>74</v>
      </c>
      <c r="AG1554">
        <v>67</v>
      </c>
      <c r="AH1554">
        <v>0</v>
      </c>
      <c r="AI1554">
        <v>0</v>
      </c>
      <c r="AJ1554">
        <v>1</v>
      </c>
      <c r="AK1554">
        <v>1</v>
      </c>
      <c r="AL1554" t="s">
        <v>8598</v>
      </c>
      <c r="AM1554" t="s">
        <v>8599</v>
      </c>
      <c r="AN1554" t="s">
        <v>8600</v>
      </c>
      <c r="AO1554" t="s">
        <v>27954</v>
      </c>
      <c r="AP1554" t="s">
        <v>27955</v>
      </c>
      <c r="AQ1554" t="s">
        <v>74</v>
      </c>
      <c r="AR1554" t="s">
        <v>27956</v>
      </c>
      <c r="AS1554" t="s">
        <v>27957</v>
      </c>
      <c r="AT1554" t="s">
        <v>14250</v>
      </c>
      <c r="AU1554">
        <v>2023</v>
      </c>
      <c r="AV1554">
        <v>108</v>
      </c>
      <c r="AW1554">
        <v>2</v>
      </c>
      <c r="AX1554" t="s">
        <v>74</v>
      </c>
      <c r="AY1554" t="s">
        <v>74</v>
      </c>
      <c r="AZ1554" t="s">
        <v>74</v>
      </c>
      <c r="BA1554" t="s">
        <v>74</v>
      </c>
      <c r="BB1554" t="s">
        <v>74</v>
      </c>
      <c r="BC1554" t="s">
        <v>74</v>
      </c>
      <c r="BD1554">
        <v>24313</v>
      </c>
      <c r="BE1554" t="s">
        <v>27958</v>
      </c>
      <c r="BF1554" t="str">
        <f>HYPERLINK("http://dx.doi.org/10.1103/PhysRevE.108.024313","http://dx.doi.org/10.1103/PhysRevE.108.024313")</f>
        <v>http://dx.doi.org/10.1103/PhysRevE.108.024313</v>
      </c>
      <c r="BG1554" t="s">
        <v>74</v>
      </c>
      <c r="BH1554" t="s">
        <v>74</v>
      </c>
      <c r="BI1554">
        <v>16</v>
      </c>
      <c r="BJ1554" t="s">
        <v>27959</v>
      </c>
      <c r="BK1554" t="s">
        <v>130</v>
      </c>
      <c r="BL1554" t="s">
        <v>6827</v>
      </c>
      <c r="BM1554" t="s">
        <v>27960</v>
      </c>
      <c r="BN1554">
        <v>37723818</v>
      </c>
      <c r="BO1554" t="s">
        <v>74</v>
      </c>
      <c r="BP1554" t="s">
        <v>74</v>
      </c>
      <c r="BQ1554" t="s">
        <v>74</v>
      </c>
      <c r="BR1554" t="s">
        <v>101</v>
      </c>
      <c r="BS1554" t="s">
        <v>27961</v>
      </c>
      <c r="BT1554" t="str">
        <f>HYPERLINK("https%3A%2F%2Fwww.webofscience.com%2Fwos%2Fwoscc%2Ffull-record%2FWOS:001062720600001","View Full Record in Web of Science")</f>
        <v>View Full Record in Web of Science</v>
      </c>
    </row>
    <row r="1555" spans="1:72" x14ac:dyDescent="0.2">
      <c r="A1555" t="s">
        <v>103</v>
      </c>
      <c r="B1555" t="s">
        <v>27962</v>
      </c>
      <c r="C1555" t="s">
        <v>74</v>
      </c>
      <c r="D1555" t="s">
        <v>74</v>
      </c>
      <c r="E1555" t="s">
        <v>74</v>
      </c>
      <c r="F1555" t="s">
        <v>27963</v>
      </c>
      <c r="G1555" t="s">
        <v>74</v>
      </c>
      <c r="H1555" t="s">
        <v>74</v>
      </c>
      <c r="I1555" t="s">
        <v>27964</v>
      </c>
      <c r="J1555" t="s">
        <v>1370</v>
      </c>
      <c r="K1555" t="s">
        <v>74</v>
      </c>
      <c r="L1555" t="s">
        <v>74</v>
      </c>
      <c r="M1555" t="s">
        <v>79</v>
      </c>
      <c r="N1555" t="s">
        <v>108</v>
      </c>
      <c r="O1555" t="s">
        <v>74</v>
      </c>
      <c r="P1555" t="s">
        <v>74</v>
      </c>
      <c r="Q1555" t="s">
        <v>74</v>
      </c>
      <c r="R1555" t="s">
        <v>74</v>
      </c>
      <c r="S1555" t="s">
        <v>74</v>
      </c>
      <c r="T1555" t="s">
        <v>27965</v>
      </c>
      <c r="U1555" t="s">
        <v>11896</v>
      </c>
      <c r="V1555" t="s">
        <v>27966</v>
      </c>
      <c r="W1555" t="s">
        <v>27967</v>
      </c>
      <c r="X1555" t="s">
        <v>27968</v>
      </c>
      <c r="Y1555" t="s">
        <v>27969</v>
      </c>
      <c r="Z1555" t="s">
        <v>27970</v>
      </c>
      <c r="AA1555" t="s">
        <v>27971</v>
      </c>
      <c r="AB1555" t="s">
        <v>27972</v>
      </c>
      <c r="AC1555" t="s">
        <v>27973</v>
      </c>
      <c r="AD1555" t="s">
        <v>27974</v>
      </c>
      <c r="AE1555" t="s">
        <v>27975</v>
      </c>
      <c r="AF1555" t="s">
        <v>74</v>
      </c>
      <c r="AG1555">
        <v>47</v>
      </c>
      <c r="AH1555">
        <v>1</v>
      </c>
      <c r="AI1555">
        <v>1</v>
      </c>
      <c r="AJ1555">
        <v>4</v>
      </c>
      <c r="AK1555">
        <v>5</v>
      </c>
      <c r="AL1555" t="s">
        <v>1379</v>
      </c>
      <c r="AM1555" t="s">
        <v>1380</v>
      </c>
      <c r="AN1555" t="s">
        <v>1381</v>
      </c>
      <c r="AO1555" t="s">
        <v>1382</v>
      </c>
      <c r="AP1555" t="s">
        <v>74</v>
      </c>
      <c r="AQ1555" t="s">
        <v>74</v>
      </c>
      <c r="AR1555" t="s">
        <v>1370</v>
      </c>
      <c r="AS1555" t="s">
        <v>1383</v>
      </c>
      <c r="AT1555" t="s">
        <v>74</v>
      </c>
      <c r="AU1555">
        <v>2023</v>
      </c>
      <c r="AV1555">
        <v>11</v>
      </c>
      <c r="AW1555" t="s">
        <v>74</v>
      </c>
      <c r="AX1555" t="s">
        <v>74</v>
      </c>
      <c r="AY1555" t="s">
        <v>74</v>
      </c>
      <c r="AZ1555" t="s">
        <v>74</v>
      </c>
      <c r="BA1555" t="s">
        <v>74</v>
      </c>
      <c r="BB1555">
        <v>67298</v>
      </c>
      <c r="BC1555">
        <v>67307</v>
      </c>
      <c r="BD1555" t="s">
        <v>74</v>
      </c>
      <c r="BE1555" t="s">
        <v>27976</v>
      </c>
      <c r="BF1555" t="str">
        <f>HYPERLINK("http://dx.doi.org/10.1109/ACCESS.2023.3291620","http://dx.doi.org/10.1109/ACCESS.2023.3291620")</f>
        <v>http://dx.doi.org/10.1109/ACCESS.2023.3291620</v>
      </c>
      <c r="BG1555" t="s">
        <v>74</v>
      </c>
      <c r="BH1555" t="s">
        <v>74</v>
      </c>
      <c r="BI1555">
        <v>10</v>
      </c>
      <c r="BJ1555" t="s">
        <v>1385</v>
      </c>
      <c r="BK1555" t="s">
        <v>130</v>
      </c>
      <c r="BL1555" t="s">
        <v>1386</v>
      </c>
      <c r="BM1555" t="s">
        <v>27977</v>
      </c>
      <c r="BN1555" t="s">
        <v>74</v>
      </c>
      <c r="BO1555" t="s">
        <v>1711</v>
      </c>
      <c r="BP1555" t="s">
        <v>74</v>
      </c>
      <c r="BQ1555" t="s">
        <v>74</v>
      </c>
      <c r="BR1555" t="s">
        <v>101</v>
      </c>
      <c r="BS1555" t="s">
        <v>27978</v>
      </c>
      <c r="BT1555" t="str">
        <f>HYPERLINK("https%3A%2F%2Fwww.webofscience.com%2Fwos%2Fwoscc%2Ffull-record%2FWOS:001028882200001","View Full Record in Web of Science")</f>
        <v>View Full Record in Web of Science</v>
      </c>
    </row>
    <row r="1556" spans="1:72" x14ac:dyDescent="0.2">
      <c r="A1556" t="s">
        <v>103</v>
      </c>
      <c r="B1556" t="s">
        <v>27979</v>
      </c>
      <c r="C1556" t="s">
        <v>74</v>
      </c>
      <c r="D1556" t="s">
        <v>74</v>
      </c>
      <c r="E1556" t="s">
        <v>74</v>
      </c>
      <c r="F1556" t="s">
        <v>27980</v>
      </c>
      <c r="G1556" t="s">
        <v>74</v>
      </c>
      <c r="H1556" t="s">
        <v>74</v>
      </c>
      <c r="I1556" t="s">
        <v>27981</v>
      </c>
      <c r="J1556" t="s">
        <v>10613</v>
      </c>
      <c r="K1556" t="s">
        <v>74</v>
      </c>
      <c r="L1556" t="s">
        <v>74</v>
      </c>
      <c r="M1556" t="s">
        <v>79</v>
      </c>
      <c r="N1556" t="s">
        <v>108</v>
      </c>
      <c r="O1556" t="s">
        <v>74</v>
      </c>
      <c r="P1556" t="s">
        <v>74</v>
      </c>
      <c r="Q1556" t="s">
        <v>74</v>
      </c>
      <c r="R1556" t="s">
        <v>74</v>
      </c>
      <c r="S1556" t="s">
        <v>74</v>
      </c>
      <c r="T1556" t="s">
        <v>27982</v>
      </c>
      <c r="U1556" t="s">
        <v>74</v>
      </c>
      <c r="V1556" t="s">
        <v>27983</v>
      </c>
      <c r="W1556" t="s">
        <v>27984</v>
      </c>
      <c r="X1556" t="s">
        <v>27985</v>
      </c>
      <c r="Y1556" t="s">
        <v>27986</v>
      </c>
      <c r="Z1556" t="s">
        <v>27987</v>
      </c>
      <c r="AA1556" t="s">
        <v>74</v>
      </c>
      <c r="AB1556" t="s">
        <v>27988</v>
      </c>
      <c r="AC1556" t="s">
        <v>27989</v>
      </c>
      <c r="AD1556" t="s">
        <v>3400</v>
      </c>
      <c r="AE1556" t="s">
        <v>27990</v>
      </c>
      <c r="AF1556" t="s">
        <v>74</v>
      </c>
      <c r="AG1556">
        <v>30</v>
      </c>
      <c r="AH1556">
        <v>0</v>
      </c>
      <c r="AI1556">
        <v>0</v>
      </c>
      <c r="AJ1556">
        <v>2</v>
      </c>
      <c r="AK1556">
        <v>2</v>
      </c>
      <c r="AL1556" t="s">
        <v>939</v>
      </c>
      <c r="AM1556" t="s">
        <v>940</v>
      </c>
      <c r="AN1556" t="s">
        <v>941</v>
      </c>
      <c r="AO1556" t="s">
        <v>10624</v>
      </c>
      <c r="AP1556" t="s">
        <v>74</v>
      </c>
      <c r="AQ1556" t="s">
        <v>74</v>
      </c>
      <c r="AR1556" t="s">
        <v>10613</v>
      </c>
      <c r="AS1556" t="s">
        <v>10625</v>
      </c>
      <c r="AT1556" t="s">
        <v>791</v>
      </c>
      <c r="AU1556">
        <v>2023</v>
      </c>
      <c r="AV1556">
        <v>12</v>
      </c>
      <c r="AW1556">
        <v>8</v>
      </c>
      <c r="AX1556" t="s">
        <v>74</v>
      </c>
      <c r="AY1556" t="s">
        <v>74</v>
      </c>
      <c r="AZ1556" t="s">
        <v>74</v>
      </c>
      <c r="BA1556" t="s">
        <v>74</v>
      </c>
      <c r="BB1556" t="s">
        <v>74</v>
      </c>
      <c r="BC1556" t="s">
        <v>74</v>
      </c>
      <c r="BD1556">
        <v>150</v>
      </c>
      <c r="BE1556" t="s">
        <v>27991</v>
      </c>
      <c r="BF1556" t="str">
        <f>HYPERLINK("http://dx.doi.org/10.3390/computers12080150","http://dx.doi.org/10.3390/computers12080150")</f>
        <v>http://dx.doi.org/10.3390/computers12080150</v>
      </c>
      <c r="BG1556" t="s">
        <v>74</v>
      </c>
      <c r="BH1556" t="s">
        <v>74</v>
      </c>
      <c r="BI1556">
        <v>12</v>
      </c>
      <c r="BJ1556" t="s">
        <v>351</v>
      </c>
      <c r="BK1556" t="s">
        <v>352</v>
      </c>
      <c r="BL1556" t="s">
        <v>99</v>
      </c>
      <c r="BM1556" t="s">
        <v>27992</v>
      </c>
      <c r="BN1556" t="s">
        <v>74</v>
      </c>
      <c r="BO1556" t="s">
        <v>425</v>
      </c>
      <c r="BP1556" t="s">
        <v>74</v>
      </c>
      <c r="BQ1556" t="s">
        <v>74</v>
      </c>
      <c r="BR1556" t="s">
        <v>101</v>
      </c>
      <c r="BS1556" t="s">
        <v>27993</v>
      </c>
      <c r="BT1556" t="str">
        <f>HYPERLINK("https%3A%2F%2Fwww.webofscience.com%2Fwos%2Fwoscc%2Ffull-record%2FWOS:001057666300001","View Full Record in Web of Science")</f>
        <v>View Full Record in Web of Science</v>
      </c>
    </row>
    <row r="1557" spans="1:72" x14ac:dyDescent="0.2">
      <c r="A1557" t="s">
        <v>103</v>
      </c>
      <c r="B1557" t="s">
        <v>27994</v>
      </c>
      <c r="C1557" t="s">
        <v>74</v>
      </c>
      <c r="D1557" t="s">
        <v>74</v>
      </c>
      <c r="E1557" t="s">
        <v>74</v>
      </c>
      <c r="F1557" t="s">
        <v>27995</v>
      </c>
      <c r="G1557" t="s">
        <v>74</v>
      </c>
      <c r="H1557" t="s">
        <v>74</v>
      </c>
      <c r="I1557" t="s">
        <v>27996</v>
      </c>
      <c r="J1557" t="s">
        <v>27997</v>
      </c>
      <c r="K1557" t="s">
        <v>74</v>
      </c>
      <c r="L1557" t="s">
        <v>74</v>
      </c>
      <c r="M1557" t="s">
        <v>79</v>
      </c>
      <c r="N1557" t="s">
        <v>138</v>
      </c>
      <c r="O1557" t="s">
        <v>74</v>
      </c>
      <c r="P1557" t="s">
        <v>74</v>
      </c>
      <c r="Q1557" t="s">
        <v>74</v>
      </c>
      <c r="R1557" t="s">
        <v>74</v>
      </c>
      <c r="S1557" t="s">
        <v>74</v>
      </c>
      <c r="T1557" t="s">
        <v>27998</v>
      </c>
      <c r="U1557" t="s">
        <v>27999</v>
      </c>
      <c r="V1557" t="s">
        <v>28000</v>
      </c>
      <c r="W1557" t="s">
        <v>28001</v>
      </c>
      <c r="X1557" t="s">
        <v>28002</v>
      </c>
      <c r="Y1557" t="s">
        <v>28003</v>
      </c>
      <c r="Z1557" t="s">
        <v>28004</v>
      </c>
      <c r="AA1557" t="s">
        <v>74</v>
      </c>
      <c r="AB1557" t="s">
        <v>28005</v>
      </c>
      <c r="AC1557" t="s">
        <v>28006</v>
      </c>
      <c r="AD1557" t="s">
        <v>28002</v>
      </c>
      <c r="AE1557" t="s">
        <v>28007</v>
      </c>
      <c r="AF1557" t="s">
        <v>74</v>
      </c>
      <c r="AG1557">
        <v>69</v>
      </c>
      <c r="AH1557">
        <v>0</v>
      </c>
      <c r="AI1557">
        <v>0</v>
      </c>
      <c r="AJ1557">
        <v>29</v>
      </c>
      <c r="AK1557">
        <v>29</v>
      </c>
      <c r="AL1557" t="s">
        <v>1961</v>
      </c>
      <c r="AM1557" t="s">
        <v>1962</v>
      </c>
      <c r="AN1557" t="s">
        <v>1963</v>
      </c>
      <c r="AO1557" t="s">
        <v>28008</v>
      </c>
      <c r="AP1557" t="s">
        <v>28009</v>
      </c>
      <c r="AQ1557" t="s">
        <v>74</v>
      </c>
      <c r="AR1557" t="s">
        <v>28010</v>
      </c>
      <c r="AS1557" t="s">
        <v>28011</v>
      </c>
      <c r="AT1557" t="s">
        <v>28012</v>
      </c>
      <c r="AU1557">
        <v>2023</v>
      </c>
      <c r="AV1557" t="s">
        <v>74</v>
      </c>
      <c r="AW1557" t="s">
        <v>74</v>
      </c>
      <c r="AX1557" t="s">
        <v>74</v>
      </c>
      <c r="AY1557" t="s">
        <v>74</v>
      </c>
      <c r="AZ1557" t="s">
        <v>74</v>
      </c>
      <c r="BA1557" t="s">
        <v>74</v>
      </c>
      <c r="BB1557" t="s">
        <v>74</v>
      </c>
      <c r="BC1557" t="s">
        <v>74</v>
      </c>
      <c r="BD1557" t="s">
        <v>74</v>
      </c>
      <c r="BE1557" t="s">
        <v>28013</v>
      </c>
      <c r="BF1557" t="str">
        <f>HYPERLINK("http://dx.doi.org/10.1007/s40299-023-00797-z","http://dx.doi.org/10.1007/s40299-023-00797-z")</f>
        <v>http://dx.doi.org/10.1007/s40299-023-00797-z</v>
      </c>
      <c r="BG1557" t="s">
        <v>74</v>
      </c>
      <c r="BH1557" t="s">
        <v>128</v>
      </c>
      <c r="BI1557">
        <v>12</v>
      </c>
      <c r="BJ1557" t="s">
        <v>423</v>
      </c>
      <c r="BK1557" t="s">
        <v>159</v>
      </c>
      <c r="BL1557" t="s">
        <v>423</v>
      </c>
      <c r="BM1557" t="s">
        <v>28014</v>
      </c>
      <c r="BN1557" t="s">
        <v>74</v>
      </c>
      <c r="BO1557" t="s">
        <v>74</v>
      </c>
      <c r="BP1557" t="s">
        <v>74</v>
      </c>
      <c r="BQ1557" t="s">
        <v>74</v>
      </c>
      <c r="BR1557" t="s">
        <v>101</v>
      </c>
      <c r="BS1557" t="s">
        <v>28015</v>
      </c>
      <c r="BT1557" t="str">
        <f>HYPERLINK("https%3A%2F%2Fwww.webofscience.com%2Fwos%2Fwoscc%2Ffull-record%2FWOS:001131606800001","View Full Record in Web of Science")</f>
        <v>View Full Record in Web of Science</v>
      </c>
    </row>
    <row r="1558" spans="1:72" x14ac:dyDescent="0.2">
      <c r="A1558" t="s">
        <v>72</v>
      </c>
      <c r="B1558" t="s">
        <v>28016</v>
      </c>
      <c r="C1558" t="s">
        <v>74</v>
      </c>
      <c r="D1558" t="s">
        <v>8562</v>
      </c>
      <c r="E1558" t="s">
        <v>74</v>
      </c>
      <c r="F1558" t="s">
        <v>28017</v>
      </c>
      <c r="G1558" t="s">
        <v>74</v>
      </c>
      <c r="H1558" t="s">
        <v>74</v>
      </c>
      <c r="I1558" t="s">
        <v>28018</v>
      </c>
      <c r="J1558" t="s">
        <v>28019</v>
      </c>
      <c r="K1558" t="s">
        <v>1034</v>
      </c>
      <c r="L1558" t="s">
        <v>74</v>
      </c>
      <c r="M1558" t="s">
        <v>79</v>
      </c>
      <c r="N1558" t="s">
        <v>80</v>
      </c>
      <c r="O1558" t="s">
        <v>8566</v>
      </c>
      <c r="P1558" t="s">
        <v>8567</v>
      </c>
      <c r="Q1558" t="s">
        <v>8568</v>
      </c>
      <c r="R1558" t="s">
        <v>8569</v>
      </c>
      <c r="S1558" t="s">
        <v>74</v>
      </c>
      <c r="T1558" t="s">
        <v>28020</v>
      </c>
      <c r="U1558" t="s">
        <v>74</v>
      </c>
      <c r="V1558" t="s">
        <v>28021</v>
      </c>
      <c r="W1558" t="s">
        <v>28022</v>
      </c>
      <c r="X1558" t="s">
        <v>28023</v>
      </c>
      <c r="Y1558" t="s">
        <v>28024</v>
      </c>
      <c r="Z1558" t="s">
        <v>28025</v>
      </c>
      <c r="AA1558" t="s">
        <v>28026</v>
      </c>
      <c r="AB1558" t="s">
        <v>74</v>
      </c>
      <c r="AC1558" t="s">
        <v>28027</v>
      </c>
      <c r="AD1558" t="s">
        <v>28028</v>
      </c>
      <c r="AE1558" t="s">
        <v>28029</v>
      </c>
      <c r="AF1558" t="s">
        <v>74</v>
      </c>
      <c r="AG1558">
        <v>34</v>
      </c>
      <c r="AH1558">
        <v>2</v>
      </c>
      <c r="AI1558">
        <v>2</v>
      </c>
      <c r="AJ1558">
        <v>5</v>
      </c>
      <c r="AK1558">
        <v>5</v>
      </c>
      <c r="AL1558" t="s">
        <v>325</v>
      </c>
      <c r="AM1558" t="s">
        <v>245</v>
      </c>
      <c r="AN1558" t="s">
        <v>246</v>
      </c>
      <c r="AO1558" t="s">
        <v>1042</v>
      </c>
      <c r="AP1558" t="s">
        <v>327</v>
      </c>
      <c r="AQ1558" t="s">
        <v>28030</v>
      </c>
      <c r="AR1558" t="s">
        <v>1044</v>
      </c>
      <c r="AS1558" t="s">
        <v>74</v>
      </c>
      <c r="AT1558" t="s">
        <v>74</v>
      </c>
      <c r="AU1558">
        <v>2023</v>
      </c>
      <c r="AV1558">
        <v>13716</v>
      </c>
      <c r="AW1558" t="s">
        <v>74</v>
      </c>
      <c r="AX1558" t="s">
        <v>74</v>
      </c>
      <c r="AY1558" t="s">
        <v>74</v>
      </c>
      <c r="AZ1558" t="s">
        <v>74</v>
      </c>
      <c r="BA1558" t="s">
        <v>74</v>
      </c>
      <c r="BB1558">
        <v>418</v>
      </c>
      <c r="BC1558">
        <v>434</v>
      </c>
      <c r="BD1558" t="s">
        <v>74</v>
      </c>
      <c r="BE1558" t="s">
        <v>28031</v>
      </c>
      <c r="BF1558" t="str">
        <f>HYPERLINK("http://dx.doi.org/10.1007/978-3-031-26412-2_26","http://dx.doi.org/10.1007/978-3-031-26412-2_26")</f>
        <v>http://dx.doi.org/10.1007/978-3-031-26412-2_26</v>
      </c>
      <c r="BG1558" t="s">
        <v>74</v>
      </c>
      <c r="BH1558" t="s">
        <v>74</v>
      </c>
      <c r="BI1558">
        <v>17</v>
      </c>
      <c r="BJ1558" t="s">
        <v>6374</v>
      </c>
      <c r="BK1558" t="s">
        <v>98</v>
      </c>
      <c r="BL1558" t="s">
        <v>99</v>
      </c>
      <c r="BM1558" t="s">
        <v>28032</v>
      </c>
      <c r="BN1558" t="s">
        <v>74</v>
      </c>
      <c r="BO1558" t="s">
        <v>74</v>
      </c>
      <c r="BP1558" t="s">
        <v>74</v>
      </c>
      <c r="BQ1558" t="s">
        <v>74</v>
      </c>
      <c r="BR1558" t="s">
        <v>101</v>
      </c>
      <c r="BS1558" t="s">
        <v>28033</v>
      </c>
      <c r="BT1558" t="str">
        <f>HYPERLINK("https%3A%2F%2Fwww.webofscience.com%2Fwos%2Fwoscc%2Ffull-record%2FWOS:000999043700026","View Full Record in Web of Science")</f>
        <v>View Full Record in Web of Science</v>
      </c>
    </row>
    <row r="1559" spans="1:72" x14ac:dyDescent="0.2">
      <c r="A1559" t="s">
        <v>103</v>
      </c>
      <c r="B1559" t="s">
        <v>28034</v>
      </c>
      <c r="C1559" t="s">
        <v>74</v>
      </c>
      <c r="D1559" t="s">
        <v>74</v>
      </c>
      <c r="E1559" t="s">
        <v>74</v>
      </c>
      <c r="F1559" t="s">
        <v>28035</v>
      </c>
      <c r="G1559" t="s">
        <v>74</v>
      </c>
      <c r="H1559" t="s">
        <v>74</v>
      </c>
      <c r="I1559" t="s">
        <v>28036</v>
      </c>
      <c r="J1559" t="s">
        <v>16112</v>
      </c>
      <c r="K1559" t="s">
        <v>74</v>
      </c>
      <c r="L1559" t="s">
        <v>74</v>
      </c>
      <c r="M1559" t="s">
        <v>79</v>
      </c>
      <c r="N1559" t="s">
        <v>108</v>
      </c>
      <c r="O1559" t="s">
        <v>74</v>
      </c>
      <c r="P1559" t="s">
        <v>74</v>
      </c>
      <c r="Q1559" t="s">
        <v>74</v>
      </c>
      <c r="R1559" t="s">
        <v>74</v>
      </c>
      <c r="S1559" t="s">
        <v>74</v>
      </c>
      <c r="T1559" t="s">
        <v>28037</v>
      </c>
      <c r="U1559" t="s">
        <v>28038</v>
      </c>
      <c r="V1559" t="s">
        <v>28039</v>
      </c>
      <c r="W1559" t="s">
        <v>28040</v>
      </c>
      <c r="X1559" t="s">
        <v>28041</v>
      </c>
      <c r="Y1559" t="s">
        <v>28042</v>
      </c>
      <c r="Z1559" t="s">
        <v>28043</v>
      </c>
      <c r="AA1559" t="s">
        <v>28044</v>
      </c>
      <c r="AB1559" t="s">
        <v>28045</v>
      </c>
      <c r="AC1559" t="s">
        <v>28046</v>
      </c>
      <c r="AD1559" t="s">
        <v>28047</v>
      </c>
      <c r="AE1559" t="s">
        <v>28048</v>
      </c>
      <c r="AF1559" t="s">
        <v>74</v>
      </c>
      <c r="AG1559">
        <v>46</v>
      </c>
      <c r="AH1559">
        <v>5</v>
      </c>
      <c r="AI1559">
        <v>5</v>
      </c>
      <c r="AJ1559">
        <v>20</v>
      </c>
      <c r="AK1559">
        <v>31</v>
      </c>
      <c r="AL1559" t="s">
        <v>1379</v>
      </c>
      <c r="AM1559" t="s">
        <v>1380</v>
      </c>
      <c r="AN1559" t="s">
        <v>1381</v>
      </c>
      <c r="AO1559" t="s">
        <v>16125</v>
      </c>
      <c r="AP1559" t="s">
        <v>16126</v>
      </c>
      <c r="AQ1559" t="s">
        <v>74</v>
      </c>
      <c r="AR1559" t="s">
        <v>16127</v>
      </c>
      <c r="AS1559" t="s">
        <v>16128</v>
      </c>
      <c r="AT1559" t="s">
        <v>445</v>
      </c>
      <c r="AU1559">
        <v>2023</v>
      </c>
      <c r="AV1559">
        <v>42</v>
      </c>
      <c r="AW1559">
        <v>4</v>
      </c>
      <c r="AX1559" t="s">
        <v>74</v>
      </c>
      <c r="AY1559" t="s">
        <v>74</v>
      </c>
      <c r="AZ1559" t="s">
        <v>74</v>
      </c>
      <c r="BA1559" t="s">
        <v>74</v>
      </c>
      <c r="BB1559">
        <v>1197</v>
      </c>
      <c r="BC1559">
        <v>1209</v>
      </c>
      <c r="BD1559" t="s">
        <v>74</v>
      </c>
      <c r="BE1559" t="s">
        <v>28049</v>
      </c>
      <c r="BF1559" t="str">
        <f>HYPERLINK("http://dx.doi.org/10.1109/TMI.2022.3225528","http://dx.doi.org/10.1109/TMI.2022.3225528")</f>
        <v>http://dx.doi.org/10.1109/TMI.2022.3225528</v>
      </c>
      <c r="BG1559" t="s">
        <v>74</v>
      </c>
      <c r="BH1559" t="s">
        <v>74</v>
      </c>
      <c r="BI1559">
        <v>13</v>
      </c>
      <c r="BJ1559" t="s">
        <v>16130</v>
      </c>
      <c r="BK1559" t="s">
        <v>130</v>
      </c>
      <c r="BL1559" t="s">
        <v>16131</v>
      </c>
      <c r="BM1559" t="s">
        <v>28050</v>
      </c>
      <c r="BN1559">
        <v>36449589</v>
      </c>
      <c r="BO1559" t="s">
        <v>646</v>
      </c>
      <c r="BP1559" t="s">
        <v>74</v>
      </c>
      <c r="BQ1559" t="s">
        <v>74</v>
      </c>
      <c r="BR1559" t="s">
        <v>101</v>
      </c>
      <c r="BS1559" t="s">
        <v>28051</v>
      </c>
      <c r="BT1559" t="str">
        <f>HYPERLINK("https%3A%2F%2Fwww.webofscience.com%2Fwos%2Fwoscc%2Ffull-record%2FWOS:000964765000025","View Full Record in Web of Science")</f>
        <v>View Full Record in Web of Science</v>
      </c>
    </row>
    <row r="1560" spans="1:72" x14ac:dyDescent="0.2">
      <c r="A1560" t="s">
        <v>72</v>
      </c>
      <c r="B1560" t="s">
        <v>28052</v>
      </c>
      <c r="C1560" t="s">
        <v>74</v>
      </c>
      <c r="D1560" t="s">
        <v>8562</v>
      </c>
      <c r="E1560" t="s">
        <v>74</v>
      </c>
      <c r="F1560" t="s">
        <v>28053</v>
      </c>
      <c r="G1560" t="s">
        <v>74</v>
      </c>
      <c r="H1560" t="s">
        <v>74</v>
      </c>
      <c r="I1560" t="s">
        <v>28054</v>
      </c>
      <c r="J1560" t="s">
        <v>10597</v>
      </c>
      <c r="K1560" t="s">
        <v>1034</v>
      </c>
      <c r="L1560" t="s">
        <v>74</v>
      </c>
      <c r="M1560" t="s">
        <v>79</v>
      </c>
      <c r="N1560" t="s">
        <v>80</v>
      </c>
      <c r="O1560" t="s">
        <v>8566</v>
      </c>
      <c r="P1560" t="s">
        <v>8567</v>
      </c>
      <c r="Q1560" t="s">
        <v>8568</v>
      </c>
      <c r="R1560" t="s">
        <v>8569</v>
      </c>
      <c r="S1560" t="s">
        <v>74</v>
      </c>
      <c r="T1560" t="s">
        <v>28055</v>
      </c>
      <c r="U1560" t="s">
        <v>28056</v>
      </c>
      <c r="V1560" t="s">
        <v>28057</v>
      </c>
      <c r="W1560" t="s">
        <v>28058</v>
      </c>
      <c r="X1560" t="s">
        <v>28059</v>
      </c>
      <c r="Y1560" t="s">
        <v>28060</v>
      </c>
      <c r="Z1560" t="s">
        <v>28061</v>
      </c>
      <c r="AA1560" t="s">
        <v>74</v>
      </c>
      <c r="AB1560" t="s">
        <v>74</v>
      </c>
      <c r="AC1560" t="s">
        <v>28062</v>
      </c>
      <c r="AD1560" t="s">
        <v>28063</v>
      </c>
      <c r="AE1560" t="s">
        <v>28064</v>
      </c>
      <c r="AF1560" t="s">
        <v>74</v>
      </c>
      <c r="AG1560">
        <v>70</v>
      </c>
      <c r="AH1560">
        <v>1</v>
      </c>
      <c r="AI1560">
        <v>1</v>
      </c>
      <c r="AJ1560">
        <v>1</v>
      </c>
      <c r="AK1560">
        <v>2</v>
      </c>
      <c r="AL1560" t="s">
        <v>325</v>
      </c>
      <c r="AM1560" t="s">
        <v>245</v>
      </c>
      <c r="AN1560" t="s">
        <v>246</v>
      </c>
      <c r="AO1560" t="s">
        <v>1042</v>
      </c>
      <c r="AP1560" t="s">
        <v>327</v>
      </c>
      <c r="AQ1560" t="s">
        <v>10606</v>
      </c>
      <c r="AR1560" t="s">
        <v>1044</v>
      </c>
      <c r="AS1560" t="s">
        <v>74</v>
      </c>
      <c r="AT1560" t="s">
        <v>74</v>
      </c>
      <c r="AU1560">
        <v>2023</v>
      </c>
      <c r="AV1560">
        <v>13715</v>
      </c>
      <c r="AW1560" t="s">
        <v>74</v>
      </c>
      <c r="AX1560" t="s">
        <v>74</v>
      </c>
      <c r="AY1560" t="s">
        <v>74</v>
      </c>
      <c r="AZ1560" t="s">
        <v>74</v>
      </c>
      <c r="BA1560" t="s">
        <v>74</v>
      </c>
      <c r="BB1560">
        <v>357</v>
      </c>
      <c r="BC1560">
        <v>372</v>
      </c>
      <c r="BD1560" t="s">
        <v>74</v>
      </c>
      <c r="BE1560" t="s">
        <v>28065</v>
      </c>
      <c r="BF1560" t="str">
        <f>HYPERLINK("http://dx.doi.org/10.1007/978-3-031-26409-2_22","http://dx.doi.org/10.1007/978-3-031-26409-2_22")</f>
        <v>http://dx.doi.org/10.1007/978-3-031-26409-2_22</v>
      </c>
      <c r="BG1560" t="s">
        <v>74</v>
      </c>
      <c r="BH1560" t="s">
        <v>74</v>
      </c>
      <c r="BI1560">
        <v>16</v>
      </c>
      <c r="BJ1560" t="s">
        <v>331</v>
      </c>
      <c r="BK1560" t="s">
        <v>98</v>
      </c>
      <c r="BL1560" t="s">
        <v>99</v>
      </c>
      <c r="BM1560" t="s">
        <v>10608</v>
      </c>
      <c r="BN1560" t="s">
        <v>74</v>
      </c>
      <c r="BO1560" t="s">
        <v>646</v>
      </c>
      <c r="BP1560" t="s">
        <v>74</v>
      </c>
      <c r="BQ1560" t="s">
        <v>74</v>
      </c>
      <c r="BR1560" t="s">
        <v>101</v>
      </c>
      <c r="BS1560" t="s">
        <v>28066</v>
      </c>
      <c r="BT1560" t="str">
        <f>HYPERLINK("https%3A%2F%2Fwww.webofscience.com%2Fwos%2Fwoscc%2Ffull-record%2FWOS:000999043300022","View Full Record in Web of Science")</f>
        <v>View Full Record in Web of Science</v>
      </c>
    </row>
    <row r="1561" spans="1:72" x14ac:dyDescent="0.2">
      <c r="A1561" t="s">
        <v>103</v>
      </c>
      <c r="B1561" t="s">
        <v>28067</v>
      </c>
      <c r="C1561" t="s">
        <v>74</v>
      </c>
      <c r="D1561" t="s">
        <v>74</v>
      </c>
      <c r="E1561" t="s">
        <v>74</v>
      </c>
      <c r="F1561" t="s">
        <v>28068</v>
      </c>
      <c r="G1561" t="s">
        <v>74</v>
      </c>
      <c r="H1561" t="s">
        <v>74</v>
      </c>
      <c r="I1561" t="s">
        <v>28069</v>
      </c>
      <c r="J1561" t="s">
        <v>13656</v>
      </c>
      <c r="K1561" t="s">
        <v>74</v>
      </c>
      <c r="L1561" t="s">
        <v>74</v>
      </c>
      <c r="M1561" t="s">
        <v>79</v>
      </c>
      <c r="N1561" t="s">
        <v>108</v>
      </c>
      <c r="O1561" t="s">
        <v>74</v>
      </c>
      <c r="P1561" t="s">
        <v>74</v>
      </c>
      <c r="Q1561" t="s">
        <v>74</v>
      </c>
      <c r="R1561" t="s">
        <v>74</v>
      </c>
      <c r="S1561" t="s">
        <v>74</v>
      </c>
      <c r="T1561" t="s">
        <v>28070</v>
      </c>
      <c r="U1561" t="s">
        <v>28071</v>
      </c>
      <c r="V1561" t="s">
        <v>28072</v>
      </c>
      <c r="W1561" t="s">
        <v>28073</v>
      </c>
      <c r="X1561" t="s">
        <v>28074</v>
      </c>
      <c r="Y1561" t="s">
        <v>28075</v>
      </c>
      <c r="Z1561" t="s">
        <v>28076</v>
      </c>
      <c r="AA1561" t="s">
        <v>28077</v>
      </c>
      <c r="AB1561" t="s">
        <v>74</v>
      </c>
      <c r="AC1561" t="s">
        <v>28078</v>
      </c>
      <c r="AD1561" t="s">
        <v>28079</v>
      </c>
      <c r="AE1561" t="s">
        <v>28080</v>
      </c>
      <c r="AF1561" t="s">
        <v>74</v>
      </c>
      <c r="AG1561">
        <v>58</v>
      </c>
      <c r="AH1561">
        <v>0</v>
      </c>
      <c r="AI1561">
        <v>0</v>
      </c>
      <c r="AJ1561">
        <v>10</v>
      </c>
      <c r="AK1561">
        <v>12</v>
      </c>
      <c r="AL1561" t="s">
        <v>3165</v>
      </c>
      <c r="AM1561" t="s">
        <v>3166</v>
      </c>
      <c r="AN1561" t="s">
        <v>3167</v>
      </c>
      <c r="AO1561" t="s">
        <v>13664</v>
      </c>
      <c r="AP1561" t="s">
        <v>13665</v>
      </c>
      <c r="AQ1561" t="s">
        <v>74</v>
      </c>
      <c r="AR1561" t="s">
        <v>13666</v>
      </c>
      <c r="AS1561" t="s">
        <v>13667</v>
      </c>
      <c r="AT1561" t="s">
        <v>527</v>
      </c>
      <c r="AU1561">
        <v>2023</v>
      </c>
      <c r="AV1561">
        <v>50</v>
      </c>
      <c r="AW1561">
        <v>12</v>
      </c>
      <c r="AX1561" t="s">
        <v>74</v>
      </c>
      <c r="AY1561" t="s">
        <v>74</v>
      </c>
      <c r="AZ1561" t="s">
        <v>74</v>
      </c>
      <c r="BA1561" t="s">
        <v>74</v>
      </c>
      <c r="BB1561">
        <v>7684</v>
      </c>
      <c r="BC1561">
        <v>7699</v>
      </c>
      <c r="BD1561" t="s">
        <v>74</v>
      </c>
      <c r="BE1561" t="s">
        <v>28081</v>
      </c>
      <c r="BF1561" t="str">
        <f>HYPERLINK("http://dx.doi.org/10.1002/mp.16425","http://dx.doi.org/10.1002/mp.16425")</f>
        <v>http://dx.doi.org/10.1002/mp.16425</v>
      </c>
      <c r="BG1561" t="s">
        <v>74</v>
      </c>
      <c r="BH1561" t="s">
        <v>793</v>
      </c>
      <c r="BI1561">
        <v>16</v>
      </c>
      <c r="BJ1561" t="s">
        <v>5360</v>
      </c>
      <c r="BK1561" t="s">
        <v>130</v>
      </c>
      <c r="BL1561" t="s">
        <v>5360</v>
      </c>
      <c r="BM1561" t="s">
        <v>28082</v>
      </c>
      <c r="BN1561">
        <v>37073772</v>
      </c>
      <c r="BO1561" t="s">
        <v>74</v>
      </c>
      <c r="BP1561" t="s">
        <v>74</v>
      </c>
      <c r="BQ1561" t="s">
        <v>74</v>
      </c>
      <c r="BR1561" t="s">
        <v>101</v>
      </c>
      <c r="BS1561" t="s">
        <v>28083</v>
      </c>
      <c r="BT1561" t="str">
        <f>HYPERLINK("https%3A%2F%2Fwww.webofscience.com%2Fwos%2Fwoscc%2Ffull-record%2FWOS:000971642300001","View Full Record in Web of Science")</f>
        <v>View Full Record in Web of Science</v>
      </c>
    </row>
    <row r="1562" spans="1:72" x14ac:dyDescent="0.2">
      <c r="A1562" t="s">
        <v>72</v>
      </c>
      <c r="B1562" t="s">
        <v>28084</v>
      </c>
      <c r="C1562" t="s">
        <v>74</v>
      </c>
      <c r="D1562" t="s">
        <v>8562</v>
      </c>
      <c r="E1562" t="s">
        <v>74</v>
      </c>
      <c r="F1562" t="s">
        <v>28085</v>
      </c>
      <c r="G1562" t="s">
        <v>74</v>
      </c>
      <c r="H1562" t="s">
        <v>74</v>
      </c>
      <c r="I1562" t="s">
        <v>28086</v>
      </c>
      <c r="J1562" t="s">
        <v>26067</v>
      </c>
      <c r="K1562" t="s">
        <v>1034</v>
      </c>
      <c r="L1562" t="s">
        <v>74</v>
      </c>
      <c r="M1562" t="s">
        <v>79</v>
      </c>
      <c r="N1562" t="s">
        <v>80</v>
      </c>
      <c r="O1562" t="s">
        <v>8566</v>
      </c>
      <c r="P1562" t="s">
        <v>8567</v>
      </c>
      <c r="Q1562" t="s">
        <v>8568</v>
      </c>
      <c r="R1562" t="s">
        <v>8569</v>
      </c>
      <c r="S1562" t="s">
        <v>74</v>
      </c>
      <c r="T1562" t="s">
        <v>28087</v>
      </c>
      <c r="U1562" t="s">
        <v>28088</v>
      </c>
      <c r="V1562" t="s">
        <v>28089</v>
      </c>
      <c r="W1562" t="s">
        <v>28090</v>
      </c>
      <c r="X1562" t="s">
        <v>28091</v>
      </c>
      <c r="Y1562" t="s">
        <v>28092</v>
      </c>
      <c r="Z1562" t="s">
        <v>28093</v>
      </c>
      <c r="AA1562" t="s">
        <v>74</v>
      </c>
      <c r="AB1562" t="s">
        <v>74</v>
      </c>
      <c r="AC1562" t="s">
        <v>74</v>
      </c>
      <c r="AD1562" t="s">
        <v>74</v>
      </c>
      <c r="AE1562" t="s">
        <v>74</v>
      </c>
      <c r="AF1562" t="s">
        <v>74</v>
      </c>
      <c r="AG1562">
        <v>55</v>
      </c>
      <c r="AH1562">
        <v>0</v>
      </c>
      <c r="AI1562">
        <v>0</v>
      </c>
      <c r="AJ1562">
        <v>0</v>
      </c>
      <c r="AK1562">
        <v>0</v>
      </c>
      <c r="AL1562" t="s">
        <v>325</v>
      </c>
      <c r="AM1562" t="s">
        <v>245</v>
      </c>
      <c r="AN1562" t="s">
        <v>246</v>
      </c>
      <c r="AO1562" t="s">
        <v>1042</v>
      </c>
      <c r="AP1562" t="s">
        <v>327</v>
      </c>
      <c r="AQ1562" t="s">
        <v>26078</v>
      </c>
      <c r="AR1562" t="s">
        <v>1044</v>
      </c>
      <c r="AS1562" t="s">
        <v>74</v>
      </c>
      <c r="AT1562" t="s">
        <v>74</v>
      </c>
      <c r="AU1562">
        <v>2023</v>
      </c>
      <c r="AV1562">
        <v>13714</v>
      </c>
      <c r="AW1562" t="s">
        <v>74</v>
      </c>
      <c r="AX1562" t="s">
        <v>74</v>
      </c>
      <c r="AY1562" t="s">
        <v>74</v>
      </c>
      <c r="AZ1562" t="s">
        <v>74</v>
      </c>
      <c r="BA1562" t="s">
        <v>74</v>
      </c>
      <c r="BB1562">
        <v>3</v>
      </c>
      <c r="BC1562">
        <v>19</v>
      </c>
      <c r="BD1562" t="s">
        <v>74</v>
      </c>
      <c r="BE1562" t="s">
        <v>28094</v>
      </c>
      <c r="BF1562" t="str">
        <f>HYPERLINK("http://dx.doi.org/10.1007/978-3-031-26390-3_1","http://dx.doi.org/10.1007/978-3-031-26390-3_1")</f>
        <v>http://dx.doi.org/10.1007/978-3-031-26390-3_1</v>
      </c>
      <c r="BG1562" t="s">
        <v>74</v>
      </c>
      <c r="BH1562" t="s">
        <v>74</v>
      </c>
      <c r="BI1562">
        <v>17</v>
      </c>
      <c r="BJ1562" t="s">
        <v>1851</v>
      </c>
      <c r="BK1562" t="s">
        <v>98</v>
      </c>
      <c r="BL1562" t="s">
        <v>99</v>
      </c>
      <c r="BM1562" t="s">
        <v>26080</v>
      </c>
      <c r="BN1562" t="s">
        <v>74</v>
      </c>
      <c r="BO1562" t="s">
        <v>74</v>
      </c>
      <c r="BP1562" t="s">
        <v>74</v>
      </c>
      <c r="BQ1562" t="s">
        <v>74</v>
      </c>
      <c r="BR1562" t="s">
        <v>101</v>
      </c>
      <c r="BS1562" t="s">
        <v>28095</v>
      </c>
      <c r="BT1562" t="str">
        <f>HYPERLINK("https%3A%2F%2Fwww.webofscience.com%2Fwos%2Fwoscc%2Ffull-record%2FWOS:000999041300001","View Full Record in Web of Science")</f>
        <v>View Full Record in Web of Science</v>
      </c>
    </row>
    <row r="1563" spans="1:72" x14ac:dyDescent="0.2">
      <c r="A1563" t="s">
        <v>103</v>
      </c>
      <c r="B1563" t="s">
        <v>28096</v>
      </c>
      <c r="C1563" t="s">
        <v>74</v>
      </c>
      <c r="D1563" t="s">
        <v>74</v>
      </c>
      <c r="E1563" t="s">
        <v>74</v>
      </c>
      <c r="F1563" t="s">
        <v>28097</v>
      </c>
      <c r="G1563" t="s">
        <v>74</v>
      </c>
      <c r="H1563" t="s">
        <v>74</v>
      </c>
      <c r="I1563" t="s">
        <v>28098</v>
      </c>
      <c r="J1563" t="s">
        <v>11742</v>
      </c>
      <c r="K1563" t="s">
        <v>74</v>
      </c>
      <c r="L1563" t="s">
        <v>74</v>
      </c>
      <c r="M1563" t="s">
        <v>79</v>
      </c>
      <c r="N1563" t="s">
        <v>108</v>
      </c>
      <c r="O1563" t="s">
        <v>74</v>
      </c>
      <c r="P1563" t="s">
        <v>74</v>
      </c>
      <c r="Q1563" t="s">
        <v>74</v>
      </c>
      <c r="R1563" t="s">
        <v>74</v>
      </c>
      <c r="S1563" t="s">
        <v>74</v>
      </c>
      <c r="T1563" t="s">
        <v>74</v>
      </c>
      <c r="U1563" t="s">
        <v>28099</v>
      </c>
      <c r="V1563" t="s">
        <v>28100</v>
      </c>
      <c r="W1563" t="s">
        <v>28101</v>
      </c>
      <c r="X1563" t="s">
        <v>28102</v>
      </c>
      <c r="Y1563" t="s">
        <v>28103</v>
      </c>
      <c r="Z1563" t="s">
        <v>28104</v>
      </c>
      <c r="AA1563" t="s">
        <v>28105</v>
      </c>
      <c r="AB1563" t="s">
        <v>28106</v>
      </c>
      <c r="AC1563" t="s">
        <v>28107</v>
      </c>
      <c r="AD1563" t="s">
        <v>28108</v>
      </c>
      <c r="AE1563" t="s">
        <v>28109</v>
      </c>
      <c r="AF1563" t="s">
        <v>74</v>
      </c>
      <c r="AG1563">
        <v>34</v>
      </c>
      <c r="AH1563">
        <v>3</v>
      </c>
      <c r="AI1563">
        <v>3</v>
      </c>
      <c r="AJ1563">
        <v>3</v>
      </c>
      <c r="AK1563">
        <v>5</v>
      </c>
      <c r="AL1563" t="s">
        <v>11754</v>
      </c>
      <c r="AM1563" t="s">
        <v>11755</v>
      </c>
      <c r="AN1563" t="s">
        <v>11756</v>
      </c>
      <c r="AO1563" t="s">
        <v>11757</v>
      </c>
      <c r="AP1563" t="s">
        <v>74</v>
      </c>
      <c r="AQ1563" t="s">
        <v>74</v>
      </c>
      <c r="AR1563" t="s">
        <v>11742</v>
      </c>
      <c r="AS1563" t="s">
        <v>11758</v>
      </c>
      <c r="AT1563" t="s">
        <v>24238</v>
      </c>
      <c r="AU1563">
        <v>2023</v>
      </c>
      <c r="AV1563">
        <v>18</v>
      </c>
      <c r="AW1563">
        <v>1</v>
      </c>
      <c r="AX1563" t="s">
        <v>74</v>
      </c>
      <c r="AY1563" t="s">
        <v>74</v>
      </c>
      <c r="AZ1563" t="s">
        <v>74</v>
      </c>
      <c r="BA1563" t="s">
        <v>74</v>
      </c>
      <c r="BB1563" t="s">
        <v>74</v>
      </c>
      <c r="BC1563" t="s">
        <v>74</v>
      </c>
      <c r="BD1563" t="s">
        <v>28110</v>
      </c>
      <c r="BE1563" t="s">
        <v>28111</v>
      </c>
      <c r="BF1563" t="str">
        <f>HYPERLINK("http://dx.doi.org/10.1371/journal.pone.0280076","http://dx.doi.org/10.1371/journal.pone.0280076")</f>
        <v>http://dx.doi.org/10.1371/journal.pone.0280076</v>
      </c>
      <c r="BG1563" t="s">
        <v>74</v>
      </c>
      <c r="BH1563" t="s">
        <v>74</v>
      </c>
      <c r="BI1563">
        <v>12</v>
      </c>
      <c r="BJ1563" t="s">
        <v>5686</v>
      </c>
      <c r="BK1563" t="s">
        <v>130</v>
      </c>
      <c r="BL1563" t="s">
        <v>5687</v>
      </c>
      <c r="BM1563" t="s">
        <v>28112</v>
      </c>
      <c r="BN1563">
        <v>36607999</v>
      </c>
      <c r="BO1563" t="s">
        <v>4185</v>
      </c>
      <c r="BP1563" t="s">
        <v>74</v>
      </c>
      <c r="BQ1563" t="s">
        <v>74</v>
      </c>
      <c r="BR1563" t="s">
        <v>101</v>
      </c>
      <c r="BS1563" t="s">
        <v>28113</v>
      </c>
      <c r="BT1563" t="str">
        <f>HYPERLINK("https%3A%2F%2Fwww.webofscience.com%2Fwos%2Fwoscc%2Ffull-record%2FWOS:000945459800001","View Full Record in Web of Science")</f>
        <v>View Full Record in Web of Science</v>
      </c>
    </row>
    <row r="1564" spans="1:72" x14ac:dyDescent="0.2">
      <c r="A1564" t="s">
        <v>103</v>
      </c>
      <c r="B1564" t="s">
        <v>28114</v>
      </c>
      <c r="C1564" t="s">
        <v>74</v>
      </c>
      <c r="D1564" t="s">
        <v>74</v>
      </c>
      <c r="E1564" t="s">
        <v>74</v>
      </c>
      <c r="F1564" t="s">
        <v>28115</v>
      </c>
      <c r="G1564" t="s">
        <v>74</v>
      </c>
      <c r="H1564" t="s">
        <v>74</v>
      </c>
      <c r="I1564" t="s">
        <v>28116</v>
      </c>
      <c r="J1564" t="s">
        <v>3782</v>
      </c>
      <c r="K1564" t="s">
        <v>74</v>
      </c>
      <c r="L1564" t="s">
        <v>74</v>
      </c>
      <c r="M1564" t="s">
        <v>79</v>
      </c>
      <c r="N1564" t="s">
        <v>108</v>
      </c>
      <c r="O1564" t="s">
        <v>74</v>
      </c>
      <c r="P1564" t="s">
        <v>74</v>
      </c>
      <c r="Q1564" t="s">
        <v>74</v>
      </c>
      <c r="R1564" t="s">
        <v>74</v>
      </c>
      <c r="S1564" t="s">
        <v>74</v>
      </c>
      <c r="T1564" t="s">
        <v>28117</v>
      </c>
      <c r="U1564" t="s">
        <v>20253</v>
      </c>
      <c r="V1564" t="s">
        <v>28118</v>
      </c>
      <c r="W1564" t="s">
        <v>28119</v>
      </c>
      <c r="X1564" t="s">
        <v>28120</v>
      </c>
      <c r="Y1564" t="s">
        <v>28121</v>
      </c>
      <c r="Z1564" t="s">
        <v>28122</v>
      </c>
      <c r="AA1564" t="s">
        <v>74</v>
      </c>
      <c r="AB1564" t="s">
        <v>28123</v>
      </c>
      <c r="AC1564" t="s">
        <v>28124</v>
      </c>
      <c r="AD1564" t="s">
        <v>28124</v>
      </c>
      <c r="AE1564" t="s">
        <v>3401</v>
      </c>
      <c r="AF1564" t="s">
        <v>74</v>
      </c>
      <c r="AG1564">
        <v>75</v>
      </c>
      <c r="AH1564">
        <v>0</v>
      </c>
      <c r="AI1564">
        <v>0</v>
      </c>
      <c r="AJ1564">
        <v>0</v>
      </c>
      <c r="AK1564">
        <v>0</v>
      </c>
      <c r="AL1564" t="s">
        <v>1379</v>
      </c>
      <c r="AM1564" t="s">
        <v>1380</v>
      </c>
      <c r="AN1564" t="s">
        <v>1381</v>
      </c>
      <c r="AO1564" t="s">
        <v>3794</v>
      </c>
      <c r="AP1564" t="s">
        <v>3795</v>
      </c>
      <c r="AQ1564" t="s">
        <v>74</v>
      </c>
      <c r="AR1564" t="s">
        <v>3796</v>
      </c>
      <c r="AS1564" t="s">
        <v>3797</v>
      </c>
      <c r="AT1564" t="s">
        <v>74</v>
      </c>
      <c r="AU1564">
        <v>2023</v>
      </c>
      <c r="AV1564">
        <v>25</v>
      </c>
      <c r="AW1564" t="s">
        <v>74</v>
      </c>
      <c r="AX1564" t="s">
        <v>74</v>
      </c>
      <c r="AY1564" t="s">
        <v>74</v>
      </c>
      <c r="AZ1564" t="s">
        <v>74</v>
      </c>
      <c r="BA1564" t="s">
        <v>74</v>
      </c>
      <c r="BB1564">
        <v>8358</v>
      </c>
      <c r="BC1564">
        <v>8371</v>
      </c>
      <c r="BD1564" t="s">
        <v>74</v>
      </c>
      <c r="BE1564" t="s">
        <v>28125</v>
      </c>
      <c r="BF1564" t="str">
        <f>HYPERLINK("http://dx.doi.org/10.1109/TMM.2023.3236212","http://dx.doi.org/10.1109/TMM.2023.3236212")</f>
        <v>http://dx.doi.org/10.1109/TMM.2023.3236212</v>
      </c>
      <c r="BG1564" t="s">
        <v>74</v>
      </c>
      <c r="BH1564" t="s">
        <v>74</v>
      </c>
      <c r="BI1564">
        <v>14</v>
      </c>
      <c r="BJ1564" t="s">
        <v>3799</v>
      </c>
      <c r="BK1564" t="s">
        <v>130</v>
      </c>
      <c r="BL1564" t="s">
        <v>644</v>
      </c>
      <c r="BM1564" t="s">
        <v>28126</v>
      </c>
      <c r="BN1564" t="s">
        <v>74</v>
      </c>
      <c r="BO1564" t="s">
        <v>74</v>
      </c>
      <c r="BP1564" t="s">
        <v>74</v>
      </c>
      <c r="BQ1564" t="s">
        <v>74</v>
      </c>
      <c r="BR1564" t="s">
        <v>101</v>
      </c>
      <c r="BS1564" t="s">
        <v>28127</v>
      </c>
      <c r="BT1564" t="str">
        <f>HYPERLINK("https%3A%2F%2Fwww.webofscience.com%2Fwos%2Fwoscc%2Ffull-record%2FWOS:001125902000050","View Full Record in Web of Science")</f>
        <v>View Full Record in Web of Science</v>
      </c>
    </row>
    <row r="1565" spans="1:72" x14ac:dyDescent="0.2">
      <c r="A1565" t="s">
        <v>103</v>
      </c>
      <c r="B1565" t="s">
        <v>28128</v>
      </c>
      <c r="C1565" t="s">
        <v>74</v>
      </c>
      <c r="D1565" t="s">
        <v>74</v>
      </c>
      <c r="E1565" t="s">
        <v>74</v>
      </c>
      <c r="F1565" t="s">
        <v>28129</v>
      </c>
      <c r="G1565" t="s">
        <v>74</v>
      </c>
      <c r="H1565" t="s">
        <v>74</v>
      </c>
      <c r="I1565" t="s">
        <v>28130</v>
      </c>
      <c r="J1565" t="s">
        <v>28131</v>
      </c>
      <c r="K1565" t="s">
        <v>74</v>
      </c>
      <c r="L1565" t="s">
        <v>74</v>
      </c>
      <c r="M1565" t="s">
        <v>79</v>
      </c>
      <c r="N1565" t="s">
        <v>108</v>
      </c>
      <c r="O1565" t="s">
        <v>74</v>
      </c>
      <c r="P1565" t="s">
        <v>74</v>
      </c>
      <c r="Q1565" t="s">
        <v>74</v>
      </c>
      <c r="R1565" t="s">
        <v>74</v>
      </c>
      <c r="S1565" t="s">
        <v>74</v>
      </c>
      <c r="T1565" t="s">
        <v>28132</v>
      </c>
      <c r="U1565" t="s">
        <v>74</v>
      </c>
      <c r="V1565" t="s">
        <v>28133</v>
      </c>
      <c r="W1565" t="s">
        <v>28134</v>
      </c>
      <c r="X1565" t="s">
        <v>28135</v>
      </c>
      <c r="Y1565" t="s">
        <v>28136</v>
      </c>
      <c r="Z1565" t="s">
        <v>28137</v>
      </c>
      <c r="AA1565" t="s">
        <v>74</v>
      </c>
      <c r="AB1565" t="s">
        <v>28138</v>
      </c>
      <c r="AC1565" t="s">
        <v>28139</v>
      </c>
      <c r="AD1565" t="s">
        <v>28140</v>
      </c>
      <c r="AE1565" t="s">
        <v>28141</v>
      </c>
      <c r="AF1565" t="s">
        <v>74</v>
      </c>
      <c r="AG1565">
        <v>73</v>
      </c>
      <c r="AH1565">
        <v>1</v>
      </c>
      <c r="AI1565">
        <v>1</v>
      </c>
      <c r="AJ1565">
        <v>1</v>
      </c>
      <c r="AK1565">
        <v>1</v>
      </c>
      <c r="AL1565" t="s">
        <v>8126</v>
      </c>
      <c r="AM1565" t="s">
        <v>8127</v>
      </c>
      <c r="AN1565" t="s">
        <v>8128</v>
      </c>
      <c r="AO1565" t="s">
        <v>28142</v>
      </c>
      <c r="AP1565" t="s">
        <v>28143</v>
      </c>
      <c r="AQ1565" t="s">
        <v>74</v>
      </c>
      <c r="AR1565" t="s">
        <v>28131</v>
      </c>
      <c r="AS1565" t="s">
        <v>28144</v>
      </c>
      <c r="AT1565" t="s">
        <v>527</v>
      </c>
      <c r="AU1565">
        <v>2023</v>
      </c>
      <c r="AV1565">
        <v>30</v>
      </c>
      <c r="AW1565">
        <v>4</v>
      </c>
      <c r="AX1565" t="s">
        <v>74</v>
      </c>
      <c r="AY1565" t="s">
        <v>74</v>
      </c>
      <c r="AZ1565" t="s">
        <v>74</v>
      </c>
      <c r="BA1565" t="s">
        <v>74</v>
      </c>
      <c r="BB1565">
        <v>348</v>
      </c>
      <c r="BC1565">
        <v>372</v>
      </c>
      <c r="BD1565" t="s">
        <v>74</v>
      </c>
      <c r="BE1565" t="s">
        <v>28145</v>
      </c>
      <c r="BF1565" t="str">
        <f>HYPERLINK("http://dx.doi.org/10.1057/s41286-023-00170-x","http://dx.doi.org/10.1057/s41286-023-00170-x")</f>
        <v>http://dx.doi.org/10.1057/s41286-023-00170-x</v>
      </c>
      <c r="BG1565" t="s">
        <v>74</v>
      </c>
      <c r="BH1565" t="s">
        <v>1886</v>
      </c>
      <c r="BI1565">
        <v>25</v>
      </c>
      <c r="BJ1565" t="s">
        <v>617</v>
      </c>
      <c r="BK1565" t="s">
        <v>352</v>
      </c>
      <c r="BL1565" t="s">
        <v>618</v>
      </c>
      <c r="BM1565" t="s">
        <v>28146</v>
      </c>
      <c r="BN1565" t="s">
        <v>74</v>
      </c>
      <c r="BO1565" t="s">
        <v>161</v>
      </c>
      <c r="BP1565" t="s">
        <v>74</v>
      </c>
      <c r="BQ1565" t="s">
        <v>74</v>
      </c>
      <c r="BR1565" t="s">
        <v>101</v>
      </c>
      <c r="BS1565" t="s">
        <v>28147</v>
      </c>
      <c r="BT1565" t="str">
        <f>HYPERLINK("https%3A%2F%2Fwww.webofscience.com%2Fwos%2Fwoscc%2Ffull-record%2FWOS:001088497400002","View Full Record in Web of Science")</f>
        <v>View Full Record in Web of Science</v>
      </c>
    </row>
    <row r="1566" spans="1:72" x14ac:dyDescent="0.2">
      <c r="A1566" t="s">
        <v>103</v>
      </c>
      <c r="B1566" t="s">
        <v>28148</v>
      </c>
      <c r="C1566" t="s">
        <v>74</v>
      </c>
      <c r="D1566" t="s">
        <v>74</v>
      </c>
      <c r="E1566" t="s">
        <v>74</v>
      </c>
      <c r="F1566" t="s">
        <v>28149</v>
      </c>
      <c r="G1566" t="s">
        <v>74</v>
      </c>
      <c r="H1566" t="s">
        <v>74</v>
      </c>
      <c r="I1566" t="s">
        <v>28150</v>
      </c>
      <c r="J1566" t="s">
        <v>6056</v>
      </c>
      <c r="K1566" t="s">
        <v>74</v>
      </c>
      <c r="L1566" t="s">
        <v>74</v>
      </c>
      <c r="M1566" t="s">
        <v>79</v>
      </c>
      <c r="N1566" t="s">
        <v>108</v>
      </c>
      <c r="O1566" t="s">
        <v>74</v>
      </c>
      <c r="P1566" t="s">
        <v>74</v>
      </c>
      <c r="Q1566" t="s">
        <v>74</v>
      </c>
      <c r="R1566" t="s">
        <v>74</v>
      </c>
      <c r="S1566" t="s">
        <v>74</v>
      </c>
      <c r="T1566" t="s">
        <v>28151</v>
      </c>
      <c r="U1566" t="s">
        <v>28152</v>
      </c>
      <c r="V1566" t="s">
        <v>28153</v>
      </c>
      <c r="W1566" t="s">
        <v>28154</v>
      </c>
      <c r="X1566" t="s">
        <v>28155</v>
      </c>
      <c r="Y1566" t="s">
        <v>28156</v>
      </c>
      <c r="Z1566" t="s">
        <v>28157</v>
      </c>
      <c r="AA1566" t="s">
        <v>74</v>
      </c>
      <c r="AB1566" t="s">
        <v>28158</v>
      </c>
      <c r="AC1566" t="s">
        <v>28159</v>
      </c>
      <c r="AD1566" t="s">
        <v>28159</v>
      </c>
      <c r="AE1566" t="s">
        <v>28160</v>
      </c>
      <c r="AF1566" t="s">
        <v>74</v>
      </c>
      <c r="AG1566">
        <v>65</v>
      </c>
      <c r="AH1566">
        <v>0</v>
      </c>
      <c r="AI1566">
        <v>0</v>
      </c>
      <c r="AJ1566">
        <v>3</v>
      </c>
      <c r="AK1566">
        <v>3</v>
      </c>
      <c r="AL1566" t="s">
        <v>4176</v>
      </c>
      <c r="AM1566" t="s">
        <v>4177</v>
      </c>
      <c r="AN1566" t="s">
        <v>4178</v>
      </c>
      <c r="AO1566" t="s">
        <v>6067</v>
      </c>
      <c r="AP1566" t="s">
        <v>74</v>
      </c>
      <c r="AQ1566" t="s">
        <v>74</v>
      </c>
      <c r="AR1566" t="s">
        <v>6068</v>
      </c>
      <c r="AS1566" t="s">
        <v>6069</v>
      </c>
      <c r="AT1566" t="s">
        <v>28161</v>
      </c>
      <c r="AU1566">
        <v>2023</v>
      </c>
      <c r="AV1566">
        <v>25</v>
      </c>
      <c r="AW1566" t="s">
        <v>74</v>
      </c>
      <c r="AX1566" t="s">
        <v>74</v>
      </c>
      <c r="AY1566" t="s">
        <v>74</v>
      </c>
      <c r="AZ1566" t="s">
        <v>74</v>
      </c>
      <c r="BA1566" t="s">
        <v>74</v>
      </c>
      <c r="BB1566" t="s">
        <v>74</v>
      </c>
      <c r="BC1566" t="s">
        <v>74</v>
      </c>
      <c r="BD1566" t="s">
        <v>28162</v>
      </c>
      <c r="BE1566" t="s">
        <v>28163</v>
      </c>
      <c r="BF1566" t="str">
        <f>HYPERLINK("http://dx.doi.org/10.2196/43701","http://dx.doi.org/10.2196/43701")</f>
        <v>http://dx.doi.org/10.2196/43701</v>
      </c>
      <c r="BG1566" t="s">
        <v>74</v>
      </c>
      <c r="BH1566" t="s">
        <v>74</v>
      </c>
      <c r="BI1566">
        <v>16</v>
      </c>
      <c r="BJ1566" t="s">
        <v>4947</v>
      </c>
      <c r="BK1566" t="s">
        <v>130</v>
      </c>
      <c r="BL1566" t="s">
        <v>4947</v>
      </c>
      <c r="BM1566" t="s">
        <v>28164</v>
      </c>
      <c r="BN1566">
        <v>37824190</v>
      </c>
      <c r="BO1566" t="s">
        <v>4185</v>
      </c>
      <c r="BP1566" t="s">
        <v>74</v>
      </c>
      <c r="BQ1566" t="s">
        <v>74</v>
      </c>
      <c r="BR1566" t="s">
        <v>101</v>
      </c>
      <c r="BS1566" t="s">
        <v>28165</v>
      </c>
      <c r="BT1566" t="str">
        <f>HYPERLINK("https%3A%2F%2Fwww.webofscience.com%2Fwos%2Fwoscc%2Ffull-record%2FWOS:001092176300004","View Full Record in Web of Science")</f>
        <v>View Full Record in Web of Science</v>
      </c>
    </row>
    <row r="1567" spans="1:72" x14ac:dyDescent="0.2">
      <c r="A1567" t="s">
        <v>103</v>
      </c>
      <c r="B1567" t="s">
        <v>28166</v>
      </c>
      <c r="C1567" t="s">
        <v>74</v>
      </c>
      <c r="D1567" t="s">
        <v>74</v>
      </c>
      <c r="E1567" t="s">
        <v>74</v>
      </c>
      <c r="F1567" t="s">
        <v>28167</v>
      </c>
      <c r="G1567" t="s">
        <v>74</v>
      </c>
      <c r="H1567" t="s">
        <v>74</v>
      </c>
      <c r="I1567" t="s">
        <v>28168</v>
      </c>
      <c r="J1567" t="s">
        <v>23918</v>
      </c>
      <c r="K1567" t="s">
        <v>74</v>
      </c>
      <c r="L1567" t="s">
        <v>74</v>
      </c>
      <c r="M1567" t="s">
        <v>79</v>
      </c>
      <c r="N1567" t="s">
        <v>4779</v>
      </c>
      <c r="O1567" t="s">
        <v>28169</v>
      </c>
      <c r="P1567" t="s">
        <v>28170</v>
      </c>
      <c r="Q1567" t="s">
        <v>28171</v>
      </c>
      <c r="R1567" t="s">
        <v>74</v>
      </c>
      <c r="S1567" t="s">
        <v>74</v>
      </c>
      <c r="T1567" t="s">
        <v>74</v>
      </c>
      <c r="U1567" t="s">
        <v>74</v>
      </c>
      <c r="V1567" t="s">
        <v>28172</v>
      </c>
      <c r="W1567" t="s">
        <v>28173</v>
      </c>
      <c r="X1567" t="s">
        <v>28174</v>
      </c>
      <c r="Y1567" t="s">
        <v>28175</v>
      </c>
      <c r="Z1567" t="s">
        <v>28176</v>
      </c>
      <c r="AA1567" t="s">
        <v>74</v>
      </c>
      <c r="AB1567" t="s">
        <v>74</v>
      </c>
      <c r="AC1567" t="s">
        <v>28177</v>
      </c>
      <c r="AD1567" t="s">
        <v>28178</v>
      </c>
      <c r="AE1567" t="s">
        <v>28179</v>
      </c>
      <c r="AF1567" t="s">
        <v>74</v>
      </c>
      <c r="AG1567">
        <v>41</v>
      </c>
      <c r="AH1567">
        <v>0</v>
      </c>
      <c r="AI1567">
        <v>0</v>
      </c>
      <c r="AJ1567">
        <v>1</v>
      </c>
      <c r="AK1567">
        <v>1</v>
      </c>
      <c r="AL1567" t="s">
        <v>92</v>
      </c>
      <c r="AM1567" t="s">
        <v>93</v>
      </c>
      <c r="AN1567" t="s">
        <v>3186</v>
      </c>
      <c r="AO1567" t="s">
        <v>23923</v>
      </c>
      <c r="AP1567" t="s">
        <v>74</v>
      </c>
      <c r="AQ1567" t="s">
        <v>74</v>
      </c>
      <c r="AR1567" t="s">
        <v>23924</v>
      </c>
      <c r="AS1567" t="s">
        <v>23925</v>
      </c>
      <c r="AT1567" t="s">
        <v>467</v>
      </c>
      <c r="AU1567">
        <v>2023</v>
      </c>
      <c r="AV1567">
        <v>17</v>
      </c>
      <c r="AW1567">
        <v>2</v>
      </c>
      <c r="AX1567" t="s">
        <v>74</v>
      </c>
      <c r="AY1567" t="s">
        <v>74</v>
      </c>
      <c r="AZ1567" t="s">
        <v>74</v>
      </c>
      <c r="BA1567" t="s">
        <v>74</v>
      </c>
      <c r="BB1567">
        <v>184</v>
      </c>
      <c r="BC1567">
        <v>196</v>
      </c>
      <c r="BD1567" t="s">
        <v>74</v>
      </c>
      <c r="BE1567" t="s">
        <v>28180</v>
      </c>
      <c r="BF1567" t="str">
        <f>HYPERLINK("http://dx.doi.org/10.14778/3626292.3626301","http://dx.doi.org/10.14778/3626292.3626301")</f>
        <v>http://dx.doi.org/10.14778/3626292.3626301</v>
      </c>
      <c r="BG1567" t="s">
        <v>74</v>
      </c>
      <c r="BH1567" t="s">
        <v>74</v>
      </c>
      <c r="BI1567">
        <v>13</v>
      </c>
      <c r="BJ1567" t="s">
        <v>9511</v>
      </c>
      <c r="BK1567" t="s">
        <v>4799</v>
      </c>
      <c r="BL1567" t="s">
        <v>99</v>
      </c>
      <c r="BM1567" t="s">
        <v>28181</v>
      </c>
      <c r="BN1567" t="s">
        <v>74</v>
      </c>
      <c r="BO1567" t="s">
        <v>74</v>
      </c>
      <c r="BP1567" t="s">
        <v>74</v>
      </c>
      <c r="BQ1567" t="s">
        <v>74</v>
      </c>
      <c r="BR1567" t="s">
        <v>101</v>
      </c>
      <c r="BS1567" t="s">
        <v>28182</v>
      </c>
      <c r="BT1567" t="str">
        <f>HYPERLINK("https%3A%2F%2Fwww.webofscience.com%2Fwos%2Fwoscc%2Ffull-record%2FWOS:001137839900010","View Full Record in Web of Science")</f>
        <v>View Full Record in Web of Science</v>
      </c>
    </row>
    <row r="1568" spans="1:72" x14ac:dyDescent="0.2">
      <c r="A1568" t="s">
        <v>103</v>
      </c>
      <c r="B1568" t="s">
        <v>28183</v>
      </c>
      <c r="C1568" t="s">
        <v>74</v>
      </c>
      <c r="D1568" t="s">
        <v>74</v>
      </c>
      <c r="E1568" t="s">
        <v>74</v>
      </c>
      <c r="F1568" t="s">
        <v>28184</v>
      </c>
      <c r="G1568" t="s">
        <v>74</v>
      </c>
      <c r="H1568" t="s">
        <v>74</v>
      </c>
      <c r="I1568" t="s">
        <v>28185</v>
      </c>
      <c r="J1568" t="s">
        <v>21180</v>
      </c>
      <c r="K1568" t="s">
        <v>74</v>
      </c>
      <c r="L1568" t="s">
        <v>74</v>
      </c>
      <c r="M1568" t="s">
        <v>79</v>
      </c>
      <c r="N1568" t="s">
        <v>108</v>
      </c>
      <c r="O1568" t="s">
        <v>74</v>
      </c>
      <c r="P1568" t="s">
        <v>74</v>
      </c>
      <c r="Q1568" t="s">
        <v>74</v>
      </c>
      <c r="R1568" t="s">
        <v>74</v>
      </c>
      <c r="S1568" t="s">
        <v>74</v>
      </c>
      <c r="T1568" t="s">
        <v>28186</v>
      </c>
      <c r="U1568" t="s">
        <v>28187</v>
      </c>
      <c r="V1568" t="s">
        <v>28188</v>
      </c>
      <c r="W1568" t="s">
        <v>28189</v>
      </c>
      <c r="X1568" t="s">
        <v>28190</v>
      </c>
      <c r="Y1568" t="s">
        <v>28191</v>
      </c>
      <c r="Z1568" t="s">
        <v>28192</v>
      </c>
      <c r="AA1568" t="s">
        <v>28193</v>
      </c>
      <c r="AB1568" t="s">
        <v>28194</v>
      </c>
      <c r="AC1568" t="s">
        <v>28195</v>
      </c>
      <c r="AD1568" t="s">
        <v>28196</v>
      </c>
      <c r="AE1568" t="s">
        <v>28197</v>
      </c>
      <c r="AF1568" t="s">
        <v>74</v>
      </c>
      <c r="AG1568">
        <v>83</v>
      </c>
      <c r="AH1568">
        <v>0</v>
      </c>
      <c r="AI1568">
        <v>0</v>
      </c>
      <c r="AJ1568">
        <v>4</v>
      </c>
      <c r="AK1568">
        <v>4</v>
      </c>
      <c r="AL1568" t="s">
        <v>4176</v>
      </c>
      <c r="AM1568" t="s">
        <v>4177</v>
      </c>
      <c r="AN1568" t="s">
        <v>4178</v>
      </c>
      <c r="AO1568" t="s">
        <v>21190</v>
      </c>
      <c r="AP1568" t="s">
        <v>74</v>
      </c>
      <c r="AQ1568" t="s">
        <v>74</v>
      </c>
      <c r="AR1568" t="s">
        <v>21191</v>
      </c>
      <c r="AS1568" t="s">
        <v>21192</v>
      </c>
      <c r="AT1568" t="s">
        <v>74</v>
      </c>
      <c r="AU1568">
        <v>2023</v>
      </c>
      <c r="AV1568">
        <v>10</v>
      </c>
      <c r="AW1568" t="s">
        <v>74</v>
      </c>
      <c r="AX1568" t="s">
        <v>74</v>
      </c>
      <c r="AY1568" t="s">
        <v>74</v>
      </c>
      <c r="AZ1568" t="s">
        <v>74</v>
      </c>
      <c r="BA1568" t="s">
        <v>74</v>
      </c>
      <c r="BB1568" t="s">
        <v>74</v>
      </c>
      <c r="BC1568" t="s">
        <v>74</v>
      </c>
      <c r="BD1568" t="s">
        <v>28198</v>
      </c>
      <c r="BE1568" t="s">
        <v>28199</v>
      </c>
      <c r="BF1568" t="str">
        <f>HYPERLINK("http://dx.doi.org/10.2196/48845","http://dx.doi.org/10.2196/48845")</f>
        <v>http://dx.doi.org/10.2196/48845</v>
      </c>
      <c r="BG1568" t="s">
        <v>74</v>
      </c>
      <c r="BH1568" t="s">
        <v>74</v>
      </c>
      <c r="BI1568">
        <v>24</v>
      </c>
      <c r="BJ1568" t="s">
        <v>4947</v>
      </c>
      <c r="BK1568" t="s">
        <v>352</v>
      </c>
      <c r="BL1568" t="s">
        <v>4947</v>
      </c>
      <c r="BM1568" t="s">
        <v>28200</v>
      </c>
      <c r="BN1568">
        <v>38060283</v>
      </c>
      <c r="BO1568" t="s">
        <v>1728</v>
      </c>
      <c r="BP1568" t="s">
        <v>74</v>
      </c>
      <c r="BQ1568" t="s">
        <v>74</v>
      </c>
      <c r="BR1568" t="s">
        <v>101</v>
      </c>
      <c r="BS1568" t="s">
        <v>28201</v>
      </c>
      <c r="BT1568" t="str">
        <f>HYPERLINK("https%3A%2F%2Fwww.webofscience.com%2Fwos%2Fwoscc%2Ffull-record%2FWOS:001124696400001","View Full Record in Web of Science")</f>
        <v>View Full Record in Web of Science</v>
      </c>
    </row>
    <row r="1569" spans="1:72" x14ac:dyDescent="0.2">
      <c r="A1569" t="s">
        <v>103</v>
      </c>
      <c r="B1569" t="s">
        <v>28202</v>
      </c>
      <c r="C1569" t="s">
        <v>74</v>
      </c>
      <c r="D1569" t="s">
        <v>74</v>
      </c>
      <c r="E1569" t="s">
        <v>74</v>
      </c>
      <c r="F1569" t="s">
        <v>28203</v>
      </c>
      <c r="G1569" t="s">
        <v>74</v>
      </c>
      <c r="H1569" t="s">
        <v>74</v>
      </c>
      <c r="I1569" t="s">
        <v>28204</v>
      </c>
      <c r="J1569" t="s">
        <v>28205</v>
      </c>
      <c r="K1569" t="s">
        <v>74</v>
      </c>
      <c r="L1569" t="s">
        <v>74</v>
      </c>
      <c r="M1569" t="s">
        <v>79</v>
      </c>
      <c r="N1569" t="s">
        <v>108</v>
      </c>
      <c r="O1569" t="s">
        <v>74</v>
      </c>
      <c r="P1569" t="s">
        <v>74</v>
      </c>
      <c r="Q1569" t="s">
        <v>74</v>
      </c>
      <c r="R1569" t="s">
        <v>74</v>
      </c>
      <c r="S1569" t="s">
        <v>74</v>
      </c>
      <c r="T1569" t="s">
        <v>28206</v>
      </c>
      <c r="U1569" t="s">
        <v>28207</v>
      </c>
      <c r="V1569" t="s">
        <v>28208</v>
      </c>
      <c r="W1569" t="s">
        <v>28209</v>
      </c>
      <c r="X1569" t="s">
        <v>28210</v>
      </c>
      <c r="Y1569" t="s">
        <v>28211</v>
      </c>
      <c r="Z1569" t="s">
        <v>28212</v>
      </c>
      <c r="AA1569" t="s">
        <v>74</v>
      </c>
      <c r="AB1569" t="s">
        <v>28213</v>
      </c>
      <c r="AC1569" t="s">
        <v>28214</v>
      </c>
      <c r="AD1569" t="s">
        <v>28215</v>
      </c>
      <c r="AE1569" t="s">
        <v>28216</v>
      </c>
      <c r="AF1569" t="s">
        <v>74</v>
      </c>
      <c r="AG1569">
        <v>40</v>
      </c>
      <c r="AH1569">
        <v>0</v>
      </c>
      <c r="AI1569">
        <v>0</v>
      </c>
      <c r="AJ1569">
        <v>0</v>
      </c>
      <c r="AK1569">
        <v>0</v>
      </c>
      <c r="AL1569" t="s">
        <v>4176</v>
      </c>
      <c r="AM1569" t="s">
        <v>4177</v>
      </c>
      <c r="AN1569" t="s">
        <v>4178</v>
      </c>
      <c r="AO1569" t="s">
        <v>28217</v>
      </c>
      <c r="AP1569" t="s">
        <v>74</v>
      </c>
      <c r="AQ1569" t="s">
        <v>74</v>
      </c>
      <c r="AR1569" t="s">
        <v>28218</v>
      </c>
      <c r="AS1569" t="s">
        <v>28219</v>
      </c>
      <c r="AT1569" t="s">
        <v>74</v>
      </c>
      <c r="AU1569">
        <v>2023</v>
      </c>
      <c r="AV1569">
        <v>12</v>
      </c>
      <c r="AW1569" t="s">
        <v>74</v>
      </c>
      <c r="AX1569" t="s">
        <v>74</v>
      </c>
      <c r="AY1569" t="s">
        <v>74</v>
      </c>
      <c r="AZ1569" t="s">
        <v>74</v>
      </c>
      <c r="BA1569" t="s">
        <v>74</v>
      </c>
      <c r="BB1569" t="s">
        <v>74</v>
      </c>
      <c r="BC1569" t="s">
        <v>74</v>
      </c>
      <c r="BD1569" t="s">
        <v>28220</v>
      </c>
      <c r="BE1569" t="s">
        <v>28221</v>
      </c>
      <c r="BF1569" t="str">
        <f>HYPERLINK("http://dx.doi.org/10.2196/49405","http://dx.doi.org/10.2196/49405")</f>
        <v>http://dx.doi.org/10.2196/49405</v>
      </c>
      <c r="BG1569" t="s">
        <v>74</v>
      </c>
      <c r="BH1569" t="s">
        <v>74</v>
      </c>
      <c r="BI1569">
        <v>11</v>
      </c>
      <c r="BJ1569" t="s">
        <v>28222</v>
      </c>
      <c r="BK1569" t="s">
        <v>352</v>
      </c>
      <c r="BL1569" t="s">
        <v>28222</v>
      </c>
      <c r="BM1569" t="s">
        <v>28223</v>
      </c>
      <c r="BN1569">
        <v>37847548</v>
      </c>
      <c r="BO1569" t="s">
        <v>4185</v>
      </c>
      <c r="BP1569" t="s">
        <v>74</v>
      </c>
      <c r="BQ1569" t="s">
        <v>74</v>
      </c>
      <c r="BR1569" t="s">
        <v>101</v>
      </c>
      <c r="BS1569" t="s">
        <v>28224</v>
      </c>
      <c r="BT1569" t="str">
        <f>HYPERLINK("https%3A%2F%2Fwww.webofscience.com%2Fwos%2Fwoscc%2Ffull-record%2FWOS:001100949900001","View Full Record in Web of Science")</f>
        <v>View Full Record in Web of Science</v>
      </c>
    </row>
    <row r="1570" spans="1:72" x14ac:dyDescent="0.2">
      <c r="A1570" t="s">
        <v>103</v>
      </c>
      <c r="B1570" t="s">
        <v>28225</v>
      </c>
      <c r="C1570" t="s">
        <v>74</v>
      </c>
      <c r="D1570" t="s">
        <v>74</v>
      </c>
      <c r="E1570" t="s">
        <v>74</v>
      </c>
      <c r="F1570" t="s">
        <v>28226</v>
      </c>
      <c r="G1570" t="s">
        <v>74</v>
      </c>
      <c r="H1570" t="s">
        <v>74</v>
      </c>
      <c r="I1570" t="s">
        <v>28227</v>
      </c>
      <c r="J1570" t="s">
        <v>28228</v>
      </c>
      <c r="K1570" t="s">
        <v>74</v>
      </c>
      <c r="L1570" t="s">
        <v>74</v>
      </c>
      <c r="M1570" t="s">
        <v>79</v>
      </c>
      <c r="N1570" t="s">
        <v>108</v>
      </c>
      <c r="O1570" t="s">
        <v>74</v>
      </c>
      <c r="P1570" t="s">
        <v>74</v>
      </c>
      <c r="Q1570" t="s">
        <v>74</v>
      </c>
      <c r="R1570" t="s">
        <v>74</v>
      </c>
      <c r="S1570" t="s">
        <v>74</v>
      </c>
      <c r="T1570" t="s">
        <v>28229</v>
      </c>
      <c r="U1570" t="s">
        <v>28230</v>
      </c>
      <c r="V1570" t="s">
        <v>28231</v>
      </c>
      <c r="W1570" t="s">
        <v>28232</v>
      </c>
      <c r="X1570" t="s">
        <v>28233</v>
      </c>
      <c r="Y1570" t="s">
        <v>28234</v>
      </c>
      <c r="Z1570" t="s">
        <v>28235</v>
      </c>
      <c r="AA1570" t="s">
        <v>28236</v>
      </c>
      <c r="AB1570" t="s">
        <v>28237</v>
      </c>
      <c r="AC1570" t="s">
        <v>28238</v>
      </c>
      <c r="AD1570" t="s">
        <v>28239</v>
      </c>
      <c r="AE1570" t="s">
        <v>28240</v>
      </c>
      <c r="AF1570" t="s">
        <v>74</v>
      </c>
      <c r="AG1570">
        <v>46</v>
      </c>
      <c r="AH1570">
        <v>0</v>
      </c>
      <c r="AI1570">
        <v>0</v>
      </c>
      <c r="AJ1570">
        <v>7</v>
      </c>
      <c r="AK1570">
        <v>7</v>
      </c>
      <c r="AL1570" t="s">
        <v>3165</v>
      </c>
      <c r="AM1570" t="s">
        <v>3166</v>
      </c>
      <c r="AN1570" t="s">
        <v>3167</v>
      </c>
      <c r="AO1570" t="s">
        <v>28241</v>
      </c>
      <c r="AP1570" t="s">
        <v>28242</v>
      </c>
      <c r="AQ1570" t="s">
        <v>74</v>
      </c>
      <c r="AR1570" t="s">
        <v>28243</v>
      </c>
      <c r="AS1570" t="s">
        <v>28244</v>
      </c>
      <c r="AT1570" t="s">
        <v>14817</v>
      </c>
      <c r="AU1570">
        <v>2024</v>
      </c>
      <c r="AV1570">
        <v>141</v>
      </c>
      <c r="AW1570">
        <v>8</v>
      </c>
      <c r="AX1570" t="s">
        <v>74</v>
      </c>
      <c r="AY1570" t="s">
        <v>74</v>
      </c>
      <c r="AZ1570" t="s">
        <v>74</v>
      </c>
      <c r="BA1570" t="s">
        <v>74</v>
      </c>
      <c r="BB1570" t="s">
        <v>74</v>
      </c>
      <c r="BC1570" t="s">
        <v>74</v>
      </c>
      <c r="BD1570" t="s">
        <v>74</v>
      </c>
      <c r="BE1570" t="s">
        <v>28245</v>
      </c>
      <c r="BF1570" t="str">
        <f>HYPERLINK("http://dx.doi.org/10.1002/app.54987","http://dx.doi.org/10.1002/app.54987")</f>
        <v>http://dx.doi.org/10.1002/app.54987</v>
      </c>
      <c r="BG1570" t="s">
        <v>74</v>
      </c>
      <c r="BH1570" t="s">
        <v>128</v>
      </c>
      <c r="BI1570">
        <v>16</v>
      </c>
      <c r="BJ1570" t="s">
        <v>28246</v>
      </c>
      <c r="BK1570" t="s">
        <v>130</v>
      </c>
      <c r="BL1570" t="s">
        <v>28246</v>
      </c>
      <c r="BM1570" t="s">
        <v>28247</v>
      </c>
      <c r="BN1570" t="s">
        <v>74</v>
      </c>
      <c r="BO1570" t="s">
        <v>74</v>
      </c>
      <c r="BP1570" t="s">
        <v>74</v>
      </c>
      <c r="BQ1570" t="s">
        <v>74</v>
      </c>
      <c r="BR1570" t="s">
        <v>101</v>
      </c>
      <c r="BS1570" t="s">
        <v>28248</v>
      </c>
      <c r="BT1570" t="str">
        <f>HYPERLINK("https%3A%2F%2Fwww.webofscience.com%2Fwos%2Fwoscc%2Ffull-record%2FWOS:001119110800001","View Full Record in Web of Science")</f>
        <v>View Full Record in Web of Science</v>
      </c>
    </row>
    <row r="1571" spans="1:72" x14ac:dyDescent="0.2">
      <c r="A1571" t="s">
        <v>103</v>
      </c>
      <c r="B1571" t="s">
        <v>28249</v>
      </c>
      <c r="C1571" t="s">
        <v>74</v>
      </c>
      <c r="D1571" t="s">
        <v>74</v>
      </c>
      <c r="E1571" t="s">
        <v>74</v>
      </c>
      <c r="F1571" t="s">
        <v>28250</v>
      </c>
      <c r="G1571" t="s">
        <v>74</v>
      </c>
      <c r="H1571" t="s">
        <v>74</v>
      </c>
      <c r="I1571" t="s">
        <v>28251</v>
      </c>
      <c r="J1571" t="s">
        <v>28252</v>
      </c>
      <c r="K1571" t="s">
        <v>74</v>
      </c>
      <c r="L1571" t="s">
        <v>74</v>
      </c>
      <c r="M1571" t="s">
        <v>79</v>
      </c>
      <c r="N1571" t="s">
        <v>108</v>
      </c>
      <c r="O1571" t="s">
        <v>74</v>
      </c>
      <c r="P1571" t="s">
        <v>74</v>
      </c>
      <c r="Q1571" t="s">
        <v>74</v>
      </c>
      <c r="R1571" t="s">
        <v>74</v>
      </c>
      <c r="S1571" t="s">
        <v>74</v>
      </c>
      <c r="T1571" t="s">
        <v>28253</v>
      </c>
      <c r="U1571" t="s">
        <v>28254</v>
      </c>
      <c r="V1571" t="s">
        <v>28255</v>
      </c>
      <c r="W1571" t="s">
        <v>28256</v>
      </c>
      <c r="X1571" t="s">
        <v>28257</v>
      </c>
      <c r="Y1571" t="s">
        <v>28258</v>
      </c>
      <c r="Z1571" t="s">
        <v>28259</v>
      </c>
      <c r="AA1571" t="s">
        <v>74</v>
      </c>
      <c r="AB1571" t="s">
        <v>74</v>
      </c>
      <c r="AC1571" t="s">
        <v>28260</v>
      </c>
      <c r="AD1571" t="s">
        <v>28261</v>
      </c>
      <c r="AE1571" t="s">
        <v>28262</v>
      </c>
      <c r="AF1571" t="s">
        <v>74</v>
      </c>
      <c r="AG1571">
        <v>19</v>
      </c>
      <c r="AH1571">
        <v>0</v>
      </c>
      <c r="AI1571">
        <v>0</v>
      </c>
      <c r="AJ1571">
        <v>2</v>
      </c>
      <c r="AK1571">
        <v>2</v>
      </c>
      <c r="AL1571" t="s">
        <v>270</v>
      </c>
      <c r="AM1571" t="s">
        <v>120</v>
      </c>
      <c r="AN1571" t="s">
        <v>271</v>
      </c>
      <c r="AO1571" t="s">
        <v>28263</v>
      </c>
      <c r="AP1571" t="s">
        <v>28264</v>
      </c>
      <c r="AQ1571" t="s">
        <v>74</v>
      </c>
      <c r="AR1571" t="s">
        <v>28252</v>
      </c>
      <c r="AS1571" t="s">
        <v>28265</v>
      </c>
      <c r="AT1571" t="s">
        <v>2016</v>
      </c>
      <c r="AU1571">
        <v>2024</v>
      </c>
      <c r="AV1571">
        <v>155</v>
      </c>
      <c r="AW1571" t="s">
        <v>74</v>
      </c>
      <c r="AX1571" t="s">
        <v>74</v>
      </c>
      <c r="AY1571" t="s">
        <v>74</v>
      </c>
      <c r="AZ1571" t="s">
        <v>74</v>
      </c>
      <c r="BA1571" t="s">
        <v>74</v>
      </c>
      <c r="BB1571" t="s">
        <v>74</v>
      </c>
      <c r="BC1571" t="s">
        <v>74</v>
      </c>
      <c r="BD1571">
        <v>110090</v>
      </c>
      <c r="BE1571" t="s">
        <v>28266</v>
      </c>
      <c r="BF1571" t="str">
        <f>HYPERLINK("http://dx.doi.org/10.1016/j.foodcont.2023.110090","http://dx.doi.org/10.1016/j.foodcont.2023.110090")</f>
        <v>http://dx.doi.org/10.1016/j.foodcont.2023.110090</v>
      </c>
      <c r="BG1571" t="s">
        <v>74</v>
      </c>
      <c r="BH1571" t="s">
        <v>278</v>
      </c>
      <c r="BI1571">
        <v>8</v>
      </c>
      <c r="BJ1571" t="s">
        <v>28267</v>
      </c>
      <c r="BK1571" t="s">
        <v>130</v>
      </c>
      <c r="BL1571" t="s">
        <v>28267</v>
      </c>
      <c r="BM1571" t="s">
        <v>28268</v>
      </c>
      <c r="BN1571" t="s">
        <v>74</v>
      </c>
      <c r="BO1571" t="s">
        <v>74</v>
      </c>
      <c r="BP1571" t="s">
        <v>74</v>
      </c>
      <c r="BQ1571" t="s">
        <v>74</v>
      </c>
      <c r="BR1571" t="s">
        <v>101</v>
      </c>
      <c r="BS1571" t="s">
        <v>28269</v>
      </c>
      <c r="BT1571" t="str">
        <f>HYPERLINK("https%3A%2F%2Fwww.webofscience.com%2Fwos%2Fwoscc%2Ffull-record%2FWOS:001076500900001","View Full Record in Web of Science")</f>
        <v>View Full Record in Web of Science</v>
      </c>
    </row>
    <row r="1572" spans="1:72" x14ac:dyDescent="0.2">
      <c r="A1572" t="s">
        <v>103</v>
      </c>
      <c r="B1572" t="s">
        <v>28270</v>
      </c>
      <c r="C1572" t="s">
        <v>74</v>
      </c>
      <c r="D1572" t="s">
        <v>74</v>
      </c>
      <c r="E1572" t="s">
        <v>74</v>
      </c>
      <c r="F1572" t="s">
        <v>28271</v>
      </c>
      <c r="G1572" t="s">
        <v>74</v>
      </c>
      <c r="H1572" t="s">
        <v>74</v>
      </c>
      <c r="I1572" t="s">
        <v>28272</v>
      </c>
      <c r="J1572" t="s">
        <v>13656</v>
      </c>
      <c r="K1572" t="s">
        <v>74</v>
      </c>
      <c r="L1572" t="s">
        <v>74</v>
      </c>
      <c r="M1572" t="s">
        <v>79</v>
      </c>
      <c r="N1572" t="s">
        <v>108</v>
      </c>
      <c r="O1572" t="s">
        <v>74</v>
      </c>
      <c r="P1572" t="s">
        <v>74</v>
      </c>
      <c r="Q1572" t="s">
        <v>74</v>
      </c>
      <c r="R1572" t="s">
        <v>74</v>
      </c>
      <c r="S1572" t="s">
        <v>74</v>
      </c>
      <c r="T1572" t="s">
        <v>28273</v>
      </c>
      <c r="U1572" t="s">
        <v>28274</v>
      </c>
      <c r="V1572" t="s">
        <v>28275</v>
      </c>
      <c r="W1572" t="s">
        <v>28276</v>
      </c>
      <c r="X1572" t="s">
        <v>28277</v>
      </c>
      <c r="Y1572" t="s">
        <v>28278</v>
      </c>
      <c r="Z1572" t="s">
        <v>28279</v>
      </c>
      <c r="AA1572" t="s">
        <v>28280</v>
      </c>
      <c r="AB1572" t="s">
        <v>74</v>
      </c>
      <c r="AC1572" t="s">
        <v>28281</v>
      </c>
      <c r="AD1572" t="s">
        <v>28282</v>
      </c>
      <c r="AE1572" t="s">
        <v>28283</v>
      </c>
      <c r="AF1572" t="s">
        <v>74</v>
      </c>
      <c r="AG1572">
        <v>74</v>
      </c>
      <c r="AH1572">
        <v>1</v>
      </c>
      <c r="AI1572">
        <v>2</v>
      </c>
      <c r="AJ1572">
        <v>1</v>
      </c>
      <c r="AK1572">
        <v>3</v>
      </c>
      <c r="AL1572" t="s">
        <v>3165</v>
      </c>
      <c r="AM1572" t="s">
        <v>3166</v>
      </c>
      <c r="AN1572" t="s">
        <v>3167</v>
      </c>
      <c r="AO1572" t="s">
        <v>13664</v>
      </c>
      <c r="AP1572" t="s">
        <v>13665</v>
      </c>
      <c r="AQ1572" t="s">
        <v>74</v>
      </c>
      <c r="AR1572" t="s">
        <v>13666</v>
      </c>
      <c r="AS1572" t="s">
        <v>13667</v>
      </c>
      <c r="AT1572" t="s">
        <v>615</v>
      </c>
      <c r="AU1572">
        <v>2023</v>
      </c>
      <c r="AV1572">
        <v>50</v>
      </c>
      <c r="AW1572">
        <v>7</v>
      </c>
      <c r="AX1572" t="s">
        <v>74</v>
      </c>
      <c r="AY1572" t="s">
        <v>74</v>
      </c>
      <c r="AZ1572" t="s">
        <v>74</v>
      </c>
      <c r="BA1572" t="s">
        <v>74</v>
      </c>
      <c r="BB1572">
        <v>4122</v>
      </c>
      <c r="BC1572">
        <v>4137</v>
      </c>
      <c r="BD1572" t="s">
        <v>74</v>
      </c>
      <c r="BE1572" t="s">
        <v>28284</v>
      </c>
      <c r="BF1572" t="str">
        <f>HYPERLINK("http://dx.doi.org/10.1002/mp.16407","http://dx.doi.org/10.1002/mp.16407")</f>
        <v>http://dx.doi.org/10.1002/mp.16407</v>
      </c>
      <c r="BG1572" t="s">
        <v>74</v>
      </c>
      <c r="BH1572" t="s">
        <v>793</v>
      </c>
      <c r="BI1572">
        <v>16</v>
      </c>
      <c r="BJ1572" t="s">
        <v>5360</v>
      </c>
      <c r="BK1572" t="s">
        <v>130</v>
      </c>
      <c r="BL1572" t="s">
        <v>5360</v>
      </c>
      <c r="BM1572" t="s">
        <v>28285</v>
      </c>
      <c r="BN1572">
        <v>37010001</v>
      </c>
      <c r="BO1572" t="s">
        <v>646</v>
      </c>
      <c r="BP1572" t="s">
        <v>74</v>
      </c>
      <c r="BQ1572" t="s">
        <v>74</v>
      </c>
      <c r="BR1572" t="s">
        <v>101</v>
      </c>
      <c r="BS1572" t="s">
        <v>28286</v>
      </c>
      <c r="BT1572" t="str">
        <f>HYPERLINK("https%3A%2F%2Fwww.webofscience.com%2Fwos%2Fwoscc%2Ffull-record%2FWOS:000973042600001","View Full Record in Web of Science")</f>
        <v>View Full Record in Web of Science</v>
      </c>
    </row>
    <row r="1573" spans="1:72" x14ac:dyDescent="0.2">
      <c r="A1573" t="s">
        <v>72</v>
      </c>
      <c r="B1573" t="s">
        <v>28287</v>
      </c>
      <c r="C1573" t="s">
        <v>74</v>
      </c>
      <c r="D1573" t="s">
        <v>4124</v>
      </c>
      <c r="E1573" t="s">
        <v>74</v>
      </c>
      <c r="F1573" t="s">
        <v>28288</v>
      </c>
      <c r="G1573" t="s">
        <v>74</v>
      </c>
      <c r="H1573" t="s">
        <v>74</v>
      </c>
      <c r="I1573" t="s">
        <v>28289</v>
      </c>
      <c r="J1573" t="s">
        <v>4127</v>
      </c>
      <c r="K1573" t="s">
        <v>4128</v>
      </c>
      <c r="L1573" t="s">
        <v>74</v>
      </c>
      <c r="M1573" t="s">
        <v>79</v>
      </c>
      <c r="N1573" t="s">
        <v>80</v>
      </c>
      <c r="O1573" t="s">
        <v>4129</v>
      </c>
      <c r="P1573" t="s">
        <v>4130</v>
      </c>
      <c r="Q1573" t="s">
        <v>4131</v>
      </c>
      <c r="R1573" t="s">
        <v>4132</v>
      </c>
      <c r="S1573" t="s">
        <v>74</v>
      </c>
      <c r="T1573" t="s">
        <v>28290</v>
      </c>
      <c r="U1573" t="s">
        <v>28291</v>
      </c>
      <c r="V1573" t="s">
        <v>28292</v>
      </c>
      <c r="W1573" t="s">
        <v>28293</v>
      </c>
      <c r="X1573" t="s">
        <v>28294</v>
      </c>
      <c r="Y1573" t="s">
        <v>28295</v>
      </c>
      <c r="Z1573" t="s">
        <v>28296</v>
      </c>
      <c r="AA1573" t="s">
        <v>28297</v>
      </c>
      <c r="AB1573" t="s">
        <v>28298</v>
      </c>
      <c r="AC1573" t="s">
        <v>28299</v>
      </c>
      <c r="AD1573" t="s">
        <v>28299</v>
      </c>
      <c r="AE1573" t="s">
        <v>28300</v>
      </c>
      <c r="AF1573" t="s">
        <v>74</v>
      </c>
      <c r="AG1573">
        <v>18</v>
      </c>
      <c r="AH1573">
        <v>0</v>
      </c>
      <c r="AI1573">
        <v>0</v>
      </c>
      <c r="AJ1573">
        <v>0</v>
      </c>
      <c r="AK1573">
        <v>0</v>
      </c>
      <c r="AL1573" t="s">
        <v>284</v>
      </c>
      <c r="AM1573" t="s">
        <v>93</v>
      </c>
      <c r="AN1573" t="s">
        <v>299</v>
      </c>
      <c r="AO1573" t="s">
        <v>4144</v>
      </c>
      <c r="AP1573" t="s">
        <v>74</v>
      </c>
      <c r="AQ1573" t="s">
        <v>4145</v>
      </c>
      <c r="AR1573" t="s">
        <v>4146</v>
      </c>
      <c r="AS1573" t="s">
        <v>74</v>
      </c>
      <c r="AT1573" t="s">
        <v>74</v>
      </c>
      <c r="AU1573">
        <v>2023</v>
      </c>
      <c r="AV1573" t="s">
        <v>74</v>
      </c>
      <c r="AW1573" t="s">
        <v>74</v>
      </c>
      <c r="AX1573" t="s">
        <v>74</v>
      </c>
      <c r="AY1573" t="s">
        <v>74</v>
      </c>
      <c r="AZ1573" t="s">
        <v>74</v>
      </c>
      <c r="BA1573" t="s">
        <v>74</v>
      </c>
      <c r="BB1573" t="s">
        <v>74</v>
      </c>
      <c r="BC1573" t="s">
        <v>74</v>
      </c>
      <c r="BD1573" t="s">
        <v>74</v>
      </c>
      <c r="BE1573" t="s">
        <v>74</v>
      </c>
      <c r="BF1573" t="s">
        <v>74</v>
      </c>
      <c r="BG1573" t="s">
        <v>74</v>
      </c>
      <c r="BH1573" t="s">
        <v>74</v>
      </c>
      <c r="BI1573">
        <v>7</v>
      </c>
      <c r="BJ1573" t="s">
        <v>1385</v>
      </c>
      <c r="BK1573" t="s">
        <v>98</v>
      </c>
      <c r="BL1573" t="s">
        <v>1386</v>
      </c>
      <c r="BM1573" t="s">
        <v>4147</v>
      </c>
      <c r="BN1573" t="s">
        <v>74</v>
      </c>
      <c r="BO1573" t="s">
        <v>74</v>
      </c>
      <c r="BP1573" t="s">
        <v>74</v>
      </c>
      <c r="BQ1573" t="s">
        <v>74</v>
      </c>
      <c r="BR1573" t="s">
        <v>101</v>
      </c>
      <c r="BS1573" t="s">
        <v>28301</v>
      </c>
      <c r="BT1573" t="str">
        <f>HYPERLINK("https%3A%2F%2Fwww.webofscience.com%2Fwos%2Fwoscc%2Ffull-record%2FWOS:001117985100025","View Full Record in Web of Science")</f>
        <v>View Full Record in Web of Science</v>
      </c>
    </row>
    <row r="1574" spans="1:72" x14ac:dyDescent="0.2">
      <c r="A1574" t="s">
        <v>103</v>
      </c>
      <c r="B1574" t="s">
        <v>28302</v>
      </c>
      <c r="C1574" t="s">
        <v>74</v>
      </c>
      <c r="D1574" t="s">
        <v>74</v>
      </c>
      <c r="E1574" t="s">
        <v>74</v>
      </c>
      <c r="F1574" t="s">
        <v>28303</v>
      </c>
      <c r="G1574" t="s">
        <v>74</v>
      </c>
      <c r="H1574" t="s">
        <v>28304</v>
      </c>
      <c r="I1574" t="s">
        <v>28305</v>
      </c>
      <c r="J1574" t="s">
        <v>12688</v>
      </c>
      <c r="K1574" t="s">
        <v>74</v>
      </c>
      <c r="L1574" t="s">
        <v>74</v>
      </c>
      <c r="M1574" t="s">
        <v>79</v>
      </c>
      <c r="N1574" t="s">
        <v>108</v>
      </c>
      <c r="O1574" t="s">
        <v>74</v>
      </c>
      <c r="P1574" t="s">
        <v>74</v>
      </c>
      <c r="Q1574" t="s">
        <v>74</v>
      </c>
      <c r="R1574" t="s">
        <v>74</v>
      </c>
      <c r="S1574" t="s">
        <v>74</v>
      </c>
      <c r="T1574" t="s">
        <v>28306</v>
      </c>
      <c r="U1574" t="s">
        <v>28307</v>
      </c>
      <c r="V1574" t="s">
        <v>28308</v>
      </c>
      <c r="W1574" t="s">
        <v>28309</v>
      </c>
      <c r="X1574" t="s">
        <v>28310</v>
      </c>
      <c r="Y1574" t="s">
        <v>28311</v>
      </c>
      <c r="Z1574" t="s">
        <v>28312</v>
      </c>
      <c r="AA1574" t="s">
        <v>28313</v>
      </c>
      <c r="AB1574" t="s">
        <v>28314</v>
      </c>
      <c r="AC1574" t="s">
        <v>28315</v>
      </c>
      <c r="AD1574" t="s">
        <v>28316</v>
      </c>
      <c r="AE1574" t="s">
        <v>28317</v>
      </c>
      <c r="AF1574" t="s">
        <v>74</v>
      </c>
      <c r="AG1574">
        <v>34</v>
      </c>
      <c r="AH1574">
        <v>1</v>
      </c>
      <c r="AI1574">
        <v>1</v>
      </c>
      <c r="AJ1574">
        <v>1</v>
      </c>
      <c r="AK1574">
        <v>2</v>
      </c>
      <c r="AL1574" t="s">
        <v>764</v>
      </c>
      <c r="AM1574" t="s">
        <v>765</v>
      </c>
      <c r="AN1574" t="s">
        <v>766</v>
      </c>
      <c r="AO1574" t="s">
        <v>12699</v>
      </c>
      <c r="AP1574" t="s">
        <v>74</v>
      </c>
      <c r="AQ1574" t="s">
        <v>74</v>
      </c>
      <c r="AR1574" t="s">
        <v>12700</v>
      </c>
      <c r="AS1574" t="s">
        <v>12701</v>
      </c>
      <c r="AT1574" t="s">
        <v>771</v>
      </c>
      <c r="AU1574">
        <v>2023</v>
      </c>
      <c r="AV1574">
        <v>3</v>
      </c>
      <c r="AW1574">
        <v>3</v>
      </c>
      <c r="AX1574" t="s">
        <v>74</v>
      </c>
      <c r="AY1574" t="s">
        <v>74</v>
      </c>
      <c r="AZ1574" t="s">
        <v>74</v>
      </c>
      <c r="BA1574" t="s">
        <v>74</v>
      </c>
      <c r="BB1574" t="s">
        <v>74</v>
      </c>
      <c r="BC1574" t="s">
        <v>74</v>
      </c>
      <c r="BD1574">
        <v>100294</v>
      </c>
      <c r="BE1574" t="s">
        <v>28318</v>
      </c>
      <c r="BF1574" t="str">
        <f>HYPERLINK("http://dx.doi.org/10.1016/j.xops.2023.100294","http://dx.doi.org/10.1016/j.xops.2023.100294")</f>
        <v>http://dx.doi.org/10.1016/j.xops.2023.100294</v>
      </c>
      <c r="BG1574" t="s">
        <v>74</v>
      </c>
      <c r="BH1574" t="s">
        <v>793</v>
      </c>
      <c r="BI1574">
        <v>10</v>
      </c>
      <c r="BJ1574" t="s">
        <v>9843</v>
      </c>
      <c r="BK1574" t="s">
        <v>352</v>
      </c>
      <c r="BL1574" t="s">
        <v>9843</v>
      </c>
      <c r="BM1574" t="s">
        <v>28319</v>
      </c>
      <c r="BN1574">
        <v>37113474</v>
      </c>
      <c r="BO1574" t="s">
        <v>28320</v>
      </c>
      <c r="BP1574" t="s">
        <v>74</v>
      </c>
      <c r="BQ1574" t="s">
        <v>74</v>
      </c>
      <c r="BR1574" t="s">
        <v>101</v>
      </c>
      <c r="BS1574" t="s">
        <v>28321</v>
      </c>
      <c r="BT1574" t="str">
        <f>HYPERLINK("https%3A%2F%2Fwww.webofscience.com%2Fwos%2Fwoscc%2Ffull-record%2FWOS:001037100900001","View Full Record in Web of Science")</f>
        <v>View Full Record in Web of Science</v>
      </c>
    </row>
    <row r="1575" spans="1:72" x14ac:dyDescent="0.2">
      <c r="A1575" t="s">
        <v>72</v>
      </c>
      <c r="B1575" t="s">
        <v>28322</v>
      </c>
      <c r="C1575" t="s">
        <v>74</v>
      </c>
      <c r="D1575" t="s">
        <v>4124</v>
      </c>
      <c r="E1575" t="s">
        <v>74</v>
      </c>
      <c r="F1575" t="s">
        <v>28323</v>
      </c>
      <c r="G1575" t="s">
        <v>74</v>
      </c>
      <c r="H1575" t="s">
        <v>74</v>
      </c>
      <c r="I1575" t="s">
        <v>28324</v>
      </c>
      <c r="J1575" t="s">
        <v>4127</v>
      </c>
      <c r="K1575" t="s">
        <v>4128</v>
      </c>
      <c r="L1575" t="s">
        <v>74</v>
      </c>
      <c r="M1575" t="s">
        <v>79</v>
      </c>
      <c r="N1575" t="s">
        <v>80</v>
      </c>
      <c r="O1575" t="s">
        <v>4129</v>
      </c>
      <c r="P1575" t="s">
        <v>4130</v>
      </c>
      <c r="Q1575" t="s">
        <v>4131</v>
      </c>
      <c r="R1575" t="s">
        <v>4132</v>
      </c>
      <c r="S1575" t="s">
        <v>74</v>
      </c>
      <c r="T1575" t="s">
        <v>28325</v>
      </c>
      <c r="U1575" t="s">
        <v>74</v>
      </c>
      <c r="V1575" t="s">
        <v>28326</v>
      </c>
      <c r="W1575" t="s">
        <v>28327</v>
      </c>
      <c r="X1575" t="s">
        <v>28328</v>
      </c>
      <c r="Y1575" t="s">
        <v>28329</v>
      </c>
      <c r="Z1575" t="s">
        <v>28330</v>
      </c>
      <c r="AA1575" t="s">
        <v>74</v>
      </c>
      <c r="AB1575" t="s">
        <v>74</v>
      </c>
      <c r="AC1575" t="s">
        <v>28331</v>
      </c>
      <c r="AD1575" t="s">
        <v>28331</v>
      </c>
      <c r="AE1575" t="s">
        <v>28332</v>
      </c>
      <c r="AF1575" t="s">
        <v>74</v>
      </c>
      <c r="AG1575">
        <v>10</v>
      </c>
      <c r="AH1575">
        <v>0</v>
      </c>
      <c r="AI1575">
        <v>0</v>
      </c>
      <c r="AJ1575">
        <v>0</v>
      </c>
      <c r="AK1575">
        <v>0</v>
      </c>
      <c r="AL1575" t="s">
        <v>284</v>
      </c>
      <c r="AM1575" t="s">
        <v>93</v>
      </c>
      <c r="AN1575" t="s">
        <v>299</v>
      </c>
      <c r="AO1575" t="s">
        <v>4144</v>
      </c>
      <c r="AP1575" t="s">
        <v>74</v>
      </c>
      <c r="AQ1575" t="s">
        <v>4145</v>
      </c>
      <c r="AR1575" t="s">
        <v>4146</v>
      </c>
      <c r="AS1575" t="s">
        <v>74</v>
      </c>
      <c r="AT1575" t="s">
        <v>74</v>
      </c>
      <c r="AU1575">
        <v>2023</v>
      </c>
      <c r="AV1575" t="s">
        <v>74</v>
      </c>
      <c r="AW1575" t="s">
        <v>74</v>
      </c>
      <c r="AX1575" t="s">
        <v>74</v>
      </c>
      <c r="AY1575" t="s">
        <v>74</v>
      </c>
      <c r="AZ1575" t="s">
        <v>74</v>
      </c>
      <c r="BA1575" t="s">
        <v>74</v>
      </c>
      <c r="BB1575" t="s">
        <v>74</v>
      </c>
      <c r="BC1575" t="s">
        <v>74</v>
      </c>
      <c r="BD1575" t="s">
        <v>74</v>
      </c>
      <c r="BE1575" t="s">
        <v>74</v>
      </c>
      <c r="BF1575" t="s">
        <v>74</v>
      </c>
      <c r="BG1575" t="s">
        <v>74</v>
      </c>
      <c r="BH1575" t="s">
        <v>74</v>
      </c>
      <c r="BI1575">
        <v>5</v>
      </c>
      <c r="BJ1575" t="s">
        <v>1385</v>
      </c>
      <c r="BK1575" t="s">
        <v>98</v>
      </c>
      <c r="BL1575" t="s">
        <v>1386</v>
      </c>
      <c r="BM1575" t="s">
        <v>4147</v>
      </c>
      <c r="BN1575" t="s">
        <v>74</v>
      </c>
      <c r="BO1575" t="s">
        <v>74</v>
      </c>
      <c r="BP1575" t="s">
        <v>74</v>
      </c>
      <c r="BQ1575" t="s">
        <v>74</v>
      </c>
      <c r="BR1575" t="s">
        <v>101</v>
      </c>
      <c r="BS1575" t="s">
        <v>28333</v>
      </c>
      <c r="BT1575" t="str">
        <f>HYPERLINK("https%3A%2F%2Fwww.webofscience.com%2Fwos%2Fwoscc%2Ffull-record%2FWOS:001117985100072","View Full Record in Web of Science")</f>
        <v>View Full Record in Web of Science</v>
      </c>
    </row>
    <row r="1576" spans="1:72" x14ac:dyDescent="0.2">
      <c r="A1576" t="s">
        <v>72</v>
      </c>
      <c r="B1576" t="s">
        <v>28334</v>
      </c>
      <c r="C1576" t="s">
        <v>74</v>
      </c>
      <c r="D1576" t="s">
        <v>4124</v>
      </c>
      <c r="E1576" t="s">
        <v>74</v>
      </c>
      <c r="F1576" t="s">
        <v>28335</v>
      </c>
      <c r="G1576" t="s">
        <v>74</v>
      </c>
      <c r="H1576" t="s">
        <v>74</v>
      </c>
      <c r="I1576" t="s">
        <v>28336</v>
      </c>
      <c r="J1576" t="s">
        <v>4127</v>
      </c>
      <c r="K1576" t="s">
        <v>4128</v>
      </c>
      <c r="L1576" t="s">
        <v>74</v>
      </c>
      <c r="M1576" t="s">
        <v>79</v>
      </c>
      <c r="N1576" t="s">
        <v>80</v>
      </c>
      <c r="O1576" t="s">
        <v>4129</v>
      </c>
      <c r="P1576" t="s">
        <v>4130</v>
      </c>
      <c r="Q1576" t="s">
        <v>4131</v>
      </c>
      <c r="R1576" t="s">
        <v>4132</v>
      </c>
      <c r="S1576" t="s">
        <v>74</v>
      </c>
      <c r="T1576" t="s">
        <v>28337</v>
      </c>
      <c r="U1576" t="s">
        <v>17529</v>
      </c>
      <c r="V1576" t="s">
        <v>28338</v>
      </c>
      <c r="W1576" t="s">
        <v>28339</v>
      </c>
      <c r="X1576" t="s">
        <v>28340</v>
      </c>
      <c r="Y1576" t="s">
        <v>28341</v>
      </c>
      <c r="Z1576" t="s">
        <v>74</v>
      </c>
      <c r="AA1576" t="s">
        <v>74</v>
      </c>
      <c r="AB1576" t="s">
        <v>74</v>
      </c>
      <c r="AC1576" t="s">
        <v>28342</v>
      </c>
      <c r="AD1576" t="s">
        <v>28343</v>
      </c>
      <c r="AE1576" t="s">
        <v>28344</v>
      </c>
      <c r="AF1576" t="s">
        <v>74</v>
      </c>
      <c r="AG1576">
        <v>42</v>
      </c>
      <c r="AH1576">
        <v>0</v>
      </c>
      <c r="AI1576">
        <v>0</v>
      </c>
      <c r="AJ1576">
        <v>0</v>
      </c>
      <c r="AK1576">
        <v>0</v>
      </c>
      <c r="AL1576" t="s">
        <v>284</v>
      </c>
      <c r="AM1576" t="s">
        <v>93</v>
      </c>
      <c r="AN1576" t="s">
        <v>299</v>
      </c>
      <c r="AO1576" t="s">
        <v>4144</v>
      </c>
      <c r="AP1576" t="s">
        <v>74</v>
      </c>
      <c r="AQ1576" t="s">
        <v>4145</v>
      </c>
      <c r="AR1576" t="s">
        <v>4146</v>
      </c>
      <c r="AS1576" t="s">
        <v>74</v>
      </c>
      <c r="AT1576" t="s">
        <v>74</v>
      </c>
      <c r="AU1576">
        <v>2023</v>
      </c>
      <c r="AV1576" t="s">
        <v>74</v>
      </c>
      <c r="AW1576" t="s">
        <v>74</v>
      </c>
      <c r="AX1576" t="s">
        <v>74</v>
      </c>
      <c r="AY1576" t="s">
        <v>74</v>
      </c>
      <c r="AZ1576" t="s">
        <v>74</v>
      </c>
      <c r="BA1576" t="s">
        <v>74</v>
      </c>
      <c r="BB1576" t="s">
        <v>74</v>
      </c>
      <c r="BC1576" t="s">
        <v>74</v>
      </c>
      <c r="BD1576" t="s">
        <v>74</v>
      </c>
      <c r="BE1576" t="s">
        <v>74</v>
      </c>
      <c r="BF1576" t="s">
        <v>74</v>
      </c>
      <c r="BG1576" t="s">
        <v>74</v>
      </c>
      <c r="BH1576" t="s">
        <v>74</v>
      </c>
      <c r="BI1576">
        <v>9</v>
      </c>
      <c r="BJ1576" t="s">
        <v>1385</v>
      </c>
      <c r="BK1576" t="s">
        <v>98</v>
      </c>
      <c r="BL1576" t="s">
        <v>1386</v>
      </c>
      <c r="BM1576" t="s">
        <v>4147</v>
      </c>
      <c r="BN1576" t="s">
        <v>74</v>
      </c>
      <c r="BO1576" t="s">
        <v>74</v>
      </c>
      <c r="BP1576" t="s">
        <v>74</v>
      </c>
      <c r="BQ1576" t="s">
        <v>74</v>
      </c>
      <c r="BR1576" t="s">
        <v>101</v>
      </c>
      <c r="BS1576" t="s">
        <v>28345</v>
      </c>
      <c r="BT1576" t="str">
        <f>HYPERLINK("https%3A%2F%2Fwww.webofscience.com%2Fwos%2Fwoscc%2Ffull-record%2FWOS:001117985100058","View Full Record in Web of Science")</f>
        <v>View Full Record in Web of Science</v>
      </c>
    </row>
    <row r="1577" spans="1:72" x14ac:dyDescent="0.2">
      <c r="A1577" t="s">
        <v>72</v>
      </c>
      <c r="B1577" t="s">
        <v>28346</v>
      </c>
      <c r="C1577" t="s">
        <v>74</v>
      </c>
      <c r="D1577" t="s">
        <v>4124</v>
      </c>
      <c r="E1577" t="s">
        <v>74</v>
      </c>
      <c r="F1577" t="s">
        <v>28347</v>
      </c>
      <c r="G1577" t="s">
        <v>74</v>
      </c>
      <c r="H1577" t="s">
        <v>74</v>
      </c>
      <c r="I1577" t="s">
        <v>28348</v>
      </c>
      <c r="J1577" t="s">
        <v>4127</v>
      </c>
      <c r="K1577" t="s">
        <v>4128</v>
      </c>
      <c r="L1577" t="s">
        <v>74</v>
      </c>
      <c r="M1577" t="s">
        <v>79</v>
      </c>
      <c r="N1577" t="s">
        <v>80</v>
      </c>
      <c r="O1577" t="s">
        <v>4129</v>
      </c>
      <c r="P1577" t="s">
        <v>4130</v>
      </c>
      <c r="Q1577" t="s">
        <v>4131</v>
      </c>
      <c r="R1577" t="s">
        <v>4132</v>
      </c>
      <c r="S1577" t="s">
        <v>74</v>
      </c>
      <c r="T1577" t="s">
        <v>28349</v>
      </c>
      <c r="U1577" t="s">
        <v>74</v>
      </c>
      <c r="V1577" t="s">
        <v>28350</v>
      </c>
      <c r="W1577" t="s">
        <v>28351</v>
      </c>
      <c r="X1577" t="s">
        <v>28352</v>
      </c>
      <c r="Y1577" t="s">
        <v>28353</v>
      </c>
      <c r="Z1577" t="s">
        <v>28354</v>
      </c>
      <c r="AA1577" t="s">
        <v>74</v>
      </c>
      <c r="AB1577" t="s">
        <v>74</v>
      </c>
      <c r="AC1577" t="s">
        <v>28355</v>
      </c>
      <c r="AD1577" t="s">
        <v>28355</v>
      </c>
      <c r="AE1577" t="s">
        <v>28356</v>
      </c>
      <c r="AF1577" t="s">
        <v>74</v>
      </c>
      <c r="AG1577">
        <v>14</v>
      </c>
      <c r="AH1577">
        <v>0</v>
      </c>
      <c r="AI1577">
        <v>0</v>
      </c>
      <c r="AJ1577">
        <v>0</v>
      </c>
      <c r="AK1577">
        <v>0</v>
      </c>
      <c r="AL1577" t="s">
        <v>284</v>
      </c>
      <c r="AM1577" t="s">
        <v>93</v>
      </c>
      <c r="AN1577" t="s">
        <v>299</v>
      </c>
      <c r="AO1577" t="s">
        <v>4144</v>
      </c>
      <c r="AP1577" t="s">
        <v>74</v>
      </c>
      <c r="AQ1577" t="s">
        <v>4145</v>
      </c>
      <c r="AR1577" t="s">
        <v>4146</v>
      </c>
      <c r="AS1577" t="s">
        <v>74</v>
      </c>
      <c r="AT1577" t="s">
        <v>74</v>
      </c>
      <c r="AU1577">
        <v>2023</v>
      </c>
      <c r="AV1577" t="s">
        <v>74</v>
      </c>
      <c r="AW1577" t="s">
        <v>74</v>
      </c>
      <c r="AX1577" t="s">
        <v>74</v>
      </c>
      <c r="AY1577" t="s">
        <v>74</v>
      </c>
      <c r="AZ1577" t="s">
        <v>74</v>
      </c>
      <c r="BA1577" t="s">
        <v>74</v>
      </c>
      <c r="BB1577" t="s">
        <v>74</v>
      </c>
      <c r="BC1577" t="s">
        <v>74</v>
      </c>
      <c r="BD1577" t="s">
        <v>74</v>
      </c>
      <c r="BE1577" t="s">
        <v>74</v>
      </c>
      <c r="BF1577" t="s">
        <v>74</v>
      </c>
      <c r="BG1577" t="s">
        <v>74</v>
      </c>
      <c r="BH1577" t="s">
        <v>74</v>
      </c>
      <c r="BI1577">
        <v>5</v>
      </c>
      <c r="BJ1577" t="s">
        <v>1385</v>
      </c>
      <c r="BK1577" t="s">
        <v>98</v>
      </c>
      <c r="BL1577" t="s">
        <v>1386</v>
      </c>
      <c r="BM1577" t="s">
        <v>4147</v>
      </c>
      <c r="BN1577" t="s">
        <v>74</v>
      </c>
      <c r="BO1577" t="s">
        <v>74</v>
      </c>
      <c r="BP1577" t="s">
        <v>74</v>
      </c>
      <c r="BQ1577" t="s">
        <v>74</v>
      </c>
      <c r="BR1577" t="s">
        <v>101</v>
      </c>
      <c r="BS1577" t="s">
        <v>28357</v>
      </c>
      <c r="BT1577" t="str">
        <f>HYPERLINK("https%3A%2F%2Fwww.webofscience.com%2Fwos%2Fwoscc%2Ffull-record%2FWOS:001117985100073","View Full Record in Web of Science")</f>
        <v>View Full Record in Web of Science</v>
      </c>
    </row>
    <row r="1578" spans="1:72" x14ac:dyDescent="0.2">
      <c r="A1578" t="s">
        <v>72</v>
      </c>
      <c r="B1578" t="s">
        <v>28358</v>
      </c>
      <c r="C1578" t="s">
        <v>74</v>
      </c>
      <c r="D1578" t="s">
        <v>4124</v>
      </c>
      <c r="E1578" t="s">
        <v>74</v>
      </c>
      <c r="F1578" t="s">
        <v>28359</v>
      </c>
      <c r="G1578" t="s">
        <v>74</v>
      </c>
      <c r="H1578" t="s">
        <v>74</v>
      </c>
      <c r="I1578" t="s">
        <v>28360</v>
      </c>
      <c r="J1578" t="s">
        <v>4127</v>
      </c>
      <c r="K1578" t="s">
        <v>4128</v>
      </c>
      <c r="L1578" t="s">
        <v>74</v>
      </c>
      <c r="M1578" t="s">
        <v>79</v>
      </c>
      <c r="N1578" t="s">
        <v>80</v>
      </c>
      <c r="O1578" t="s">
        <v>4129</v>
      </c>
      <c r="P1578" t="s">
        <v>4130</v>
      </c>
      <c r="Q1578" t="s">
        <v>4131</v>
      </c>
      <c r="R1578" t="s">
        <v>4132</v>
      </c>
      <c r="S1578" t="s">
        <v>74</v>
      </c>
      <c r="T1578" t="s">
        <v>28361</v>
      </c>
      <c r="U1578" t="s">
        <v>74</v>
      </c>
      <c r="V1578" t="s">
        <v>28362</v>
      </c>
      <c r="W1578" t="s">
        <v>28363</v>
      </c>
      <c r="X1578" t="s">
        <v>28364</v>
      </c>
      <c r="Y1578" t="s">
        <v>28365</v>
      </c>
      <c r="Z1578" t="s">
        <v>28366</v>
      </c>
      <c r="AA1578" t="s">
        <v>74</v>
      </c>
      <c r="AB1578" t="s">
        <v>74</v>
      </c>
      <c r="AC1578" t="s">
        <v>74</v>
      </c>
      <c r="AD1578" t="s">
        <v>74</v>
      </c>
      <c r="AE1578" t="s">
        <v>74</v>
      </c>
      <c r="AF1578" t="s">
        <v>74</v>
      </c>
      <c r="AG1578">
        <v>34</v>
      </c>
      <c r="AH1578">
        <v>0</v>
      </c>
      <c r="AI1578">
        <v>0</v>
      </c>
      <c r="AJ1578">
        <v>0</v>
      </c>
      <c r="AK1578">
        <v>0</v>
      </c>
      <c r="AL1578" t="s">
        <v>284</v>
      </c>
      <c r="AM1578" t="s">
        <v>93</v>
      </c>
      <c r="AN1578" t="s">
        <v>299</v>
      </c>
      <c r="AO1578" t="s">
        <v>4144</v>
      </c>
      <c r="AP1578" t="s">
        <v>74</v>
      </c>
      <c r="AQ1578" t="s">
        <v>4145</v>
      </c>
      <c r="AR1578" t="s">
        <v>4146</v>
      </c>
      <c r="AS1578" t="s">
        <v>74</v>
      </c>
      <c r="AT1578" t="s">
        <v>74</v>
      </c>
      <c r="AU1578">
        <v>2023</v>
      </c>
      <c r="AV1578" t="s">
        <v>74</v>
      </c>
      <c r="AW1578" t="s">
        <v>74</v>
      </c>
      <c r="AX1578" t="s">
        <v>74</v>
      </c>
      <c r="AY1578" t="s">
        <v>74</v>
      </c>
      <c r="AZ1578" t="s">
        <v>74</v>
      </c>
      <c r="BA1578" t="s">
        <v>74</v>
      </c>
      <c r="BB1578" t="s">
        <v>74</v>
      </c>
      <c r="BC1578" t="s">
        <v>74</v>
      </c>
      <c r="BD1578" t="s">
        <v>74</v>
      </c>
      <c r="BE1578" t="s">
        <v>74</v>
      </c>
      <c r="BF1578" t="s">
        <v>74</v>
      </c>
      <c r="BG1578" t="s">
        <v>74</v>
      </c>
      <c r="BH1578" t="s">
        <v>74</v>
      </c>
      <c r="BI1578">
        <v>7</v>
      </c>
      <c r="BJ1578" t="s">
        <v>1385</v>
      </c>
      <c r="BK1578" t="s">
        <v>98</v>
      </c>
      <c r="BL1578" t="s">
        <v>1386</v>
      </c>
      <c r="BM1578" t="s">
        <v>4147</v>
      </c>
      <c r="BN1578" t="s">
        <v>74</v>
      </c>
      <c r="BO1578" t="s">
        <v>74</v>
      </c>
      <c r="BP1578" t="s">
        <v>74</v>
      </c>
      <c r="BQ1578" t="s">
        <v>74</v>
      </c>
      <c r="BR1578" t="s">
        <v>101</v>
      </c>
      <c r="BS1578" t="s">
        <v>28367</v>
      </c>
      <c r="BT1578" t="str">
        <f>HYPERLINK("https%3A%2F%2Fwww.webofscience.com%2Fwos%2Fwoscc%2Ffull-record%2FWOS:001117985100021","View Full Record in Web of Science")</f>
        <v>View Full Record in Web of Science</v>
      </c>
    </row>
    <row r="1579" spans="1:72" x14ac:dyDescent="0.2">
      <c r="A1579" t="s">
        <v>72</v>
      </c>
      <c r="B1579" t="s">
        <v>28368</v>
      </c>
      <c r="C1579" t="s">
        <v>74</v>
      </c>
      <c r="D1579" t="s">
        <v>4124</v>
      </c>
      <c r="E1579" t="s">
        <v>74</v>
      </c>
      <c r="F1579" t="s">
        <v>28369</v>
      </c>
      <c r="G1579" t="s">
        <v>74</v>
      </c>
      <c r="H1579" t="s">
        <v>74</v>
      </c>
      <c r="I1579" t="s">
        <v>28370</v>
      </c>
      <c r="J1579" t="s">
        <v>4127</v>
      </c>
      <c r="K1579" t="s">
        <v>4128</v>
      </c>
      <c r="L1579" t="s">
        <v>74</v>
      </c>
      <c r="M1579" t="s">
        <v>79</v>
      </c>
      <c r="N1579" t="s">
        <v>80</v>
      </c>
      <c r="O1579" t="s">
        <v>4129</v>
      </c>
      <c r="P1579" t="s">
        <v>4130</v>
      </c>
      <c r="Q1579" t="s">
        <v>4131</v>
      </c>
      <c r="R1579" t="s">
        <v>4132</v>
      </c>
      <c r="S1579" t="s">
        <v>74</v>
      </c>
      <c r="T1579" t="s">
        <v>28371</v>
      </c>
      <c r="U1579" t="s">
        <v>74</v>
      </c>
      <c r="V1579" t="s">
        <v>28372</v>
      </c>
      <c r="W1579" t="s">
        <v>28373</v>
      </c>
      <c r="X1579" t="s">
        <v>27896</v>
      </c>
      <c r="Y1579" t="s">
        <v>28374</v>
      </c>
      <c r="Z1579" t="s">
        <v>28375</v>
      </c>
      <c r="AA1579" t="s">
        <v>74</v>
      </c>
      <c r="AB1579" t="s">
        <v>74</v>
      </c>
      <c r="AC1579" t="s">
        <v>28376</v>
      </c>
      <c r="AD1579" t="s">
        <v>28377</v>
      </c>
      <c r="AE1579" t="s">
        <v>28378</v>
      </c>
      <c r="AF1579" t="s">
        <v>74</v>
      </c>
      <c r="AG1579">
        <v>9</v>
      </c>
      <c r="AH1579">
        <v>0</v>
      </c>
      <c r="AI1579">
        <v>0</v>
      </c>
      <c r="AJ1579">
        <v>0</v>
      </c>
      <c r="AK1579">
        <v>0</v>
      </c>
      <c r="AL1579" t="s">
        <v>284</v>
      </c>
      <c r="AM1579" t="s">
        <v>93</v>
      </c>
      <c r="AN1579" t="s">
        <v>299</v>
      </c>
      <c r="AO1579" t="s">
        <v>4144</v>
      </c>
      <c r="AP1579" t="s">
        <v>74</v>
      </c>
      <c r="AQ1579" t="s">
        <v>4145</v>
      </c>
      <c r="AR1579" t="s">
        <v>4146</v>
      </c>
      <c r="AS1579" t="s">
        <v>74</v>
      </c>
      <c r="AT1579" t="s">
        <v>74</v>
      </c>
      <c r="AU1579">
        <v>2023</v>
      </c>
      <c r="AV1579" t="s">
        <v>74</v>
      </c>
      <c r="AW1579" t="s">
        <v>74</v>
      </c>
      <c r="AX1579" t="s">
        <v>74</v>
      </c>
      <c r="AY1579" t="s">
        <v>74</v>
      </c>
      <c r="AZ1579" t="s">
        <v>74</v>
      </c>
      <c r="BA1579" t="s">
        <v>74</v>
      </c>
      <c r="BB1579" t="s">
        <v>74</v>
      </c>
      <c r="BC1579" t="s">
        <v>74</v>
      </c>
      <c r="BD1579" t="s">
        <v>74</v>
      </c>
      <c r="BE1579" t="s">
        <v>74</v>
      </c>
      <c r="BF1579" t="s">
        <v>74</v>
      </c>
      <c r="BG1579" t="s">
        <v>74</v>
      </c>
      <c r="BH1579" t="s">
        <v>74</v>
      </c>
      <c r="BI1579">
        <v>5</v>
      </c>
      <c r="BJ1579" t="s">
        <v>1385</v>
      </c>
      <c r="BK1579" t="s">
        <v>98</v>
      </c>
      <c r="BL1579" t="s">
        <v>1386</v>
      </c>
      <c r="BM1579" t="s">
        <v>4147</v>
      </c>
      <c r="BN1579" t="s">
        <v>74</v>
      </c>
      <c r="BO1579" t="s">
        <v>74</v>
      </c>
      <c r="BP1579" t="s">
        <v>74</v>
      </c>
      <c r="BQ1579" t="s">
        <v>74</v>
      </c>
      <c r="BR1579" t="s">
        <v>101</v>
      </c>
      <c r="BS1579" t="s">
        <v>28379</v>
      </c>
      <c r="BT1579" t="str">
        <f>HYPERLINK("https%3A%2F%2Fwww.webofscience.com%2Fwos%2Fwoscc%2Ffull-record%2FWOS:001117985100065","View Full Record in Web of Science")</f>
        <v>View Full Record in Web of Science</v>
      </c>
    </row>
    <row r="1580" spans="1:72" x14ac:dyDescent="0.2">
      <c r="A1580" t="s">
        <v>72</v>
      </c>
      <c r="B1580" t="s">
        <v>28380</v>
      </c>
      <c r="C1580" t="s">
        <v>74</v>
      </c>
      <c r="D1580" t="s">
        <v>4124</v>
      </c>
      <c r="E1580" t="s">
        <v>74</v>
      </c>
      <c r="F1580" t="s">
        <v>28381</v>
      </c>
      <c r="G1580" t="s">
        <v>74</v>
      </c>
      <c r="H1580" t="s">
        <v>74</v>
      </c>
      <c r="I1580" t="s">
        <v>28382</v>
      </c>
      <c r="J1580" t="s">
        <v>4127</v>
      </c>
      <c r="K1580" t="s">
        <v>4128</v>
      </c>
      <c r="L1580" t="s">
        <v>74</v>
      </c>
      <c r="M1580" t="s">
        <v>79</v>
      </c>
      <c r="N1580" t="s">
        <v>80</v>
      </c>
      <c r="O1580" t="s">
        <v>4129</v>
      </c>
      <c r="P1580" t="s">
        <v>4130</v>
      </c>
      <c r="Q1580" t="s">
        <v>4131</v>
      </c>
      <c r="R1580" t="s">
        <v>4132</v>
      </c>
      <c r="S1580" t="s">
        <v>74</v>
      </c>
      <c r="T1580" t="s">
        <v>28383</v>
      </c>
      <c r="U1580" t="s">
        <v>74</v>
      </c>
      <c r="V1580" t="s">
        <v>28384</v>
      </c>
      <c r="W1580" t="s">
        <v>28385</v>
      </c>
      <c r="X1580" t="s">
        <v>28386</v>
      </c>
      <c r="Y1580" t="s">
        <v>28387</v>
      </c>
      <c r="Z1580" t="s">
        <v>74</v>
      </c>
      <c r="AA1580" t="s">
        <v>74</v>
      </c>
      <c r="AB1580" t="s">
        <v>74</v>
      </c>
      <c r="AC1580" t="s">
        <v>74</v>
      </c>
      <c r="AD1580" t="s">
        <v>74</v>
      </c>
      <c r="AE1580" t="s">
        <v>74</v>
      </c>
      <c r="AF1580" t="s">
        <v>74</v>
      </c>
      <c r="AG1580">
        <v>32</v>
      </c>
      <c r="AH1580">
        <v>0</v>
      </c>
      <c r="AI1580">
        <v>0</v>
      </c>
      <c r="AJ1580">
        <v>0</v>
      </c>
      <c r="AK1580">
        <v>0</v>
      </c>
      <c r="AL1580" t="s">
        <v>284</v>
      </c>
      <c r="AM1580" t="s">
        <v>93</v>
      </c>
      <c r="AN1580" t="s">
        <v>299</v>
      </c>
      <c r="AO1580" t="s">
        <v>4144</v>
      </c>
      <c r="AP1580" t="s">
        <v>74</v>
      </c>
      <c r="AQ1580" t="s">
        <v>4145</v>
      </c>
      <c r="AR1580" t="s">
        <v>4146</v>
      </c>
      <c r="AS1580" t="s">
        <v>74</v>
      </c>
      <c r="AT1580" t="s">
        <v>74</v>
      </c>
      <c r="AU1580">
        <v>2023</v>
      </c>
      <c r="AV1580" t="s">
        <v>74</v>
      </c>
      <c r="AW1580" t="s">
        <v>74</v>
      </c>
      <c r="AX1580" t="s">
        <v>74</v>
      </c>
      <c r="AY1580" t="s">
        <v>74</v>
      </c>
      <c r="AZ1580" t="s">
        <v>74</v>
      </c>
      <c r="BA1580" t="s">
        <v>74</v>
      </c>
      <c r="BB1580" t="s">
        <v>74</v>
      </c>
      <c r="BC1580" t="s">
        <v>74</v>
      </c>
      <c r="BD1580" t="s">
        <v>74</v>
      </c>
      <c r="BE1580" t="s">
        <v>74</v>
      </c>
      <c r="BF1580" t="s">
        <v>74</v>
      </c>
      <c r="BG1580" t="s">
        <v>74</v>
      </c>
      <c r="BH1580" t="s">
        <v>74</v>
      </c>
      <c r="BI1580">
        <v>5</v>
      </c>
      <c r="BJ1580" t="s">
        <v>1385</v>
      </c>
      <c r="BK1580" t="s">
        <v>98</v>
      </c>
      <c r="BL1580" t="s">
        <v>1386</v>
      </c>
      <c r="BM1580" t="s">
        <v>4147</v>
      </c>
      <c r="BN1580" t="s">
        <v>74</v>
      </c>
      <c r="BO1580" t="s">
        <v>74</v>
      </c>
      <c r="BP1580" t="s">
        <v>74</v>
      </c>
      <c r="BQ1580" t="s">
        <v>74</v>
      </c>
      <c r="BR1580" t="s">
        <v>101</v>
      </c>
      <c r="BS1580" t="s">
        <v>28388</v>
      </c>
      <c r="BT1580" t="str">
        <f>HYPERLINK("https%3A%2F%2Fwww.webofscience.com%2Fwos%2Fwoscc%2Ffull-record%2FWOS:001117985100067","View Full Record in Web of Science")</f>
        <v>View Full Record in Web of Science</v>
      </c>
    </row>
    <row r="1581" spans="1:72" x14ac:dyDescent="0.2">
      <c r="A1581" t="s">
        <v>72</v>
      </c>
      <c r="B1581" t="s">
        <v>28389</v>
      </c>
      <c r="C1581" t="s">
        <v>74</v>
      </c>
      <c r="D1581" t="s">
        <v>4124</v>
      </c>
      <c r="E1581" t="s">
        <v>74</v>
      </c>
      <c r="F1581" t="s">
        <v>28390</v>
      </c>
      <c r="G1581" t="s">
        <v>74</v>
      </c>
      <c r="H1581" t="s">
        <v>74</v>
      </c>
      <c r="I1581" t="s">
        <v>28391</v>
      </c>
      <c r="J1581" t="s">
        <v>4127</v>
      </c>
      <c r="K1581" t="s">
        <v>4128</v>
      </c>
      <c r="L1581" t="s">
        <v>74</v>
      </c>
      <c r="M1581" t="s">
        <v>79</v>
      </c>
      <c r="N1581" t="s">
        <v>80</v>
      </c>
      <c r="O1581" t="s">
        <v>4129</v>
      </c>
      <c r="P1581" t="s">
        <v>4130</v>
      </c>
      <c r="Q1581" t="s">
        <v>4131</v>
      </c>
      <c r="R1581" t="s">
        <v>4132</v>
      </c>
      <c r="S1581" t="s">
        <v>74</v>
      </c>
      <c r="T1581" t="s">
        <v>28392</v>
      </c>
      <c r="U1581" t="s">
        <v>74</v>
      </c>
      <c r="V1581" t="s">
        <v>28393</v>
      </c>
      <c r="W1581" t="s">
        <v>28394</v>
      </c>
      <c r="X1581" t="s">
        <v>12735</v>
      </c>
      <c r="Y1581" t="s">
        <v>28395</v>
      </c>
      <c r="Z1581" t="s">
        <v>28396</v>
      </c>
      <c r="AA1581" t="s">
        <v>74</v>
      </c>
      <c r="AB1581" t="s">
        <v>74</v>
      </c>
      <c r="AC1581" t="s">
        <v>74</v>
      </c>
      <c r="AD1581" t="s">
        <v>74</v>
      </c>
      <c r="AE1581" t="s">
        <v>74</v>
      </c>
      <c r="AF1581" t="s">
        <v>74</v>
      </c>
      <c r="AG1581">
        <v>10</v>
      </c>
      <c r="AH1581">
        <v>0</v>
      </c>
      <c r="AI1581">
        <v>0</v>
      </c>
      <c r="AJ1581">
        <v>0</v>
      </c>
      <c r="AK1581">
        <v>0</v>
      </c>
      <c r="AL1581" t="s">
        <v>284</v>
      </c>
      <c r="AM1581" t="s">
        <v>93</v>
      </c>
      <c r="AN1581" t="s">
        <v>299</v>
      </c>
      <c r="AO1581" t="s">
        <v>4144</v>
      </c>
      <c r="AP1581" t="s">
        <v>74</v>
      </c>
      <c r="AQ1581" t="s">
        <v>4145</v>
      </c>
      <c r="AR1581" t="s">
        <v>4146</v>
      </c>
      <c r="AS1581" t="s">
        <v>74</v>
      </c>
      <c r="AT1581" t="s">
        <v>74</v>
      </c>
      <c r="AU1581">
        <v>2023</v>
      </c>
      <c r="AV1581" t="s">
        <v>74</v>
      </c>
      <c r="AW1581" t="s">
        <v>74</v>
      </c>
      <c r="AX1581" t="s">
        <v>74</v>
      </c>
      <c r="AY1581" t="s">
        <v>74</v>
      </c>
      <c r="AZ1581" t="s">
        <v>74</v>
      </c>
      <c r="BA1581" t="s">
        <v>74</v>
      </c>
      <c r="BB1581" t="s">
        <v>74</v>
      </c>
      <c r="BC1581" t="s">
        <v>74</v>
      </c>
      <c r="BD1581" t="s">
        <v>74</v>
      </c>
      <c r="BE1581" t="s">
        <v>74</v>
      </c>
      <c r="BF1581" t="s">
        <v>74</v>
      </c>
      <c r="BG1581" t="s">
        <v>74</v>
      </c>
      <c r="BH1581" t="s">
        <v>74</v>
      </c>
      <c r="BI1581">
        <v>5</v>
      </c>
      <c r="BJ1581" t="s">
        <v>1385</v>
      </c>
      <c r="BK1581" t="s">
        <v>98</v>
      </c>
      <c r="BL1581" t="s">
        <v>1386</v>
      </c>
      <c r="BM1581" t="s">
        <v>4147</v>
      </c>
      <c r="BN1581" t="s">
        <v>74</v>
      </c>
      <c r="BO1581" t="s">
        <v>74</v>
      </c>
      <c r="BP1581" t="s">
        <v>74</v>
      </c>
      <c r="BQ1581" t="s">
        <v>74</v>
      </c>
      <c r="BR1581" t="s">
        <v>101</v>
      </c>
      <c r="BS1581" t="s">
        <v>28397</v>
      </c>
      <c r="BT1581" t="str">
        <f>HYPERLINK("https%3A%2F%2Fwww.webofscience.com%2Fwos%2Fwoscc%2Ffull-record%2FWOS:001117985100033","View Full Record in Web of Science")</f>
        <v>View Full Record in Web of Science</v>
      </c>
    </row>
    <row r="1582" spans="1:72" x14ac:dyDescent="0.2">
      <c r="A1582" t="s">
        <v>72</v>
      </c>
      <c r="B1582" t="s">
        <v>28398</v>
      </c>
      <c r="C1582" t="s">
        <v>74</v>
      </c>
      <c r="D1582" t="s">
        <v>4124</v>
      </c>
      <c r="E1582" t="s">
        <v>74</v>
      </c>
      <c r="F1582" t="s">
        <v>28399</v>
      </c>
      <c r="G1582" t="s">
        <v>74</v>
      </c>
      <c r="H1582" t="s">
        <v>74</v>
      </c>
      <c r="I1582" t="s">
        <v>28400</v>
      </c>
      <c r="J1582" t="s">
        <v>4127</v>
      </c>
      <c r="K1582" t="s">
        <v>4128</v>
      </c>
      <c r="L1582" t="s">
        <v>74</v>
      </c>
      <c r="M1582" t="s">
        <v>79</v>
      </c>
      <c r="N1582" t="s">
        <v>80</v>
      </c>
      <c r="O1582" t="s">
        <v>4129</v>
      </c>
      <c r="P1582" t="s">
        <v>4130</v>
      </c>
      <c r="Q1582" t="s">
        <v>4131</v>
      </c>
      <c r="R1582" t="s">
        <v>4132</v>
      </c>
      <c r="S1582" t="s">
        <v>74</v>
      </c>
      <c r="T1582" t="s">
        <v>28401</v>
      </c>
      <c r="U1582" t="s">
        <v>74</v>
      </c>
      <c r="V1582" t="s">
        <v>28402</v>
      </c>
      <c r="W1582" t="s">
        <v>28403</v>
      </c>
      <c r="X1582" t="s">
        <v>12799</v>
      </c>
      <c r="Y1582" t="s">
        <v>28404</v>
      </c>
      <c r="Z1582" t="s">
        <v>28405</v>
      </c>
      <c r="AA1582" t="s">
        <v>74</v>
      </c>
      <c r="AB1582" t="s">
        <v>74</v>
      </c>
      <c r="AC1582" t="s">
        <v>28406</v>
      </c>
      <c r="AD1582" t="s">
        <v>28407</v>
      </c>
      <c r="AE1582" t="s">
        <v>28408</v>
      </c>
      <c r="AF1582" t="s">
        <v>74</v>
      </c>
      <c r="AG1582">
        <v>25</v>
      </c>
      <c r="AH1582">
        <v>0</v>
      </c>
      <c r="AI1582">
        <v>0</v>
      </c>
      <c r="AJ1582">
        <v>0</v>
      </c>
      <c r="AK1582">
        <v>0</v>
      </c>
      <c r="AL1582" t="s">
        <v>284</v>
      </c>
      <c r="AM1582" t="s">
        <v>93</v>
      </c>
      <c r="AN1582" t="s">
        <v>299</v>
      </c>
      <c r="AO1582" t="s">
        <v>4144</v>
      </c>
      <c r="AP1582" t="s">
        <v>74</v>
      </c>
      <c r="AQ1582" t="s">
        <v>4145</v>
      </c>
      <c r="AR1582" t="s">
        <v>4146</v>
      </c>
      <c r="AS1582" t="s">
        <v>74</v>
      </c>
      <c r="AT1582" t="s">
        <v>74</v>
      </c>
      <c r="AU1582">
        <v>2023</v>
      </c>
      <c r="AV1582" t="s">
        <v>74</v>
      </c>
      <c r="AW1582" t="s">
        <v>74</v>
      </c>
      <c r="AX1582" t="s">
        <v>74</v>
      </c>
      <c r="AY1582" t="s">
        <v>74</v>
      </c>
      <c r="AZ1582" t="s">
        <v>74</v>
      </c>
      <c r="BA1582" t="s">
        <v>74</v>
      </c>
      <c r="BB1582" t="s">
        <v>74</v>
      </c>
      <c r="BC1582" t="s">
        <v>74</v>
      </c>
      <c r="BD1582" t="s">
        <v>74</v>
      </c>
      <c r="BE1582" t="s">
        <v>74</v>
      </c>
      <c r="BF1582" t="s">
        <v>74</v>
      </c>
      <c r="BG1582" t="s">
        <v>74</v>
      </c>
      <c r="BH1582" t="s">
        <v>74</v>
      </c>
      <c r="BI1582">
        <v>9</v>
      </c>
      <c r="BJ1582" t="s">
        <v>1385</v>
      </c>
      <c r="BK1582" t="s">
        <v>98</v>
      </c>
      <c r="BL1582" t="s">
        <v>1386</v>
      </c>
      <c r="BM1582" t="s">
        <v>4147</v>
      </c>
      <c r="BN1582" t="s">
        <v>74</v>
      </c>
      <c r="BO1582" t="s">
        <v>74</v>
      </c>
      <c r="BP1582" t="s">
        <v>74</v>
      </c>
      <c r="BQ1582" t="s">
        <v>74</v>
      </c>
      <c r="BR1582" t="s">
        <v>101</v>
      </c>
      <c r="BS1582" t="s">
        <v>28409</v>
      </c>
      <c r="BT1582" t="str">
        <f>HYPERLINK("https%3A%2F%2Fwww.webofscience.com%2Fwos%2Fwoscc%2Ffull-record%2FWOS:001117985100007","View Full Record in Web of Science")</f>
        <v>View Full Record in Web of Science</v>
      </c>
    </row>
    <row r="1583" spans="1:72" x14ac:dyDescent="0.2">
      <c r="A1583" t="s">
        <v>72</v>
      </c>
      <c r="B1583" t="s">
        <v>28410</v>
      </c>
      <c r="C1583" t="s">
        <v>74</v>
      </c>
      <c r="D1583" t="s">
        <v>4124</v>
      </c>
      <c r="E1583" t="s">
        <v>74</v>
      </c>
      <c r="F1583" t="s">
        <v>28411</v>
      </c>
      <c r="G1583" t="s">
        <v>74</v>
      </c>
      <c r="H1583" t="s">
        <v>74</v>
      </c>
      <c r="I1583" t="s">
        <v>28412</v>
      </c>
      <c r="J1583" t="s">
        <v>4127</v>
      </c>
      <c r="K1583" t="s">
        <v>4128</v>
      </c>
      <c r="L1583" t="s">
        <v>74</v>
      </c>
      <c r="M1583" t="s">
        <v>79</v>
      </c>
      <c r="N1583" t="s">
        <v>80</v>
      </c>
      <c r="O1583" t="s">
        <v>4129</v>
      </c>
      <c r="P1583" t="s">
        <v>4130</v>
      </c>
      <c r="Q1583" t="s">
        <v>4131</v>
      </c>
      <c r="R1583" t="s">
        <v>4132</v>
      </c>
      <c r="S1583" t="s">
        <v>74</v>
      </c>
      <c r="T1583" t="s">
        <v>28413</v>
      </c>
      <c r="U1583" t="s">
        <v>74</v>
      </c>
      <c r="V1583" t="s">
        <v>28414</v>
      </c>
      <c r="W1583" t="s">
        <v>28415</v>
      </c>
      <c r="X1583" t="s">
        <v>28416</v>
      </c>
      <c r="Y1583" t="s">
        <v>28417</v>
      </c>
      <c r="Z1583" t="s">
        <v>28418</v>
      </c>
      <c r="AA1583" t="s">
        <v>74</v>
      </c>
      <c r="AB1583" t="s">
        <v>74</v>
      </c>
      <c r="AC1583" t="s">
        <v>74</v>
      </c>
      <c r="AD1583" t="s">
        <v>74</v>
      </c>
      <c r="AE1583" t="s">
        <v>74</v>
      </c>
      <c r="AF1583" t="s">
        <v>74</v>
      </c>
      <c r="AG1583">
        <v>12</v>
      </c>
      <c r="AH1583">
        <v>0</v>
      </c>
      <c r="AI1583">
        <v>0</v>
      </c>
      <c r="AJ1583">
        <v>0</v>
      </c>
      <c r="AK1583">
        <v>0</v>
      </c>
      <c r="AL1583" t="s">
        <v>284</v>
      </c>
      <c r="AM1583" t="s">
        <v>93</v>
      </c>
      <c r="AN1583" t="s">
        <v>299</v>
      </c>
      <c r="AO1583" t="s">
        <v>4144</v>
      </c>
      <c r="AP1583" t="s">
        <v>74</v>
      </c>
      <c r="AQ1583" t="s">
        <v>4145</v>
      </c>
      <c r="AR1583" t="s">
        <v>4146</v>
      </c>
      <c r="AS1583" t="s">
        <v>74</v>
      </c>
      <c r="AT1583" t="s">
        <v>74</v>
      </c>
      <c r="AU1583">
        <v>2023</v>
      </c>
      <c r="AV1583" t="s">
        <v>74</v>
      </c>
      <c r="AW1583" t="s">
        <v>74</v>
      </c>
      <c r="AX1583" t="s">
        <v>74</v>
      </c>
      <c r="AY1583" t="s">
        <v>74</v>
      </c>
      <c r="AZ1583" t="s">
        <v>74</v>
      </c>
      <c r="BA1583" t="s">
        <v>74</v>
      </c>
      <c r="BB1583" t="s">
        <v>74</v>
      </c>
      <c r="BC1583" t="s">
        <v>74</v>
      </c>
      <c r="BD1583" t="s">
        <v>74</v>
      </c>
      <c r="BE1583" t="s">
        <v>74</v>
      </c>
      <c r="BF1583" t="s">
        <v>74</v>
      </c>
      <c r="BG1583" t="s">
        <v>74</v>
      </c>
      <c r="BH1583" t="s">
        <v>74</v>
      </c>
      <c r="BI1583">
        <v>7</v>
      </c>
      <c r="BJ1583" t="s">
        <v>1385</v>
      </c>
      <c r="BK1583" t="s">
        <v>98</v>
      </c>
      <c r="BL1583" t="s">
        <v>1386</v>
      </c>
      <c r="BM1583" t="s">
        <v>4147</v>
      </c>
      <c r="BN1583" t="s">
        <v>74</v>
      </c>
      <c r="BO1583" t="s">
        <v>74</v>
      </c>
      <c r="BP1583" t="s">
        <v>74</v>
      </c>
      <c r="BQ1583" t="s">
        <v>74</v>
      </c>
      <c r="BR1583" t="s">
        <v>101</v>
      </c>
      <c r="BS1583" t="s">
        <v>28419</v>
      </c>
      <c r="BT1583" t="str">
        <f>HYPERLINK("https%3A%2F%2Fwww.webofscience.com%2Fwos%2Fwoscc%2Ffull-record%2FWOS:001117985100004","View Full Record in Web of Science")</f>
        <v>View Full Record in Web of Science</v>
      </c>
    </row>
    <row r="1584" spans="1:72" x14ac:dyDescent="0.2">
      <c r="A1584" t="s">
        <v>103</v>
      </c>
      <c r="B1584" t="s">
        <v>28420</v>
      </c>
      <c r="C1584" t="s">
        <v>74</v>
      </c>
      <c r="D1584" t="s">
        <v>74</v>
      </c>
      <c r="E1584" t="s">
        <v>74</v>
      </c>
      <c r="F1584" t="s">
        <v>28421</v>
      </c>
      <c r="G1584" t="s">
        <v>74</v>
      </c>
      <c r="H1584" t="s">
        <v>74</v>
      </c>
      <c r="I1584" t="s">
        <v>28422</v>
      </c>
      <c r="J1584" t="s">
        <v>6056</v>
      </c>
      <c r="K1584" t="s">
        <v>74</v>
      </c>
      <c r="L1584" t="s">
        <v>74</v>
      </c>
      <c r="M1584" t="s">
        <v>79</v>
      </c>
      <c r="N1584" t="s">
        <v>108</v>
      </c>
      <c r="O1584" t="s">
        <v>74</v>
      </c>
      <c r="P1584" t="s">
        <v>74</v>
      </c>
      <c r="Q1584" t="s">
        <v>74</v>
      </c>
      <c r="R1584" t="s">
        <v>74</v>
      </c>
      <c r="S1584" t="s">
        <v>74</v>
      </c>
      <c r="T1584" t="s">
        <v>28423</v>
      </c>
      <c r="U1584" t="s">
        <v>28424</v>
      </c>
      <c r="V1584" t="s">
        <v>28425</v>
      </c>
      <c r="W1584" t="s">
        <v>28426</v>
      </c>
      <c r="X1584" t="s">
        <v>28427</v>
      </c>
      <c r="Y1584" t="s">
        <v>28428</v>
      </c>
      <c r="Z1584" t="s">
        <v>28429</v>
      </c>
      <c r="AA1584" t="s">
        <v>74</v>
      </c>
      <c r="AB1584" t="s">
        <v>28430</v>
      </c>
      <c r="AC1584" t="s">
        <v>28431</v>
      </c>
      <c r="AD1584" t="s">
        <v>28432</v>
      </c>
      <c r="AE1584" t="s">
        <v>28433</v>
      </c>
      <c r="AF1584" t="s">
        <v>74</v>
      </c>
      <c r="AG1584">
        <v>61</v>
      </c>
      <c r="AH1584">
        <v>0</v>
      </c>
      <c r="AI1584">
        <v>0</v>
      </c>
      <c r="AJ1584">
        <v>4</v>
      </c>
      <c r="AK1584">
        <v>4</v>
      </c>
      <c r="AL1584" t="s">
        <v>4176</v>
      </c>
      <c r="AM1584" t="s">
        <v>4177</v>
      </c>
      <c r="AN1584" t="s">
        <v>4178</v>
      </c>
      <c r="AO1584" t="s">
        <v>6067</v>
      </c>
      <c r="AP1584" t="s">
        <v>74</v>
      </c>
      <c r="AQ1584" t="s">
        <v>74</v>
      </c>
      <c r="AR1584" t="s">
        <v>6068</v>
      </c>
      <c r="AS1584" t="s">
        <v>6069</v>
      </c>
      <c r="AT1584" t="s">
        <v>28434</v>
      </c>
      <c r="AU1584">
        <v>2023</v>
      </c>
      <c r="AV1584">
        <v>25</v>
      </c>
      <c r="AW1584" t="s">
        <v>74</v>
      </c>
      <c r="AX1584" t="s">
        <v>74</v>
      </c>
      <c r="AY1584" t="s">
        <v>74</v>
      </c>
      <c r="AZ1584" t="s">
        <v>74</v>
      </c>
      <c r="BA1584" t="s">
        <v>74</v>
      </c>
      <c r="BB1584" t="s">
        <v>74</v>
      </c>
      <c r="BC1584" t="s">
        <v>74</v>
      </c>
      <c r="BD1584" t="s">
        <v>28435</v>
      </c>
      <c r="BE1584" t="s">
        <v>28436</v>
      </c>
      <c r="BF1584" t="str">
        <f>HYPERLINK("http://dx.doi.org/10.2196/42497","http://dx.doi.org/10.2196/42497")</f>
        <v>http://dx.doi.org/10.2196/42497</v>
      </c>
      <c r="BG1584" t="s">
        <v>74</v>
      </c>
      <c r="BH1584" t="s">
        <v>74</v>
      </c>
      <c r="BI1584">
        <v>17</v>
      </c>
      <c r="BJ1584" t="s">
        <v>4947</v>
      </c>
      <c r="BK1584" t="s">
        <v>130</v>
      </c>
      <c r="BL1584" t="s">
        <v>4947</v>
      </c>
      <c r="BM1584" t="s">
        <v>28437</v>
      </c>
      <c r="BN1584">
        <v>38055321</v>
      </c>
      <c r="BO1584" t="s">
        <v>1728</v>
      </c>
      <c r="BP1584" t="s">
        <v>74</v>
      </c>
      <c r="BQ1584" t="s">
        <v>74</v>
      </c>
      <c r="BR1584" t="s">
        <v>101</v>
      </c>
      <c r="BS1584" t="s">
        <v>28438</v>
      </c>
      <c r="BT1584" t="str">
        <f>HYPERLINK("https%3A%2F%2Fwww.webofscience.com%2Fwos%2Fwoscc%2Ffull-record%2FWOS:001126863400001","View Full Record in Web of Science")</f>
        <v>View Full Record in Web of Science</v>
      </c>
    </row>
    <row r="1585" spans="1:72" x14ac:dyDescent="0.2">
      <c r="A1585" t="s">
        <v>72</v>
      </c>
      <c r="B1585" t="s">
        <v>28439</v>
      </c>
      <c r="C1585" t="s">
        <v>74</v>
      </c>
      <c r="D1585" t="s">
        <v>4124</v>
      </c>
      <c r="E1585" t="s">
        <v>74</v>
      </c>
      <c r="F1585" t="s">
        <v>28440</v>
      </c>
      <c r="G1585" t="s">
        <v>74</v>
      </c>
      <c r="H1585" t="s">
        <v>74</v>
      </c>
      <c r="I1585" t="s">
        <v>28441</v>
      </c>
      <c r="J1585" t="s">
        <v>4127</v>
      </c>
      <c r="K1585" t="s">
        <v>4128</v>
      </c>
      <c r="L1585" t="s">
        <v>74</v>
      </c>
      <c r="M1585" t="s">
        <v>79</v>
      </c>
      <c r="N1585" t="s">
        <v>80</v>
      </c>
      <c r="O1585" t="s">
        <v>4129</v>
      </c>
      <c r="P1585" t="s">
        <v>4130</v>
      </c>
      <c r="Q1585" t="s">
        <v>4131</v>
      </c>
      <c r="R1585" t="s">
        <v>4132</v>
      </c>
      <c r="S1585" t="s">
        <v>74</v>
      </c>
      <c r="T1585" t="s">
        <v>28442</v>
      </c>
      <c r="U1585" t="s">
        <v>74</v>
      </c>
      <c r="V1585" t="s">
        <v>28443</v>
      </c>
      <c r="W1585" t="s">
        <v>28444</v>
      </c>
      <c r="X1585" t="s">
        <v>28445</v>
      </c>
      <c r="Y1585" t="s">
        <v>28446</v>
      </c>
      <c r="Z1585" t="s">
        <v>28447</v>
      </c>
      <c r="AA1585" t="s">
        <v>28448</v>
      </c>
      <c r="AB1585" t="s">
        <v>28449</v>
      </c>
      <c r="AC1585" t="s">
        <v>74</v>
      </c>
      <c r="AD1585" t="s">
        <v>74</v>
      </c>
      <c r="AE1585" t="s">
        <v>74</v>
      </c>
      <c r="AF1585" t="s">
        <v>74</v>
      </c>
      <c r="AG1585">
        <v>33</v>
      </c>
      <c r="AH1585">
        <v>0</v>
      </c>
      <c r="AI1585">
        <v>0</v>
      </c>
      <c r="AJ1585">
        <v>0</v>
      </c>
      <c r="AK1585">
        <v>0</v>
      </c>
      <c r="AL1585" t="s">
        <v>284</v>
      </c>
      <c r="AM1585" t="s">
        <v>93</v>
      </c>
      <c r="AN1585" t="s">
        <v>299</v>
      </c>
      <c r="AO1585" t="s">
        <v>4144</v>
      </c>
      <c r="AP1585" t="s">
        <v>74</v>
      </c>
      <c r="AQ1585" t="s">
        <v>4145</v>
      </c>
      <c r="AR1585" t="s">
        <v>4146</v>
      </c>
      <c r="AS1585" t="s">
        <v>74</v>
      </c>
      <c r="AT1585" t="s">
        <v>74</v>
      </c>
      <c r="AU1585">
        <v>2023</v>
      </c>
      <c r="AV1585" t="s">
        <v>74</v>
      </c>
      <c r="AW1585" t="s">
        <v>74</v>
      </c>
      <c r="AX1585" t="s">
        <v>74</v>
      </c>
      <c r="AY1585" t="s">
        <v>74</v>
      </c>
      <c r="AZ1585" t="s">
        <v>74</v>
      </c>
      <c r="BA1585" t="s">
        <v>74</v>
      </c>
      <c r="BB1585" t="s">
        <v>74</v>
      </c>
      <c r="BC1585" t="s">
        <v>74</v>
      </c>
      <c r="BD1585" t="s">
        <v>74</v>
      </c>
      <c r="BE1585" t="s">
        <v>74</v>
      </c>
      <c r="BF1585" t="s">
        <v>74</v>
      </c>
      <c r="BG1585" t="s">
        <v>74</v>
      </c>
      <c r="BH1585" t="s">
        <v>74</v>
      </c>
      <c r="BI1585">
        <v>7</v>
      </c>
      <c r="BJ1585" t="s">
        <v>1385</v>
      </c>
      <c r="BK1585" t="s">
        <v>98</v>
      </c>
      <c r="BL1585" t="s">
        <v>1386</v>
      </c>
      <c r="BM1585" t="s">
        <v>4147</v>
      </c>
      <c r="BN1585" t="s">
        <v>74</v>
      </c>
      <c r="BO1585" t="s">
        <v>74</v>
      </c>
      <c r="BP1585" t="s">
        <v>74</v>
      </c>
      <c r="BQ1585" t="s">
        <v>74</v>
      </c>
      <c r="BR1585" t="s">
        <v>101</v>
      </c>
      <c r="BS1585" t="s">
        <v>28450</v>
      </c>
      <c r="BT1585" t="str">
        <f>HYPERLINK("https%3A%2F%2Fwww.webofscience.com%2Fwos%2Fwoscc%2Ffull-record%2FWOS:001117985100020","View Full Record in Web of Science")</f>
        <v>View Full Record in Web of Science</v>
      </c>
    </row>
    <row r="1586" spans="1:72" x14ac:dyDescent="0.2">
      <c r="A1586" t="s">
        <v>72</v>
      </c>
      <c r="B1586" t="s">
        <v>28451</v>
      </c>
      <c r="C1586" t="s">
        <v>74</v>
      </c>
      <c r="D1586" t="s">
        <v>4124</v>
      </c>
      <c r="E1586" t="s">
        <v>74</v>
      </c>
      <c r="F1586" t="s">
        <v>28452</v>
      </c>
      <c r="G1586" t="s">
        <v>74</v>
      </c>
      <c r="H1586" t="s">
        <v>74</v>
      </c>
      <c r="I1586" t="s">
        <v>28453</v>
      </c>
      <c r="J1586" t="s">
        <v>4127</v>
      </c>
      <c r="K1586" t="s">
        <v>4128</v>
      </c>
      <c r="L1586" t="s">
        <v>74</v>
      </c>
      <c r="M1586" t="s">
        <v>79</v>
      </c>
      <c r="N1586" t="s">
        <v>80</v>
      </c>
      <c r="O1586" t="s">
        <v>4129</v>
      </c>
      <c r="P1586" t="s">
        <v>4130</v>
      </c>
      <c r="Q1586" t="s">
        <v>4131</v>
      </c>
      <c r="R1586" t="s">
        <v>4132</v>
      </c>
      <c r="S1586" t="s">
        <v>74</v>
      </c>
      <c r="T1586" t="s">
        <v>74</v>
      </c>
      <c r="U1586" t="s">
        <v>74</v>
      </c>
      <c r="V1586" t="s">
        <v>28454</v>
      </c>
      <c r="W1586" t="s">
        <v>28455</v>
      </c>
      <c r="X1586" t="s">
        <v>28456</v>
      </c>
      <c r="Y1586" t="s">
        <v>28457</v>
      </c>
      <c r="Z1586" t="s">
        <v>28458</v>
      </c>
      <c r="AA1586" t="s">
        <v>74</v>
      </c>
      <c r="AB1586" t="s">
        <v>74</v>
      </c>
      <c r="AC1586" t="s">
        <v>74</v>
      </c>
      <c r="AD1586" t="s">
        <v>74</v>
      </c>
      <c r="AE1586" t="s">
        <v>74</v>
      </c>
      <c r="AF1586" t="s">
        <v>74</v>
      </c>
      <c r="AG1586">
        <v>32</v>
      </c>
      <c r="AH1586">
        <v>0</v>
      </c>
      <c r="AI1586">
        <v>0</v>
      </c>
      <c r="AJ1586">
        <v>0</v>
      </c>
      <c r="AK1586">
        <v>0</v>
      </c>
      <c r="AL1586" t="s">
        <v>284</v>
      </c>
      <c r="AM1586" t="s">
        <v>93</v>
      </c>
      <c r="AN1586" t="s">
        <v>299</v>
      </c>
      <c r="AO1586" t="s">
        <v>4144</v>
      </c>
      <c r="AP1586" t="s">
        <v>74</v>
      </c>
      <c r="AQ1586" t="s">
        <v>4145</v>
      </c>
      <c r="AR1586" t="s">
        <v>4146</v>
      </c>
      <c r="AS1586" t="s">
        <v>74</v>
      </c>
      <c r="AT1586" t="s">
        <v>74</v>
      </c>
      <c r="AU1586">
        <v>2023</v>
      </c>
      <c r="AV1586" t="s">
        <v>74</v>
      </c>
      <c r="AW1586" t="s">
        <v>74</v>
      </c>
      <c r="AX1586" t="s">
        <v>74</v>
      </c>
      <c r="AY1586" t="s">
        <v>74</v>
      </c>
      <c r="AZ1586" t="s">
        <v>74</v>
      </c>
      <c r="BA1586" t="s">
        <v>74</v>
      </c>
      <c r="BB1586" t="s">
        <v>74</v>
      </c>
      <c r="BC1586" t="s">
        <v>74</v>
      </c>
      <c r="BD1586" t="s">
        <v>74</v>
      </c>
      <c r="BE1586" t="s">
        <v>74</v>
      </c>
      <c r="BF1586" t="s">
        <v>74</v>
      </c>
      <c r="BG1586" t="s">
        <v>74</v>
      </c>
      <c r="BH1586" t="s">
        <v>74</v>
      </c>
      <c r="BI1586">
        <v>9</v>
      </c>
      <c r="BJ1586" t="s">
        <v>1385</v>
      </c>
      <c r="BK1586" t="s">
        <v>98</v>
      </c>
      <c r="BL1586" t="s">
        <v>1386</v>
      </c>
      <c r="BM1586" t="s">
        <v>4147</v>
      </c>
      <c r="BN1586" t="s">
        <v>74</v>
      </c>
      <c r="BO1586" t="s">
        <v>74</v>
      </c>
      <c r="BP1586" t="s">
        <v>74</v>
      </c>
      <c r="BQ1586" t="s">
        <v>74</v>
      </c>
      <c r="BR1586" t="s">
        <v>101</v>
      </c>
      <c r="BS1586" t="s">
        <v>28459</v>
      </c>
      <c r="BT1586" t="str">
        <f>HYPERLINK("https%3A%2F%2Fwww.webofscience.com%2Fwos%2Fwoscc%2Ffull-record%2FWOS:001117985100022","View Full Record in Web of Science")</f>
        <v>View Full Record in Web of Science</v>
      </c>
    </row>
    <row r="1587" spans="1:72" x14ac:dyDescent="0.2">
      <c r="A1587" t="s">
        <v>72</v>
      </c>
      <c r="B1587" t="s">
        <v>28460</v>
      </c>
      <c r="C1587" t="s">
        <v>74</v>
      </c>
      <c r="D1587" t="s">
        <v>4124</v>
      </c>
      <c r="E1587" t="s">
        <v>74</v>
      </c>
      <c r="F1587" t="s">
        <v>28461</v>
      </c>
      <c r="G1587" t="s">
        <v>74</v>
      </c>
      <c r="H1587" t="s">
        <v>74</v>
      </c>
      <c r="I1587" t="s">
        <v>28462</v>
      </c>
      <c r="J1587" t="s">
        <v>4127</v>
      </c>
      <c r="K1587" t="s">
        <v>4128</v>
      </c>
      <c r="L1587" t="s">
        <v>74</v>
      </c>
      <c r="M1587" t="s">
        <v>79</v>
      </c>
      <c r="N1587" t="s">
        <v>80</v>
      </c>
      <c r="O1587" t="s">
        <v>4129</v>
      </c>
      <c r="P1587" t="s">
        <v>4130</v>
      </c>
      <c r="Q1587" t="s">
        <v>4131</v>
      </c>
      <c r="R1587" t="s">
        <v>4132</v>
      </c>
      <c r="S1587" t="s">
        <v>74</v>
      </c>
      <c r="T1587" t="s">
        <v>28463</v>
      </c>
      <c r="U1587" t="s">
        <v>74</v>
      </c>
      <c r="V1587" t="s">
        <v>28464</v>
      </c>
      <c r="W1587" t="s">
        <v>28465</v>
      </c>
      <c r="X1587" t="s">
        <v>28466</v>
      </c>
      <c r="Y1587" t="s">
        <v>28467</v>
      </c>
      <c r="Z1587" t="s">
        <v>28468</v>
      </c>
      <c r="AA1587" t="s">
        <v>74</v>
      </c>
      <c r="AB1587" t="s">
        <v>74</v>
      </c>
      <c r="AC1587" t="s">
        <v>74</v>
      </c>
      <c r="AD1587" t="s">
        <v>74</v>
      </c>
      <c r="AE1587" t="s">
        <v>74</v>
      </c>
      <c r="AF1587" t="s">
        <v>74</v>
      </c>
      <c r="AG1587">
        <v>13</v>
      </c>
      <c r="AH1587">
        <v>0</v>
      </c>
      <c r="AI1587">
        <v>0</v>
      </c>
      <c r="AJ1587">
        <v>0</v>
      </c>
      <c r="AK1587">
        <v>0</v>
      </c>
      <c r="AL1587" t="s">
        <v>284</v>
      </c>
      <c r="AM1587" t="s">
        <v>93</v>
      </c>
      <c r="AN1587" t="s">
        <v>299</v>
      </c>
      <c r="AO1587" t="s">
        <v>4144</v>
      </c>
      <c r="AP1587" t="s">
        <v>74</v>
      </c>
      <c r="AQ1587" t="s">
        <v>4145</v>
      </c>
      <c r="AR1587" t="s">
        <v>4146</v>
      </c>
      <c r="AS1587" t="s">
        <v>74</v>
      </c>
      <c r="AT1587" t="s">
        <v>74</v>
      </c>
      <c r="AU1587">
        <v>2023</v>
      </c>
      <c r="AV1587" t="s">
        <v>74</v>
      </c>
      <c r="AW1587" t="s">
        <v>74</v>
      </c>
      <c r="AX1587" t="s">
        <v>74</v>
      </c>
      <c r="AY1587" t="s">
        <v>74</v>
      </c>
      <c r="AZ1587" t="s">
        <v>74</v>
      </c>
      <c r="BA1587" t="s">
        <v>74</v>
      </c>
      <c r="BB1587" t="s">
        <v>74</v>
      </c>
      <c r="BC1587" t="s">
        <v>74</v>
      </c>
      <c r="BD1587" t="s">
        <v>74</v>
      </c>
      <c r="BE1587" t="s">
        <v>74</v>
      </c>
      <c r="BF1587" t="s">
        <v>74</v>
      </c>
      <c r="BG1587" t="s">
        <v>74</v>
      </c>
      <c r="BH1587" t="s">
        <v>74</v>
      </c>
      <c r="BI1587">
        <v>5</v>
      </c>
      <c r="BJ1587" t="s">
        <v>1385</v>
      </c>
      <c r="BK1587" t="s">
        <v>98</v>
      </c>
      <c r="BL1587" t="s">
        <v>1386</v>
      </c>
      <c r="BM1587" t="s">
        <v>4147</v>
      </c>
      <c r="BN1587" t="s">
        <v>74</v>
      </c>
      <c r="BO1587" t="s">
        <v>74</v>
      </c>
      <c r="BP1587" t="s">
        <v>74</v>
      </c>
      <c r="BQ1587" t="s">
        <v>74</v>
      </c>
      <c r="BR1587" t="s">
        <v>101</v>
      </c>
      <c r="BS1587" t="s">
        <v>28469</v>
      </c>
      <c r="BT1587" t="str">
        <f>HYPERLINK("https%3A%2F%2Fwww.webofscience.com%2Fwos%2Fwoscc%2Ffull-record%2FWOS:001117985100041","View Full Record in Web of Science")</f>
        <v>View Full Record in Web of Science</v>
      </c>
    </row>
    <row r="1588" spans="1:72" x14ac:dyDescent="0.2">
      <c r="A1588" t="s">
        <v>72</v>
      </c>
      <c r="B1588" t="s">
        <v>28470</v>
      </c>
      <c r="C1588" t="s">
        <v>74</v>
      </c>
      <c r="D1588" t="s">
        <v>4124</v>
      </c>
      <c r="E1588" t="s">
        <v>74</v>
      </c>
      <c r="F1588" t="s">
        <v>28471</v>
      </c>
      <c r="G1588" t="s">
        <v>74</v>
      </c>
      <c r="H1588" t="s">
        <v>74</v>
      </c>
      <c r="I1588" t="s">
        <v>28472</v>
      </c>
      <c r="J1588" t="s">
        <v>4127</v>
      </c>
      <c r="K1588" t="s">
        <v>4128</v>
      </c>
      <c r="L1588" t="s">
        <v>74</v>
      </c>
      <c r="M1588" t="s">
        <v>79</v>
      </c>
      <c r="N1588" t="s">
        <v>80</v>
      </c>
      <c r="O1588" t="s">
        <v>4129</v>
      </c>
      <c r="P1588" t="s">
        <v>4130</v>
      </c>
      <c r="Q1588" t="s">
        <v>4131</v>
      </c>
      <c r="R1588" t="s">
        <v>4132</v>
      </c>
      <c r="S1588" t="s">
        <v>74</v>
      </c>
      <c r="T1588" t="s">
        <v>28473</v>
      </c>
      <c r="U1588" t="s">
        <v>28474</v>
      </c>
      <c r="V1588" t="s">
        <v>28475</v>
      </c>
      <c r="W1588" t="s">
        <v>28476</v>
      </c>
      <c r="X1588" t="s">
        <v>28477</v>
      </c>
      <c r="Y1588" t="s">
        <v>28478</v>
      </c>
      <c r="Z1588" t="s">
        <v>28479</v>
      </c>
      <c r="AA1588" t="s">
        <v>74</v>
      </c>
      <c r="AB1588" t="s">
        <v>74</v>
      </c>
      <c r="AC1588" t="s">
        <v>28480</v>
      </c>
      <c r="AD1588" t="s">
        <v>23890</v>
      </c>
      <c r="AE1588" t="s">
        <v>28481</v>
      </c>
      <c r="AF1588" t="s">
        <v>74</v>
      </c>
      <c r="AG1588">
        <v>25</v>
      </c>
      <c r="AH1588">
        <v>0</v>
      </c>
      <c r="AI1588">
        <v>0</v>
      </c>
      <c r="AJ1588">
        <v>0</v>
      </c>
      <c r="AK1588">
        <v>0</v>
      </c>
      <c r="AL1588" t="s">
        <v>284</v>
      </c>
      <c r="AM1588" t="s">
        <v>93</v>
      </c>
      <c r="AN1588" t="s">
        <v>299</v>
      </c>
      <c r="AO1588" t="s">
        <v>4144</v>
      </c>
      <c r="AP1588" t="s">
        <v>74</v>
      </c>
      <c r="AQ1588" t="s">
        <v>4145</v>
      </c>
      <c r="AR1588" t="s">
        <v>4146</v>
      </c>
      <c r="AS1588" t="s">
        <v>74</v>
      </c>
      <c r="AT1588" t="s">
        <v>74</v>
      </c>
      <c r="AU1588">
        <v>2023</v>
      </c>
      <c r="AV1588" t="s">
        <v>74</v>
      </c>
      <c r="AW1588" t="s">
        <v>74</v>
      </c>
      <c r="AX1588" t="s">
        <v>74</v>
      </c>
      <c r="AY1588" t="s">
        <v>74</v>
      </c>
      <c r="AZ1588" t="s">
        <v>74</v>
      </c>
      <c r="BA1588" t="s">
        <v>74</v>
      </c>
      <c r="BB1588" t="s">
        <v>74</v>
      </c>
      <c r="BC1588" t="s">
        <v>74</v>
      </c>
      <c r="BD1588" t="s">
        <v>74</v>
      </c>
      <c r="BE1588" t="s">
        <v>74</v>
      </c>
      <c r="BF1588" t="s">
        <v>74</v>
      </c>
      <c r="BG1588" t="s">
        <v>74</v>
      </c>
      <c r="BH1588" t="s">
        <v>74</v>
      </c>
      <c r="BI1588">
        <v>9</v>
      </c>
      <c r="BJ1588" t="s">
        <v>1385</v>
      </c>
      <c r="BK1588" t="s">
        <v>98</v>
      </c>
      <c r="BL1588" t="s">
        <v>1386</v>
      </c>
      <c r="BM1588" t="s">
        <v>4147</v>
      </c>
      <c r="BN1588" t="s">
        <v>74</v>
      </c>
      <c r="BO1588" t="s">
        <v>74</v>
      </c>
      <c r="BP1588" t="s">
        <v>74</v>
      </c>
      <c r="BQ1588" t="s">
        <v>74</v>
      </c>
      <c r="BR1588" t="s">
        <v>101</v>
      </c>
      <c r="BS1588" t="s">
        <v>28482</v>
      </c>
      <c r="BT1588" t="str">
        <f>HYPERLINK("https%3A%2F%2Fwww.webofscience.com%2Fwos%2Fwoscc%2Ffull-record%2FWOS:001117985100045","View Full Record in Web of Science")</f>
        <v>View Full Record in Web of Science</v>
      </c>
    </row>
    <row r="1589" spans="1:72" x14ac:dyDescent="0.2">
      <c r="A1589" t="s">
        <v>72</v>
      </c>
      <c r="B1589" t="s">
        <v>28483</v>
      </c>
      <c r="C1589" t="s">
        <v>74</v>
      </c>
      <c r="D1589" t="s">
        <v>4124</v>
      </c>
      <c r="E1589" t="s">
        <v>74</v>
      </c>
      <c r="F1589" t="s">
        <v>28484</v>
      </c>
      <c r="G1589" t="s">
        <v>74</v>
      </c>
      <c r="H1589" t="s">
        <v>74</v>
      </c>
      <c r="I1589" t="s">
        <v>28485</v>
      </c>
      <c r="J1589" t="s">
        <v>4127</v>
      </c>
      <c r="K1589" t="s">
        <v>4128</v>
      </c>
      <c r="L1589" t="s">
        <v>74</v>
      </c>
      <c r="M1589" t="s">
        <v>79</v>
      </c>
      <c r="N1589" t="s">
        <v>80</v>
      </c>
      <c r="O1589" t="s">
        <v>4129</v>
      </c>
      <c r="P1589" t="s">
        <v>4130</v>
      </c>
      <c r="Q1589" t="s">
        <v>4131</v>
      </c>
      <c r="R1589" t="s">
        <v>4132</v>
      </c>
      <c r="S1589" t="s">
        <v>74</v>
      </c>
      <c r="T1589" t="s">
        <v>28486</v>
      </c>
      <c r="U1589" t="s">
        <v>74</v>
      </c>
      <c r="V1589" t="s">
        <v>28487</v>
      </c>
      <c r="W1589" t="s">
        <v>28488</v>
      </c>
      <c r="X1589" t="s">
        <v>28489</v>
      </c>
      <c r="Y1589" t="s">
        <v>28490</v>
      </c>
      <c r="Z1589" t="s">
        <v>28491</v>
      </c>
      <c r="AA1589" t="s">
        <v>74</v>
      </c>
      <c r="AB1589" t="s">
        <v>74</v>
      </c>
      <c r="AC1589" t="s">
        <v>28492</v>
      </c>
      <c r="AD1589" t="s">
        <v>28493</v>
      </c>
      <c r="AE1589" t="s">
        <v>28494</v>
      </c>
      <c r="AF1589" t="s">
        <v>74</v>
      </c>
      <c r="AG1589">
        <v>23</v>
      </c>
      <c r="AH1589">
        <v>0</v>
      </c>
      <c r="AI1589">
        <v>0</v>
      </c>
      <c r="AJ1589">
        <v>0</v>
      </c>
      <c r="AK1589">
        <v>0</v>
      </c>
      <c r="AL1589" t="s">
        <v>284</v>
      </c>
      <c r="AM1589" t="s">
        <v>93</v>
      </c>
      <c r="AN1589" t="s">
        <v>299</v>
      </c>
      <c r="AO1589" t="s">
        <v>4144</v>
      </c>
      <c r="AP1589" t="s">
        <v>74</v>
      </c>
      <c r="AQ1589" t="s">
        <v>4145</v>
      </c>
      <c r="AR1589" t="s">
        <v>4146</v>
      </c>
      <c r="AS1589" t="s">
        <v>74</v>
      </c>
      <c r="AT1589" t="s">
        <v>74</v>
      </c>
      <c r="AU1589">
        <v>2023</v>
      </c>
      <c r="AV1589" t="s">
        <v>74</v>
      </c>
      <c r="AW1589" t="s">
        <v>74</v>
      </c>
      <c r="AX1589" t="s">
        <v>74</v>
      </c>
      <c r="AY1589" t="s">
        <v>74</v>
      </c>
      <c r="AZ1589" t="s">
        <v>74</v>
      </c>
      <c r="BA1589" t="s">
        <v>74</v>
      </c>
      <c r="BB1589" t="s">
        <v>74</v>
      </c>
      <c r="BC1589" t="s">
        <v>74</v>
      </c>
      <c r="BD1589" t="s">
        <v>74</v>
      </c>
      <c r="BE1589" t="s">
        <v>74</v>
      </c>
      <c r="BF1589" t="s">
        <v>74</v>
      </c>
      <c r="BG1589" t="s">
        <v>74</v>
      </c>
      <c r="BH1589" t="s">
        <v>74</v>
      </c>
      <c r="BI1589">
        <v>9</v>
      </c>
      <c r="BJ1589" t="s">
        <v>1385</v>
      </c>
      <c r="BK1589" t="s">
        <v>98</v>
      </c>
      <c r="BL1589" t="s">
        <v>1386</v>
      </c>
      <c r="BM1589" t="s">
        <v>4147</v>
      </c>
      <c r="BN1589" t="s">
        <v>74</v>
      </c>
      <c r="BO1589" t="s">
        <v>74</v>
      </c>
      <c r="BP1589" t="s">
        <v>74</v>
      </c>
      <c r="BQ1589" t="s">
        <v>74</v>
      </c>
      <c r="BR1589" t="s">
        <v>101</v>
      </c>
      <c r="BS1589" t="s">
        <v>28495</v>
      </c>
      <c r="BT1589" t="str">
        <f>HYPERLINK("https%3A%2F%2Fwww.webofscience.com%2Fwos%2Fwoscc%2Ffull-record%2FWOS:001117985100032","View Full Record in Web of Science")</f>
        <v>View Full Record in Web of Science</v>
      </c>
    </row>
    <row r="1590" spans="1:72" x14ac:dyDescent="0.2">
      <c r="A1590" t="s">
        <v>72</v>
      </c>
      <c r="B1590" t="s">
        <v>28496</v>
      </c>
      <c r="C1590" t="s">
        <v>74</v>
      </c>
      <c r="D1590" t="s">
        <v>4124</v>
      </c>
      <c r="E1590" t="s">
        <v>74</v>
      </c>
      <c r="F1590" t="s">
        <v>28497</v>
      </c>
      <c r="G1590" t="s">
        <v>74</v>
      </c>
      <c r="H1590" t="s">
        <v>74</v>
      </c>
      <c r="I1590" t="s">
        <v>28498</v>
      </c>
      <c r="J1590" t="s">
        <v>4127</v>
      </c>
      <c r="K1590" t="s">
        <v>4128</v>
      </c>
      <c r="L1590" t="s">
        <v>74</v>
      </c>
      <c r="M1590" t="s">
        <v>79</v>
      </c>
      <c r="N1590" t="s">
        <v>80</v>
      </c>
      <c r="O1590" t="s">
        <v>4129</v>
      </c>
      <c r="P1590" t="s">
        <v>4130</v>
      </c>
      <c r="Q1590" t="s">
        <v>4131</v>
      </c>
      <c r="R1590" t="s">
        <v>4132</v>
      </c>
      <c r="S1590" t="s">
        <v>74</v>
      </c>
      <c r="T1590" t="s">
        <v>28499</v>
      </c>
      <c r="U1590" t="s">
        <v>28500</v>
      </c>
      <c r="V1590" t="s">
        <v>28501</v>
      </c>
      <c r="W1590" t="s">
        <v>28502</v>
      </c>
      <c r="X1590" t="s">
        <v>28503</v>
      </c>
      <c r="Y1590" t="s">
        <v>28504</v>
      </c>
      <c r="Z1590" t="s">
        <v>74</v>
      </c>
      <c r="AA1590" t="s">
        <v>74</v>
      </c>
      <c r="AB1590" t="s">
        <v>74</v>
      </c>
      <c r="AC1590" t="s">
        <v>28505</v>
      </c>
      <c r="AD1590" t="s">
        <v>28506</v>
      </c>
      <c r="AE1590" t="s">
        <v>28507</v>
      </c>
      <c r="AF1590" t="s">
        <v>74</v>
      </c>
      <c r="AG1590">
        <v>28</v>
      </c>
      <c r="AH1590">
        <v>0</v>
      </c>
      <c r="AI1590">
        <v>0</v>
      </c>
      <c r="AJ1590">
        <v>0</v>
      </c>
      <c r="AK1590">
        <v>0</v>
      </c>
      <c r="AL1590" t="s">
        <v>284</v>
      </c>
      <c r="AM1590" t="s">
        <v>93</v>
      </c>
      <c r="AN1590" t="s">
        <v>299</v>
      </c>
      <c r="AO1590" t="s">
        <v>4144</v>
      </c>
      <c r="AP1590" t="s">
        <v>74</v>
      </c>
      <c r="AQ1590" t="s">
        <v>4145</v>
      </c>
      <c r="AR1590" t="s">
        <v>4146</v>
      </c>
      <c r="AS1590" t="s">
        <v>74</v>
      </c>
      <c r="AT1590" t="s">
        <v>74</v>
      </c>
      <c r="AU1590">
        <v>2023</v>
      </c>
      <c r="AV1590" t="s">
        <v>74</v>
      </c>
      <c r="AW1590" t="s">
        <v>74</v>
      </c>
      <c r="AX1590" t="s">
        <v>74</v>
      </c>
      <c r="AY1590" t="s">
        <v>74</v>
      </c>
      <c r="AZ1590" t="s">
        <v>74</v>
      </c>
      <c r="BA1590" t="s">
        <v>74</v>
      </c>
      <c r="BB1590" t="s">
        <v>74</v>
      </c>
      <c r="BC1590" t="s">
        <v>74</v>
      </c>
      <c r="BD1590" t="s">
        <v>74</v>
      </c>
      <c r="BE1590" t="s">
        <v>74</v>
      </c>
      <c r="BF1590" t="s">
        <v>74</v>
      </c>
      <c r="BG1590" t="s">
        <v>74</v>
      </c>
      <c r="BH1590" t="s">
        <v>74</v>
      </c>
      <c r="BI1590">
        <v>7</v>
      </c>
      <c r="BJ1590" t="s">
        <v>1385</v>
      </c>
      <c r="BK1590" t="s">
        <v>98</v>
      </c>
      <c r="BL1590" t="s">
        <v>1386</v>
      </c>
      <c r="BM1590" t="s">
        <v>4147</v>
      </c>
      <c r="BN1590" t="s">
        <v>74</v>
      </c>
      <c r="BO1590" t="s">
        <v>74</v>
      </c>
      <c r="BP1590" t="s">
        <v>74</v>
      </c>
      <c r="BQ1590" t="s">
        <v>74</v>
      </c>
      <c r="BR1590" t="s">
        <v>101</v>
      </c>
      <c r="BS1590" t="s">
        <v>28508</v>
      </c>
      <c r="BT1590" t="str">
        <f>HYPERLINK("https%3A%2F%2Fwww.webofscience.com%2Fwos%2Fwoscc%2Ffull-record%2FWOS:001117985100019","View Full Record in Web of Science")</f>
        <v>View Full Record in Web of Science</v>
      </c>
    </row>
    <row r="1591" spans="1:72" x14ac:dyDescent="0.2">
      <c r="A1591" t="s">
        <v>72</v>
      </c>
      <c r="B1591" t="s">
        <v>28509</v>
      </c>
      <c r="C1591" t="s">
        <v>74</v>
      </c>
      <c r="D1591" t="s">
        <v>4124</v>
      </c>
      <c r="E1591" t="s">
        <v>74</v>
      </c>
      <c r="F1591" t="s">
        <v>28510</v>
      </c>
      <c r="G1591" t="s">
        <v>74</v>
      </c>
      <c r="H1591" t="s">
        <v>74</v>
      </c>
      <c r="I1591" t="s">
        <v>28511</v>
      </c>
      <c r="J1591" t="s">
        <v>4127</v>
      </c>
      <c r="K1591" t="s">
        <v>4128</v>
      </c>
      <c r="L1591" t="s">
        <v>74</v>
      </c>
      <c r="M1591" t="s">
        <v>79</v>
      </c>
      <c r="N1591" t="s">
        <v>80</v>
      </c>
      <c r="O1591" t="s">
        <v>4129</v>
      </c>
      <c r="P1591" t="s">
        <v>4130</v>
      </c>
      <c r="Q1591" t="s">
        <v>4131</v>
      </c>
      <c r="R1591" t="s">
        <v>4132</v>
      </c>
      <c r="S1591" t="s">
        <v>74</v>
      </c>
      <c r="T1591" t="s">
        <v>74</v>
      </c>
      <c r="U1591" t="s">
        <v>74</v>
      </c>
      <c r="V1591" t="s">
        <v>28512</v>
      </c>
      <c r="W1591" t="s">
        <v>28513</v>
      </c>
      <c r="X1591" t="s">
        <v>28456</v>
      </c>
      <c r="Y1591" t="s">
        <v>28514</v>
      </c>
      <c r="Z1591" t="s">
        <v>28515</v>
      </c>
      <c r="AA1591" t="s">
        <v>74</v>
      </c>
      <c r="AB1591" t="s">
        <v>74</v>
      </c>
      <c r="AC1591" t="s">
        <v>74</v>
      </c>
      <c r="AD1591" t="s">
        <v>74</v>
      </c>
      <c r="AE1591" t="s">
        <v>74</v>
      </c>
      <c r="AF1591" t="s">
        <v>74</v>
      </c>
      <c r="AG1591">
        <v>26</v>
      </c>
      <c r="AH1591">
        <v>0</v>
      </c>
      <c r="AI1591">
        <v>0</v>
      </c>
      <c r="AJ1591">
        <v>0</v>
      </c>
      <c r="AK1591">
        <v>0</v>
      </c>
      <c r="AL1591" t="s">
        <v>284</v>
      </c>
      <c r="AM1591" t="s">
        <v>93</v>
      </c>
      <c r="AN1591" t="s">
        <v>299</v>
      </c>
      <c r="AO1591" t="s">
        <v>4144</v>
      </c>
      <c r="AP1591" t="s">
        <v>74</v>
      </c>
      <c r="AQ1591" t="s">
        <v>4145</v>
      </c>
      <c r="AR1591" t="s">
        <v>4146</v>
      </c>
      <c r="AS1591" t="s">
        <v>74</v>
      </c>
      <c r="AT1591" t="s">
        <v>74</v>
      </c>
      <c r="AU1591">
        <v>2023</v>
      </c>
      <c r="AV1591" t="s">
        <v>74</v>
      </c>
      <c r="AW1591" t="s">
        <v>74</v>
      </c>
      <c r="AX1591" t="s">
        <v>74</v>
      </c>
      <c r="AY1591" t="s">
        <v>74</v>
      </c>
      <c r="AZ1591" t="s">
        <v>74</v>
      </c>
      <c r="BA1591" t="s">
        <v>74</v>
      </c>
      <c r="BB1591" t="s">
        <v>74</v>
      </c>
      <c r="BC1591" t="s">
        <v>74</v>
      </c>
      <c r="BD1591" t="s">
        <v>74</v>
      </c>
      <c r="BE1591" t="s">
        <v>74</v>
      </c>
      <c r="BF1591" t="s">
        <v>74</v>
      </c>
      <c r="BG1591" t="s">
        <v>74</v>
      </c>
      <c r="BH1591" t="s">
        <v>74</v>
      </c>
      <c r="BI1591">
        <v>9</v>
      </c>
      <c r="BJ1591" t="s">
        <v>1385</v>
      </c>
      <c r="BK1591" t="s">
        <v>98</v>
      </c>
      <c r="BL1591" t="s">
        <v>1386</v>
      </c>
      <c r="BM1591" t="s">
        <v>4147</v>
      </c>
      <c r="BN1591" t="s">
        <v>74</v>
      </c>
      <c r="BO1591" t="s">
        <v>74</v>
      </c>
      <c r="BP1591" t="s">
        <v>74</v>
      </c>
      <c r="BQ1591" t="s">
        <v>74</v>
      </c>
      <c r="BR1591" t="s">
        <v>101</v>
      </c>
      <c r="BS1591" t="s">
        <v>28516</v>
      </c>
      <c r="BT1591" t="str">
        <f>HYPERLINK("https%3A%2F%2Fwww.webofscience.com%2Fwos%2Fwoscc%2Ffull-record%2FWOS:001117985100050","View Full Record in Web of Science")</f>
        <v>View Full Record in Web of Science</v>
      </c>
    </row>
    <row r="1592" spans="1:72" x14ac:dyDescent="0.2">
      <c r="A1592" t="s">
        <v>72</v>
      </c>
      <c r="B1592" t="s">
        <v>28517</v>
      </c>
      <c r="C1592" t="s">
        <v>74</v>
      </c>
      <c r="D1592" t="s">
        <v>4124</v>
      </c>
      <c r="E1592" t="s">
        <v>74</v>
      </c>
      <c r="F1592" t="s">
        <v>28518</v>
      </c>
      <c r="G1592" t="s">
        <v>74</v>
      </c>
      <c r="H1592" t="s">
        <v>74</v>
      </c>
      <c r="I1592" t="s">
        <v>28519</v>
      </c>
      <c r="J1592" t="s">
        <v>4127</v>
      </c>
      <c r="K1592" t="s">
        <v>4128</v>
      </c>
      <c r="L1592" t="s">
        <v>74</v>
      </c>
      <c r="M1592" t="s">
        <v>79</v>
      </c>
      <c r="N1592" t="s">
        <v>80</v>
      </c>
      <c r="O1592" t="s">
        <v>4129</v>
      </c>
      <c r="P1592" t="s">
        <v>4130</v>
      </c>
      <c r="Q1592" t="s">
        <v>4131</v>
      </c>
      <c r="R1592" t="s">
        <v>4132</v>
      </c>
      <c r="S1592" t="s">
        <v>74</v>
      </c>
      <c r="T1592" t="s">
        <v>28520</v>
      </c>
      <c r="U1592" t="s">
        <v>74</v>
      </c>
      <c r="V1592" t="s">
        <v>28521</v>
      </c>
      <c r="W1592" t="s">
        <v>28522</v>
      </c>
      <c r="X1592" t="s">
        <v>10580</v>
      </c>
      <c r="Y1592" t="s">
        <v>28523</v>
      </c>
      <c r="Z1592" t="s">
        <v>28524</v>
      </c>
      <c r="AA1592" t="s">
        <v>74</v>
      </c>
      <c r="AB1592" t="s">
        <v>74</v>
      </c>
      <c r="AC1592" t="s">
        <v>28525</v>
      </c>
      <c r="AD1592" t="s">
        <v>28526</v>
      </c>
      <c r="AE1592" t="s">
        <v>28527</v>
      </c>
      <c r="AF1592" t="s">
        <v>74</v>
      </c>
      <c r="AG1592">
        <v>22</v>
      </c>
      <c r="AH1592">
        <v>0</v>
      </c>
      <c r="AI1592">
        <v>0</v>
      </c>
      <c r="AJ1592">
        <v>0</v>
      </c>
      <c r="AK1592">
        <v>0</v>
      </c>
      <c r="AL1592" t="s">
        <v>284</v>
      </c>
      <c r="AM1592" t="s">
        <v>93</v>
      </c>
      <c r="AN1592" t="s">
        <v>299</v>
      </c>
      <c r="AO1592" t="s">
        <v>4144</v>
      </c>
      <c r="AP1592" t="s">
        <v>74</v>
      </c>
      <c r="AQ1592" t="s">
        <v>4145</v>
      </c>
      <c r="AR1592" t="s">
        <v>4146</v>
      </c>
      <c r="AS1592" t="s">
        <v>74</v>
      </c>
      <c r="AT1592" t="s">
        <v>74</v>
      </c>
      <c r="AU1592">
        <v>2023</v>
      </c>
      <c r="AV1592" t="s">
        <v>74</v>
      </c>
      <c r="AW1592" t="s">
        <v>74</v>
      </c>
      <c r="AX1592" t="s">
        <v>74</v>
      </c>
      <c r="AY1592" t="s">
        <v>74</v>
      </c>
      <c r="AZ1592" t="s">
        <v>74</v>
      </c>
      <c r="BA1592" t="s">
        <v>74</v>
      </c>
      <c r="BB1592" t="s">
        <v>74</v>
      </c>
      <c r="BC1592" t="s">
        <v>74</v>
      </c>
      <c r="BD1592" t="s">
        <v>74</v>
      </c>
      <c r="BE1592" t="s">
        <v>74</v>
      </c>
      <c r="BF1592" t="s">
        <v>74</v>
      </c>
      <c r="BG1592" t="s">
        <v>74</v>
      </c>
      <c r="BH1592" t="s">
        <v>74</v>
      </c>
      <c r="BI1592">
        <v>7</v>
      </c>
      <c r="BJ1592" t="s">
        <v>1385</v>
      </c>
      <c r="BK1592" t="s">
        <v>98</v>
      </c>
      <c r="BL1592" t="s">
        <v>1386</v>
      </c>
      <c r="BM1592" t="s">
        <v>4147</v>
      </c>
      <c r="BN1592" t="s">
        <v>74</v>
      </c>
      <c r="BO1592" t="s">
        <v>74</v>
      </c>
      <c r="BP1592" t="s">
        <v>74</v>
      </c>
      <c r="BQ1592" t="s">
        <v>74</v>
      </c>
      <c r="BR1592" t="s">
        <v>101</v>
      </c>
      <c r="BS1592" t="s">
        <v>28528</v>
      </c>
      <c r="BT1592" t="str">
        <f>HYPERLINK("https%3A%2F%2Fwww.webofscience.com%2Fwos%2Fwoscc%2Ffull-record%2FWOS:001117985100048","View Full Record in Web of Science")</f>
        <v>View Full Record in Web of Science</v>
      </c>
    </row>
    <row r="1593" spans="1:72" x14ac:dyDescent="0.2">
      <c r="A1593" t="s">
        <v>72</v>
      </c>
      <c r="B1593" t="s">
        <v>28529</v>
      </c>
      <c r="C1593" t="s">
        <v>74</v>
      </c>
      <c r="D1593" t="s">
        <v>4124</v>
      </c>
      <c r="E1593" t="s">
        <v>74</v>
      </c>
      <c r="F1593" t="s">
        <v>28530</v>
      </c>
      <c r="G1593" t="s">
        <v>74</v>
      </c>
      <c r="H1593" t="s">
        <v>74</v>
      </c>
      <c r="I1593" t="s">
        <v>28531</v>
      </c>
      <c r="J1593" t="s">
        <v>4127</v>
      </c>
      <c r="K1593" t="s">
        <v>4128</v>
      </c>
      <c r="L1593" t="s">
        <v>74</v>
      </c>
      <c r="M1593" t="s">
        <v>79</v>
      </c>
      <c r="N1593" t="s">
        <v>80</v>
      </c>
      <c r="O1593" t="s">
        <v>4129</v>
      </c>
      <c r="P1593" t="s">
        <v>4130</v>
      </c>
      <c r="Q1593" t="s">
        <v>4131</v>
      </c>
      <c r="R1593" t="s">
        <v>4132</v>
      </c>
      <c r="S1593" t="s">
        <v>74</v>
      </c>
      <c r="T1593" t="s">
        <v>28532</v>
      </c>
      <c r="U1593" t="s">
        <v>74</v>
      </c>
      <c r="V1593" t="s">
        <v>28533</v>
      </c>
      <c r="W1593" t="s">
        <v>28534</v>
      </c>
      <c r="X1593" t="s">
        <v>74</v>
      </c>
      <c r="Y1593" t="s">
        <v>28535</v>
      </c>
      <c r="Z1593" t="s">
        <v>28536</v>
      </c>
      <c r="AA1593" t="s">
        <v>74</v>
      </c>
      <c r="AB1593" t="s">
        <v>74</v>
      </c>
      <c r="AC1593" t="s">
        <v>28537</v>
      </c>
      <c r="AD1593" t="s">
        <v>28538</v>
      </c>
      <c r="AE1593" t="s">
        <v>28539</v>
      </c>
      <c r="AF1593" t="s">
        <v>74</v>
      </c>
      <c r="AG1593">
        <v>6</v>
      </c>
      <c r="AH1593">
        <v>0</v>
      </c>
      <c r="AI1593">
        <v>0</v>
      </c>
      <c r="AJ1593">
        <v>0</v>
      </c>
      <c r="AK1593">
        <v>0</v>
      </c>
      <c r="AL1593" t="s">
        <v>284</v>
      </c>
      <c r="AM1593" t="s">
        <v>93</v>
      </c>
      <c r="AN1593" t="s">
        <v>299</v>
      </c>
      <c r="AO1593" t="s">
        <v>4144</v>
      </c>
      <c r="AP1593" t="s">
        <v>74</v>
      </c>
      <c r="AQ1593" t="s">
        <v>4145</v>
      </c>
      <c r="AR1593" t="s">
        <v>4146</v>
      </c>
      <c r="AS1593" t="s">
        <v>74</v>
      </c>
      <c r="AT1593" t="s">
        <v>74</v>
      </c>
      <c r="AU1593">
        <v>2023</v>
      </c>
      <c r="AV1593" t="s">
        <v>74</v>
      </c>
      <c r="AW1593" t="s">
        <v>74</v>
      </c>
      <c r="AX1593" t="s">
        <v>74</v>
      </c>
      <c r="AY1593" t="s">
        <v>74</v>
      </c>
      <c r="AZ1593" t="s">
        <v>74</v>
      </c>
      <c r="BA1593" t="s">
        <v>74</v>
      </c>
      <c r="BB1593" t="s">
        <v>74</v>
      </c>
      <c r="BC1593" t="s">
        <v>74</v>
      </c>
      <c r="BD1593" t="s">
        <v>74</v>
      </c>
      <c r="BE1593" t="s">
        <v>74</v>
      </c>
      <c r="BF1593" t="s">
        <v>74</v>
      </c>
      <c r="BG1593" t="s">
        <v>74</v>
      </c>
      <c r="BH1593" t="s">
        <v>74</v>
      </c>
      <c r="BI1593">
        <v>3</v>
      </c>
      <c r="BJ1593" t="s">
        <v>1385</v>
      </c>
      <c r="BK1593" t="s">
        <v>98</v>
      </c>
      <c r="BL1593" t="s">
        <v>1386</v>
      </c>
      <c r="BM1593" t="s">
        <v>4147</v>
      </c>
      <c r="BN1593" t="s">
        <v>74</v>
      </c>
      <c r="BO1593" t="s">
        <v>74</v>
      </c>
      <c r="BP1593" t="s">
        <v>74</v>
      </c>
      <c r="BQ1593" t="s">
        <v>74</v>
      </c>
      <c r="BR1593" t="s">
        <v>101</v>
      </c>
      <c r="BS1593" t="s">
        <v>28540</v>
      </c>
      <c r="BT1593" t="str">
        <f>HYPERLINK("https%3A%2F%2Fwww.webofscience.com%2Fwos%2Fwoscc%2Ffull-record%2FWOS:001117985100036","View Full Record in Web of Science")</f>
        <v>View Full Record in Web of Science</v>
      </c>
    </row>
    <row r="1594" spans="1:72" x14ac:dyDescent="0.2">
      <c r="A1594" t="s">
        <v>72</v>
      </c>
      <c r="B1594" t="s">
        <v>28541</v>
      </c>
      <c r="C1594" t="s">
        <v>74</v>
      </c>
      <c r="D1594" t="s">
        <v>4124</v>
      </c>
      <c r="E1594" t="s">
        <v>74</v>
      </c>
      <c r="F1594" t="s">
        <v>28542</v>
      </c>
      <c r="G1594" t="s">
        <v>74</v>
      </c>
      <c r="H1594" t="s">
        <v>74</v>
      </c>
      <c r="I1594" t="s">
        <v>28543</v>
      </c>
      <c r="J1594" t="s">
        <v>4127</v>
      </c>
      <c r="K1594" t="s">
        <v>4128</v>
      </c>
      <c r="L1594" t="s">
        <v>74</v>
      </c>
      <c r="M1594" t="s">
        <v>79</v>
      </c>
      <c r="N1594" t="s">
        <v>80</v>
      </c>
      <c r="O1594" t="s">
        <v>4129</v>
      </c>
      <c r="P1594" t="s">
        <v>4130</v>
      </c>
      <c r="Q1594" t="s">
        <v>4131</v>
      </c>
      <c r="R1594" t="s">
        <v>4132</v>
      </c>
      <c r="S1594" t="s">
        <v>74</v>
      </c>
      <c r="T1594" t="s">
        <v>28544</v>
      </c>
      <c r="U1594" t="s">
        <v>74</v>
      </c>
      <c r="V1594" t="s">
        <v>28545</v>
      </c>
      <c r="W1594" t="s">
        <v>28546</v>
      </c>
      <c r="X1594" t="s">
        <v>28547</v>
      </c>
      <c r="Y1594" t="s">
        <v>28548</v>
      </c>
      <c r="Z1594" t="s">
        <v>28549</v>
      </c>
      <c r="AA1594" t="s">
        <v>74</v>
      </c>
      <c r="AB1594" t="s">
        <v>74</v>
      </c>
      <c r="AC1594" t="s">
        <v>74</v>
      </c>
      <c r="AD1594" t="s">
        <v>74</v>
      </c>
      <c r="AE1594" t="s">
        <v>74</v>
      </c>
      <c r="AF1594" t="s">
        <v>74</v>
      </c>
      <c r="AG1594">
        <v>15</v>
      </c>
      <c r="AH1594">
        <v>0</v>
      </c>
      <c r="AI1594">
        <v>0</v>
      </c>
      <c r="AJ1594">
        <v>3</v>
      </c>
      <c r="AK1594">
        <v>3</v>
      </c>
      <c r="AL1594" t="s">
        <v>284</v>
      </c>
      <c r="AM1594" t="s">
        <v>93</v>
      </c>
      <c r="AN1594" t="s">
        <v>299</v>
      </c>
      <c r="AO1594" t="s">
        <v>4144</v>
      </c>
      <c r="AP1594" t="s">
        <v>74</v>
      </c>
      <c r="AQ1594" t="s">
        <v>4145</v>
      </c>
      <c r="AR1594" t="s">
        <v>4146</v>
      </c>
      <c r="AS1594" t="s">
        <v>74</v>
      </c>
      <c r="AT1594" t="s">
        <v>74</v>
      </c>
      <c r="AU1594">
        <v>2023</v>
      </c>
      <c r="AV1594" t="s">
        <v>74</v>
      </c>
      <c r="AW1594" t="s">
        <v>74</v>
      </c>
      <c r="AX1594" t="s">
        <v>74</v>
      </c>
      <c r="AY1594" t="s">
        <v>74</v>
      </c>
      <c r="AZ1594" t="s">
        <v>74</v>
      </c>
      <c r="BA1594" t="s">
        <v>74</v>
      </c>
      <c r="BB1594" t="s">
        <v>74</v>
      </c>
      <c r="BC1594" t="s">
        <v>74</v>
      </c>
      <c r="BD1594" t="s">
        <v>74</v>
      </c>
      <c r="BE1594" t="s">
        <v>74</v>
      </c>
      <c r="BF1594" t="s">
        <v>74</v>
      </c>
      <c r="BG1594" t="s">
        <v>74</v>
      </c>
      <c r="BH1594" t="s">
        <v>74</v>
      </c>
      <c r="BI1594">
        <v>5</v>
      </c>
      <c r="BJ1594" t="s">
        <v>1385</v>
      </c>
      <c r="BK1594" t="s">
        <v>98</v>
      </c>
      <c r="BL1594" t="s">
        <v>1386</v>
      </c>
      <c r="BM1594" t="s">
        <v>4147</v>
      </c>
      <c r="BN1594" t="s">
        <v>74</v>
      </c>
      <c r="BO1594" t="s">
        <v>74</v>
      </c>
      <c r="BP1594" t="s">
        <v>74</v>
      </c>
      <c r="BQ1594" t="s">
        <v>74</v>
      </c>
      <c r="BR1594" t="s">
        <v>101</v>
      </c>
      <c r="BS1594" t="s">
        <v>28550</v>
      </c>
      <c r="BT1594" t="str">
        <f>HYPERLINK("https%3A%2F%2Fwww.webofscience.com%2Fwos%2Fwoscc%2Ffull-record%2FWOS:001117985100011","View Full Record in Web of Science")</f>
        <v>View Full Record in Web of Science</v>
      </c>
    </row>
    <row r="1595" spans="1:72" x14ac:dyDescent="0.2">
      <c r="A1595" t="s">
        <v>72</v>
      </c>
      <c r="B1595" t="s">
        <v>28551</v>
      </c>
      <c r="C1595" t="s">
        <v>74</v>
      </c>
      <c r="D1595" t="s">
        <v>4124</v>
      </c>
      <c r="E1595" t="s">
        <v>74</v>
      </c>
      <c r="F1595" t="s">
        <v>28552</v>
      </c>
      <c r="G1595" t="s">
        <v>74</v>
      </c>
      <c r="H1595" t="s">
        <v>74</v>
      </c>
      <c r="I1595" t="s">
        <v>28553</v>
      </c>
      <c r="J1595" t="s">
        <v>4127</v>
      </c>
      <c r="K1595" t="s">
        <v>4128</v>
      </c>
      <c r="L1595" t="s">
        <v>74</v>
      </c>
      <c r="M1595" t="s">
        <v>79</v>
      </c>
      <c r="N1595" t="s">
        <v>80</v>
      </c>
      <c r="O1595" t="s">
        <v>4129</v>
      </c>
      <c r="P1595" t="s">
        <v>4130</v>
      </c>
      <c r="Q1595" t="s">
        <v>4131</v>
      </c>
      <c r="R1595" t="s">
        <v>4132</v>
      </c>
      <c r="S1595" t="s">
        <v>74</v>
      </c>
      <c r="T1595" t="s">
        <v>28554</v>
      </c>
      <c r="U1595" t="s">
        <v>74</v>
      </c>
      <c r="V1595" t="s">
        <v>28555</v>
      </c>
      <c r="W1595" t="s">
        <v>28556</v>
      </c>
      <c r="X1595" t="s">
        <v>28557</v>
      </c>
      <c r="Y1595" t="s">
        <v>28558</v>
      </c>
      <c r="Z1595" t="s">
        <v>74</v>
      </c>
      <c r="AA1595" t="s">
        <v>74</v>
      </c>
      <c r="AB1595" t="s">
        <v>74</v>
      </c>
      <c r="AC1595" t="s">
        <v>28559</v>
      </c>
      <c r="AD1595" t="s">
        <v>28560</v>
      </c>
      <c r="AE1595" t="s">
        <v>28561</v>
      </c>
      <c r="AF1595" t="s">
        <v>74</v>
      </c>
      <c r="AG1595">
        <v>24</v>
      </c>
      <c r="AH1595">
        <v>0</v>
      </c>
      <c r="AI1595">
        <v>0</v>
      </c>
      <c r="AJ1595">
        <v>0</v>
      </c>
      <c r="AK1595">
        <v>0</v>
      </c>
      <c r="AL1595" t="s">
        <v>284</v>
      </c>
      <c r="AM1595" t="s">
        <v>93</v>
      </c>
      <c r="AN1595" t="s">
        <v>299</v>
      </c>
      <c r="AO1595" t="s">
        <v>4144</v>
      </c>
      <c r="AP1595" t="s">
        <v>74</v>
      </c>
      <c r="AQ1595" t="s">
        <v>4145</v>
      </c>
      <c r="AR1595" t="s">
        <v>4146</v>
      </c>
      <c r="AS1595" t="s">
        <v>74</v>
      </c>
      <c r="AT1595" t="s">
        <v>74</v>
      </c>
      <c r="AU1595">
        <v>2023</v>
      </c>
      <c r="AV1595" t="s">
        <v>74</v>
      </c>
      <c r="AW1595" t="s">
        <v>74</v>
      </c>
      <c r="AX1595" t="s">
        <v>74</v>
      </c>
      <c r="AY1595" t="s">
        <v>74</v>
      </c>
      <c r="AZ1595" t="s">
        <v>74</v>
      </c>
      <c r="BA1595" t="s">
        <v>74</v>
      </c>
      <c r="BB1595" t="s">
        <v>74</v>
      </c>
      <c r="BC1595" t="s">
        <v>74</v>
      </c>
      <c r="BD1595" t="s">
        <v>74</v>
      </c>
      <c r="BE1595" t="s">
        <v>74</v>
      </c>
      <c r="BF1595" t="s">
        <v>74</v>
      </c>
      <c r="BG1595" t="s">
        <v>74</v>
      </c>
      <c r="BH1595" t="s">
        <v>74</v>
      </c>
      <c r="BI1595">
        <v>5</v>
      </c>
      <c r="BJ1595" t="s">
        <v>1385</v>
      </c>
      <c r="BK1595" t="s">
        <v>98</v>
      </c>
      <c r="BL1595" t="s">
        <v>1386</v>
      </c>
      <c r="BM1595" t="s">
        <v>4147</v>
      </c>
      <c r="BN1595" t="s">
        <v>74</v>
      </c>
      <c r="BO1595" t="s">
        <v>74</v>
      </c>
      <c r="BP1595" t="s">
        <v>74</v>
      </c>
      <c r="BQ1595" t="s">
        <v>74</v>
      </c>
      <c r="BR1595" t="s">
        <v>101</v>
      </c>
      <c r="BS1595" t="s">
        <v>28562</v>
      </c>
      <c r="BT1595" t="str">
        <f>HYPERLINK("https%3A%2F%2Fwww.webofscience.com%2Fwos%2Fwoscc%2Ffull-record%2FWOS:001117985100005","View Full Record in Web of Science")</f>
        <v>View Full Record in Web of Science</v>
      </c>
    </row>
    <row r="1596" spans="1:72" x14ac:dyDescent="0.2">
      <c r="A1596" t="s">
        <v>72</v>
      </c>
      <c r="B1596" t="s">
        <v>28563</v>
      </c>
      <c r="C1596" t="s">
        <v>74</v>
      </c>
      <c r="D1596" t="s">
        <v>4124</v>
      </c>
      <c r="E1596" t="s">
        <v>74</v>
      </c>
      <c r="F1596" t="s">
        <v>28564</v>
      </c>
      <c r="G1596" t="s">
        <v>74</v>
      </c>
      <c r="H1596" t="s">
        <v>74</v>
      </c>
      <c r="I1596" t="s">
        <v>28565</v>
      </c>
      <c r="J1596" t="s">
        <v>4127</v>
      </c>
      <c r="K1596" t="s">
        <v>4128</v>
      </c>
      <c r="L1596" t="s">
        <v>74</v>
      </c>
      <c r="M1596" t="s">
        <v>79</v>
      </c>
      <c r="N1596" t="s">
        <v>80</v>
      </c>
      <c r="O1596" t="s">
        <v>4129</v>
      </c>
      <c r="P1596" t="s">
        <v>4130</v>
      </c>
      <c r="Q1596" t="s">
        <v>4131</v>
      </c>
      <c r="R1596" t="s">
        <v>4132</v>
      </c>
      <c r="S1596" t="s">
        <v>74</v>
      </c>
      <c r="T1596" t="s">
        <v>28566</v>
      </c>
      <c r="U1596" t="s">
        <v>74</v>
      </c>
      <c r="V1596" t="s">
        <v>28567</v>
      </c>
      <c r="W1596" t="s">
        <v>28568</v>
      </c>
      <c r="X1596" t="s">
        <v>28569</v>
      </c>
      <c r="Y1596" t="s">
        <v>28570</v>
      </c>
      <c r="Z1596" t="s">
        <v>28571</v>
      </c>
      <c r="AA1596" t="s">
        <v>74</v>
      </c>
      <c r="AB1596" t="s">
        <v>74</v>
      </c>
      <c r="AC1596" t="s">
        <v>28572</v>
      </c>
      <c r="AD1596" t="s">
        <v>6006</v>
      </c>
      <c r="AE1596" t="s">
        <v>28573</v>
      </c>
      <c r="AF1596" t="s">
        <v>74</v>
      </c>
      <c r="AG1596">
        <v>13</v>
      </c>
      <c r="AH1596">
        <v>0</v>
      </c>
      <c r="AI1596">
        <v>0</v>
      </c>
      <c r="AJ1596">
        <v>0</v>
      </c>
      <c r="AK1596">
        <v>0</v>
      </c>
      <c r="AL1596" t="s">
        <v>284</v>
      </c>
      <c r="AM1596" t="s">
        <v>93</v>
      </c>
      <c r="AN1596" t="s">
        <v>299</v>
      </c>
      <c r="AO1596" t="s">
        <v>4144</v>
      </c>
      <c r="AP1596" t="s">
        <v>74</v>
      </c>
      <c r="AQ1596" t="s">
        <v>4145</v>
      </c>
      <c r="AR1596" t="s">
        <v>4146</v>
      </c>
      <c r="AS1596" t="s">
        <v>74</v>
      </c>
      <c r="AT1596" t="s">
        <v>74</v>
      </c>
      <c r="AU1596">
        <v>2023</v>
      </c>
      <c r="AV1596" t="s">
        <v>74</v>
      </c>
      <c r="AW1596" t="s">
        <v>74</v>
      </c>
      <c r="AX1596" t="s">
        <v>74</v>
      </c>
      <c r="AY1596" t="s">
        <v>74</v>
      </c>
      <c r="AZ1596" t="s">
        <v>74</v>
      </c>
      <c r="BA1596" t="s">
        <v>74</v>
      </c>
      <c r="BB1596" t="s">
        <v>74</v>
      </c>
      <c r="BC1596" t="s">
        <v>74</v>
      </c>
      <c r="BD1596" t="s">
        <v>74</v>
      </c>
      <c r="BE1596" t="s">
        <v>74</v>
      </c>
      <c r="BF1596" t="s">
        <v>74</v>
      </c>
      <c r="BG1596" t="s">
        <v>74</v>
      </c>
      <c r="BH1596" t="s">
        <v>74</v>
      </c>
      <c r="BI1596">
        <v>5</v>
      </c>
      <c r="BJ1596" t="s">
        <v>1385</v>
      </c>
      <c r="BK1596" t="s">
        <v>98</v>
      </c>
      <c r="BL1596" t="s">
        <v>1386</v>
      </c>
      <c r="BM1596" t="s">
        <v>4147</v>
      </c>
      <c r="BN1596" t="s">
        <v>74</v>
      </c>
      <c r="BO1596" t="s">
        <v>74</v>
      </c>
      <c r="BP1596" t="s">
        <v>74</v>
      </c>
      <c r="BQ1596" t="s">
        <v>74</v>
      </c>
      <c r="BR1596" t="s">
        <v>101</v>
      </c>
      <c r="BS1596" t="s">
        <v>28574</v>
      </c>
      <c r="BT1596" t="str">
        <f>HYPERLINK("https%3A%2F%2Fwww.webofscience.com%2Fwos%2Fwoscc%2Ffull-record%2FWOS:001117985100053","View Full Record in Web of Science")</f>
        <v>View Full Record in Web of Science</v>
      </c>
    </row>
    <row r="1597" spans="1:72" x14ac:dyDescent="0.2">
      <c r="A1597" t="s">
        <v>72</v>
      </c>
      <c r="B1597" t="s">
        <v>28575</v>
      </c>
      <c r="C1597" t="s">
        <v>74</v>
      </c>
      <c r="D1597" t="s">
        <v>4124</v>
      </c>
      <c r="E1597" t="s">
        <v>74</v>
      </c>
      <c r="F1597" t="s">
        <v>28576</v>
      </c>
      <c r="G1597" t="s">
        <v>74</v>
      </c>
      <c r="H1597" t="s">
        <v>74</v>
      </c>
      <c r="I1597" t="s">
        <v>28577</v>
      </c>
      <c r="J1597" t="s">
        <v>4127</v>
      </c>
      <c r="K1597" t="s">
        <v>4128</v>
      </c>
      <c r="L1597" t="s">
        <v>74</v>
      </c>
      <c r="M1597" t="s">
        <v>79</v>
      </c>
      <c r="N1597" t="s">
        <v>80</v>
      </c>
      <c r="O1597" t="s">
        <v>4129</v>
      </c>
      <c r="P1597" t="s">
        <v>4130</v>
      </c>
      <c r="Q1597" t="s">
        <v>4131</v>
      </c>
      <c r="R1597" t="s">
        <v>4132</v>
      </c>
      <c r="S1597" t="s">
        <v>74</v>
      </c>
      <c r="T1597" t="s">
        <v>28578</v>
      </c>
      <c r="U1597" t="s">
        <v>74</v>
      </c>
      <c r="V1597" t="s">
        <v>28579</v>
      </c>
      <c r="W1597" t="s">
        <v>28580</v>
      </c>
      <c r="X1597" t="s">
        <v>28581</v>
      </c>
      <c r="Y1597" t="s">
        <v>28582</v>
      </c>
      <c r="Z1597" t="s">
        <v>28583</v>
      </c>
      <c r="AA1597" t="s">
        <v>74</v>
      </c>
      <c r="AB1597" t="s">
        <v>74</v>
      </c>
      <c r="AC1597" t="s">
        <v>74</v>
      </c>
      <c r="AD1597" t="s">
        <v>74</v>
      </c>
      <c r="AE1597" t="s">
        <v>74</v>
      </c>
      <c r="AF1597" t="s">
        <v>74</v>
      </c>
      <c r="AG1597">
        <v>18</v>
      </c>
      <c r="AH1597">
        <v>0</v>
      </c>
      <c r="AI1597">
        <v>0</v>
      </c>
      <c r="AJ1597">
        <v>0</v>
      </c>
      <c r="AK1597">
        <v>0</v>
      </c>
      <c r="AL1597" t="s">
        <v>284</v>
      </c>
      <c r="AM1597" t="s">
        <v>93</v>
      </c>
      <c r="AN1597" t="s">
        <v>299</v>
      </c>
      <c r="AO1597" t="s">
        <v>4144</v>
      </c>
      <c r="AP1597" t="s">
        <v>74</v>
      </c>
      <c r="AQ1597" t="s">
        <v>4145</v>
      </c>
      <c r="AR1597" t="s">
        <v>4146</v>
      </c>
      <c r="AS1597" t="s">
        <v>74</v>
      </c>
      <c r="AT1597" t="s">
        <v>74</v>
      </c>
      <c r="AU1597">
        <v>2023</v>
      </c>
      <c r="AV1597" t="s">
        <v>74</v>
      </c>
      <c r="AW1597" t="s">
        <v>74</v>
      </c>
      <c r="AX1597" t="s">
        <v>74</v>
      </c>
      <c r="AY1597" t="s">
        <v>74</v>
      </c>
      <c r="AZ1597" t="s">
        <v>74</v>
      </c>
      <c r="BA1597" t="s">
        <v>74</v>
      </c>
      <c r="BB1597" t="s">
        <v>74</v>
      </c>
      <c r="BC1597" t="s">
        <v>74</v>
      </c>
      <c r="BD1597" t="s">
        <v>74</v>
      </c>
      <c r="BE1597" t="s">
        <v>74</v>
      </c>
      <c r="BF1597" t="s">
        <v>74</v>
      </c>
      <c r="BG1597" t="s">
        <v>74</v>
      </c>
      <c r="BH1597" t="s">
        <v>74</v>
      </c>
      <c r="BI1597">
        <v>7</v>
      </c>
      <c r="BJ1597" t="s">
        <v>1385</v>
      </c>
      <c r="BK1597" t="s">
        <v>98</v>
      </c>
      <c r="BL1597" t="s">
        <v>1386</v>
      </c>
      <c r="BM1597" t="s">
        <v>4147</v>
      </c>
      <c r="BN1597" t="s">
        <v>74</v>
      </c>
      <c r="BO1597" t="s">
        <v>74</v>
      </c>
      <c r="BP1597" t="s">
        <v>74</v>
      </c>
      <c r="BQ1597" t="s">
        <v>74</v>
      </c>
      <c r="BR1597" t="s">
        <v>101</v>
      </c>
      <c r="BS1597" t="s">
        <v>28584</v>
      </c>
      <c r="BT1597" t="str">
        <f>HYPERLINK("https%3A%2F%2Fwww.webofscience.com%2Fwos%2Fwoscc%2Ffull-record%2FWOS:001117985100014","View Full Record in Web of Science")</f>
        <v>View Full Record in Web of Science</v>
      </c>
    </row>
    <row r="1598" spans="1:72" x14ac:dyDescent="0.2">
      <c r="A1598" t="s">
        <v>72</v>
      </c>
      <c r="B1598" t="s">
        <v>28585</v>
      </c>
      <c r="C1598" t="s">
        <v>74</v>
      </c>
      <c r="D1598" t="s">
        <v>4124</v>
      </c>
      <c r="E1598" t="s">
        <v>74</v>
      </c>
      <c r="F1598" t="s">
        <v>28586</v>
      </c>
      <c r="G1598" t="s">
        <v>74</v>
      </c>
      <c r="H1598" t="s">
        <v>74</v>
      </c>
      <c r="I1598" t="s">
        <v>28587</v>
      </c>
      <c r="J1598" t="s">
        <v>4127</v>
      </c>
      <c r="K1598" t="s">
        <v>4128</v>
      </c>
      <c r="L1598" t="s">
        <v>74</v>
      </c>
      <c r="M1598" t="s">
        <v>79</v>
      </c>
      <c r="N1598" t="s">
        <v>80</v>
      </c>
      <c r="O1598" t="s">
        <v>4129</v>
      </c>
      <c r="P1598" t="s">
        <v>4130</v>
      </c>
      <c r="Q1598" t="s">
        <v>4131</v>
      </c>
      <c r="R1598" t="s">
        <v>4132</v>
      </c>
      <c r="S1598" t="s">
        <v>74</v>
      </c>
      <c r="T1598" t="s">
        <v>28588</v>
      </c>
      <c r="U1598" t="s">
        <v>74</v>
      </c>
      <c r="V1598" t="s">
        <v>28589</v>
      </c>
      <c r="W1598" t="s">
        <v>28590</v>
      </c>
      <c r="X1598" t="s">
        <v>74</v>
      </c>
      <c r="Y1598" t="s">
        <v>28591</v>
      </c>
      <c r="Z1598" t="s">
        <v>28592</v>
      </c>
      <c r="AA1598" t="s">
        <v>74</v>
      </c>
      <c r="AB1598" t="s">
        <v>74</v>
      </c>
      <c r="AC1598" t="s">
        <v>74</v>
      </c>
      <c r="AD1598" t="s">
        <v>74</v>
      </c>
      <c r="AE1598" t="s">
        <v>74</v>
      </c>
      <c r="AF1598" t="s">
        <v>74</v>
      </c>
      <c r="AG1598">
        <v>23</v>
      </c>
      <c r="AH1598">
        <v>0</v>
      </c>
      <c r="AI1598">
        <v>0</v>
      </c>
      <c r="AJ1598">
        <v>0</v>
      </c>
      <c r="AK1598">
        <v>0</v>
      </c>
      <c r="AL1598" t="s">
        <v>284</v>
      </c>
      <c r="AM1598" t="s">
        <v>93</v>
      </c>
      <c r="AN1598" t="s">
        <v>299</v>
      </c>
      <c r="AO1598" t="s">
        <v>4144</v>
      </c>
      <c r="AP1598" t="s">
        <v>74</v>
      </c>
      <c r="AQ1598" t="s">
        <v>4145</v>
      </c>
      <c r="AR1598" t="s">
        <v>4146</v>
      </c>
      <c r="AS1598" t="s">
        <v>74</v>
      </c>
      <c r="AT1598" t="s">
        <v>74</v>
      </c>
      <c r="AU1598">
        <v>2023</v>
      </c>
      <c r="AV1598" t="s">
        <v>74</v>
      </c>
      <c r="AW1598" t="s">
        <v>74</v>
      </c>
      <c r="AX1598" t="s">
        <v>74</v>
      </c>
      <c r="AY1598" t="s">
        <v>74</v>
      </c>
      <c r="AZ1598" t="s">
        <v>74</v>
      </c>
      <c r="BA1598" t="s">
        <v>74</v>
      </c>
      <c r="BB1598" t="s">
        <v>74</v>
      </c>
      <c r="BC1598" t="s">
        <v>74</v>
      </c>
      <c r="BD1598" t="s">
        <v>74</v>
      </c>
      <c r="BE1598" t="s">
        <v>74</v>
      </c>
      <c r="BF1598" t="s">
        <v>74</v>
      </c>
      <c r="BG1598" t="s">
        <v>74</v>
      </c>
      <c r="BH1598" t="s">
        <v>74</v>
      </c>
      <c r="BI1598">
        <v>7</v>
      </c>
      <c r="BJ1598" t="s">
        <v>1385</v>
      </c>
      <c r="BK1598" t="s">
        <v>98</v>
      </c>
      <c r="BL1598" t="s">
        <v>1386</v>
      </c>
      <c r="BM1598" t="s">
        <v>4147</v>
      </c>
      <c r="BN1598" t="s">
        <v>74</v>
      </c>
      <c r="BO1598" t="s">
        <v>74</v>
      </c>
      <c r="BP1598" t="s">
        <v>74</v>
      </c>
      <c r="BQ1598" t="s">
        <v>74</v>
      </c>
      <c r="BR1598" t="s">
        <v>101</v>
      </c>
      <c r="BS1598" t="s">
        <v>28593</v>
      </c>
      <c r="BT1598" t="str">
        <f>HYPERLINK("https%3A%2F%2Fwww.webofscience.com%2Fwos%2Fwoscc%2Ffull-record%2FWOS:001117985100012","View Full Record in Web of Science")</f>
        <v>View Full Record in Web of Science</v>
      </c>
    </row>
    <row r="1599" spans="1:72" x14ac:dyDescent="0.2">
      <c r="A1599" t="s">
        <v>72</v>
      </c>
      <c r="B1599" t="s">
        <v>28594</v>
      </c>
      <c r="C1599" t="s">
        <v>74</v>
      </c>
      <c r="D1599" t="s">
        <v>4124</v>
      </c>
      <c r="E1599" t="s">
        <v>74</v>
      </c>
      <c r="F1599" t="s">
        <v>28595</v>
      </c>
      <c r="G1599" t="s">
        <v>74</v>
      </c>
      <c r="H1599" t="s">
        <v>74</v>
      </c>
      <c r="I1599" t="s">
        <v>28596</v>
      </c>
      <c r="J1599" t="s">
        <v>4127</v>
      </c>
      <c r="K1599" t="s">
        <v>4128</v>
      </c>
      <c r="L1599" t="s">
        <v>74</v>
      </c>
      <c r="M1599" t="s">
        <v>79</v>
      </c>
      <c r="N1599" t="s">
        <v>80</v>
      </c>
      <c r="O1599" t="s">
        <v>4129</v>
      </c>
      <c r="P1599" t="s">
        <v>4130</v>
      </c>
      <c r="Q1599" t="s">
        <v>4131</v>
      </c>
      <c r="R1599" t="s">
        <v>4132</v>
      </c>
      <c r="S1599" t="s">
        <v>74</v>
      </c>
      <c r="T1599" t="s">
        <v>28597</v>
      </c>
      <c r="U1599" t="s">
        <v>74</v>
      </c>
      <c r="V1599" t="s">
        <v>28598</v>
      </c>
      <c r="W1599" t="s">
        <v>28599</v>
      </c>
      <c r="X1599" t="s">
        <v>28600</v>
      </c>
      <c r="Y1599" t="s">
        <v>28601</v>
      </c>
      <c r="Z1599" t="s">
        <v>28602</v>
      </c>
      <c r="AA1599" t="s">
        <v>74</v>
      </c>
      <c r="AB1599" t="s">
        <v>74</v>
      </c>
      <c r="AC1599" t="s">
        <v>74</v>
      </c>
      <c r="AD1599" t="s">
        <v>74</v>
      </c>
      <c r="AE1599" t="s">
        <v>74</v>
      </c>
      <c r="AF1599" t="s">
        <v>74</v>
      </c>
      <c r="AG1599">
        <v>29</v>
      </c>
      <c r="AH1599">
        <v>0</v>
      </c>
      <c r="AI1599">
        <v>0</v>
      </c>
      <c r="AJ1599">
        <v>0</v>
      </c>
      <c r="AK1599">
        <v>0</v>
      </c>
      <c r="AL1599" t="s">
        <v>284</v>
      </c>
      <c r="AM1599" t="s">
        <v>93</v>
      </c>
      <c r="AN1599" t="s">
        <v>299</v>
      </c>
      <c r="AO1599" t="s">
        <v>4144</v>
      </c>
      <c r="AP1599" t="s">
        <v>74</v>
      </c>
      <c r="AQ1599" t="s">
        <v>4145</v>
      </c>
      <c r="AR1599" t="s">
        <v>4146</v>
      </c>
      <c r="AS1599" t="s">
        <v>74</v>
      </c>
      <c r="AT1599" t="s">
        <v>74</v>
      </c>
      <c r="AU1599">
        <v>2023</v>
      </c>
      <c r="AV1599" t="s">
        <v>74</v>
      </c>
      <c r="AW1599" t="s">
        <v>74</v>
      </c>
      <c r="AX1599" t="s">
        <v>74</v>
      </c>
      <c r="AY1599" t="s">
        <v>74</v>
      </c>
      <c r="AZ1599" t="s">
        <v>74</v>
      </c>
      <c r="BA1599" t="s">
        <v>74</v>
      </c>
      <c r="BB1599" t="s">
        <v>74</v>
      </c>
      <c r="BC1599" t="s">
        <v>74</v>
      </c>
      <c r="BD1599" t="s">
        <v>74</v>
      </c>
      <c r="BE1599" t="s">
        <v>74</v>
      </c>
      <c r="BF1599" t="s">
        <v>74</v>
      </c>
      <c r="BG1599" t="s">
        <v>74</v>
      </c>
      <c r="BH1599" t="s">
        <v>74</v>
      </c>
      <c r="BI1599">
        <v>7</v>
      </c>
      <c r="BJ1599" t="s">
        <v>1385</v>
      </c>
      <c r="BK1599" t="s">
        <v>98</v>
      </c>
      <c r="BL1599" t="s">
        <v>1386</v>
      </c>
      <c r="BM1599" t="s">
        <v>4147</v>
      </c>
      <c r="BN1599" t="s">
        <v>74</v>
      </c>
      <c r="BO1599" t="s">
        <v>74</v>
      </c>
      <c r="BP1599" t="s">
        <v>74</v>
      </c>
      <c r="BQ1599" t="s">
        <v>74</v>
      </c>
      <c r="BR1599" t="s">
        <v>101</v>
      </c>
      <c r="BS1599" t="s">
        <v>28603</v>
      </c>
      <c r="BT1599" t="str">
        <f>HYPERLINK("https%3A%2F%2Fwww.webofscience.com%2Fwos%2Fwoscc%2Ffull-record%2FWOS:001117985100034","View Full Record in Web of Science")</f>
        <v>View Full Record in Web of Science</v>
      </c>
    </row>
    <row r="1600" spans="1:72" x14ac:dyDescent="0.2">
      <c r="A1600" t="s">
        <v>72</v>
      </c>
      <c r="B1600" t="s">
        <v>28604</v>
      </c>
      <c r="C1600" t="s">
        <v>74</v>
      </c>
      <c r="D1600" t="s">
        <v>4124</v>
      </c>
      <c r="E1600" t="s">
        <v>74</v>
      </c>
      <c r="F1600" t="s">
        <v>28605</v>
      </c>
      <c r="G1600" t="s">
        <v>74</v>
      </c>
      <c r="H1600" t="s">
        <v>74</v>
      </c>
      <c r="I1600" t="s">
        <v>28606</v>
      </c>
      <c r="J1600" t="s">
        <v>4127</v>
      </c>
      <c r="K1600" t="s">
        <v>4128</v>
      </c>
      <c r="L1600" t="s">
        <v>74</v>
      </c>
      <c r="M1600" t="s">
        <v>79</v>
      </c>
      <c r="N1600" t="s">
        <v>80</v>
      </c>
      <c r="O1600" t="s">
        <v>4129</v>
      </c>
      <c r="P1600" t="s">
        <v>4130</v>
      </c>
      <c r="Q1600" t="s">
        <v>4131</v>
      </c>
      <c r="R1600" t="s">
        <v>4132</v>
      </c>
      <c r="S1600" t="s">
        <v>74</v>
      </c>
      <c r="T1600" t="s">
        <v>28607</v>
      </c>
      <c r="U1600" t="s">
        <v>74</v>
      </c>
      <c r="V1600" t="s">
        <v>28608</v>
      </c>
      <c r="W1600" t="s">
        <v>28609</v>
      </c>
      <c r="X1600" t="s">
        <v>28610</v>
      </c>
      <c r="Y1600" t="s">
        <v>28611</v>
      </c>
      <c r="Z1600" t="s">
        <v>28612</v>
      </c>
      <c r="AA1600" t="s">
        <v>74</v>
      </c>
      <c r="AB1600" t="s">
        <v>74</v>
      </c>
      <c r="AC1600" t="s">
        <v>74</v>
      </c>
      <c r="AD1600" t="s">
        <v>74</v>
      </c>
      <c r="AE1600" t="s">
        <v>74</v>
      </c>
      <c r="AF1600" t="s">
        <v>74</v>
      </c>
      <c r="AG1600">
        <v>19</v>
      </c>
      <c r="AH1600">
        <v>0</v>
      </c>
      <c r="AI1600">
        <v>0</v>
      </c>
      <c r="AJ1600">
        <v>0</v>
      </c>
      <c r="AK1600">
        <v>0</v>
      </c>
      <c r="AL1600" t="s">
        <v>284</v>
      </c>
      <c r="AM1600" t="s">
        <v>93</v>
      </c>
      <c r="AN1600" t="s">
        <v>299</v>
      </c>
      <c r="AO1600" t="s">
        <v>4144</v>
      </c>
      <c r="AP1600" t="s">
        <v>74</v>
      </c>
      <c r="AQ1600" t="s">
        <v>4145</v>
      </c>
      <c r="AR1600" t="s">
        <v>4146</v>
      </c>
      <c r="AS1600" t="s">
        <v>74</v>
      </c>
      <c r="AT1600" t="s">
        <v>74</v>
      </c>
      <c r="AU1600">
        <v>2023</v>
      </c>
      <c r="AV1600" t="s">
        <v>74</v>
      </c>
      <c r="AW1600" t="s">
        <v>74</v>
      </c>
      <c r="AX1600" t="s">
        <v>74</v>
      </c>
      <c r="AY1600" t="s">
        <v>74</v>
      </c>
      <c r="AZ1600" t="s">
        <v>74</v>
      </c>
      <c r="BA1600" t="s">
        <v>74</v>
      </c>
      <c r="BB1600" t="s">
        <v>74</v>
      </c>
      <c r="BC1600" t="s">
        <v>74</v>
      </c>
      <c r="BD1600" t="s">
        <v>74</v>
      </c>
      <c r="BE1600" t="s">
        <v>74</v>
      </c>
      <c r="BF1600" t="s">
        <v>74</v>
      </c>
      <c r="BG1600" t="s">
        <v>74</v>
      </c>
      <c r="BH1600" t="s">
        <v>74</v>
      </c>
      <c r="BI1600">
        <v>7</v>
      </c>
      <c r="BJ1600" t="s">
        <v>1385</v>
      </c>
      <c r="BK1600" t="s">
        <v>98</v>
      </c>
      <c r="BL1600" t="s">
        <v>1386</v>
      </c>
      <c r="BM1600" t="s">
        <v>4147</v>
      </c>
      <c r="BN1600" t="s">
        <v>74</v>
      </c>
      <c r="BO1600" t="s">
        <v>74</v>
      </c>
      <c r="BP1600" t="s">
        <v>74</v>
      </c>
      <c r="BQ1600" t="s">
        <v>74</v>
      </c>
      <c r="BR1600" t="s">
        <v>101</v>
      </c>
      <c r="BS1600" t="s">
        <v>28613</v>
      </c>
      <c r="BT1600" t="str">
        <f>HYPERLINK("https%3A%2F%2Fwww.webofscience.com%2Fwos%2Fwoscc%2Ffull-record%2FWOS:001117985100064","View Full Record in Web of Science")</f>
        <v>View Full Record in Web of Science</v>
      </c>
    </row>
    <row r="1601" spans="1:72" x14ac:dyDescent="0.2">
      <c r="A1601" t="s">
        <v>72</v>
      </c>
      <c r="B1601" t="s">
        <v>28614</v>
      </c>
      <c r="C1601" t="s">
        <v>74</v>
      </c>
      <c r="D1601" t="s">
        <v>4124</v>
      </c>
      <c r="E1601" t="s">
        <v>74</v>
      </c>
      <c r="F1601" t="s">
        <v>28615</v>
      </c>
      <c r="G1601" t="s">
        <v>74</v>
      </c>
      <c r="H1601" t="s">
        <v>74</v>
      </c>
      <c r="I1601" t="s">
        <v>28616</v>
      </c>
      <c r="J1601" t="s">
        <v>4127</v>
      </c>
      <c r="K1601" t="s">
        <v>4128</v>
      </c>
      <c r="L1601" t="s">
        <v>74</v>
      </c>
      <c r="M1601" t="s">
        <v>79</v>
      </c>
      <c r="N1601" t="s">
        <v>80</v>
      </c>
      <c r="O1601" t="s">
        <v>4129</v>
      </c>
      <c r="P1601" t="s">
        <v>4130</v>
      </c>
      <c r="Q1601" t="s">
        <v>4131</v>
      </c>
      <c r="R1601" t="s">
        <v>4132</v>
      </c>
      <c r="S1601" t="s">
        <v>74</v>
      </c>
      <c r="T1601" t="s">
        <v>28617</v>
      </c>
      <c r="U1601" t="s">
        <v>74</v>
      </c>
      <c r="V1601" t="s">
        <v>28618</v>
      </c>
      <c r="W1601" t="s">
        <v>28619</v>
      </c>
      <c r="X1601" t="s">
        <v>20818</v>
      </c>
      <c r="Y1601" t="s">
        <v>28620</v>
      </c>
      <c r="Z1601" t="s">
        <v>28621</v>
      </c>
      <c r="AA1601" t="s">
        <v>74</v>
      </c>
      <c r="AB1601" t="s">
        <v>74</v>
      </c>
      <c r="AC1601" t="s">
        <v>28622</v>
      </c>
      <c r="AD1601" t="s">
        <v>28623</v>
      </c>
      <c r="AE1601" t="s">
        <v>28624</v>
      </c>
      <c r="AF1601" t="s">
        <v>74</v>
      </c>
      <c r="AG1601">
        <v>42</v>
      </c>
      <c r="AH1601">
        <v>0</v>
      </c>
      <c r="AI1601">
        <v>0</v>
      </c>
      <c r="AJ1601">
        <v>0</v>
      </c>
      <c r="AK1601">
        <v>0</v>
      </c>
      <c r="AL1601" t="s">
        <v>284</v>
      </c>
      <c r="AM1601" t="s">
        <v>93</v>
      </c>
      <c r="AN1601" t="s">
        <v>299</v>
      </c>
      <c r="AO1601" t="s">
        <v>4144</v>
      </c>
      <c r="AP1601" t="s">
        <v>74</v>
      </c>
      <c r="AQ1601" t="s">
        <v>4145</v>
      </c>
      <c r="AR1601" t="s">
        <v>4146</v>
      </c>
      <c r="AS1601" t="s">
        <v>74</v>
      </c>
      <c r="AT1601" t="s">
        <v>74</v>
      </c>
      <c r="AU1601">
        <v>2023</v>
      </c>
      <c r="AV1601" t="s">
        <v>74</v>
      </c>
      <c r="AW1601" t="s">
        <v>74</v>
      </c>
      <c r="AX1601" t="s">
        <v>74</v>
      </c>
      <c r="AY1601" t="s">
        <v>74</v>
      </c>
      <c r="AZ1601" t="s">
        <v>74</v>
      </c>
      <c r="BA1601" t="s">
        <v>74</v>
      </c>
      <c r="BB1601" t="s">
        <v>74</v>
      </c>
      <c r="BC1601" t="s">
        <v>74</v>
      </c>
      <c r="BD1601" t="s">
        <v>74</v>
      </c>
      <c r="BE1601" t="s">
        <v>74</v>
      </c>
      <c r="BF1601" t="s">
        <v>74</v>
      </c>
      <c r="BG1601" t="s">
        <v>74</v>
      </c>
      <c r="BH1601" t="s">
        <v>74</v>
      </c>
      <c r="BI1601">
        <v>9</v>
      </c>
      <c r="BJ1601" t="s">
        <v>1385</v>
      </c>
      <c r="BK1601" t="s">
        <v>98</v>
      </c>
      <c r="BL1601" t="s">
        <v>1386</v>
      </c>
      <c r="BM1601" t="s">
        <v>4147</v>
      </c>
      <c r="BN1601" t="s">
        <v>74</v>
      </c>
      <c r="BO1601" t="s">
        <v>74</v>
      </c>
      <c r="BP1601" t="s">
        <v>74</v>
      </c>
      <c r="BQ1601" t="s">
        <v>74</v>
      </c>
      <c r="BR1601" t="s">
        <v>101</v>
      </c>
      <c r="BS1601" t="s">
        <v>28625</v>
      </c>
      <c r="BT1601" t="str">
        <f>HYPERLINK("https%3A%2F%2Fwww.webofscience.com%2Fwos%2Fwoscc%2Ffull-record%2FWOS:001117985100003","View Full Record in Web of Science")</f>
        <v>View Full Record in Web of Science</v>
      </c>
    </row>
    <row r="1602" spans="1:72" x14ac:dyDescent="0.2">
      <c r="A1602" t="s">
        <v>72</v>
      </c>
      <c r="B1602" t="s">
        <v>28626</v>
      </c>
      <c r="C1602" t="s">
        <v>74</v>
      </c>
      <c r="D1602" t="s">
        <v>4124</v>
      </c>
      <c r="E1602" t="s">
        <v>74</v>
      </c>
      <c r="F1602" t="s">
        <v>28627</v>
      </c>
      <c r="G1602" t="s">
        <v>74</v>
      </c>
      <c r="H1602" t="s">
        <v>74</v>
      </c>
      <c r="I1602" t="s">
        <v>28628</v>
      </c>
      <c r="J1602" t="s">
        <v>4127</v>
      </c>
      <c r="K1602" t="s">
        <v>4128</v>
      </c>
      <c r="L1602" t="s">
        <v>74</v>
      </c>
      <c r="M1602" t="s">
        <v>79</v>
      </c>
      <c r="N1602" t="s">
        <v>80</v>
      </c>
      <c r="O1602" t="s">
        <v>4129</v>
      </c>
      <c r="P1602" t="s">
        <v>4130</v>
      </c>
      <c r="Q1602" t="s">
        <v>4131</v>
      </c>
      <c r="R1602" t="s">
        <v>4132</v>
      </c>
      <c r="S1602" t="s">
        <v>74</v>
      </c>
      <c r="T1602" t="s">
        <v>28629</v>
      </c>
      <c r="U1602" t="s">
        <v>74</v>
      </c>
      <c r="V1602" t="s">
        <v>28630</v>
      </c>
      <c r="W1602" t="s">
        <v>28631</v>
      </c>
      <c r="X1602" t="s">
        <v>28632</v>
      </c>
      <c r="Y1602" t="s">
        <v>28633</v>
      </c>
      <c r="Z1602" t="s">
        <v>28634</v>
      </c>
      <c r="AA1602" t="s">
        <v>28635</v>
      </c>
      <c r="AB1602" t="s">
        <v>28636</v>
      </c>
      <c r="AC1602" t="s">
        <v>74</v>
      </c>
      <c r="AD1602" t="s">
        <v>74</v>
      </c>
      <c r="AE1602" t="s">
        <v>74</v>
      </c>
      <c r="AF1602" t="s">
        <v>74</v>
      </c>
      <c r="AG1602">
        <v>34</v>
      </c>
      <c r="AH1602">
        <v>0</v>
      </c>
      <c r="AI1602">
        <v>0</v>
      </c>
      <c r="AJ1602">
        <v>0</v>
      </c>
      <c r="AK1602">
        <v>0</v>
      </c>
      <c r="AL1602" t="s">
        <v>284</v>
      </c>
      <c r="AM1602" t="s">
        <v>93</v>
      </c>
      <c r="AN1602" t="s">
        <v>299</v>
      </c>
      <c r="AO1602" t="s">
        <v>4144</v>
      </c>
      <c r="AP1602" t="s">
        <v>74</v>
      </c>
      <c r="AQ1602" t="s">
        <v>4145</v>
      </c>
      <c r="AR1602" t="s">
        <v>4146</v>
      </c>
      <c r="AS1602" t="s">
        <v>74</v>
      </c>
      <c r="AT1602" t="s">
        <v>74</v>
      </c>
      <c r="AU1602">
        <v>2023</v>
      </c>
      <c r="AV1602" t="s">
        <v>74</v>
      </c>
      <c r="AW1602" t="s">
        <v>74</v>
      </c>
      <c r="AX1602" t="s">
        <v>74</v>
      </c>
      <c r="AY1602" t="s">
        <v>74</v>
      </c>
      <c r="AZ1602" t="s">
        <v>74</v>
      </c>
      <c r="BA1602" t="s">
        <v>74</v>
      </c>
      <c r="BB1602" t="s">
        <v>74</v>
      </c>
      <c r="BC1602" t="s">
        <v>74</v>
      </c>
      <c r="BD1602" t="s">
        <v>74</v>
      </c>
      <c r="BE1602" t="s">
        <v>74</v>
      </c>
      <c r="BF1602" t="s">
        <v>74</v>
      </c>
      <c r="BG1602" t="s">
        <v>74</v>
      </c>
      <c r="BH1602" t="s">
        <v>74</v>
      </c>
      <c r="BI1602">
        <v>9</v>
      </c>
      <c r="BJ1602" t="s">
        <v>1385</v>
      </c>
      <c r="BK1602" t="s">
        <v>98</v>
      </c>
      <c r="BL1602" t="s">
        <v>1386</v>
      </c>
      <c r="BM1602" t="s">
        <v>4147</v>
      </c>
      <c r="BN1602" t="s">
        <v>74</v>
      </c>
      <c r="BO1602" t="s">
        <v>74</v>
      </c>
      <c r="BP1602" t="s">
        <v>74</v>
      </c>
      <c r="BQ1602" t="s">
        <v>74</v>
      </c>
      <c r="BR1602" t="s">
        <v>101</v>
      </c>
      <c r="BS1602" t="s">
        <v>28637</v>
      </c>
      <c r="BT1602" t="str">
        <f>HYPERLINK("https%3A%2F%2Fwww.webofscience.com%2Fwos%2Fwoscc%2Ffull-record%2FWOS:001117985100068","View Full Record in Web of Science")</f>
        <v>View Full Record in Web of Science</v>
      </c>
    </row>
    <row r="1603" spans="1:72" x14ac:dyDescent="0.2">
      <c r="A1603" t="s">
        <v>72</v>
      </c>
      <c r="B1603" t="s">
        <v>28638</v>
      </c>
      <c r="C1603" t="s">
        <v>74</v>
      </c>
      <c r="D1603" t="s">
        <v>4124</v>
      </c>
      <c r="E1603" t="s">
        <v>74</v>
      </c>
      <c r="F1603" t="s">
        <v>28639</v>
      </c>
      <c r="G1603" t="s">
        <v>74</v>
      </c>
      <c r="H1603" t="s">
        <v>74</v>
      </c>
      <c r="I1603" t="s">
        <v>28640</v>
      </c>
      <c r="J1603" t="s">
        <v>4127</v>
      </c>
      <c r="K1603" t="s">
        <v>4128</v>
      </c>
      <c r="L1603" t="s">
        <v>74</v>
      </c>
      <c r="M1603" t="s">
        <v>79</v>
      </c>
      <c r="N1603" t="s">
        <v>80</v>
      </c>
      <c r="O1603" t="s">
        <v>4129</v>
      </c>
      <c r="P1603" t="s">
        <v>4130</v>
      </c>
      <c r="Q1603" t="s">
        <v>4131</v>
      </c>
      <c r="R1603" t="s">
        <v>4132</v>
      </c>
      <c r="S1603" t="s">
        <v>74</v>
      </c>
      <c r="T1603" t="s">
        <v>28641</v>
      </c>
      <c r="U1603" t="s">
        <v>74</v>
      </c>
      <c r="V1603" t="s">
        <v>28642</v>
      </c>
      <c r="W1603" t="s">
        <v>28643</v>
      </c>
      <c r="X1603" t="s">
        <v>28644</v>
      </c>
      <c r="Y1603" t="s">
        <v>28645</v>
      </c>
      <c r="Z1603" t="s">
        <v>28646</v>
      </c>
      <c r="AA1603" t="s">
        <v>74</v>
      </c>
      <c r="AB1603" t="s">
        <v>74</v>
      </c>
      <c r="AC1603" t="s">
        <v>28647</v>
      </c>
      <c r="AD1603" t="s">
        <v>28648</v>
      </c>
      <c r="AE1603" t="s">
        <v>28649</v>
      </c>
      <c r="AF1603" t="s">
        <v>74</v>
      </c>
      <c r="AG1603">
        <v>24</v>
      </c>
      <c r="AH1603">
        <v>0</v>
      </c>
      <c r="AI1603">
        <v>0</v>
      </c>
      <c r="AJ1603">
        <v>0</v>
      </c>
      <c r="AK1603">
        <v>0</v>
      </c>
      <c r="AL1603" t="s">
        <v>284</v>
      </c>
      <c r="AM1603" t="s">
        <v>93</v>
      </c>
      <c r="AN1603" t="s">
        <v>299</v>
      </c>
      <c r="AO1603" t="s">
        <v>4144</v>
      </c>
      <c r="AP1603" t="s">
        <v>74</v>
      </c>
      <c r="AQ1603" t="s">
        <v>4145</v>
      </c>
      <c r="AR1603" t="s">
        <v>4146</v>
      </c>
      <c r="AS1603" t="s">
        <v>74</v>
      </c>
      <c r="AT1603" t="s">
        <v>74</v>
      </c>
      <c r="AU1603">
        <v>2023</v>
      </c>
      <c r="AV1603" t="s">
        <v>74</v>
      </c>
      <c r="AW1603" t="s">
        <v>74</v>
      </c>
      <c r="AX1603" t="s">
        <v>74</v>
      </c>
      <c r="AY1603" t="s">
        <v>74</v>
      </c>
      <c r="AZ1603" t="s">
        <v>74</v>
      </c>
      <c r="BA1603" t="s">
        <v>74</v>
      </c>
      <c r="BB1603" t="s">
        <v>74</v>
      </c>
      <c r="BC1603" t="s">
        <v>74</v>
      </c>
      <c r="BD1603" t="s">
        <v>74</v>
      </c>
      <c r="BE1603" t="s">
        <v>74</v>
      </c>
      <c r="BF1603" t="s">
        <v>74</v>
      </c>
      <c r="BG1603" t="s">
        <v>74</v>
      </c>
      <c r="BH1603" t="s">
        <v>74</v>
      </c>
      <c r="BI1603">
        <v>7</v>
      </c>
      <c r="BJ1603" t="s">
        <v>1385</v>
      </c>
      <c r="BK1603" t="s">
        <v>98</v>
      </c>
      <c r="BL1603" t="s">
        <v>1386</v>
      </c>
      <c r="BM1603" t="s">
        <v>4147</v>
      </c>
      <c r="BN1603" t="s">
        <v>74</v>
      </c>
      <c r="BO1603" t="s">
        <v>74</v>
      </c>
      <c r="BP1603" t="s">
        <v>74</v>
      </c>
      <c r="BQ1603" t="s">
        <v>74</v>
      </c>
      <c r="BR1603" t="s">
        <v>101</v>
      </c>
      <c r="BS1603" t="s">
        <v>28650</v>
      </c>
      <c r="BT1603" t="str">
        <f>HYPERLINK("https%3A%2F%2Fwww.webofscience.com%2Fwos%2Fwoscc%2Ffull-record%2FWOS:001117985100069","View Full Record in Web of Science")</f>
        <v>View Full Record in Web of Science</v>
      </c>
    </row>
    <row r="1604" spans="1:72" x14ac:dyDescent="0.2">
      <c r="A1604" t="s">
        <v>72</v>
      </c>
      <c r="B1604" t="s">
        <v>28651</v>
      </c>
      <c r="C1604" t="s">
        <v>74</v>
      </c>
      <c r="D1604" t="s">
        <v>4124</v>
      </c>
      <c r="E1604" t="s">
        <v>74</v>
      </c>
      <c r="F1604" t="s">
        <v>28652</v>
      </c>
      <c r="G1604" t="s">
        <v>74</v>
      </c>
      <c r="H1604" t="s">
        <v>74</v>
      </c>
      <c r="I1604" t="s">
        <v>28653</v>
      </c>
      <c r="J1604" t="s">
        <v>4127</v>
      </c>
      <c r="K1604" t="s">
        <v>4128</v>
      </c>
      <c r="L1604" t="s">
        <v>74</v>
      </c>
      <c r="M1604" t="s">
        <v>79</v>
      </c>
      <c r="N1604" t="s">
        <v>80</v>
      </c>
      <c r="O1604" t="s">
        <v>4129</v>
      </c>
      <c r="P1604" t="s">
        <v>4130</v>
      </c>
      <c r="Q1604" t="s">
        <v>4131</v>
      </c>
      <c r="R1604" t="s">
        <v>4132</v>
      </c>
      <c r="S1604" t="s">
        <v>74</v>
      </c>
      <c r="T1604" t="s">
        <v>28654</v>
      </c>
      <c r="U1604" t="s">
        <v>74</v>
      </c>
      <c r="V1604" t="s">
        <v>28655</v>
      </c>
      <c r="W1604" t="s">
        <v>28656</v>
      </c>
      <c r="X1604" t="s">
        <v>28657</v>
      </c>
      <c r="Y1604" t="s">
        <v>28658</v>
      </c>
      <c r="Z1604" t="s">
        <v>74</v>
      </c>
      <c r="AA1604" t="s">
        <v>74</v>
      </c>
      <c r="AB1604" t="s">
        <v>74</v>
      </c>
      <c r="AC1604" t="s">
        <v>74</v>
      </c>
      <c r="AD1604" t="s">
        <v>74</v>
      </c>
      <c r="AE1604" t="s">
        <v>74</v>
      </c>
      <c r="AF1604" t="s">
        <v>74</v>
      </c>
      <c r="AG1604">
        <v>21</v>
      </c>
      <c r="AH1604">
        <v>0</v>
      </c>
      <c r="AI1604">
        <v>0</v>
      </c>
      <c r="AJ1604">
        <v>0</v>
      </c>
      <c r="AK1604">
        <v>0</v>
      </c>
      <c r="AL1604" t="s">
        <v>284</v>
      </c>
      <c r="AM1604" t="s">
        <v>93</v>
      </c>
      <c r="AN1604" t="s">
        <v>299</v>
      </c>
      <c r="AO1604" t="s">
        <v>4144</v>
      </c>
      <c r="AP1604" t="s">
        <v>74</v>
      </c>
      <c r="AQ1604" t="s">
        <v>4145</v>
      </c>
      <c r="AR1604" t="s">
        <v>4146</v>
      </c>
      <c r="AS1604" t="s">
        <v>74</v>
      </c>
      <c r="AT1604" t="s">
        <v>74</v>
      </c>
      <c r="AU1604">
        <v>2023</v>
      </c>
      <c r="AV1604" t="s">
        <v>74</v>
      </c>
      <c r="AW1604" t="s">
        <v>74</v>
      </c>
      <c r="AX1604" t="s">
        <v>74</v>
      </c>
      <c r="AY1604" t="s">
        <v>74</v>
      </c>
      <c r="AZ1604" t="s">
        <v>74</v>
      </c>
      <c r="BA1604" t="s">
        <v>74</v>
      </c>
      <c r="BB1604" t="s">
        <v>74</v>
      </c>
      <c r="BC1604" t="s">
        <v>74</v>
      </c>
      <c r="BD1604" t="s">
        <v>74</v>
      </c>
      <c r="BE1604" t="s">
        <v>74</v>
      </c>
      <c r="BF1604" t="s">
        <v>74</v>
      </c>
      <c r="BG1604" t="s">
        <v>74</v>
      </c>
      <c r="BH1604" t="s">
        <v>74</v>
      </c>
      <c r="BI1604">
        <v>8</v>
      </c>
      <c r="BJ1604" t="s">
        <v>1385</v>
      </c>
      <c r="BK1604" t="s">
        <v>98</v>
      </c>
      <c r="BL1604" t="s">
        <v>1386</v>
      </c>
      <c r="BM1604" t="s">
        <v>4147</v>
      </c>
      <c r="BN1604" t="s">
        <v>74</v>
      </c>
      <c r="BO1604" t="s">
        <v>74</v>
      </c>
      <c r="BP1604" t="s">
        <v>74</v>
      </c>
      <c r="BQ1604" t="s">
        <v>74</v>
      </c>
      <c r="BR1604" t="s">
        <v>101</v>
      </c>
      <c r="BS1604" t="s">
        <v>28659</v>
      </c>
      <c r="BT1604" t="str">
        <f>HYPERLINK("https%3A%2F%2Fwww.webofscience.com%2Fwos%2Fwoscc%2Ffull-record%2FWOS:001117985100060","View Full Record in Web of Science")</f>
        <v>View Full Record in Web of Science</v>
      </c>
    </row>
    <row r="1605" spans="1:72" x14ac:dyDescent="0.2">
      <c r="A1605" t="s">
        <v>72</v>
      </c>
      <c r="B1605" t="s">
        <v>28660</v>
      </c>
      <c r="C1605" t="s">
        <v>74</v>
      </c>
      <c r="D1605" t="s">
        <v>4124</v>
      </c>
      <c r="E1605" t="s">
        <v>74</v>
      </c>
      <c r="F1605" t="s">
        <v>28661</v>
      </c>
      <c r="G1605" t="s">
        <v>74</v>
      </c>
      <c r="H1605" t="s">
        <v>74</v>
      </c>
      <c r="I1605" t="s">
        <v>28662</v>
      </c>
      <c r="J1605" t="s">
        <v>4127</v>
      </c>
      <c r="K1605" t="s">
        <v>4128</v>
      </c>
      <c r="L1605" t="s">
        <v>74</v>
      </c>
      <c r="M1605" t="s">
        <v>79</v>
      </c>
      <c r="N1605" t="s">
        <v>80</v>
      </c>
      <c r="O1605" t="s">
        <v>4129</v>
      </c>
      <c r="P1605" t="s">
        <v>4130</v>
      </c>
      <c r="Q1605" t="s">
        <v>4131</v>
      </c>
      <c r="R1605" t="s">
        <v>4132</v>
      </c>
      <c r="S1605" t="s">
        <v>74</v>
      </c>
      <c r="T1605" t="s">
        <v>28663</v>
      </c>
      <c r="U1605" t="s">
        <v>74</v>
      </c>
      <c r="V1605" t="s">
        <v>28664</v>
      </c>
      <c r="W1605" t="s">
        <v>28665</v>
      </c>
      <c r="X1605" t="s">
        <v>28666</v>
      </c>
      <c r="Y1605" t="s">
        <v>28667</v>
      </c>
      <c r="Z1605" t="s">
        <v>28668</v>
      </c>
      <c r="AA1605" t="s">
        <v>74</v>
      </c>
      <c r="AB1605" t="s">
        <v>74</v>
      </c>
      <c r="AC1605" t="s">
        <v>74</v>
      </c>
      <c r="AD1605" t="s">
        <v>74</v>
      </c>
      <c r="AE1605" t="s">
        <v>74</v>
      </c>
      <c r="AF1605" t="s">
        <v>74</v>
      </c>
      <c r="AG1605">
        <v>10</v>
      </c>
      <c r="AH1605">
        <v>0</v>
      </c>
      <c r="AI1605">
        <v>0</v>
      </c>
      <c r="AJ1605">
        <v>0</v>
      </c>
      <c r="AK1605">
        <v>0</v>
      </c>
      <c r="AL1605" t="s">
        <v>284</v>
      </c>
      <c r="AM1605" t="s">
        <v>93</v>
      </c>
      <c r="AN1605" t="s">
        <v>299</v>
      </c>
      <c r="AO1605" t="s">
        <v>4144</v>
      </c>
      <c r="AP1605" t="s">
        <v>74</v>
      </c>
      <c r="AQ1605" t="s">
        <v>4145</v>
      </c>
      <c r="AR1605" t="s">
        <v>4146</v>
      </c>
      <c r="AS1605" t="s">
        <v>74</v>
      </c>
      <c r="AT1605" t="s">
        <v>74</v>
      </c>
      <c r="AU1605">
        <v>2023</v>
      </c>
      <c r="AV1605" t="s">
        <v>74</v>
      </c>
      <c r="AW1605" t="s">
        <v>74</v>
      </c>
      <c r="AX1605" t="s">
        <v>74</v>
      </c>
      <c r="AY1605" t="s">
        <v>74</v>
      </c>
      <c r="AZ1605" t="s">
        <v>74</v>
      </c>
      <c r="BA1605" t="s">
        <v>74</v>
      </c>
      <c r="BB1605" t="s">
        <v>74</v>
      </c>
      <c r="BC1605" t="s">
        <v>74</v>
      </c>
      <c r="BD1605" t="s">
        <v>74</v>
      </c>
      <c r="BE1605" t="s">
        <v>74</v>
      </c>
      <c r="BF1605" t="s">
        <v>74</v>
      </c>
      <c r="BG1605" t="s">
        <v>74</v>
      </c>
      <c r="BH1605" t="s">
        <v>74</v>
      </c>
      <c r="BI1605">
        <v>5</v>
      </c>
      <c r="BJ1605" t="s">
        <v>1385</v>
      </c>
      <c r="BK1605" t="s">
        <v>98</v>
      </c>
      <c r="BL1605" t="s">
        <v>1386</v>
      </c>
      <c r="BM1605" t="s">
        <v>4147</v>
      </c>
      <c r="BN1605" t="s">
        <v>74</v>
      </c>
      <c r="BO1605" t="s">
        <v>74</v>
      </c>
      <c r="BP1605" t="s">
        <v>74</v>
      </c>
      <c r="BQ1605" t="s">
        <v>74</v>
      </c>
      <c r="BR1605" t="s">
        <v>101</v>
      </c>
      <c r="BS1605" t="s">
        <v>28669</v>
      </c>
      <c r="BT1605" t="str">
        <f>HYPERLINK("https%3A%2F%2Fwww.webofscience.com%2Fwos%2Fwoscc%2Ffull-record%2FWOS:001117985100047","View Full Record in Web of Science")</f>
        <v>View Full Record in Web of Science</v>
      </c>
    </row>
    <row r="1606" spans="1:72" x14ac:dyDescent="0.2">
      <c r="A1606" t="s">
        <v>72</v>
      </c>
      <c r="B1606" t="s">
        <v>28670</v>
      </c>
      <c r="C1606" t="s">
        <v>74</v>
      </c>
      <c r="D1606" t="s">
        <v>4124</v>
      </c>
      <c r="E1606" t="s">
        <v>74</v>
      </c>
      <c r="F1606" t="s">
        <v>28671</v>
      </c>
      <c r="G1606" t="s">
        <v>74</v>
      </c>
      <c r="H1606" t="s">
        <v>74</v>
      </c>
      <c r="I1606" t="s">
        <v>28672</v>
      </c>
      <c r="J1606" t="s">
        <v>4127</v>
      </c>
      <c r="K1606" t="s">
        <v>4128</v>
      </c>
      <c r="L1606" t="s">
        <v>74</v>
      </c>
      <c r="M1606" t="s">
        <v>79</v>
      </c>
      <c r="N1606" t="s">
        <v>80</v>
      </c>
      <c r="O1606" t="s">
        <v>4129</v>
      </c>
      <c r="P1606" t="s">
        <v>4130</v>
      </c>
      <c r="Q1606" t="s">
        <v>4131</v>
      </c>
      <c r="R1606" t="s">
        <v>4132</v>
      </c>
      <c r="S1606" t="s">
        <v>74</v>
      </c>
      <c r="T1606" t="s">
        <v>28673</v>
      </c>
      <c r="U1606" t="s">
        <v>74</v>
      </c>
      <c r="V1606" t="s">
        <v>28674</v>
      </c>
      <c r="W1606" t="s">
        <v>28675</v>
      </c>
      <c r="X1606" t="s">
        <v>28676</v>
      </c>
      <c r="Y1606" t="s">
        <v>28677</v>
      </c>
      <c r="Z1606" t="s">
        <v>28678</v>
      </c>
      <c r="AA1606" t="s">
        <v>74</v>
      </c>
      <c r="AB1606" t="s">
        <v>74</v>
      </c>
      <c r="AC1606" t="s">
        <v>74</v>
      </c>
      <c r="AD1606" t="s">
        <v>74</v>
      </c>
      <c r="AE1606" t="s">
        <v>74</v>
      </c>
      <c r="AF1606" t="s">
        <v>74</v>
      </c>
      <c r="AG1606">
        <v>37</v>
      </c>
      <c r="AH1606">
        <v>0</v>
      </c>
      <c r="AI1606">
        <v>0</v>
      </c>
      <c r="AJ1606">
        <v>0</v>
      </c>
      <c r="AK1606">
        <v>0</v>
      </c>
      <c r="AL1606" t="s">
        <v>284</v>
      </c>
      <c r="AM1606" t="s">
        <v>93</v>
      </c>
      <c r="AN1606" t="s">
        <v>299</v>
      </c>
      <c r="AO1606" t="s">
        <v>4144</v>
      </c>
      <c r="AP1606" t="s">
        <v>74</v>
      </c>
      <c r="AQ1606" t="s">
        <v>4145</v>
      </c>
      <c r="AR1606" t="s">
        <v>4146</v>
      </c>
      <c r="AS1606" t="s">
        <v>74</v>
      </c>
      <c r="AT1606" t="s">
        <v>74</v>
      </c>
      <c r="AU1606">
        <v>2023</v>
      </c>
      <c r="AV1606" t="s">
        <v>74</v>
      </c>
      <c r="AW1606" t="s">
        <v>74</v>
      </c>
      <c r="AX1606" t="s">
        <v>74</v>
      </c>
      <c r="AY1606" t="s">
        <v>74</v>
      </c>
      <c r="AZ1606" t="s">
        <v>74</v>
      </c>
      <c r="BA1606" t="s">
        <v>74</v>
      </c>
      <c r="BB1606" t="s">
        <v>74</v>
      </c>
      <c r="BC1606" t="s">
        <v>74</v>
      </c>
      <c r="BD1606" t="s">
        <v>74</v>
      </c>
      <c r="BE1606" t="s">
        <v>74</v>
      </c>
      <c r="BF1606" t="s">
        <v>74</v>
      </c>
      <c r="BG1606" t="s">
        <v>74</v>
      </c>
      <c r="BH1606" t="s">
        <v>74</v>
      </c>
      <c r="BI1606">
        <v>9</v>
      </c>
      <c r="BJ1606" t="s">
        <v>1385</v>
      </c>
      <c r="BK1606" t="s">
        <v>98</v>
      </c>
      <c r="BL1606" t="s">
        <v>1386</v>
      </c>
      <c r="BM1606" t="s">
        <v>4147</v>
      </c>
      <c r="BN1606" t="s">
        <v>74</v>
      </c>
      <c r="BO1606" t="s">
        <v>74</v>
      </c>
      <c r="BP1606" t="s">
        <v>74</v>
      </c>
      <c r="BQ1606" t="s">
        <v>74</v>
      </c>
      <c r="BR1606" t="s">
        <v>101</v>
      </c>
      <c r="BS1606" t="s">
        <v>28679</v>
      </c>
      <c r="BT1606" t="str">
        <f>HYPERLINK("https%3A%2F%2Fwww.webofscience.com%2Fwos%2Fwoscc%2Ffull-record%2FWOS:001117985100038","View Full Record in Web of Science")</f>
        <v>View Full Record in Web of Science</v>
      </c>
    </row>
    <row r="1607" spans="1:72" x14ac:dyDescent="0.2">
      <c r="A1607" t="s">
        <v>72</v>
      </c>
      <c r="B1607" t="s">
        <v>28680</v>
      </c>
      <c r="C1607" t="s">
        <v>74</v>
      </c>
      <c r="D1607" t="s">
        <v>4124</v>
      </c>
      <c r="E1607" t="s">
        <v>74</v>
      </c>
      <c r="F1607" t="s">
        <v>28681</v>
      </c>
      <c r="G1607" t="s">
        <v>74</v>
      </c>
      <c r="H1607" t="s">
        <v>74</v>
      </c>
      <c r="I1607" t="s">
        <v>28682</v>
      </c>
      <c r="J1607" t="s">
        <v>4127</v>
      </c>
      <c r="K1607" t="s">
        <v>4128</v>
      </c>
      <c r="L1607" t="s">
        <v>74</v>
      </c>
      <c r="M1607" t="s">
        <v>79</v>
      </c>
      <c r="N1607" t="s">
        <v>80</v>
      </c>
      <c r="O1607" t="s">
        <v>4129</v>
      </c>
      <c r="P1607" t="s">
        <v>4130</v>
      </c>
      <c r="Q1607" t="s">
        <v>4131</v>
      </c>
      <c r="R1607" t="s">
        <v>4132</v>
      </c>
      <c r="S1607" t="s">
        <v>74</v>
      </c>
      <c r="T1607" t="s">
        <v>28683</v>
      </c>
      <c r="U1607" t="s">
        <v>74</v>
      </c>
      <c r="V1607" t="s">
        <v>28684</v>
      </c>
      <c r="W1607" t="s">
        <v>28685</v>
      </c>
      <c r="X1607" t="s">
        <v>28686</v>
      </c>
      <c r="Y1607" t="s">
        <v>28687</v>
      </c>
      <c r="Z1607" t="s">
        <v>74</v>
      </c>
      <c r="AA1607" t="s">
        <v>74</v>
      </c>
      <c r="AB1607" t="s">
        <v>74</v>
      </c>
      <c r="AC1607" t="s">
        <v>28688</v>
      </c>
      <c r="AD1607" t="s">
        <v>28407</v>
      </c>
      <c r="AE1607" t="s">
        <v>28689</v>
      </c>
      <c r="AF1607" t="s">
        <v>74</v>
      </c>
      <c r="AG1607">
        <v>15</v>
      </c>
      <c r="AH1607">
        <v>0</v>
      </c>
      <c r="AI1607">
        <v>0</v>
      </c>
      <c r="AJ1607">
        <v>0</v>
      </c>
      <c r="AK1607">
        <v>0</v>
      </c>
      <c r="AL1607" t="s">
        <v>284</v>
      </c>
      <c r="AM1607" t="s">
        <v>93</v>
      </c>
      <c r="AN1607" t="s">
        <v>299</v>
      </c>
      <c r="AO1607" t="s">
        <v>4144</v>
      </c>
      <c r="AP1607" t="s">
        <v>74</v>
      </c>
      <c r="AQ1607" t="s">
        <v>4145</v>
      </c>
      <c r="AR1607" t="s">
        <v>4146</v>
      </c>
      <c r="AS1607" t="s">
        <v>74</v>
      </c>
      <c r="AT1607" t="s">
        <v>74</v>
      </c>
      <c r="AU1607">
        <v>2023</v>
      </c>
      <c r="AV1607" t="s">
        <v>74</v>
      </c>
      <c r="AW1607" t="s">
        <v>74</v>
      </c>
      <c r="AX1607" t="s">
        <v>74</v>
      </c>
      <c r="AY1607" t="s">
        <v>74</v>
      </c>
      <c r="AZ1607" t="s">
        <v>74</v>
      </c>
      <c r="BA1607" t="s">
        <v>74</v>
      </c>
      <c r="BB1607" t="s">
        <v>74</v>
      </c>
      <c r="BC1607" t="s">
        <v>74</v>
      </c>
      <c r="BD1607" t="s">
        <v>74</v>
      </c>
      <c r="BE1607" t="s">
        <v>74</v>
      </c>
      <c r="BF1607" t="s">
        <v>74</v>
      </c>
      <c r="BG1607" t="s">
        <v>74</v>
      </c>
      <c r="BH1607" t="s">
        <v>74</v>
      </c>
      <c r="BI1607">
        <v>3</v>
      </c>
      <c r="BJ1607" t="s">
        <v>1385</v>
      </c>
      <c r="BK1607" t="s">
        <v>98</v>
      </c>
      <c r="BL1607" t="s">
        <v>1386</v>
      </c>
      <c r="BM1607" t="s">
        <v>4147</v>
      </c>
      <c r="BN1607" t="s">
        <v>74</v>
      </c>
      <c r="BO1607" t="s">
        <v>74</v>
      </c>
      <c r="BP1607" t="s">
        <v>74</v>
      </c>
      <c r="BQ1607" t="s">
        <v>74</v>
      </c>
      <c r="BR1607" t="s">
        <v>101</v>
      </c>
      <c r="BS1607" t="s">
        <v>28690</v>
      </c>
      <c r="BT1607" t="str">
        <f>HYPERLINK("https%3A%2F%2Fwww.webofscience.com%2Fwos%2Fwoscc%2Ffull-record%2FWOS:001117985100035","View Full Record in Web of Science")</f>
        <v>View Full Record in Web of Science</v>
      </c>
    </row>
    <row r="1608" spans="1:72" x14ac:dyDescent="0.2">
      <c r="A1608" t="s">
        <v>72</v>
      </c>
      <c r="B1608" t="s">
        <v>28691</v>
      </c>
      <c r="C1608" t="s">
        <v>74</v>
      </c>
      <c r="D1608" t="s">
        <v>4124</v>
      </c>
      <c r="E1608" t="s">
        <v>74</v>
      </c>
      <c r="F1608" t="s">
        <v>28692</v>
      </c>
      <c r="G1608" t="s">
        <v>74</v>
      </c>
      <c r="H1608" t="s">
        <v>74</v>
      </c>
      <c r="I1608" t="s">
        <v>28693</v>
      </c>
      <c r="J1608" t="s">
        <v>4127</v>
      </c>
      <c r="K1608" t="s">
        <v>4128</v>
      </c>
      <c r="L1608" t="s">
        <v>74</v>
      </c>
      <c r="M1608" t="s">
        <v>79</v>
      </c>
      <c r="N1608" t="s">
        <v>80</v>
      </c>
      <c r="O1608" t="s">
        <v>4129</v>
      </c>
      <c r="P1608" t="s">
        <v>4130</v>
      </c>
      <c r="Q1608" t="s">
        <v>4131</v>
      </c>
      <c r="R1608" t="s">
        <v>4132</v>
      </c>
      <c r="S1608" t="s">
        <v>74</v>
      </c>
      <c r="T1608" t="s">
        <v>28694</v>
      </c>
      <c r="U1608" t="s">
        <v>74</v>
      </c>
      <c r="V1608" t="s">
        <v>28695</v>
      </c>
      <c r="W1608" t="s">
        <v>28696</v>
      </c>
      <c r="X1608" t="s">
        <v>28697</v>
      </c>
      <c r="Y1608" t="s">
        <v>28698</v>
      </c>
      <c r="Z1608" t="s">
        <v>28699</v>
      </c>
      <c r="AA1608" t="s">
        <v>28700</v>
      </c>
      <c r="AB1608" t="s">
        <v>28701</v>
      </c>
      <c r="AC1608" t="s">
        <v>74</v>
      </c>
      <c r="AD1608" t="s">
        <v>74</v>
      </c>
      <c r="AE1608" t="s">
        <v>74</v>
      </c>
      <c r="AF1608" t="s">
        <v>74</v>
      </c>
      <c r="AG1608">
        <v>23</v>
      </c>
      <c r="AH1608">
        <v>0</v>
      </c>
      <c r="AI1608">
        <v>0</v>
      </c>
      <c r="AJ1608">
        <v>1</v>
      </c>
      <c r="AK1608">
        <v>1</v>
      </c>
      <c r="AL1608" t="s">
        <v>284</v>
      </c>
      <c r="AM1608" t="s">
        <v>93</v>
      </c>
      <c r="AN1608" t="s">
        <v>299</v>
      </c>
      <c r="AO1608" t="s">
        <v>4144</v>
      </c>
      <c r="AP1608" t="s">
        <v>74</v>
      </c>
      <c r="AQ1608" t="s">
        <v>4145</v>
      </c>
      <c r="AR1608" t="s">
        <v>4146</v>
      </c>
      <c r="AS1608" t="s">
        <v>74</v>
      </c>
      <c r="AT1608" t="s">
        <v>74</v>
      </c>
      <c r="AU1608">
        <v>2023</v>
      </c>
      <c r="AV1608" t="s">
        <v>74</v>
      </c>
      <c r="AW1608" t="s">
        <v>74</v>
      </c>
      <c r="AX1608" t="s">
        <v>74</v>
      </c>
      <c r="AY1608" t="s">
        <v>74</v>
      </c>
      <c r="AZ1608" t="s">
        <v>74</v>
      </c>
      <c r="BA1608" t="s">
        <v>74</v>
      </c>
      <c r="BB1608" t="s">
        <v>74</v>
      </c>
      <c r="BC1608" t="s">
        <v>74</v>
      </c>
      <c r="BD1608" t="s">
        <v>74</v>
      </c>
      <c r="BE1608" t="s">
        <v>74</v>
      </c>
      <c r="BF1608" t="s">
        <v>74</v>
      </c>
      <c r="BG1608" t="s">
        <v>74</v>
      </c>
      <c r="BH1608" t="s">
        <v>74</v>
      </c>
      <c r="BI1608">
        <v>7</v>
      </c>
      <c r="BJ1608" t="s">
        <v>1385</v>
      </c>
      <c r="BK1608" t="s">
        <v>98</v>
      </c>
      <c r="BL1608" t="s">
        <v>1386</v>
      </c>
      <c r="BM1608" t="s">
        <v>4147</v>
      </c>
      <c r="BN1608" t="s">
        <v>74</v>
      </c>
      <c r="BO1608" t="s">
        <v>74</v>
      </c>
      <c r="BP1608" t="s">
        <v>74</v>
      </c>
      <c r="BQ1608" t="s">
        <v>74</v>
      </c>
      <c r="BR1608" t="s">
        <v>101</v>
      </c>
      <c r="BS1608" t="s">
        <v>28702</v>
      </c>
      <c r="BT1608" t="str">
        <f>HYPERLINK("https%3A%2F%2Fwww.webofscience.com%2Fwos%2Fwoscc%2Ffull-record%2FWOS:001117985100030","View Full Record in Web of Science")</f>
        <v>View Full Record in Web of Science</v>
      </c>
    </row>
    <row r="1609" spans="1:72" x14ac:dyDescent="0.2">
      <c r="A1609" t="s">
        <v>72</v>
      </c>
      <c r="B1609" t="s">
        <v>28703</v>
      </c>
      <c r="C1609" t="s">
        <v>74</v>
      </c>
      <c r="D1609" t="s">
        <v>4124</v>
      </c>
      <c r="E1609" t="s">
        <v>74</v>
      </c>
      <c r="F1609" t="s">
        <v>28704</v>
      </c>
      <c r="G1609" t="s">
        <v>74</v>
      </c>
      <c r="H1609" t="s">
        <v>74</v>
      </c>
      <c r="I1609" t="s">
        <v>28705</v>
      </c>
      <c r="J1609" t="s">
        <v>4127</v>
      </c>
      <c r="K1609" t="s">
        <v>4128</v>
      </c>
      <c r="L1609" t="s">
        <v>74</v>
      </c>
      <c r="M1609" t="s">
        <v>79</v>
      </c>
      <c r="N1609" t="s">
        <v>80</v>
      </c>
      <c r="O1609" t="s">
        <v>4129</v>
      </c>
      <c r="P1609" t="s">
        <v>4130</v>
      </c>
      <c r="Q1609" t="s">
        <v>4131</v>
      </c>
      <c r="R1609" t="s">
        <v>4132</v>
      </c>
      <c r="S1609" t="s">
        <v>74</v>
      </c>
      <c r="T1609" t="s">
        <v>28706</v>
      </c>
      <c r="U1609" t="s">
        <v>74</v>
      </c>
      <c r="V1609" t="s">
        <v>28707</v>
      </c>
      <c r="W1609" t="s">
        <v>28708</v>
      </c>
      <c r="X1609" t="s">
        <v>28709</v>
      </c>
      <c r="Y1609" t="s">
        <v>28710</v>
      </c>
      <c r="Z1609" t="s">
        <v>28711</v>
      </c>
      <c r="AA1609" t="s">
        <v>74</v>
      </c>
      <c r="AB1609" t="s">
        <v>74</v>
      </c>
      <c r="AC1609" t="s">
        <v>28712</v>
      </c>
      <c r="AD1609" t="s">
        <v>28713</v>
      </c>
      <c r="AE1609" t="s">
        <v>28714</v>
      </c>
      <c r="AF1609" t="s">
        <v>74</v>
      </c>
      <c r="AG1609">
        <v>21</v>
      </c>
      <c r="AH1609">
        <v>0</v>
      </c>
      <c r="AI1609">
        <v>0</v>
      </c>
      <c r="AJ1609">
        <v>0</v>
      </c>
      <c r="AK1609">
        <v>0</v>
      </c>
      <c r="AL1609" t="s">
        <v>284</v>
      </c>
      <c r="AM1609" t="s">
        <v>93</v>
      </c>
      <c r="AN1609" t="s">
        <v>299</v>
      </c>
      <c r="AO1609" t="s">
        <v>4144</v>
      </c>
      <c r="AP1609" t="s">
        <v>74</v>
      </c>
      <c r="AQ1609" t="s">
        <v>4145</v>
      </c>
      <c r="AR1609" t="s">
        <v>4146</v>
      </c>
      <c r="AS1609" t="s">
        <v>74</v>
      </c>
      <c r="AT1609" t="s">
        <v>74</v>
      </c>
      <c r="AU1609">
        <v>2023</v>
      </c>
      <c r="AV1609" t="s">
        <v>74</v>
      </c>
      <c r="AW1609" t="s">
        <v>74</v>
      </c>
      <c r="AX1609" t="s">
        <v>74</v>
      </c>
      <c r="AY1609" t="s">
        <v>74</v>
      </c>
      <c r="AZ1609" t="s">
        <v>74</v>
      </c>
      <c r="BA1609" t="s">
        <v>74</v>
      </c>
      <c r="BB1609" t="s">
        <v>74</v>
      </c>
      <c r="BC1609" t="s">
        <v>74</v>
      </c>
      <c r="BD1609" t="s">
        <v>74</v>
      </c>
      <c r="BE1609" t="s">
        <v>74</v>
      </c>
      <c r="BF1609" t="s">
        <v>74</v>
      </c>
      <c r="BG1609" t="s">
        <v>74</v>
      </c>
      <c r="BH1609" t="s">
        <v>74</v>
      </c>
      <c r="BI1609">
        <v>5</v>
      </c>
      <c r="BJ1609" t="s">
        <v>1385</v>
      </c>
      <c r="BK1609" t="s">
        <v>98</v>
      </c>
      <c r="BL1609" t="s">
        <v>1386</v>
      </c>
      <c r="BM1609" t="s">
        <v>4147</v>
      </c>
      <c r="BN1609" t="s">
        <v>74</v>
      </c>
      <c r="BO1609" t="s">
        <v>74</v>
      </c>
      <c r="BP1609" t="s">
        <v>74</v>
      </c>
      <c r="BQ1609" t="s">
        <v>74</v>
      </c>
      <c r="BR1609" t="s">
        <v>101</v>
      </c>
      <c r="BS1609" t="s">
        <v>28715</v>
      </c>
      <c r="BT1609" t="str">
        <f>HYPERLINK("https%3A%2F%2Fwww.webofscience.com%2Fwos%2Fwoscc%2Ffull-record%2FWOS:001117985100074","View Full Record in Web of Science")</f>
        <v>View Full Record in Web of Science</v>
      </c>
    </row>
    <row r="1610" spans="1:72" x14ac:dyDescent="0.2">
      <c r="A1610" t="s">
        <v>72</v>
      </c>
      <c r="B1610" t="s">
        <v>28716</v>
      </c>
      <c r="C1610" t="s">
        <v>74</v>
      </c>
      <c r="D1610" t="s">
        <v>4124</v>
      </c>
      <c r="E1610" t="s">
        <v>74</v>
      </c>
      <c r="F1610" t="s">
        <v>28717</v>
      </c>
      <c r="G1610" t="s">
        <v>74</v>
      </c>
      <c r="H1610" t="s">
        <v>74</v>
      </c>
      <c r="I1610" t="s">
        <v>28718</v>
      </c>
      <c r="J1610" t="s">
        <v>4127</v>
      </c>
      <c r="K1610" t="s">
        <v>4128</v>
      </c>
      <c r="L1610" t="s">
        <v>74</v>
      </c>
      <c r="M1610" t="s">
        <v>79</v>
      </c>
      <c r="N1610" t="s">
        <v>80</v>
      </c>
      <c r="O1610" t="s">
        <v>4129</v>
      </c>
      <c r="P1610" t="s">
        <v>4130</v>
      </c>
      <c r="Q1610" t="s">
        <v>4131</v>
      </c>
      <c r="R1610" t="s">
        <v>4132</v>
      </c>
      <c r="S1610" t="s">
        <v>74</v>
      </c>
      <c r="T1610" t="s">
        <v>28719</v>
      </c>
      <c r="U1610" t="s">
        <v>74</v>
      </c>
      <c r="V1610" t="s">
        <v>28720</v>
      </c>
      <c r="W1610" t="s">
        <v>28721</v>
      </c>
      <c r="X1610" t="s">
        <v>28722</v>
      </c>
      <c r="Y1610" t="s">
        <v>28723</v>
      </c>
      <c r="Z1610" t="s">
        <v>28724</v>
      </c>
      <c r="AA1610" t="s">
        <v>74</v>
      </c>
      <c r="AB1610" t="s">
        <v>74</v>
      </c>
      <c r="AC1610" t="s">
        <v>28725</v>
      </c>
      <c r="AD1610" t="s">
        <v>28725</v>
      </c>
      <c r="AE1610" t="s">
        <v>28726</v>
      </c>
      <c r="AF1610" t="s">
        <v>74</v>
      </c>
      <c r="AG1610">
        <v>14</v>
      </c>
      <c r="AH1610">
        <v>0</v>
      </c>
      <c r="AI1610">
        <v>0</v>
      </c>
      <c r="AJ1610">
        <v>0</v>
      </c>
      <c r="AK1610">
        <v>0</v>
      </c>
      <c r="AL1610" t="s">
        <v>284</v>
      </c>
      <c r="AM1610" t="s">
        <v>93</v>
      </c>
      <c r="AN1610" t="s">
        <v>299</v>
      </c>
      <c r="AO1610" t="s">
        <v>4144</v>
      </c>
      <c r="AP1610" t="s">
        <v>74</v>
      </c>
      <c r="AQ1610" t="s">
        <v>4145</v>
      </c>
      <c r="AR1610" t="s">
        <v>4146</v>
      </c>
      <c r="AS1610" t="s">
        <v>74</v>
      </c>
      <c r="AT1610" t="s">
        <v>74</v>
      </c>
      <c r="AU1610">
        <v>2023</v>
      </c>
      <c r="AV1610" t="s">
        <v>74</v>
      </c>
      <c r="AW1610" t="s">
        <v>74</v>
      </c>
      <c r="AX1610" t="s">
        <v>74</v>
      </c>
      <c r="AY1610" t="s">
        <v>74</v>
      </c>
      <c r="AZ1610" t="s">
        <v>74</v>
      </c>
      <c r="BA1610" t="s">
        <v>74</v>
      </c>
      <c r="BB1610" t="s">
        <v>74</v>
      </c>
      <c r="BC1610" t="s">
        <v>74</v>
      </c>
      <c r="BD1610" t="s">
        <v>74</v>
      </c>
      <c r="BE1610" t="s">
        <v>74</v>
      </c>
      <c r="BF1610" t="s">
        <v>74</v>
      </c>
      <c r="BG1610" t="s">
        <v>74</v>
      </c>
      <c r="BH1610" t="s">
        <v>74</v>
      </c>
      <c r="BI1610">
        <v>5</v>
      </c>
      <c r="BJ1610" t="s">
        <v>1385</v>
      </c>
      <c r="BK1610" t="s">
        <v>98</v>
      </c>
      <c r="BL1610" t="s">
        <v>1386</v>
      </c>
      <c r="BM1610" t="s">
        <v>4147</v>
      </c>
      <c r="BN1610" t="s">
        <v>74</v>
      </c>
      <c r="BO1610" t="s">
        <v>74</v>
      </c>
      <c r="BP1610" t="s">
        <v>74</v>
      </c>
      <c r="BQ1610" t="s">
        <v>74</v>
      </c>
      <c r="BR1610" t="s">
        <v>101</v>
      </c>
      <c r="BS1610" t="s">
        <v>28727</v>
      </c>
      <c r="BT1610" t="str">
        <f>HYPERLINK("https%3A%2F%2Fwww.webofscience.com%2Fwos%2Fwoscc%2Ffull-record%2FWOS:001117985100075","View Full Record in Web of Science")</f>
        <v>View Full Record in Web of Science</v>
      </c>
    </row>
    <row r="1611" spans="1:72" x14ac:dyDescent="0.2">
      <c r="A1611" t="s">
        <v>72</v>
      </c>
      <c r="B1611" t="s">
        <v>28728</v>
      </c>
      <c r="C1611" t="s">
        <v>74</v>
      </c>
      <c r="D1611" t="s">
        <v>4124</v>
      </c>
      <c r="E1611" t="s">
        <v>74</v>
      </c>
      <c r="F1611" t="s">
        <v>28729</v>
      </c>
      <c r="G1611" t="s">
        <v>74</v>
      </c>
      <c r="H1611" t="s">
        <v>74</v>
      </c>
      <c r="I1611" t="s">
        <v>28730</v>
      </c>
      <c r="J1611" t="s">
        <v>4127</v>
      </c>
      <c r="K1611" t="s">
        <v>4128</v>
      </c>
      <c r="L1611" t="s">
        <v>74</v>
      </c>
      <c r="M1611" t="s">
        <v>79</v>
      </c>
      <c r="N1611" t="s">
        <v>80</v>
      </c>
      <c r="O1611" t="s">
        <v>4129</v>
      </c>
      <c r="P1611" t="s">
        <v>4130</v>
      </c>
      <c r="Q1611" t="s">
        <v>4131</v>
      </c>
      <c r="R1611" t="s">
        <v>4132</v>
      </c>
      <c r="S1611" t="s">
        <v>74</v>
      </c>
      <c r="T1611" t="s">
        <v>28731</v>
      </c>
      <c r="U1611" t="s">
        <v>74</v>
      </c>
      <c r="V1611" t="s">
        <v>28732</v>
      </c>
      <c r="W1611" t="s">
        <v>28733</v>
      </c>
      <c r="X1611" t="s">
        <v>28734</v>
      </c>
      <c r="Y1611" t="s">
        <v>28735</v>
      </c>
      <c r="Z1611" t="s">
        <v>28736</v>
      </c>
      <c r="AA1611" t="s">
        <v>28448</v>
      </c>
      <c r="AB1611" t="s">
        <v>28449</v>
      </c>
      <c r="AC1611" t="s">
        <v>28737</v>
      </c>
      <c r="AD1611" t="s">
        <v>28738</v>
      </c>
      <c r="AE1611" t="s">
        <v>28739</v>
      </c>
      <c r="AF1611" t="s">
        <v>74</v>
      </c>
      <c r="AG1611">
        <v>21</v>
      </c>
      <c r="AH1611">
        <v>0</v>
      </c>
      <c r="AI1611">
        <v>0</v>
      </c>
      <c r="AJ1611">
        <v>0</v>
      </c>
      <c r="AK1611">
        <v>0</v>
      </c>
      <c r="AL1611" t="s">
        <v>284</v>
      </c>
      <c r="AM1611" t="s">
        <v>93</v>
      </c>
      <c r="AN1611" t="s">
        <v>299</v>
      </c>
      <c r="AO1611" t="s">
        <v>4144</v>
      </c>
      <c r="AP1611" t="s">
        <v>74</v>
      </c>
      <c r="AQ1611" t="s">
        <v>4145</v>
      </c>
      <c r="AR1611" t="s">
        <v>4146</v>
      </c>
      <c r="AS1611" t="s">
        <v>74</v>
      </c>
      <c r="AT1611" t="s">
        <v>74</v>
      </c>
      <c r="AU1611">
        <v>2023</v>
      </c>
      <c r="AV1611" t="s">
        <v>74</v>
      </c>
      <c r="AW1611" t="s">
        <v>74</v>
      </c>
      <c r="AX1611" t="s">
        <v>74</v>
      </c>
      <c r="AY1611" t="s">
        <v>74</v>
      </c>
      <c r="AZ1611" t="s">
        <v>74</v>
      </c>
      <c r="BA1611" t="s">
        <v>74</v>
      </c>
      <c r="BB1611" t="s">
        <v>74</v>
      </c>
      <c r="BC1611" t="s">
        <v>74</v>
      </c>
      <c r="BD1611" t="s">
        <v>74</v>
      </c>
      <c r="BE1611" t="s">
        <v>74</v>
      </c>
      <c r="BF1611" t="s">
        <v>74</v>
      </c>
      <c r="BG1611" t="s">
        <v>74</v>
      </c>
      <c r="BH1611" t="s">
        <v>74</v>
      </c>
      <c r="BI1611">
        <v>7</v>
      </c>
      <c r="BJ1611" t="s">
        <v>1385</v>
      </c>
      <c r="BK1611" t="s">
        <v>98</v>
      </c>
      <c r="BL1611" t="s">
        <v>1386</v>
      </c>
      <c r="BM1611" t="s">
        <v>4147</v>
      </c>
      <c r="BN1611" t="s">
        <v>74</v>
      </c>
      <c r="BO1611" t="s">
        <v>74</v>
      </c>
      <c r="BP1611" t="s">
        <v>74</v>
      </c>
      <c r="BQ1611" t="s">
        <v>74</v>
      </c>
      <c r="BR1611" t="s">
        <v>101</v>
      </c>
      <c r="BS1611" t="s">
        <v>28740</v>
      </c>
      <c r="BT1611" t="str">
        <f>HYPERLINK("https%3A%2F%2Fwww.webofscience.com%2Fwos%2Fwoscc%2Ffull-record%2FWOS:001117985100066","View Full Record in Web of Science")</f>
        <v>View Full Record in Web of Science</v>
      </c>
    </row>
    <row r="1612" spans="1:72" x14ac:dyDescent="0.2">
      <c r="A1612" t="s">
        <v>72</v>
      </c>
      <c r="B1612" t="s">
        <v>28741</v>
      </c>
      <c r="C1612" t="s">
        <v>74</v>
      </c>
      <c r="D1612" t="s">
        <v>4124</v>
      </c>
      <c r="E1612" t="s">
        <v>74</v>
      </c>
      <c r="F1612" t="s">
        <v>28742</v>
      </c>
      <c r="G1612" t="s">
        <v>74</v>
      </c>
      <c r="H1612" t="s">
        <v>74</v>
      </c>
      <c r="I1612" t="s">
        <v>28743</v>
      </c>
      <c r="J1612" t="s">
        <v>4127</v>
      </c>
      <c r="K1612" t="s">
        <v>4128</v>
      </c>
      <c r="L1612" t="s">
        <v>74</v>
      </c>
      <c r="M1612" t="s">
        <v>79</v>
      </c>
      <c r="N1612" t="s">
        <v>80</v>
      </c>
      <c r="O1612" t="s">
        <v>4129</v>
      </c>
      <c r="P1612" t="s">
        <v>4130</v>
      </c>
      <c r="Q1612" t="s">
        <v>4131</v>
      </c>
      <c r="R1612" t="s">
        <v>4132</v>
      </c>
      <c r="S1612" t="s">
        <v>74</v>
      </c>
      <c r="T1612" t="s">
        <v>28744</v>
      </c>
      <c r="U1612" t="s">
        <v>28745</v>
      </c>
      <c r="V1612" t="s">
        <v>28746</v>
      </c>
      <c r="W1612" t="s">
        <v>28747</v>
      </c>
      <c r="X1612" t="s">
        <v>28748</v>
      </c>
      <c r="Y1612" t="s">
        <v>28749</v>
      </c>
      <c r="Z1612" t="s">
        <v>28750</v>
      </c>
      <c r="AA1612" t="s">
        <v>74</v>
      </c>
      <c r="AB1612" t="s">
        <v>74</v>
      </c>
      <c r="AC1612" t="s">
        <v>74</v>
      </c>
      <c r="AD1612" t="s">
        <v>74</v>
      </c>
      <c r="AE1612" t="s">
        <v>74</v>
      </c>
      <c r="AF1612" t="s">
        <v>74</v>
      </c>
      <c r="AG1612">
        <v>22</v>
      </c>
      <c r="AH1612">
        <v>0</v>
      </c>
      <c r="AI1612">
        <v>0</v>
      </c>
      <c r="AJ1612">
        <v>0</v>
      </c>
      <c r="AK1612">
        <v>0</v>
      </c>
      <c r="AL1612" t="s">
        <v>284</v>
      </c>
      <c r="AM1612" t="s">
        <v>93</v>
      </c>
      <c r="AN1612" t="s">
        <v>299</v>
      </c>
      <c r="AO1612" t="s">
        <v>4144</v>
      </c>
      <c r="AP1612" t="s">
        <v>74</v>
      </c>
      <c r="AQ1612" t="s">
        <v>4145</v>
      </c>
      <c r="AR1612" t="s">
        <v>4146</v>
      </c>
      <c r="AS1612" t="s">
        <v>74</v>
      </c>
      <c r="AT1612" t="s">
        <v>74</v>
      </c>
      <c r="AU1612">
        <v>2023</v>
      </c>
      <c r="AV1612" t="s">
        <v>74</v>
      </c>
      <c r="AW1612" t="s">
        <v>74</v>
      </c>
      <c r="AX1612" t="s">
        <v>74</v>
      </c>
      <c r="AY1612" t="s">
        <v>74</v>
      </c>
      <c r="AZ1612" t="s">
        <v>74</v>
      </c>
      <c r="BA1612" t="s">
        <v>74</v>
      </c>
      <c r="BB1612" t="s">
        <v>74</v>
      </c>
      <c r="BC1612" t="s">
        <v>74</v>
      </c>
      <c r="BD1612" t="s">
        <v>74</v>
      </c>
      <c r="BE1612" t="s">
        <v>74</v>
      </c>
      <c r="BF1612" t="s">
        <v>74</v>
      </c>
      <c r="BG1612" t="s">
        <v>74</v>
      </c>
      <c r="BH1612" t="s">
        <v>74</v>
      </c>
      <c r="BI1612">
        <v>7</v>
      </c>
      <c r="BJ1612" t="s">
        <v>1385</v>
      </c>
      <c r="BK1612" t="s">
        <v>98</v>
      </c>
      <c r="BL1612" t="s">
        <v>1386</v>
      </c>
      <c r="BM1612" t="s">
        <v>4147</v>
      </c>
      <c r="BN1612" t="s">
        <v>74</v>
      </c>
      <c r="BO1612" t="s">
        <v>74</v>
      </c>
      <c r="BP1612" t="s">
        <v>74</v>
      </c>
      <c r="BQ1612" t="s">
        <v>74</v>
      </c>
      <c r="BR1612" t="s">
        <v>101</v>
      </c>
      <c r="BS1612" t="s">
        <v>28751</v>
      </c>
      <c r="BT1612" t="str">
        <f>HYPERLINK("https%3A%2F%2Fwww.webofscience.com%2Fwos%2Fwoscc%2Ffull-record%2FWOS:001117985100059","View Full Record in Web of Science")</f>
        <v>View Full Record in Web of Science</v>
      </c>
    </row>
    <row r="1613" spans="1:72" x14ac:dyDescent="0.2">
      <c r="A1613" t="s">
        <v>72</v>
      </c>
      <c r="B1613" t="s">
        <v>28752</v>
      </c>
      <c r="C1613" t="s">
        <v>74</v>
      </c>
      <c r="D1613" t="s">
        <v>4124</v>
      </c>
      <c r="E1613" t="s">
        <v>74</v>
      </c>
      <c r="F1613" t="s">
        <v>28753</v>
      </c>
      <c r="G1613" t="s">
        <v>74</v>
      </c>
      <c r="H1613" t="s">
        <v>74</v>
      </c>
      <c r="I1613" t="s">
        <v>28754</v>
      </c>
      <c r="J1613" t="s">
        <v>4127</v>
      </c>
      <c r="K1613" t="s">
        <v>4128</v>
      </c>
      <c r="L1613" t="s">
        <v>74</v>
      </c>
      <c r="M1613" t="s">
        <v>79</v>
      </c>
      <c r="N1613" t="s">
        <v>80</v>
      </c>
      <c r="O1613" t="s">
        <v>4129</v>
      </c>
      <c r="P1613" t="s">
        <v>4130</v>
      </c>
      <c r="Q1613" t="s">
        <v>4131</v>
      </c>
      <c r="R1613" t="s">
        <v>4132</v>
      </c>
      <c r="S1613" t="s">
        <v>74</v>
      </c>
      <c r="T1613" t="s">
        <v>74</v>
      </c>
      <c r="U1613" t="s">
        <v>74</v>
      </c>
      <c r="V1613" t="s">
        <v>28755</v>
      </c>
      <c r="W1613" t="s">
        <v>28756</v>
      </c>
      <c r="X1613" t="s">
        <v>28757</v>
      </c>
      <c r="Y1613" t="s">
        <v>28758</v>
      </c>
      <c r="Z1613" t="s">
        <v>28759</v>
      </c>
      <c r="AA1613" t="s">
        <v>74</v>
      </c>
      <c r="AB1613" t="s">
        <v>74</v>
      </c>
      <c r="AC1613" t="s">
        <v>74</v>
      </c>
      <c r="AD1613" t="s">
        <v>74</v>
      </c>
      <c r="AE1613" t="s">
        <v>74</v>
      </c>
      <c r="AF1613" t="s">
        <v>74</v>
      </c>
      <c r="AG1613">
        <v>37</v>
      </c>
      <c r="AH1613">
        <v>0</v>
      </c>
      <c r="AI1613">
        <v>0</v>
      </c>
      <c r="AJ1613">
        <v>0</v>
      </c>
      <c r="AK1613">
        <v>0</v>
      </c>
      <c r="AL1613" t="s">
        <v>284</v>
      </c>
      <c r="AM1613" t="s">
        <v>93</v>
      </c>
      <c r="AN1613" t="s">
        <v>299</v>
      </c>
      <c r="AO1613" t="s">
        <v>4144</v>
      </c>
      <c r="AP1613" t="s">
        <v>74</v>
      </c>
      <c r="AQ1613" t="s">
        <v>4145</v>
      </c>
      <c r="AR1613" t="s">
        <v>4146</v>
      </c>
      <c r="AS1613" t="s">
        <v>74</v>
      </c>
      <c r="AT1613" t="s">
        <v>74</v>
      </c>
      <c r="AU1613">
        <v>2023</v>
      </c>
      <c r="AV1613" t="s">
        <v>74</v>
      </c>
      <c r="AW1613" t="s">
        <v>74</v>
      </c>
      <c r="AX1613" t="s">
        <v>74</v>
      </c>
      <c r="AY1613" t="s">
        <v>74</v>
      </c>
      <c r="AZ1613" t="s">
        <v>74</v>
      </c>
      <c r="BA1613" t="s">
        <v>74</v>
      </c>
      <c r="BB1613" t="s">
        <v>74</v>
      </c>
      <c r="BC1613" t="s">
        <v>74</v>
      </c>
      <c r="BD1613" t="s">
        <v>74</v>
      </c>
      <c r="BE1613" t="s">
        <v>74</v>
      </c>
      <c r="BF1613" t="s">
        <v>74</v>
      </c>
      <c r="BG1613" t="s">
        <v>74</v>
      </c>
      <c r="BH1613" t="s">
        <v>74</v>
      </c>
      <c r="BI1613">
        <v>9</v>
      </c>
      <c r="BJ1613" t="s">
        <v>1385</v>
      </c>
      <c r="BK1613" t="s">
        <v>98</v>
      </c>
      <c r="BL1613" t="s">
        <v>1386</v>
      </c>
      <c r="BM1613" t="s">
        <v>4147</v>
      </c>
      <c r="BN1613" t="s">
        <v>74</v>
      </c>
      <c r="BO1613" t="s">
        <v>74</v>
      </c>
      <c r="BP1613" t="s">
        <v>74</v>
      </c>
      <c r="BQ1613" t="s">
        <v>74</v>
      </c>
      <c r="BR1613" t="s">
        <v>101</v>
      </c>
      <c r="BS1613" t="s">
        <v>28760</v>
      </c>
      <c r="BT1613" t="str">
        <f>HYPERLINK("https%3A%2F%2Fwww.webofscience.com%2Fwos%2Fwoscc%2Ffull-record%2FWOS:001117985100056","View Full Record in Web of Science")</f>
        <v>View Full Record in Web of Science</v>
      </c>
    </row>
    <row r="1614" spans="1:72" x14ac:dyDescent="0.2">
      <c r="A1614" t="s">
        <v>72</v>
      </c>
      <c r="B1614" t="s">
        <v>28761</v>
      </c>
      <c r="C1614" t="s">
        <v>74</v>
      </c>
      <c r="D1614" t="s">
        <v>4124</v>
      </c>
      <c r="E1614" t="s">
        <v>74</v>
      </c>
      <c r="F1614" t="s">
        <v>28762</v>
      </c>
      <c r="G1614" t="s">
        <v>74</v>
      </c>
      <c r="H1614" t="s">
        <v>74</v>
      </c>
      <c r="I1614" t="s">
        <v>28763</v>
      </c>
      <c r="J1614" t="s">
        <v>4127</v>
      </c>
      <c r="K1614" t="s">
        <v>4128</v>
      </c>
      <c r="L1614" t="s">
        <v>74</v>
      </c>
      <c r="M1614" t="s">
        <v>79</v>
      </c>
      <c r="N1614" t="s">
        <v>80</v>
      </c>
      <c r="O1614" t="s">
        <v>4129</v>
      </c>
      <c r="P1614" t="s">
        <v>4130</v>
      </c>
      <c r="Q1614" t="s">
        <v>4131</v>
      </c>
      <c r="R1614" t="s">
        <v>4132</v>
      </c>
      <c r="S1614" t="s">
        <v>74</v>
      </c>
      <c r="T1614" t="s">
        <v>28764</v>
      </c>
      <c r="U1614" t="s">
        <v>28765</v>
      </c>
      <c r="V1614" t="s">
        <v>28766</v>
      </c>
      <c r="W1614" t="s">
        <v>28767</v>
      </c>
      <c r="X1614" t="s">
        <v>10580</v>
      </c>
      <c r="Y1614" t="s">
        <v>28768</v>
      </c>
      <c r="Z1614" t="s">
        <v>28769</v>
      </c>
      <c r="AA1614" t="s">
        <v>74</v>
      </c>
      <c r="AB1614" t="s">
        <v>74</v>
      </c>
      <c r="AC1614" t="s">
        <v>28770</v>
      </c>
      <c r="AD1614" t="s">
        <v>28771</v>
      </c>
      <c r="AE1614" t="s">
        <v>28772</v>
      </c>
      <c r="AF1614" t="s">
        <v>74</v>
      </c>
      <c r="AG1614">
        <v>12</v>
      </c>
      <c r="AH1614">
        <v>0</v>
      </c>
      <c r="AI1614">
        <v>0</v>
      </c>
      <c r="AJ1614">
        <v>0</v>
      </c>
      <c r="AK1614">
        <v>0</v>
      </c>
      <c r="AL1614" t="s">
        <v>284</v>
      </c>
      <c r="AM1614" t="s">
        <v>93</v>
      </c>
      <c r="AN1614" t="s">
        <v>299</v>
      </c>
      <c r="AO1614" t="s">
        <v>4144</v>
      </c>
      <c r="AP1614" t="s">
        <v>74</v>
      </c>
      <c r="AQ1614" t="s">
        <v>4145</v>
      </c>
      <c r="AR1614" t="s">
        <v>4146</v>
      </c>
      <c r="AS1614" t="s">
        <v>74</v>
      </c>
      <c r="AT1614" t="s">
        <v>74</v>
      </c>
      <c r="AU1614">
        <v>2023</v>
      </c>
      <c r="AV1614" t="s">
        <v>74</v>
      </c>
      <c r="AW1614" t="s">
        <v>74</v>
      </c>
      <c r="AX1614" t="s">
        <v>74</v>
      </c>
      <c r="AY1614" t="s">
        <v>74</v>
      </c>
      <c r="AZ1614" t="s">
        <v>74</v>
      </c>
      <c r="BA1614" t="s">
        <v>74</v>
      </c>
      <c r="BB1614" t="s">
        <v>74</v>
      </c>
      <c r="BC1614" t="s">
        <v>74</v>
      </c>
      <c r="BD1614" t="s">
        <v>74</v>
      </c>
      <c r="BE1614" t="s">
        <v>74</v>
      </c>
      <c r="BF1614" t="s">
        <v>74</v>
      </c>
      <c r="BG1614" t="s">
        <v>74</v>
      </c>
      <c r="BH1614" t="s">
        <v>74</v>
      </c>
      <c r="BI1614">
        <v>5</v>
      </c>
      <c r="BJ1614" t="s">
        <v>1385</v>
      </c>
      <c r="BK1614" t="s">
        <v>98</v>
      </c>
      <c r="BL1614" t="s">
        <v>1386</v>
      </c>
      <c r="BM1614" t="s">
        <v>4147</v>
      </c>
      <c r="BN1614" t="s">
        <v>74</v>
      </c>
      <c r="BO1614" t="s">
        <v>74</v>
      </c>
      <c r="BP1614" t="s">
        <v>74</v>
      </c>
      <c r="BQ1614" t="s">
        <v>74</v>
      </c>
      <c r="BR1614" t="s">
        <v>101</v>
      </c>
      <c r="BS1614" t="s">
        <v>28773</v>
      </c>
      <c r="BT1614" t="str">
        <f>HYPERLINK("https%3A%2F%2Fwww.webofscience.com%2Fwos%2Fwoscc%2Ffull-record%2FWOS:001117985100027","View Full Record in Web of Science")</f>
        <v>View Full Record in Web of Science</v>
      </c>
    </row>
    <row r="1615" spans="1:72" x14ac:dyDescent="0.2">
      <c r="A1615" t="s">
        <v>72</v>
      </c>
      <c r="B1615" t="s">
        <v>28774</v>
      </c>
      <c r="C1615" t="s">
        <v>74</v>
      </c>
      <c r="D1615" t="s">
        <v>4124</v>
      </c>
      <c r="E1615" t="s">
        <v>74</v>
      </c>
      <c r="F1615" t="s">
        <v>28775</v>
      </c>
      <c r="G1615" t="s">
        <v>74</v>
      </c>
      <c r="H1615" t="s">
        <v>74</v>
      </c>
      <c r="I1615" t="s">
        <v>28776</v>
      </c>
      <c r="J1615" t="s">
        <v>4127</v>
      </c>
      <c r="K1615" t="s">
        <v>4128</v>
      </c>
      <c r="L1615" t="s">
        <v>74</v>
      </c>
      <c r="M1615" t="s">
        <v>79</v>
      </c>
      <c r="N1615" t="s">
        <v>80</v>
      </c>
      <c r="O1615" t="s">
        <v>4129</v>
      </c>
      <c r="P1615" t="s">
        <v>4130</v>
      </c>
      <c r="Q1615" t="s">
        <v>4131</v>
      </c>
      <c r="R1615" t="s">
        <v>4132</v>
      </c>
      <c r="S1615" t="s">
        <v>74</v>
      </c>
      <c r="T1615" t="s">
        <v>28777</v>
      </c>
      <c r="U1615" t="s">
        <v>28778</v>
      </c>
      <c r="V1615" t="s">
        <v>28779</v>
      </c>
      <c r="W1615" t="s">
        <v>28780</v>
      </c>
      <c r="X1615" t="s">
        <v>28600</v>
      </c>
      <c r="Y1615" t="s">
        <v>28781</v>
      </c>
      <c r="Z1615" t="s">
        <v>28782</v>
      </c>
      <c r="AA1615" t="s">
        <v>74</v>
      </c>
      <c r="AB1615" t="s">
        <v>74</v>
      </c>
      <c r="AC1615" t="s">
        <v>74</v>
      </c>
      <c r="AD1615" t="s">
        <v>74</v>
      </c>
      <c r="AE1615" t="s">
        <v>74</v>
      </c>
      <c r="AF1615" t="s">
        <v>74</v>
      </c>
      <c r="AG1615">
        <v>15</v>
      </c>
      <c r="AH1615">
        <v>0</v>
      </c>
      <c r="AI1615">
        <v>0</v>
      </c>
      <c r="AJ1615">
        <v>0</v>
      </c>
      <c r="AK1615">
        <v>0</v>
      </c>
      <c r="AL1615" t="s">
        <v>284</v>
      </c>
      <c r="AM1615" t="s">
        <v>93</v>
      </c>
      <c r="AN1615" t="s">
        <v>299</v>
      </c>
      <c r="AO1615" t="s">
        <v>4144</v>
      </c>
      <c r="AP1615" t="s">
        <v>74</v>
      </c>
      <c r="AQ1615" t="s">
        <v>4145</v>
      </c>
      <c r="AR1615" t="s">
        <v>4146</v>
      </c>
      <c r="AS1615" t="s">
        <v>74</v>
      </c>
      <c r="AT1615" t="s">
        <v>74</v>
      </c>
      <c r="AU1615">
        <v>2023</v>
      </c>
      <c r="AV1615" t="s">
        <v>74</v>
      </c>
      <c r="AW1615" t="s">
        <v>74</v>
      </c>
      <c r="AX1615" t="s">
        <v>74</v>
      </c>
      <c r="AY1615" t="s">
        <v>74</v>
      </c>
      <c r="AZ1615" t="s">
        <v>74</v>
      </c>
      <c r="BA1615" t="s">
        <v>74</v>
      </c>
      <c r="BB1615" t="s">
        <v>74</v>
      </c>
      <c r="BC1615" t="s">
        <v>74</v>
      </c>
      <c r="BD1615" t="s">
        <v>74</v>
      </c>
      <c r="BE1615" t="s">
        <v>74</v>
      </c>
      <c r="BF1615" t="s">
        <v>74</v>
      </c>
      <c r="BG1615" t="s">
        <v>74</v>
      </c>
      <c r="BH1615" t="s">
        <v>74</v>
      </c>
      <c r="BI1615">
        <v>5</v>
      </c>
      <c r="BJ1615" t="s">
        <v>1385</v>
      </c>
      <c r="BK1615" t="s">
        <v>98</v>
      </c>
      <c r="BL1615" t="s">
        <v>1386</v>
      </c>
      <c r="BM1615" t="s">
        <v>4147</v>
      </c>
      <c r="BN1615" t="s">
        <v>74</v>
      </c>
      <c r="BO1615" t="s">
        <v>74</v>
      </c>
      <c r="BP1615" t="s">
        <v>74</v>
      </c>
      <c r="BQ1615" t="s">
        <v>74</v>
      </c>
      <c r="BR1615" t="s">
        <v>101</v>
      </c>
      <c r="BS1615" t="s">
        <v>28783</v>
      </c>
      <c r="BT1615" t="str">
        <f>HYPERLINK("https%3A%2F%2Fwww.webofscience.com%2Fwos%2Fwoscc%2Ffull-record%2FWOS:001117985100057","View Full Record in Web of Science")</f>
        <v>View Full Record in Web of Science</v>
      </c>
    </row>
    <row r="1616" spans="1:72" x14ac:dyDescent="0.2">
      <c r="A1616" t="s">
        <v>72</v>
      </c>
      <c r="B1616" t="s">
        <v>28784</v>
      </c>
      <c r="C1616" t="s">
        <v>74</v>
      </c>
      <c r="D1616" t="s">
        <v>4124</v>
      </c>
      <c r="E1616" t="s">
        <v>74</v>
      </c>
      <c r="F1616" t="s">
        <v>28785</v>
      </c>
      <c r="G1616" t="s">
        <v>74</v>
      </c>
      <c r="H1616" t="s">
        <v>74</v>
      </c>
      <c r="I1616" t="s">
        <v>28786</v>
      </c>
      <c r="J1616" t="s">
        <v>4127</v>
      </c>
      <c r="K1616" t="s">
        <v>4128</v>
      </c>
      <c r="L1616" t="s">
        <v>74</v>
      </c>
      <c r="M1616" t="s">
        <v>79</v>
      </c>
      <c r="N1616" t="s">
        <v>80</v>
      </c>
      <c r="O1616" t="s">
        <v>4129</v>
      </c>
      <c r="P1616" t="s">
        <v>4130</v>
      </c>
      <c r="Q1616" t="s">
        <v>4131</v>
      </c>
      <c r="R1616" t="s">
        <v>4132</v>
      </c>
      <c r="S1616" t="s">
        <v>74</v>
      </c>
      <c r="T1616" t="s">
        <v>28787</v>
      </c>
      <c r="U1616" t="s">
        <v>28788</v>
      </c>
      <c r="V1616" t="s">
        <v>28789</v>
      </c>
      <c r="W1616" t="s">
        <v>28790</v>
      </c>
      <c r="X1616" t="s">
        <v>28791</v>
      </c>
      <c r="Y1616" t="s">
        <v>28792</v>
      </c>
      <c r="Z1616" t="s">
        <v>28793</v>
      </c>
      <c r="AA1616" t="s">
        <v>74</v>
      </c>
      <c r="AB1616" t="s">
        <v>74</v>
      </c>
      <c r="AC1616" t="s">
        <v>74</v>
      </c>
      <c r="AD1616" t="s">
        <v>74</v>
      </c>
      <c r="AE1616" t="s">
        <v>74</v>
      </c>
      <c r="AF1616" t="s">
        <v>74</v>
      </c>
      <c r="AG1616">
        <v>27</v>
      </c>
      <c r="AH1616">
        <v>0</v>
      </c>
      <c r="AI1616">
        <v>0</v>
      </c>
      <c r="AJ1616">
        <v>0</v>
      </c>
      <c r="AK1616">
        <v>0</v>
      </c>
      <c r="AL1616" t="s">
        <v>284</v>
      </c>
      <c r="AM1616" t="s">
        <v>93</v>
      </c>
      <c r="AN1616" t="s">
        <v>299</v>
      </c>
      <c r="AO1616" t="s">
        <v>4144</v>
      </c>
      <c r="AP1616" t="s">
        <v>74</v>
      </c>
      <c r="AQ1616" t="s">
        <v>4145</v>
      </c>
      <c r="AR1616" t="s">
        <v>4146</v>
      </c>
      <c r="AS1616" t="s">
        <v>74</v>
      </c>
      <c r="AT1616" t="s">
        <v>74</v>
      </c>
      <c r="AU1616">
        <v>2023</v>
      </c>
      <c r="AV1616" t="s">
        <v>74</v>
      </c>
      <c r="AW1616" t="s">
        <v>74</v>
      </c>
      <c r="AX1616" t="s">
        <v>74</v>
      </c>
      <c r="AY1616" t="s">
        <v>74</v>
      </c>
      <c r="AZ1616" t="s">
        <v>74</v>
      </c>
      <c r="BA1616" t="s">
        <v>74</v>
      </c>
      <c r="BB1616" t="s">
        <v>74</v>
      </c>
      <c r="BC1616" t="s">
        <v>74</v>
      </c>
      <c r="BD1616" t="s">
        <v>74</v>
      </c>
      <c r="BE1616" t="s">
        <v>74</v>
      </c>
      <c r="BF1616" t="s">
        <v>74</v>
      </c>
      <c r="BG1616" t="s">
        <v>74</v>
      </c>
      <c r="BH1616" t="s">
        <v>74</v>
      </c>
      <c r="BI1616">
        <v>7</v>
      </c>
      <c r="BJ1616" t="s">
        <v>1385</v>
      </c>
      <c r="BK1616" t="s">
        <v>98</v>
      </c>
      <c r="BL1616" t="s">
        <v>1386</v>
      </c>
      <c r="BM1616" t="s">
        <v>4147</v>
      </c>
      <c r="BN1616" t="s">
        <v>74</v>
      </c>
      <c r="BO1616" t="s">
        <v>74</v>
      </c>
      <c r="BP1616" t="s">
        <v>74</v>
      </c>
      <c r="BQ1616" t="s">
        <v>74</v>
      </c>
      <c r="BR1616" t="s">
        <v>101</v>
      </c>
      <c r="BS1616" t="s">
        <v>28794</v>
      </c>
      <c r="BT1616" t="str">
        <f>HYPERLINK("https%3A%2F%2Fwww.webofscience.com%2Fwos%2Fwoscc%2Ffull-record%2FWOS:001117985100049","View Full Record in Web of Science")</f>
        <v>View Full Record in Web of Science</v>
      </c>
    </row>
    <row r="1617" spans="1:72" x14ac:dyDescent="0.2">
      <c r="A1617" t="s">
        <v>72</v>
      </c>
      <c r="B1617" t="s">
        <v>28795</v>
      </c>
      <c r="C1617" t="s">
        <v>74</v>
      </c>
      <c r="D1617" t="s">
        <v>4124</v>
      </c>
      <c r="E1617" t="s">
        <v>74</v>
      </c>
      <c r="F1617" t="s">
        <v>28796</v>
      </c>
      <c r="G1617" t="s">
        <v>74</v>
      </c>
      <c r="H1617" t="s">
        <v>74</v>
      </c>
      <c r="I1617" t="s">
        <v>28797</v>
      </c>
      <c r="J1617" t="s">
        <v>4127</v>
      </c>
      <c r="K1617" t="s">
        <v>4128</v>
      </c>
      <c r="L1617" t="s">
        <v>74</v>
      </c>
      <c r="M1617" t="s">
        <v>79</v>
      </c>
      <c r="N1617" t="s">
        <v>80</v>
      </c>
      <c r="O1617" t="s">
        <v>4129</v>
      </c>
      <c r="P1617" t="s">
        <v>4130</v>
      </c>
      <c r="Q1617" t="s">
        <v>4131</v>
      </c>
      <c r="R1617" t="s">
        <v>4132</v>
      </c>
      <c r="S1617" t="s">
        <v>74</v>
      </c>
      <c r="T1617" t="s">
        <v>28798</v>
      </c>
      <c r="U1617" t="s">
        <v>74</v>
      </c>
      <c r="V1617" t="s">
        <v>28799</v>
      </c>
      <c r="W1617" t="s">
        <v>28800</v>
      </c>
      <c r="X1617" t="s">
        <v>28801</v>
      </c>
      <c r="Y1617" t="s">
        <v>28802</v>
      </c>
      <c r="Z1617" t="s">
        <v>28803</v>
      </c>
      <c r="AA1617" t="s">
        <v>74</v>
      </c>
      <c r="AB1617" t="s">
        <v>74</v>
      </c>
      <c r="AC1617" t="s">
        <v>28804</v>
      </c>
      <c r="AD1617" t="s">
        <v>28805</v>
      </c>
      <c r="AE1617" t="s">
        <v>28806</v>
      </c>
      <c r="AF1617" t="s">
        <v>74</v>
      </c>
      <c r="AG1617">
        <v>20</v>
      </c>
      <c r="AH1617">
        <v>0</v>
      </c>
      <c r="AI1617">
        <v>0</v>
      </c>
      <c r="AJ1617">
        <v>0</v>
      </c>
      <c r="AK1617">
        <v>0</v>
      </c>
      <c r="AL1617" t="s">
        <v>284</v>
      </c>
      <c r="AM1617" t="s">
        <v>93</v>
      </c>
      <c r="AN1617" t="s">
        <v>299</v>
      </c>
      <c r="AO1617" t="s">
        <v>4144</v>
      </c>
      <c r="AP1617" t="s">
        <v>74</v>
      </c>
      <c r="AQ1617" t="s">
        <v>4145</v>
      </c>
      <c r="AR1617" t="s">
        <v>4146</v>
      </c>
      <c r="AS1617" t="s">
        <v>74</v>
      </c>
      <c r="AT1617" t="s">
        <v>74</v>
      </c>
      <c r="AU1617">
        <v>2023</v>
      </c>
      <c r="AV1617" t="s">
        <v>74</v>
      </c>
      <c r="AW1617" t="s">
        <v>74</v>
      </c>
      <c r="AX1617" t="s">
        <v>74</v>
      </c>
      <c r="AY1617" t="s">
        <v>74</v>
      </c>
      <c r="AZ1617" t="s">
        <v>74</v>
      </c>
      <c r="BA1617" t="s">
        <v>74</v>
      </c>
      <c r="BB1617" t="s">
        <v>74</v>
      </c>
      <c r="BC1617" t="s">
        <v>74</v>
      </c>
      <c r="BD1617" t="s">
        <v>74</v>
      </c>
      <c r="BE1617" t="s">
        <v>74</v>
      </c>
      <c r="BF1617" t="s">
        <v>74</v>
      </c>
      <c r="BG1617" t="s">
        <v>74</v>
      </c>
      <c r="BH1617" t="s">
        <v>74</v>
      </c>
      <c r="BI1617">
        <v>7</v>
      </c>
      <c r="BJ1617" t="s">
        <v>1385</v>
      </c>
      <c r="BK1617" t="s">
        <v>98</v>
      </c>
      <c r="BL1617" t="s">
        <v>1386</v>
      </c>
      <c r="BM1617" t="s">
        <v>4147</v>
      </c>
      <c r="BN1617" t="s">
        <v>74</v>
      </c>
      <c r="BO1617" t="s">
        <v>74</v>
      </c>
      <c r="BP1617" t="s">
        <v>74</v>
      </c>
      <c r="BQ1617" t="s">
        <v>74</v>
      </c>
      <c r="BR1617" t="s">
        <v>101</v>
      </c>
      <c r="BS1617" t="s">
        <v>28807</v>
      </c>
      <c r="BT1617" t="str">
        <f>HYPERLINK("https%3A%2F%2Fwww.webofscience.com%2Fwos%2Fwoscc%2Ffull-record%2FWOS:001117985100016","View Full Record in Web of Science")</f>
        <v>View Full Record in Web of Science</v>
      </c>
    </row>
    <row r="1618" spans="1:72" x14ac:dyDescent="0.2">
      <c r="A1618" t="s">
        <v>72</v>
      </c>
      <c r="B1618" t="s">
        <v>28808</v>
      </c>
      <c r="C1618" t="s">
        <v>74</v>
      </c>
      <c r="D1618" t="s">
        <v>4124</v>
      </c>
      <c r="E1618" t="s">
        <v>74</v>
      </c>
      <c r="F1618" t="s">
        <v>28809</v>
      </c>
      <c r="G1618" t="s">
        <v>74</v>
      </c>
      <c r="H1618" t="s">
        <v>74</v>
      </c>
      <c r="I1618" t="s">
        <v>28810</v>
      </c>
      <c r="J1618" t="s">
        <v>4127</v>
      </c>
      <c r="K1618" t="s">
        <v>4128</v>
      </c>
      <c r="L1618" t="s">
        <v>74</v>
      </c>
      <c r="M1618" t="s">
        <v>79</v>
      </c>
      <c r="N1618" t="s">
        <v>80</v>
      </c>
      <c r="O1618" t="s">
        <v>4129</v>
      </c>
      <c r="P1618" t="s">
        <v>4130</v>
      </c>
      <c r="Q1618" t="s">
        <v>4131</v>
      </c>
      <c r="R1618" t="s">
        <v>4132</v>
      </c>
      <c r="S1618" t="s">
        <v>74</v>
      </c>
      <c r="T1618" t="s">
        <v>28811</v>
      </c>
      <c r="U1618" t="s">
        <v>74</v>
      </c>
      <c r="V1618" t="s">
        <v>28812</v>
      </c>
      <c r="W1618" t="s">
        <v>28813</v>
      </c>
      <c r="X1618" t="s">
        <v>28814</v>
      </c>
      <c r="Y1618" t="s">
        <v>28815</v>
      </c>
      <c r="Z1618" t="s">
        <v>28816</v>
      </c>
      <c r="AA1618" t="s">
        <v>74</v>
      </c>
      <c r="AB1618" t="s">
        <v>74</v>
      </c>
      <c r="AC1618" t="s">
        <v>74</v>
      </c>
      <c r="AD1618" t="s">
        <v>74</v>
      </c>
      <c r="AE1618" t="s">
        <v>74</v>
      </c>
      <c r="AF1618" t="s">
        <v>74</v>
      </c>
      <c r="AG1618">
        <v>16</v>
      </c>
      <c r="AH1618">
        <v>0</v>
      </c>
      <c r="AI1618">
        <v>0</v>
      </c>
      <c r="AJ1618">
        <v>0</v>
      </c>
      <c r="AK1618">
        <v>0</v>
      </c>
      <c r="AL1618" t="s">
        <v>284</v>
      </c>
      <c r="AM1618" t="s">
        <v>93</v>
      </c>
      <c r="AN1618" t="s">
        <v>299</v>
      </c>
      <c r="AO1618" t="s">
        <v>4144</v>
      </c>
      <c r="AP1618" t="s">
        <v>74</v>
      </c>
      <c r="AQ1618" t="s">
        <v>4145</v>
      </c>
      <c r="AR1618" t="s">
        <v>4146</v>
      </c>
      <c r="AS1618" t="s">
        <v>74</v>
      </c>
      <c r="AT1618" t="s">
        <v>74</v>
      </c>
      <c r="AU1618">
        <v>2023</v>
      </c>
      <c r="AV1618" t="s">
        <v>74</v>
      </c>
      <c r="AW1618" t="s">
        <v>74</v>
      </c>
      <c r="AX1618" t="s">
        <v>74</v>
      </c>
      <c r="AY1618" t="s">
        <v>74</v>
      </c>
      <c r="AZ1618" t="s">
        <v>74</v>
      </c>
      <c r="BA1618" t="s">
        <v>74</v>
      </c>
      <c r="BB1618" t="s">
        <v>74</v>
      </c>
      <c r="BC1618" t="s">
        <v>74</v>
      </c>
      <c r="BD1618" t="s">
        <v>74</v>
      </c>
      <c r="BE1618" t="s">
        <v>74</v>
      </c>
      <c r="BF1618" t="s">
        <v>74</v>
      </c>
      <c r="BG1618" t="s">
        <v>74</v>
      </c>
      <c r="BH1618" t="s">
        <v>74</v>
      </c>
      <c r="BI1618">
        <v>7</v>
      </c>
      <c r="BJ1618" t="s">
        <v>1385</v>
      </c>
      <c r="BK1618" t="s">
        <v>98</v>
      </c>
      <c r="BL1618" t="s">
        <v>1386</v>
      </c>
      <c r="BM1618" t="s">
        <v>4147</v>
      </c>
      <c r="BN1618" t="s">
        <v>74</v>
      </c>
      <c r="BO1618" t="s">
        <v>74</v>
      </c>
      <c r="BP1618" t="s">
        <v>74</v>
      </c>
      <c r="BQ1618" t="s">
        <v>74</v>
      </c>
      <c r="BR1618" t="s">
        <v>101</v>
      </c>
      <c r="BS1618" t="s">
        <v>28817</v>
      </c>
      <c r="BT1618" t="str">
        <f>HYPERLINK("https%3A%2F%2Fwww.webofscience.com%2Fwos%2Fwoscc%2Ffull-record%2FWOS:001117985100013","View Full Record in Web of Science")</f>
        <v>View Full Record in Web of Science</v>
      </c>
    </row>
    <row r="1619" spans="1:72" x14ac:dyDescent="0.2">
      <c r="A1619" t="s">
        <v>72</v>
      </c>
      <c r="B1619" t="s">
        <v>28818</v>
      </c>
      <c r="C1619" t="s">
        <v>74</v>
      </c>
      <c r="D1619" t="s">
        <v>4124</v>
      </c>
      <c r="E1619" t="s">
        <v>74</v>
      </c>
      <c r="F1619" t="s">
        <v>28819</v>
      </c>
      <c r="G1619" t="s">
        <v>74</v>
      </c>
      <c r="H1619" t="s">
        <v>74</v>
      </c>
      <c r="I1619" t="s">
        <v>28820</v>
      </c>
      <c r="J1619" t="s">
        <v>4127</v>
      </c>
      <c r="K1619" t="s">
        <v>4128</v>
      </c>
      <c r="L1619" t="s">
        <v>74</v>
      </c>
      <c r="M1619" t="s">
        <v>79</v>
      </c>
      <c r="N1619" t="s">
        <v>80</v>
      </c>
      <c r="O1619" t="s">
        <v>4129</v>
      </c>
      <c r="P1619" t="s">
        <v>4130</v>
      </c>
      <c r="Q1619" t="s">
        <v>4131</v>
      </c>
      <c r="R1619" t="s">
        <v>4132</v>
      </c>
      <c r="S1619" t="s">
        <v>74</v>
      </c>
      <c r="T1619" t="s">
        <v>28821</v>
      </c>
      <c r="U1619" t="s">
        <v>74</v>
      </c>
      <c r="V1619" t="s">
        <v>28822</v>
      </c>
      <c r="W1619" t="s">
        <v>28823</v>
      </c>
      <c r="X1619" t="s">
        <v>28824</v>
      </c>
      <c r="Y1619" t="s">
        <v>28825</v>
      </c>
      <c r="Z1619" t="s">
        <v>28826</v>
      </c>
      <c r="AA1619" t="s">
        <v>74</v>
      </c>
      <c r="AB1619" t="s">
        <v>74</v>
      </c>
      <c r="AC1619" t="s">
        <v>28827</v>
      </c>
      <c r="AD1619" t="s">
        <v>28828</v>
      </c>
      <c r="AE1619" t="s">
        <v>28829</v>
      </c>
      <c r="AF1619" t="s">
        <v>74</v>
      </c>
      <c r="AG1619">
        <v>6</v>
      </c>
      <c r="AH1619">
        <v>0</v>
      </c>
      <c r="AI1619">
        <v>0</v>
      </c>
      <c r="AJ1619">
        <v>0</v>
      </c>
      <c r="AK1619">
        <v>0</v>
      </c>
      <c r="AL1619" t="s">
        <v>284</v>
      </c>
      <c r="AM1619" t="s">
        <v>93</v>
      </c>
      <c r="AN1619" t="s">
        <v>299</v>
      </c>
      <c r="AO1619" t="s">
        <v>4144</v>
      </c>
      <c r="AP1619" t="s">
        <v>74</v>
      </c>
      <c r="AQ1619" t="s">
        <v>4145</v>
      </c>
      <c r="AR1619" t="s">
        <v>4146</v>
      </c>
      <c r="AS1619" t="s">
        <v>74</v>
      </c>
      <c r="AT1619" t="s">
        <v>74</v>
      </c>
      <c r="AU1619">
        <v>2023</v>
      </c>
      <c r="AV1619" t="s">
        <v>74</v>
      </c>
      <c r="AW1619" t="s">
        <v>74</v>
      </c>
      <c r="AX1619" t="s">
        <v>74</v>
      </c>
      <c r="AY1619" t="s">
        <v>74</v>
      </c>
      <c r="AZ1619" t="s">
        <v>74</v>
      </c>
      <c r="BA1619" t="s">
        <v>74</v>
      </c>
      <c r="BB1619" t="s">
        <v>74</v>
      </c>
      <c r="BC1619" t="s">
        <v>74</v>
      </c>
      <c r="BD1619" t="s">
        <v>74</v>
      </c>
      <c r="BE1619" t="s">
        <v>74</v>
      </c>
      <c r="BF1619" t="s">
        <v>74</v>
      </c>
      <c r="BG1619" t="s">
        <v>74</v>
      </c>
      <c r="BH1619" t="s">
        <v>74</v>
      </c>
      <c r="BI1619">
        <v>4</v>
      </c>
      <c r="BJ1619" t="s">
        <v>1385</v>
      </c>
      <c r="BK1619" t="s">
        <v>98</v>
      </c>
      <c r="BL1619" t="s">
        <v>1386</v>
      </c>
      <c r="BM1619" t="s">
        <v>4147</v>
      </c>
      <c r="BN1619" t="s">
        <v>74</v>
      </c>
      <c r="BO1619" t="s">
        <v>74</v>
      </c>
      <c r="BP1619" t="s">
        <v>74</v>
      </c>
      <c r="BQ1619" t="s">
        <v>74</v>
      </c>
      <c r="BR1619" t="s">
        <v>101</v>
      </c>
      <c r="BS1619" t="s">
        <v>28830</v>
      </c>
      <c r="BT1619" t="str">
        <f>HYPERLINK("https%3A%2F%2Fwww.webofscience.com%2Fwos%2Fwoscc%2Ffull-record%2FWOS:001117985100023","View Full Record in Web of Science")</f>
        <v>View Full Record in Web of Science</v>
      </c>
    </row>
    <row r="1620" spans="1:72" x14ac:dyDescent="0.2">
      <c r="A1620" t="s">
        <v>72</v>
      </c>
      <c r="B1620" t="s">
        <v>28831</v>
      </c>
      <c r="C1620" t="s">
        <v>74</v>
      </c>
      <c r="D1620" t="s">
        <v>4124</v>
      </c>
      <c r="E1620" t="s">
        <v>74</v>
      </c>
      <c r="F1620" t="s">
        <v>28832</v>
      </c>
      <c r="G1620" t="s">
        <v>74</v>
      </c>
      <c r="H1620" t="s">
        <v>74</v>
      </c>
      <c r="I1620" t="s">
        <v>28833</v>
      </c>
      <c r="J1620" t="s">
        <v>4127</v>
      </c>
      <c r="K1620" t="s">
        <v>4128</v>
      </c>
      <c r="L1620" t="s">
        <v>74</v>
      </c>
      <c r="M1620" t="s">
        <v>79</v>
      </c>
      <c r="N1620" t="s">
        <v>80</v>
      </c>
      <c r="O1620" t="s">
        <v>4129</v>
      </c>
      <c r="P1620" t="s">
        <v>4130</v>
      </c>
      <c r="Q1620" t="s">
        <v>4131</v>
      </c>
      <c r="R1620" t="s">
        <v>4132</v>
      </c>
      <c r="S1620" t="s">
        <v>74</v>
      </c>
      <c r="T1620" t="s">
        <v>28834</v>
      </c>
      <c r="U1620" t="s">
        <v>28835</v>
      </c>
      <c r="V1620" t="s">
        <v>28836</v>
      </c>
      <c r="W1620" t="s">
        <v>28837</v>
      </c>
      <c r="X1620" t="s">
        <v>8965</v>
      </c>
      <c r="Y1620" t="s">
        <v>28838</v>
      </c>
      <c r="Z1620" t="s">
        <v>28839</v>
      </c>
      <c r="AA1620" t="s">
        <v>74</v>
      </c>
      <c r="AB1620" t="s">
        <v>74</v>
      </c>
      <c r="AC1620" t="s">
        <v>28725</v>
      </c>
      <c r="AD1620" t="s">
        <v>28725</v>
      </c>
      <c r="AE1620" t="s">
        <v>28726</v>
      </c>
      <c r="AF1620" t="s">
        <v>74</v>
      </c>
      <c r="AG1620">
        <v>28</v>
      </c>
      <c r="AH1620">
        <v>0</v>
      </c>
      <c r="AI1620">
        <v>0</v>
      </c>
      <c r="AJ1620">
        <v>0</v>
      </c>
      <c r="AK1620">
        <v>0</v>
      </c>
      <c r="AL1620" t="s">
        <v>284</v>
      </c>
      <c r="AM1620" t="s">
        <v>93</v>
      </c>
      <c r="AN1620" t="s">
        <v>299</v>
      </c>
      <c r="AO1620" t="s">
        <v>4144</v>
      </c>
      <c r="AP1620" t="s">
        <v>74</v>
      </c>
      <c r="AQ1620" t="s">
        <v>4145</v>
      </c>
      <c r="AR1620" t="s">
        <v>4146</v>
      </c>
      <c r="AS1620" t="s">
        <v>74</v>
      </c>
      <c r="AT1620" t="s">
        <v>74</v>
      </c>
      <c r="AU1620">
        <v>2023</v>
      </c>
      <c r="AV1620" t="s">
        <v>74</v>
      </c>
      <c r="AW1620" t="s">
        <v>74</v>
      </c>
      <c r="AX1620" t="s">
        <v>74</v>
      </c>
      <c r="AY1620" t="s">
        <v>74</v>
      </c>
      <c r="AZ1620" t="s">
        <v>74</v>
      </c>
      <c r="BA1620" t="s">
        <v>74</v>
      </c>
      <c r="BB1620" t="s">
        <v>74</v>
      </c>
      <c r="BC1620" t="s">
        <v>74</v>
      </c>
      <c r="BD1620" t="s">
        <v>74</v>
      </c>
      <c r="BE1620" t="s">
        <v>74</v>
      </c>
      <c r="BF1620" t="s">
        <v>74</v>
      </c>
      <c r="BG1620" t="s">
        <v>74</v>
      </c>
      <c r="BH1620" t="s">
        <v>74</v>
      </c>
      <c r="BI1620">
        <v>9</v>
      </c>
      <c r="BJ1620" t="s">
        <v>1385</v>
      </c>
      <c r="BK1620" t="s">
        <v>98</v>
      </c>
      <c r="BL1620" t="s">
        <v>1386</v>
      </c>
      <c r="BM1620" t="s">
        <v>4147</v>
      </c>
      <c r="BN1620" t="s">
        <v>74</v>
      </c>
      <c r="BO1620" t="s">
        <v>74</v>
      </c>
      <c r="BP1620" t="s">
        <v>74</v>
      </c>
      <c r="BQ1620" t="s">
        <v>74</v>
      </c>
      <c r="BR1620" t="s">
        <v>101</v>
      </c>
      <c r="BS1620" t="s">
        <v>28840</v>
      </c>
      <c r="BT1620" t="str">
        <f>HYPERLINK("https%3A%2F%2Fwww.webofscience.com%2Fwos%2Fwoscc%2Ffull-record%2FWOS:001117985100055","View Full Record in Web of Science")</f>
        <v>View Full Record in Web of Science</v>
      </c>
    </row>
    <row r="1621" spans="1:72" x14ac:dyDescent="0.2">
      <c r="A1621" t="s">
        <v>72</v>
      </c>
      <c r="B1621" t="s">
        <v>28841</v>
      </c>
      <c r="C1621" t="s">
        <v>74</v>
      </c>
      <c r="D1621" t="s">
        <v>4124</v>
      </c>
      <c r="E1621" t="s">
        <v>74</v>
      </c>
      <c r="F1621" t="s">
        <v>28842</v>
      </c>
      <c r="G1621" t="s">
        <v>74</v>
      </c>
      <c r="H1621" t="s">
        <v>74</v>
      </c>
      <c r="I1621" t="s">
        <v>28843</v>
      </c>
      <c r="J1621" t="s">
        <v>4127</v>
      </c>
      <c r="K1621" t="s">
        <v>4128</v>
      </c>
      <c r="L1621" t="s">
        <v>74</v>
      </c>
      <c r="M1621" t="s">
        <v>79</v>
      </c>
      <c r="N1621" t="s">
        <v>80</v>
      </c>
      <c r="O1621" t="s">
        <v>4129</v>
      </c>
      <c r="P1621" t="s">
        <v>4130</v>
      </c>
      <c r="Q1621" t="s">
        <v>4131</v>
      </c>
      <c r="R1621" t="s">
        <v>4132</v>
      </c>
      <c r="S1621" t="s">
        <v>74</v>
      </c>
      <c r="T1621" t="s">
        <v>28844</v>
      </c>
      <c r="U1621" t="s">
        <v>74</v>
      </c>
      <c r="V1621" t="s">
        <v>28845</v>
      </c>
      <c r="W1621" t="s">
        <v>28846</v>
      </c>
      <c r="X1621" t="s">
        <v>28847</v>
      </c>
      <c r="Y1621" t="s">
        <v>28848</v>
      </c>
      <c r="Z1621" t="s">
        <v>28849</v>
      </c>
      <c r="AA1621" t="s">
        <v>74</v>
      </c>
      <c r="AB1621" t="s">
        <v>74</v>
      </c>
      <c r="AC1621" t="s">
        <v>74</v>
      </c>
      <c r="AD1621" t="s">
        <v>74</v>
      </c>
      <c r="AE1621" t="s">
        <v>74</v>
      </c>
      <c r="AF1621" t="s">
        <v>74</v>
      </c>
      <c r="AG1621">
        <v>34</v>
      </c>
      <c r="AH1621">
        <v>0</v>
      </c>
      <c r="AI1621">
        <v>0</v>
      </c>
      <c r="AJ1621">
        <v>0</v>
      </c>
      <c r="AK1621">
        <v>0</v>
      </c>
      <c r="AL1621" t="s">
        <v>284</v>
      </c>
      <c r="AM1621" t="s">
        <v>93</v>
      </c>
      <c r="AN1621" t="s">
        <v>299</v>
      </c>
      <c r="AO1621" t="s">
        <v>4144</v>
      </c>
      <c r="AP1621" t="s">
        <v>74</v>
      </c>
      <c r="AQ1621" t="s">
        <v>4145</v>
      </c>
      <c r="AR1621" t="s">
        <v>4146</v>
      </c>
      <c r="AS1621" t="s">
        <v>74</v>
      </c>
      <c r="AT1621" t="s">
        <v>74</v>
      </c>
      <c r="AU1621">
        <v>2023</v>
      </c>
      <c r="AV1621" t="s">
        <v>74</v>
      </c>
      <c r="AW1621" t="s">
        <v>74</v>
      </c>
      <c r="AX1621" t="s">
        <v>74</v>
      </c>
      <c r="AY1621" t="s">
        <v>74</v>
      </c>
      <c r="AZ1621" t="s">
        <v>74</v>
      </c>
      <c r="BA1621" t="s">
        <v>74</v>
      </c>
      <c r="BB1621" t="s">
        <v>74</v>
      </c>
      <c r="BC1621" t="s">
        <v>74</v>
      </c>
      <c r="BD1621" t="s">
        <v>74</v>
      </c>
      <c r="BE1621" t="s">
        <v>74</v>
      </c>
      <c r="BF1621" t="s">
        <v>74</v>
      </c>
      <c r="BG1621" t="s">
        <v>74</v>
      </c>
      <c r="BH1621" t="s">
        <v>74</v>
      </c>
      <c r="BI1621">
        <v>9</v>
      </c>
      <c r="BJ1621" t="s">
        <v>1385</v>
      </c>
      <c r="BK1621" t="s">
        <v>98</v>
      </c>
      <c r="BL1621" t="s">
        <v>1386</v>
      </c>
      <c r="BM1621" t="s">
        <v>4147</v>
      </c>
      <c r="BN1621" t="s">
        <v>74</v>
      </c>
      <c r="BO1621" t="s">
        <v>74</v>
      </c>
      <c r="BP1621" t="s">
        <v>74</v>
      </c>
      <c r="BQ1621" t="s">
        <v>74</v>
      </c>
      <c r="BR1621" t="s">
        <v>101</v>
      </c>
      <c r="BS1621" t="s">
        <v>28850</v>
      </c>
      <c r="BT1621" t="str">
        <f>HYPERLINK("https%3A%2F%2Fwww.webofscience.com%2Fwos%2Fwoscc%2Ffull-record%2FWOS:001117985100010","View Full Record in Web of Science")</f>
        <v>View Full Record in Web of Science</v>
      </c>
    </row>
    <row r="1622" spans="1:72" x14ac:dyDescent="0.2">
      <c r="A1622" t="s">
        <v>72</v>
      </c>
      <c r="B1622" t="s">
        <v>28851</v>
      </c>
      <c r="C1622" t="s">
        <v>74</v>
      </c>
      <c r="D1622" t="s">
        <v>4124</v>
      </c>
      <c r="E1622" t="s">
        <v>74</v>
      </c>
      <c r="F1622" t="s">
        <v>28852</v>
      </c>
      <c r="G1622" t="s">
        <v>74</v>
      </c>
      <c r="H1622" t="s">
        <v>74</v>
      </c>
      <c r="I1622" t="s">
        <v>28853</v>
      </c>
      <c r="J1622" t="s">
        <v>4127</v>
      </c>
      <c r="K1622" t="s">
        <v>4128</v>
      </c>
      <c r="L1622" t="s">
        <v>74</v>
      </c>
      <c r="M1622" t="s">
        <v>79</v>
      </c>
      <c r="N1622" t="s">
        <v>80</v>
      </c>
      <c r="O1622" t="s">
        <v>4129</v>
      </c>
      <c r="P1622" t="s">
        <v>4130</v>
      </c>
      <c r="Q1622" t="s">
        <v>4131</v>
      </c>
      <c r="R1622" t="s">
        <v>4132</v>
      </c>
      <c r="S1622" t="s">
        <v>74</v>
      </c>
      <c r="T1622" t="s">
        <v>28854</v>
      </c>
      <c r="U1622" t="s">
        <v>74</v>
      </c>
      <c r="V1622" t="s">
        <v>28855</v>
      </c>
      <c r="W1622" t="s">
        <v>28856</v>
      </c>
      <c r="X1622" t="s">
        <v>4137</v>
      </c>
      <c r="Y1622" t="s">
        <v>28857</v>
      </c>
      <c r="Z1622" t="s">
        <v>28858</v>
      </c>
      <c r="AA1622" t="s">
        <v>74</v>
      </c>
      <c r="AB1622" t="s">
        <v>74</v>
      </c>
      <c r="AC1622" t="s">
        <v>74</v>
      </c>
      <c r="AD1622" t="s">
        <v>74</v>
      </c>
      <c r="AE1622" t="s">
        <v>74</v>
      </c>
      <c r="AF1622" t="s">
        <v>74</v>
      </c>
      <c r="AG1622">
        <v>21</v>
      </c>
      <c r="AH1622">
        <v>0</v>
      </c>
      <c r="AI1622">
        <v>0</v>
      </c>
      <c r="AJ1622">
        <v>0</v>
      </c>
      <c r="AK1622">
        <v>0</v>
      </c>
      <c r="AL1622" t="s">
        <v>284</v>
      </c>
      <c r="AM1622" t="s">
        <v>93</v>
      </c>
      <c r="AN1622" t="s">
        <v>299</v>
      </c>
      <c r="AO1622" t="s">
        <v>4144</v>
      </c>
      <c r="AP1622" t="s">
        <v>74</v>
      </c>
      <c r="AQ1622" t="s">
        <v>4145</v>
      </c>
      <c r="AR1622" t="s">
        <v>4146</v>
      </c>
      <c r="AS1622" t="s">
        <v>74</v>
      </c>
      <c r="AT1622" t="s">
        <v>74</v>
      </c>
      <c r="AU1622">
        <v>2023</v>
      </c>
      <c r="AV1622" t="s">
        <v>74</v>
      </c>
      <c r="AW1622" t="s">
        <v>74</v>
      </c>
      <c r="AX1622" t="s">
        <v>74</v>
      </c>
      <c r="AY1622" t="s">
        <v>74</v>
      </c>
      <c r="AZ1622" t="s">
        <v>74</v>
      </c>
      <c r="BA1622" t="s">
        <v>74</v>
      </c>
      <c r="BB1622" t="s">
        <v>74</v>
      </c>
      <c r="BC1622" t="s">
        <v>74</v>
      </c>
      <c r="BD1622" t="s">
        <v>74</v>
      </c>
      <c r="BE1622" t="s">
        <v>74</v>
      </c>
      <c r="BF1622" t="s">
        <v>74</v>
      </c>
      <c r="BG1622" t="s">
        <v>74</v>
      </c>
      <c r="BH1622" t="s">
        <v>74</v>
      </c>
      <c r="BI1622">
        <v>7</v>
      </c>
      <c r="BJ1622" t="s">
        <v>1385</v>
      </c>
      <c r="BK1622" t="s">
        <v>98</v>
      </c>
      <c r="BL1622" t="s">
        <v>1386</v>
      </c>
      <c r="BM1622" t="s">
        <v>4147</v>
      </c>
      <c r="BN1622" t="s">
        <v>74</v>
      </c>
      <c r="BO1622" t="s">
        <v>74</v>
      </c>
      <c r="BP1622" t="s">
        <v>74</v>
      </c>
      <c r="BQ1622" t="s">
        <v>74</v>
      </c>
      <c r="BR1622" t="s">
        <v>101</v>
      </c>
      <c r="BS1622" t="s">
        <v>28859</v>
      </c>
      <c r="BT1622" t="str">
        <f>HYPERLINK("https%3A%2F%2Fwww.webofscience.com%2Fwos%2Fwoscc%2Ffull-record%2FWOS:001117985100039","View Full Record in Web of Science")</f>
        <v>View Full Record in Web of Science</v>
      </c>
    </row>
    <row r="1623" spans="1:72" x14ac:dyDescent="0.2">
      <c r="A1623" t="s">
        <v>72</v>
      </c>
      <c r="B1623" t="s">
        <v>28860</v>
      </c>
      <c r="C1623" t="s">
        <v>74</v>
      </c>
      <c r="D1623" t="s">
        <v>4124</v>
      </c>
      <c r="E1623" t="s">
        <v>74</v>
      </c>
      <c r="F1623" t="s">
        <v>28861</v>
      </c>
      <c r="G1623" t="s">
        <v>74</v>
      </c>
      <c r="H1623" t="s">
        <v>74</v>
      </c>
      <c r="I1623" t="s">
        <v>28862</v>
      </c>
      <c r="J1623" t="s">
        <v>4127</v>
      </c>
      <c r="K1623" t="s">
        <v>4128</v>
      </c>
      <c r="L1623" t="s">
        <v>74</v>
      </c>
      <c r="M1623" t="s">
        <v>79</v>
      </c>
      <c r="N1623" t="s">
        <v>80</v>
      </c>
      <c r="O1623" t="s">
        <v>4129</v>
      </c>
      <c r="P1623" t="s">
        <v>4130</v>
      </c>
      <c r="Q1623" t="s">
        <v>4131</v>
      </c>
      <c r="R1623" t="s">
        <v>4132</v>
      </c>
      <c r="S1623" t="s">
        <v>74</v>
      </c>
      <c r="T1623" t="s">
        <v>28863</v>
      </c>
      <c r="U1623" t="s">
        <v>74</v>
      </c>
      <c r="V1623" t="s">
        <v>28864</v>
      </c>
      <c r="W1623" t="s">
        <v>28865</v>
      </c>
      <c r="X1623" t="s">
        <v>28866</v>
      </c>
      <c r="Y1623" t="s">
        <v>28867</v>
      </c>
      <c r="Z1623" t="s">
        <v>74</v>
      </c>
      <c r="AA1623" t="s">
        <v>74</v>
      </c>
      <c r="AB1623" t="s">
        <v>74</v>
      </c>
      <c r="AC1623" t="s">
        <v>28868</v>
      </c>
      <c r="AD1623" t="s">
        <v>28869</v>
      </c>
      <c r="AE1623" t="s">
        <v>28870</v>
      </c>
      <c r="AF1623" t="s">
        <v>74</v>
      </c>
      <c r="AG1623">
        <v>19</v>
      </c>
      <c r="AH1623">
        <v>0</v>
      </c>
      <c r="AI1623">
        <v>0</v>
      </c>
      <c r="AJ1623">
        <v>0</v>
      </c>
      <c r="AK1623">
        <v>0</v>
      </c>
      <c r="AL1623" t="s">
        <v>284</v>
      </c>
      <c r="AM1623" t="s">
        <v>93</v>
      </c>
      <c r="AN1623" t="s">
        <v>299</v>
      </c>
      <c r="AO1623" t="s">
        <v>4144</v>
      </c>
      <c r="AP1623" t="s">
        <v>74</v>
      </c>
      <c r="AQ1623" t="s">
        <v>4145</v>
      </c>
      <c r="AR1623" t="s">
        <v>4146</v>
      </c>
      <c r="AS1623" t="s">
        <v>74</v>
      </c>
      <c r="AT1623" t="s">
        <v>74</v>
      </c>
      <c r="AU1623">
        <v>2023</v>
      </c>
      <c r="AV1623" t="s">
        <v>74</v>
      </c>
      <c r="AW1623" t="s">
        <v>74</v>
      </c>
      <c r="AX1623" t="s">
        <v>74</v>
      </c>
      <c r="AY1623" t="s">
        <v>74</v>
      </c>
      <c r="AZ1623" t="s">
        <v>74</v>
      </c>
      <c r="BA1623" t="s">
        <v>74</v>
      </c>
      <c r="BB1623" t="s">
        <v>74</v>
      </c>
      <c r="BC1623" t="s">
        <v>74</v>
      </c>
      <c r="BD1623" t="s">
        <v>74</v>
      </c>
      <c r="BE1623" t="s">
        <v>74</v>
      </c>
      <c r="BF1623" t="s">
        <v>74</v>
      </c>
      <c r="BG1623" t="s">
        <v>74</v>
      </c>
      <c r="BH1623" t="s">
        <v>74</v>
      </c>
      <c r="BI1623">
        <v>5</v>
      </c>
      <c r="BJ1623" t="s">
        <v>1385</v>
      </c>
      <c r="BK1623" t="s">
        <v>98</v>
      </c>
      <c r="BL1623" t="s">
        <v>1386</v>
      </c>
      <c r="BM1623" t="s">
        <v>4147</v>
      </c>
      <c r="BN1623" t="s">
        <v>74</v>
      </c>
      <c r="BO1623" t="s">
        <v>74</v>
      </c>
      <c r="BP1623" t="s">
        <v>74</v>
      </c>
      <c r="BQ1623" t="s">
        <v>74</v>
      </c>
      <c r="BR1623" t="s">
        <v>101</v>
      </c>
      <c r="BS1623" t="s">
        <v>28871</v>
      </c>
      <c r="BT1623" t="str">
        <f>HYPERLINK("https%3A%2F%2Fwww.webofscience.com%2Fwos%2Fwoscc%2Ffull-record%2FWOS:001117985100061","View Full Record in Web of Science")</f>
        <v>View Full Record in Web of Science</v>
      </c>
    </row>
    <row r="1624" spans="1:72" x14ac:dyDescent="0.2">
      <c r="A1624" t="s">
        <v>72</v>
      </c>
      <c r="B1624" t="s">
        <v>28872</v>
      </c>
      <c r="C1624" t="s">
        <v>74</v>
      </c>
      <c r="D1624" t="s">
        <v>4124</v>
      </c>
      <c r="E1624" t="s">
        <v>74</v>
      </c>
      <c r="F1624" t="s">
        <v>28873</v>
      </c>
      <c r="G1624" t="s">
        <v>74</v>
      </c>
      <c r="H1624" t="s">
        <v>74</v>
      </c>
      <c r="I1624" t="s">
        <v>28874</v>
      </c>
      <c r="J1624" t="s">
        <v>4127</v>
      </c>
      <c r="K1624" t="s">
        <v>4128</v>
      </c>
      <c r="L1624" t="s">
        <v>74</v>
      </c>
      <c r="M1624" t="s">
        <v>79</v>
      </c>
      <c r="N1624" t="s">
        <v>80</v>
      </c>
      <c r="O1624" t="s">
        <v>4129</v>
      </c>
      <c r="P1624" t="s">
        <v>4130</v>
      </c>
      <c r="Q1624" t="s">
        <v>4131</v>
      </c>
      <c r="R1624" t="s">
        <v>4132</v>
      </c>
      <c r="S1624" t="s">
        <v>74</v>
      </c>
      <c r="T1624" t="s">
        <v>28875</v>
      </c>
      <c r="U1624" t="s">
        <v>28876</v>
      </c>
      <c r="V1624" t="s">
        <v>28877</v>
      </c>
      <c r="W1624" t="s">
        <v>28878</v>
      </c>
      <c r="X1624" t="s">
        <v>28879</v>
      </c>
      <c r="Y1624" t="s">
        <v>28880</v>
      </c>
      <c r="Z1624" t="s">
        <v>28881</v>
      </c>
      <c r="AA1624" t="s">
        <v>74</v>
      </c>
      <c r="AB1624" t="s">
        <v>74</v>
      </c>
      <c r="AC1624" t="s">
        <v>28882</v>
      </c>
      <c r="AD1624" t="s">
        <v>28883</v>
      </c>
      <c r="AE1624" t="s">
        <v>28884</v>
      </c>
      <c r="AF1624" t="s">
        <v>74</v>
      </c>
      <c r="AG1624">
        <v>35</v>
      </c>
      <c r="AH1624">
        <v>0</v>
      </c>
      <c r="AI1624">
        <v>0</v>
      </c>
      <c r="AJ1624">
        <v>0</v>
      </c>
      <c r="AK1624">
        <v>0</v>
      </c>
      <c r="AL1624" t="s">
        <v>284</v>
      </c>
      <c r="AM1624" t="s">
        <v>93</v>
      </c>
      <c r="AN1624" t="s">
        <v>299</v>
      </c>
      <c r="AO1624" t="s">
        <v>4144</v>
      </c>
      <c r="AP1624" t="s">
        <v>74</v>
      </c>
      <c r="AQ1624" t="s">
        <v>4145</v>
      </c>
      <c r="AR1624" t="s">
        <v>4146</v>
      </c>
      <c r="AS1624" t="s">
        <v>74</v>
      </c>
      <c r="AT1624" t="s">
        <v>74</v>
      </c>
      <c r="AU1624">
        <v>2023</v>
      </c>
      <c r="AV1624" t="s">
        <v>74</v>
      </c>
      <c r="AW1624" t="s">
        <v>74</v>
      </c>
      <c r="AX1624" t="s">
        <v>74</v>
      </c>
      <c r="AY1624" t="s">
        <v>74</v>
      </c>
      <c r="AZ1624" t="s">
        <v>74</v>
      </c>
      <c r="BA1624" t="s">
        <v>74</v>
      </c>
      <c r="BB1624" t="s">
        <v>74</v>
      </c>
      <c r="BC1624" t="s">
        <v>74</v>
      </c>
      <c r="BD1624" t="s">
        <v>74</v>
      </c>
      <c r="BE1624" t="s">
        <v>74</v>
      </c>
      <c r="BF1624" t="s">
        <v>74</v>
      </c>
      <c r="BG1624" t="s">
        <v>74</v>
      </c>
      <c r="BH1624" t="s">
        <v>74</v>
      </c>
      <c r="BI1624">
        <v>9</v>
      </c>
      <c r="BJ1624" t="s">
        <v>1385</v>
      </c>
      <c r="BK1624" t="s">
        <v>98</v>
      </c>
      <c r="BL1624" t="s">
        <v>1386</v>
      </c>
      <c r="BM1624" t="s">
        <v>4147</v>
      </c>
      <c r="BN1624" t="s">
        <v>74</v>
      </c>
      <c r="BO1624" t="s">
        <v>74</v>
      </c>
      <c r="BP1624" t="s">
        <v>74</v>
      </c>
      <c r="BQ1624" t="s">
        <v>74</v>
      </c>
      <c r="BR1624" t="s">
        <v>101</v>
      </c>
      <c r="BS1624" t="s">
        <v>28885</v>
      </c>
      <c r="BT1624" t="str">
        <f>HYPERLINK("https%3A%2F%2Fwww.webofscience.com%2Fwos%2Fwoscc%2Ffull-record%2FWOS:001117985100009","View Full Record in Web of Science")</f>
        <v>View Full Record in Web of Science</v>
      </c>
    </row>
    <row r="1625" spans="1:72" x14ac:dyDescent="0.2">
      <c r="A1625" t="s">
        <v>72</v>
      </c>
      <c r="B1625" t="s">
        <v>28886</v>
      </c>
      <c r="C1625" t="s">
        <v>74</v>
      </c>
      <c r="D1625" t="s">
        <v>4124</v>
      </c>
      <c r="E1625" t="s">
        <v>74</v>
      </c>
      <c r="F1625" t="s">
        <v>28887</v>
      </c>
      <c r="G1625" t="s">
        <v>74</v>
      </c>
      <c r="H1625" t="s">
        <v>74</v>
      </c>
      <c r="I1625" t="s">
        <v>28888</v>
      </c>
      <c r="J1625" t="s">
        <v>4127</v>
      </c>
      <c r="K1625" t="s">
        <v>4128</v>
      </c>
      <c r="L1625" t="s">
        <v>74</v>
      </c>
      <c r="M1625" t="s">
        <v>79</v>
      </c>
      <c r="N1625" t="s">
        <v>80</v>
      </c>
      <c r="O1625" t="s">
        <v>4129</v>
      </c>
      <c r="P1625" t="s">
        <v>4130</v>
      </c>
      <c r="Q1625" t="s">
        <v>4131</v>
      </c>
      <c r="R1625" t="s">
        <v>4132</v>
      </c>
      <c r="S1625" t="s">
        <v>74</v>
      </c>
      <c r="T1625" t="s">
        <v>28889</v>
      </c>
      <c r="U1625" t="s">
        <v>74</v>
      </c>
      <c r="V1625" t="s">
        <v>28890</v>
      </c>
      <c r="W1625" t="s">
        <v>74</v>
      </c>
      <c r="X1625" t="s">
        <v>74</v>
      </c>
      <c r="Y1625" t="s">
        <v>74</v>
      </c>
      <c r="Z1625" t="s">
        <v>28891</v>
      </c>
      <c r="AA1625" t="s">
        <v>74</v>
      </c>
      <c r="AB1625" t="s">
        <v>74</v>
      </c>
      <c r="AC1625" t="s">
        <v>28299</v>
      </c>
      <c r="AD1625" t="s">
        <v>28299</v>
      </c>
      <c r="AE1625" t="s">
        <v>28300</v>
      </c>
      <c r="AF1625" t="s">
        <v>74</v>
      </c>
      <c r="AG1625">
        <v>13</v>
      </c>
      <c r="AH1625">
        <v>0</v>
      </c>
      <c r="AI1625">
        <v>0</v>
      </c>
      <c r="AJ1625">
        <v>0</v>
      </c>
      <c r="AK1625">
        <v>0</v>
      </c>
      <c r="AL1625" t="s">
        <v>284</v>
      </c>
      <c r="AM1625" t="s">
        <v>93</v>
      </c>
      <c r="AN1625" t="s">
        <v>299</v>
      </c>
      <c r="AO1625" t="s">
        <v>4144</v>
      </c>
      <c r="AP1625" t="s">
        <v>74</v>
      </c>
      <c r="AQ1625" t="s">
        <v>4145</v>
      </c>
      <c r="AR1625" t="s">
        <v>4146</v>
      </c>
      <c r="AS1625" t="s">
        <v>74</v>
      </c>
      <c r="AT1625" t="s">
        <v>74</v>
      </c>
      <c r="AU1625">
        <v>2023</v>
      </c>
      <c r="AV1625" t="s">
        <v>74</v>
      </c>
      <c r="AW1625" t="s">
        <v>74</v>
      </c>
      <c r="AX1625" t="s">
        <v>74</v>
      </c>
      <c r="AY1625" t="s">
        <v>74</v>
      </c>
      <c r="AZ1625" t="s">
        <v>74</v>
      </c>
      <c r="BA1625" t="s">
        <v>74</v>
      </c>
      <c r="BB1625" t="s">
        <v>74</v>
      </c>
      <c r="BC1625" t="s">
        <v>74</v>
      </c>
      <c r="BD1625" t="s">
        <v>74</v>
      </c>
      <c r="BE1625" t="s">
        <v>74</v>
      </c>
      <c r="BF1625" t="s">
        <v>74</v>
      </c>
      <c r="BG1625" t="s">
        <v>74</v>
      </c>
      <c r="BH1625" t="s">
        <v>74</v>
      </c>
      <c r="BI1625">
        <v>5</v>
      </c>
      <c r="BJ1625" t="s">
        <v>1385</v>
      </c>
      <c r="BK1625" t="s">
        <v>98</v>
      </c>
      <c r="BL1625" t="s">
        <v>1386</v>
      </c>
      <c r="BM1625" t="s">
        <v>4147</v>
      </c>
      <c r="BN1625" t="s">
        <v>74</v>
      </c>
      <c r="BO1625" t="s">
        <v>74</v>
      </c>
      <c r="BP1625" t="s">
        <v>74</v>
      </c>
      <c r="BQ1625" t="s">
        <v>74</v>
      </c>
      <c r="BR1625" t="s">
        <v>101</v>
      </c>
      <c r="BS1625" t="s">
        <v>28892</v>
      </c>
      <c r="BT1625" t="str">
        <f>HYPERLINK("https%3A%2F%2Fwww.webofscience.com%2Fwos%2Fwoscc%2Ffull-record%2FWOS:001117985100024","View Full Record in Web of Science")</f>
        <v>View Full Record in Web of Science</v>
      </c>
    </row>
    <row r="1626" spans="1:72" x14ac:dyDescent="0.2">
      <c r="A1626" t="s">
        <v>72</v>
      </c>
      <c r="B1626" t="s">
        <v>28893</v>
      </c>
      <c r="C1626" t="s">
        <v>74</v>
      </c>
      <c r="D1626" t="s">
        <v>4124</v>
      </c>
      <c r="E1626" t="s">
        <v>74</v>
      </c>
      <c r="F1626" t="s">
        <v>28894</v>
      </c>
      <c r="G1626" t="s">
        <v>74</v>
      </c>
      <c r="H1626" t="s">
        <v>74</v>
      </c>
      <c r="I1626" t="s">
        <v>28895</v>
      </c>
      <c r="J1626" t="s">
        <v>4127</v>
      </c>
      <c r="K1626" t="s">
        <v>4128</v>
      </c>
      <c r="L1626" t="s">
        <v>74</v>
      </c>
      <c r="M1626" t="s">
        <v>79</v>
      </c>
      <c r="N1626" t="s">
        <v>80</v>
      </c>
      <c r="O1626" t="s">
        <v>4129</v>
      </c>
      <c r="P1626" t="s">
        <v>4130</v>
      </c>
      <c r="Q1626" t="s">
        <v>4131</v>
      </c>
      <c r="R1626" t="s">
        <v>4132</v>
      </c>
      <c r="S1626" t="s">
        <v>74</v>
      </c>
      <c r="T1626" t="s">
        <v>74</v>
      </c>
      <c r="U1626" t="s">
        <v>28896</v>
      </c>
      <c r="V1626" t="s">
        <v>28897</v>
      </c>
      <c r="W1626" t="s">
        <v>28898</v>
      </c>
      <c r="X1626" t="s">
        <v>28899</v>
      </c>
      <c r="Y1626" t="s">
        <v>28900</v>
      </c>
      <c r="Z1626" t="s">
        <v>28901</v>
      </c>
      <c r="AA1626" t="s">
        <v>74</v>
      </c>
      <c r="AB1626" t="s">
        <v>74</v>
      </c>
      <c r="AC1626" t="s">
        <v>28902</v>
      </c>
      <c r="AD1626" t="s">
        <v>28903</v>
      </c>
      <c r="AE1626" t="s">
        <v>28904</v>
      </c>
      <c r="AF1626" t="s">
        <v>74</v>
      </c>
      <c r="AG1626">
        <v>10</v>
      </c>
      <c r="AH1626">
        <v>0</v>
      </c>
      <c r="AI1626">
        <v>0</v>
      </c>
      <c r="AJ1626">
        <v>0</v>
      </c>
      <c r="AK1626">
        <v>0</v>
      </c>
      <c r="AL1626" t="s">
        <v>284</v>
      </c>
      <c r="AM1626" t="s">
        <v>93</v>
      </c>
      <c r="AN1626" t="s">
        <v>299</v>
      </c>
      <c r="AO1626" t="s">
        <v>4144</v>
      </c>
      <c r="AP1626" t="s">
        <v>74</v>
      </c>
      <c r="AQ1626" t="s">
        <v>4145</v>
      </c>
      <c r="AR1626" t="s">
        <v>4146</v>
      </c>
      <c r="AS1626" t="s">
        <v>74</v>
      </c>
      <c r="AT1626" t="s">
        <v>74</v>
      </c>
      <c r="AU1626">
        <v>2023</v>
      </c>
      <c r="AV1626" t="s">
        <v>74</v>
      </c>
      <c r="AW1626" t="s">
        <v>74</v>
      </c>
      <c r="AX1626" t="s">
        <v>74</v>
      </c>
      <c r="AY1626" t="s">
        <v>74</v>
      </c>
      <c r="AZ1626" t="s">
        <v>74</v>
      </c>
      <c r="BA1626" t="s">
        <v>74</v>
      </c>
      <c r="BB1626" t="s">
        <v>74</v>
      </c>
      <c r="BC1626" t="s">
        <v>74</v>
      </c>
      <c r="BD1626" t="s">
        <v>74</v>
      </c>
      <c r="BE1626" t="s">
        <v>74</v>
      </c>
      <c r="BF1626" t="s">
        <v>74</v>
      </c>
      <c r="BG1626" t="s">
        <v>74</v>
      </c>
      <c r="BH1626" t="s">
        <v>74</v>
      </c>
      <c r="BI1626">
        <v>5</v>
      </c>
      <c r="BJ1626" t="s">
        <v>1385</v>
      </c>
      <c r="BK1626" t="s">
        <v>98</v>
      </c>
      <c r="BL1626" t="s">
        <v>1386</v>
      </c>
      <c r="BM1626" t="s">
        <v>4147</v>
      </c>
      <c r="BN1626" t="s">
        <v>74</v>
      </c>
      <c r="BO1626" t="s">
        <v>74</v>
      </c>
      <c r="BP1626" t="s">
        <v>74</v>
      </c>
      <c r="BQ1626" t="s">
        <v>74</v>
      </c>
      <c r="BR1626" t="s">
        <v>101</v>
      </c>
      <c r="BS1626" t="s">
        <v>28905</v>
      </c>
      <c r="BT1626" t="str">
        <f>HYPERLINK("https%3A%2F%2Fwww.webofscience.com%2Fwos%2Fwoscc%2Ffull-record%2FWOS:001117985100051","View Full Record in Web of Science")</f>
        <v>View Full Record in Web of Science</v>
      </c>
    </row>
    <row r="1627" spans="1:72" x14ac:dyDescent="0.2">
      <c r="A1627" t="s">
        <v>72</v>
      </c>
      <c r="B1627" t="s">
        <v>28906</v>
      </c>
      <c r="C1627" t="s">
        <v>74</v>
      </c>
      <c r="D1627" t="s">
        <v>4124</v>
      </c>
      <c r="E1627" t="s">
        <v>74</v>
      </c>
      <c r="F1627" t="s">
        <v>28907</v>
      </c>
      <c r="G1627" t="s">
        <v>74</v>
      </c>
      <c r="H1627" t="s">
        <v>74</v>
      </c>
      <c r="I1627" t="s">
        <v>28908</v>
      </c>
      <c r="J1627" t="s">
        <v>4127</v>
      </c>
      <c r="K1627" t="s">
        <v>4128</v>
      </c>
      <c r="L1627" t="s">
        <v>74</v>
      </c>
      <c r="M1627" t="s">
        <v>79</v>
      </c>
      <c r="N1627" t="s">
        <v>80</v>
      </c>
      <c r="O1627" t="s">
        <v>4129</v>
      </c>
      <c r="P1627" t="s">
        <v>4130</v>
      </c>
      <c r="Q1627" t="s">
        <v>4131</v>
      </c>
      <c r="R1627" t="s">
        <v>4132</v>
      </c>
      <c r="S1627" t="s">
        <v>74</v>
      </c>
      <c r="T1627" t="s">
        <v>74</v>
      </c>
      <c r="U1627" t="s">
        <v>74</v>
      </c>
      <c r="V1627" t="s">
        <v>28909</v>
      </c>
      <c r="W1627" t="s">
        <v>28910</v>
      </c>
      <c r="X1627" t="s">
        <v>28911</v>
      </c>
      <c r="Y1627" t="s">
        <v>28900</v>
      </c>
      <c r="Z1627" t="s">
        <v>28912</v>
      </c>
      <c r="AA1627" t="s">
        <v>74</v>
      </c>
      <c r="AB1627" t="s">
        <v>74</v>
      </c>
      <c r="AC1627" t="s">
        <v>74</v>
      </c>
      <c r="AD1627" t="s">
        <v>74</v>
      </c>
      <c r="AE1627" t="s">
        <v>74</v>
      </c>
      <c r="AF1627" t="s">
        <v>74</v>
      </c>
      <c r="AG1627">
        <v>16</v>
      </c>
      <c r="AH1627">
        <v>0</v>
      </c>
      <c r="AI1627">
        <v>0</v>
      </c>
      <c r="AJ1627">
        <v>0</v>
      </c>
      <c r="AK1627">
        <v>0</v>
      </c>
      <c r="AL1627" t="s">
        <v>284</v>
      </c>
      <c r="AM1627" t="s">
        <v>93</v>
      </c>
      <c r="AN1627" t="s">
        <v>299</v>
      </c>
      <c r="AO1627" t="s">
        <v>4144</v>
      </c>
      <c r="AP1627" t="s">
        <v>74</v>
      </c>
      <c r="AQ1627" t="s">
        <v>4145</v>
      </c>
      <c r="AR1627" t="s">
        <v>4146</v>
      </c>
      <c r="AS1627" t="s">
        <v>74</v>
      </c>
      <c r="AT1627" t="s">
        <v>74</v>
      </c>
      <c r="AU1627">
        <v>2023</v>
      </c>
      <c r="AV1627" t="s">
        <v>74</v>
      </c>
      <c r="AW1627" t="s">
        <v>74</v>
      </c>
      <c r="AX1627" t="s">
        <v>74</v>
      </c>
      <c r="AY1627" t="s">
        <v>74</v>
      </c>
      <c r="AZ1627" t="s">
        <v>74</v>
      </c>
      <c r="BA1627" t="s">
        <v>74</v>
      </c>
      <c r="BB1627" t="s">
        <v>74</v>
      </c>
      <c r="BC1627" t="s">
        <v>74</v>
      </c>
      <c r="BD1627" t="s">
        <v>74</v>
      </c>
      <c r="BE1627" t="s">
        <v>74</v>
      </c>
      <c r="BF1627" t="s">
        <v>74</v>
      </c>
      <c r="BG1627" t="s">
        <v>74</v>
      </c>
      <c r="BH1627" t="s">
        <v>74</v>
      </c>
      <c r="BI1627">
        <v>7</v>
      </c>
      <c r="BJ1627" t="s">
        <v>1385</v>
      </c>
      <c r="BK1627" t="s">
        <v>98</v>
      </c>
      <c r="BL1627" t="s">
        <v>1386</v>
      </c>
      <c r="BM1627" t="s">
        <v>4147</v>
      </c>
      <c r="BN1627" t="s">
        <v>74</v>
      </c>
      <c r="BO1627" t="s">
        <v>74</v>
      </c>
      <c r="BP1627" t="s">
        <v>74</v>
      </c>
      <c r="BQ1627" t="s">
        <v>74</v>
      </c>
      <c r="BR1627" t="s">
        <v>101</v>
      </c>
      <c r="BS1627" t="s">
        <v>28913</v>
      </c>
      <c r="BT1627" t="str">
        <f>HYPERLINK("https%3A%2F%2Fwww.webofscience.com%2Fwos%2Fwoscc%2Ffull-record%2FWOS:001117985100031","View Full Record in Web of Science")</f>
        <v>View Full Record in Web of Science</v>
      </c>
    </row>
    <row r="1628" spans="1:72" x14ac:dyDescent="0.2">
      <c r="A1628" t="s">
        <v>72</v>
      </c>
      <c r="B1628" t="s">
        <v>28914</v>
      </c>
      <c r="C1628" t="s">
        <v>74</v>
      </c>
      <c r="D1628" t="s">
        <v>4124</v>
      </c>
      <c r="E1628" t="s">
        <v>74</v>
      </c>
      <c r="F1628" t="s">
        <v>28915</v>
      </c>
      <c r="G1628" t="s">
        <v>74</v>
      </c>
      <c r="H1628" t="s">
        <v>74</v>
      </c>
      <c r="I1628" t="s">
        <v>28916</v>
      </c>
      <c r="J1628" t="s">
        <v>4127</v>
      </c>
      <c r="K1628" t="s">
        <v>4128</v>
      </c>
      <c r="L1628" t="s">
        <v>74</v>
      </c>
      <c r="M1628" t="s">
        <v>79</v>
      </c>
      <c r="N1628" t="s">
        <v>80</v>
      </c>
      <c r="O1628" t="s">
        <v>4129</v>
      </c>
      <c r="P1628" t="s">
        <v>4130</v>
      </c>
      <c r="Q1628" t="s">
        <v>4131</v>
      </c>
      <c r="R1628" t="s">
        <v>4132</v>
      </c>
      <c r="S1628" t="s">
        <v>74</v>
      </c>
      <c r="T1628" t="s">
        <v>28917</v>
      </c>
      <c r="U1628" t="s">
        <v>74</v>
      </c>
      <c r="V1628" t="s">
        <v>28918</v>
      </c>
      <c r="W1628" t="s">
        <v>28919</v>
      </c>
      <c r="X1628" t="s">
        <v>28920</v>
      </c>
      <c r="Y1628" t="s">
        <v>28921</v>
      </c>
      <c r="Z1628" t="s">
        <v>28922</v>
      </c>
      <c r="AA1628" t="s">
        <v>28297</v>
      </c>
      <c r="AB1628" t="s">
        <v>28298</v>
      </c>
      <c r="AC1628" t="s">
        <v>28923</v>
      </c>
      <c r="AD1628" t="s">
        <v>28924</v>
      </c>
      <c r="AE1628" t="s">
        <v>28925</v>
      </c>
      <c r="AF1628" t="s">
        <v>74</v>
      </c>
      <c r="AG1628">
        <v>16</v>
      </c>
      <c r="AH1628">
        <v>0</v>
      </c>
      <c r="AI1628">
        <v>0</v>
      </c>
      <c r="AJ1628">
        <v>0</v>
      </c>
      <c r="AK1628">
        <v>0</v>
      </c>
      <c r="AL1628" t="s">
        <v>284</v>
      </c>
      <c r="AM1628" t="s">
        <v>93</v>
      </c>
      <c r="AN1628" t="s">
        <v>299</v>
      </c>
      <c r="AO1628" t="s">
        <v>4144</v>
      </c>
      <c r="AP1628" t="s">
        <v>74</v>
      </c>
      <c r="AQ1628" t="s">
        <v>4145</v>
      </c>
      <c r="AR1628" t="s">
        <v>4146</v>
      </c>
      <c r="AS1628" t="s">
        <v>74</v>
      </c>
      <c r="AT1628" t="s">
        <v>74</v>
      </c>
      <c r="AU1628">
        <v>2023</v>
      </c>
      <c r="AV1628" t="s">
        <v>74</v>
      </c>
      <c r="AW1628" t="s">
        <v>74</v>
      </c>
      <c r="AX1628" t="s">
        <v>74</v>
      </c>
      <c r="AY1628" t="s">
        <v>74</v>
      </c>
      <c r="AZ1628" t="s">
        <v>74</v>
      </c>
      <c r="BA1628" t="s">
        <v>74</v>
      </c>
      <c r="BB1628" t="s">
        <v>74</v>
      </c>
      <c r="BC1628" t="s">
        <v>74</v>
      </c>
      <c r="BD1628" t="s">
        <v>74</v>
      </c>
      <c r="BE1628" t="s">
        <v>74</v>
      </c>
      <c r="BF1628" t="s">
        <v>74</v>
      </c>
      <c r="BG1628" t="s">
        <v>74</v>
      </c>
      <c r="BH1628" t="s">
        <v>74</v>
      </c>
      <c r="BI1628">
        <v>5</v>
      </c>
      <c r="BJ1628" t="s">
        <v>1385</v>
      </c>
      <c r="BK1628" t="s">
        <v>98</v>
      </c>
      <c r="BL1628" t="s">
        <v>1386</v>
      </c>
      <c r="BM1628" t="s">
        <v>4147</v>
      </c>
      <c r="BN1628" t="s">
        <v>74</v>
      </c>
      <c r="BO1628" t="s">
        <v>74</v>
      </c>
      <c r="BP1628" t="s">
        <v>74</v>
      </c>
      <c r="BQ1628" t="s">
        <v>74</v>
      </c>
      <c r="BR1628" t="s">
        <v>101</v>
      </c>
      <c r="BS1628" t="s">
        <v>28926</v>
      </c>
      <c r="BT1628" t="str">
        <f>HYPERLINK("https%3A%2F%2Fwww.webofscience.com%2Fwos%2Fwoscc%2Ffull-record%2FWOS:001117985100070","View Full Record in Web of Science")</f>
        <v>View Full Record in Web of Science</v>
      </c>
    </row>
    <row r="1629" spans="1:72" x14ac:dyDescent="0.2">
      <c r="A1629" t="s">
        <v>103</v>
      </c>
      <c r="B1629" t="s">
        <v>28927</v>
      </c>
      <c r="C1629" t="s">
        <v>74</v>
      </c>
      <c r="D1629" t="s">
        <v>74</v>
      </c>
      <c r="E1629" t="s">
        <v>74</v>
      </c>
      <c r="F1629" t="s">
        <v>28928</v>
      </c>
      <c r="G1629" t="s">
        <v>74</v>
      </c>
      <c r="H1629" t="s">
        <v>74</v>
      </c>
      <c r="I1629" t="s">
        <v>28929</v>
      </c>
      <c r="J1629" t="s">
        <v>28930</v>
      </c>
      <c r="K1629" t="s">
        <v>74</v>
      </c>
      <c r="L1629" t="s">
        <v>74</v>
      </c>
      <c r="M1629" t="s">
        <v>79</v>
      </c>
      <c r="N1629" t="s">
        <v>108</v>
      </c>
      <c r="O1629" t="s">
        <v>74</v>
      </c>
      <c r="P1629" t="s">
        <v>74</v>
      </c>
      <c r="Q1629" t="s">
        <v>74</v>
      </c>
      <c r="R1629" t="s">
        <v>74</v>
      </c>
      <c r="S1629" t="s">
        <v>74</v>
      </c>
      <c r="T1629" t="s">
        <v>28931</v>
      </c>
      <c r="U1629" t="s">
        <v>28932</v>
      </c>
      <c r="V1629" t="s">
        <v>28933</v>
      </c>
      <c r="W1629" t="s">
        <v>28934</v>
      </c>
      <c r="X1629" t="s">
        <v>28935</v>
      </c>
      <c r="Y1629" t="s">
        <v>28936</v>
      </c>
      <c r="Z1629" t="s">
        <v>28937</v>
      </c>
      <c r="AA1629" t="s">
        <v>74</v>
      </c>
      <c r="AB1629" t="s">
        <v>28938</v>
      </c>
      <c r="AC1629" t="s">
        <v>28939</v>
      </c>
      <c r="AD1629" t="s">
        <v>28940</v>
      </c>
      <c r="AE1629" t="s">
        <v>28941</v>
      </c>
      <c r="AF1629" t="s">
        <v>74</v>
      </c>
      <c r="AG1629">
        <v>56</v>
      </c>
      <c r="AH1629">
        <v>1</v>
      </c>
      <c r="AI1629">
        <v>1</v>
      </c>
      <c r="AJ1629">
        <v>1</v>
      </c>
      <c r="AK1629">
        <v>2</v>
      </c>
      <c r="AL1629" t="s">
        <v>244</v>
      </c>
      <c r="AM1629" t="s">
        <v>245</v>
      </c>
      <c r="AN1629" t="s">
        <v>246</v>
      </c>
      <c r="AO1629" t="s">
        <v>28942</v>
      </c>
      <c r="AP1629" t="s">
        <v>28943</v>
      </c>
      <c r="AQ1629" t="s">
        <v>74</v>
      </c>
      <c r="AR1629" t="s">
        <v>28944</v>
      </c>
      <c r="AS1629" t="s">
        <v>28945</v>
      </c>
      <c r="AT1629" t="s">
        <v>467</v>
      </c>
      <c r="AU1629">
        <v>2023</v>
      </c>
      <c r="AV1629">
        <v>71</v>
      </c>
      <c r="AW1629">
        <v>5</v>
      </c>
      <c r="AX1629" t="s">
        <v>74</v>
      </c>
      <c r="AY1629" t="s">
        <v>74</v>
      </c>
      <c r="AZ1629" t="s">
        <v>74</v>
      </c>
      <c r="BA1629" t="s">
        <v>74</v>
      </c>
      <c r="BB1629">
        <v>2089</v>
      </c>
      <c r="BC1629">
        <v>2106</v>
      </c>
      <c r="BD1629" t="s">
        <v>74</v>
      </c>
      <c r="BE1629" t="s">
        <v>28946</v>
      </c>
      <c r="BF1629" t="str">
        <f>HYPERLINK("http://dx.doi.org/10.1007/s11600-023-01128-y","http://dx.doi.org/10.1007/s11600-023-01128-y")</f>
        <v>http://dx.doi.org/10.1007/s11600-023-01128-y</v>
      </c>
      <c r="BG1629" t="s">
        <v>74</v>
      </c>
      <c r="BH1629" t="s">
        <v>1910</v>
      </c>
      <c r="BI1629">
        <v>18</v>
      </c>
      <c r="BJ1629" t="s">
        <v>28947</v>
      </c>
      <c r="BK1629" t="s">
        <v>130</v>
      </c>
      <c r="BL1629" t="s">
        <v>28947</v>
      </c>
      <c r="BM1629" t="s">
        <v>28948</v>
      </c>
      <c r="BN1629" t="s">
        <v>74</v>
      </c>
      <c r="BO1629" t="s">
        <v>74</v>
      </c>
      <c r="BP1629" t="s">
        <v>74</v>
      </c>
      <c r="BQ1629" t="s">
        <v>74</v>
      </c>
      <c r="BR1629" t="s">
        <v>101</v>
      </c>
      <c r="BS1629" t="s">
        <v>28949</v>
      </c>
      <c r="BT1629" t="str">
        <f>HYPERLINK("https%3A%2F%2Fwww.webofscience.com%2Fwos%2Fwoscc%2Ffull-record%2FWOS:001011718100001","View Full Record in Web of Science")</f>
        <v>View Full Record in Web of Science</v>
      </c>
    </row>
    <row r="1630" spans="1:72" x14ac:dyDescent="0.2">
      <c r="A1630" t="s">
        <v>72</v>
      </c>
      <c r="B1630" t="s">
        <v>28950</v>
      </c>
      <c r="C1630" t="s">
        <v>74</v>
      </c>
      <c r="D1630" t="s">
        <v>4124</v>
      </c>
      <c r="E1630" t="s">
        <v>74</v>
      </c>
      <c r="F1630" t="s">
        <v>28951</v>
      </c>
      <c r="G1630" t="s">
        <v>74</v>
      </c>
      <c r="H1630" t="s">
        <v>74</v>
      </c>
      <c r="I1630" t="s">
        <v>28952</v>
      </c>
      <c r="J1630" t="s">
        <v>4127</v>
      </c>
      <c r="K1630" t="s">
        <v>4128</v>
      </c>
      <c r="L1630" t="s">
        <v>74</v>
      </c>
      <c r="M1630" t="s">
        <v>79</v>
      </c>
      <c r="N1630" t="s">
        <v>80</v>
      </c>
      <c r="O1630" t="s">
        <v>4129</v>
      </c>
      <c r="P1630" t="s">
        <v>4130</v>
      </c>
      <c r="Q1630" t="s">
        <v>4131</v>
      </c>
      <c r="R1630" t="s">
        <v>4132</v>
      </c>
      <c r="S1630" t="s">
        <v>74</v>
      </c>
      <c r="T1630" t="s">
        <v>74</v>
      </c>
      <c r="U1630" t="s">
        <v>11395</v>
      </c>
      <c r="V1630" t="s">
        <v>28953</v>
      </c>
      <c r="W1630" t="s">
        <v>28954</v>
      </c>
      <c r="X1630" t="s">
        <v>12520</v>
      </c>
      <c r="Y1630" t="s">
        <v>28955</v>
      </c>
      <c r="Z1630" t="s">
        <v>28956</v>
      </c>
      <c r="AA1630" t="s">
        <v>74</v>
      </c>
      <c r="AB1630" t="s">
        <v>74</v>
      </c>
      <c r="AC1630" t="s">
        <v>74</v>
      </c>
      <c r="AD1630" t="s">
        <v>74</v>
      </c>
      <c r="AE1630" t="s">
        <v>74</v>
      </c>
      <c r="AF1630" t="s">
        <v>74</v>
      </c>
      <c r="AG1630">
        <v>23</v>
      </c>
      <c r="AH1630">
        <v>0</v>
      </c>
      <c r="AI1630">
        <v>0</v>
      </c>
      <c r="AJ1630">
        <v>0</v>
      </c>
      <c r="AK1630">
        <v>0</v>
      </c>
      <c r="AL1630" t="s">
        <v>284</v>
      </c>
      <c r="AM1630" t="s">
        <v>93</v>
      </c>
      <c r="AN1630" t="s">
        <v>299</v>
      </c>
      <c r="AO1630" t="s">
        <v>4144</v>
      </c>
      <c r="AP1630" t="s">
        <v>74</v>
      </c>
      <c r="AQ1630" t="s">
        <v>4145</v>
      </c>
      <c r="AR1630" t="s">
        <v>4146</v>
      </c>
      <c r="AS1630" t="s">
        <v>74</v>
      </c>
      <c r="AT1630" t="s">
        <v>74</v>
      </c>
      <c r="AU1630">
        <v>2023</v>
      </c>
      <c r="AV1630" t="s">
        <v>74</v>
      </c>
      <c r="AW1630" t="s">
        <v>74</v>
      </c>
      <c r="AX1630" t="s">
        <v>74</v>
      </c>
      <c r="AY1630" t="s">
        <v>74</v>
      </c>
      <c r="AZ1630" t="s">
        <v>74</v>
      </c>
      <c r="BA1630" t="s">
        <v>74</v>
      </c>
      <c r="BB1630" t="s">
        <v>74</v>
      </c>
      <c r="BC1630" t="s">
        <v>74</v>
      </c>
      <c r="BD1630" t="s">
        <v>74</v>
      </c>
      <c r="BE1630" t="s">
        <v>74</v>
      </c>
      <c r="BF1630" t="s">
        <v>74</v>
      </c>
      <c r="BG1630" t="s">
        <v>74</v>
      </c>
      <c r="BH1630" t="s">
        <v>74</v>
      </c>
      <c r="BI1630">
        <v>7</v>
      </c>
      <c r="BJ1630" t="s">
        <v>1385</v>
      </c>
      <c r="BK1630" t="s">
        <v>98</v>
      </c>
      <c r="BL1630" t="s">
        <v>1386</v>
      </c>
      <c r="BM1630" t="s">
        <v>4147</v>
      </c>
      <c r="BN1630" t="s">
        <v>74</v>
      </c>
      <c r="BO1630" t="s">
        <v>74</v>
      </c>
      <c r="BP1630" t="s">
        <v>74</v>
      </c>
      <c r="BQ1630" t="s">
        <v>74</v>
      </c>
      <c r="BR1630" t="s">
        <v>101</v>
      </c>
      <c r="BS1630" t="s">
        <v>28957</v>
      </c>
      <c r="BT1630" t="str">
        <f>HYPERLINK("https%3A%2F%2Fwww.webofscience.com%2Fwos%2Fwoscc%2Ffull-record%2FWOS:001117985100029","View Full Record in Web of Science")</f>
        <v>View Full Record in Web of Science</v>
      </c>
    </row>
    <row r="1631" spans="1:72" x14ac:dyDescent="0.2">
      <c r="A1631" t="s">
        <v>72</v>
      </c>
      <c r="B1631" t="s">
        <v>28958</v>
      </c>
      <c r="C1631" t="s">
        <v>74</v>
      </c>
      <c r="D1631" t="s">
        <v>4124</v>
      </c>
      <c r="E1631" t="s">
        <v>74</v>
      </c>
      <c r="F1631" t="s">
        <v>28959</v>
      </c>
      <c r="G1631" t="s">
        <v>74</v>
      </c>
      <c r="H1631" t="s">
        <v>74</v>
      </c>
      <c r="I1631" t="s">
        <v>28960</v>
      </c>
      <c r="J1631" t="s">
        <v>4127</v>
      </c>
      <c r="K1631" t="s">
        <v>4128</v>
      </c>
      <c r="L1631" t="s">
        <v>74</v>
      </c>
      <c r="M1631" t="s">
        <v>79</v>
      </c>
      <c r="N1631" t="s">
        <v>80</v>
      </c>
      <c r="O1631" t="s">
        <v>4129</v>
      </c>
      <c r="P1631" t="s">
        <v>4130</v>
      </c>
      <c r="Q1631" t="s">
        <v>4131</v>
      </c>
      <c r="R1631" t="s">
        <v>4132</v>
      </c>
      <c r="S1631" t="s">
        <v>74</v>
      </c>
      <c r="T1631" t="s">
        <v>28961</v>
      </c>
      <c r="U1631" t="s">
        <v>74</v>
      </c>
      <c r="V1631" t="s">
        <v>28962</v>
      </c>
      <c r="W1631" t="s">
        <v>28963</v>
      </c>
      <c r="X1631" t="s">
        <v>74</v>
      </c>
      <c r="Y1631" t="s">
        <v>28964</v>
      </c>
      <c r="Z1631" t="s">
        <v>28965</v>
      </c>
      <c r="AA1631" t="s">
        <v>74</v>
      </c>
      <c r="AB1631" t="s">
        <v>74</v>
      </c>
      <c r="AC1631" t="s">
        <v>74</v>
      </c>
      <c r="AD1631" t="s">
        <v>74</v>
      </c>
      <c r="AE1631" t="s">
        <v>74</v>
      </c>
      <c r="AF1631" t="s">
        <v>74</v>
      </c>
      <c r="AG1631">
        <v>11</v>
      </c>
      <c r="AH1631">
        <v>0</v>
      </c>
      <c r="AI1631">
        <v>0</v>
      </c>
      <c r="AJ1631">
        <v>0</v>
      </c>
      <c r="AK1631">
        <v>0</v>
      </c>
      <c r="AL1631" t="s">
        <v>284</v>
      </c>
      <c r="AM1631" t="s">
        <v>93</v>
      </c>
      <c r="AN1631" t="s">
        <v>299</v>
      </c>
      <c r="AO1631" t="s">
        <v>4144</v>
      </c>
      <c r="AP1631" t="s">
        <v>74</v>
      </c>
      <c r="AQ1631" t="s">
        <v>4145</v>
      </c>
      <c r="AR1631" t="s">
        <v>4146</v>
      </c>
      <c r="AS1631" t="s">
        <v>74</v>
      </c>
      <c r="AT1631" t="s">
        <v>74</v>
      </c>
      <c r="AU1631">
        <v>2023</v>
      </c>
      <c r="AV1631" t="s">
        <v>74</v>
      </c>
      <c r="AW1631" t="s">
        <v>74</v>
      </c>
      <c r="AX1631" t="s">
        <v>74</v>
      </c>
      <c r="AY1631" t="s">
        <v>74</v>
      </c>
      <c r="AZ1631" t="s">
        <v>74</v>
      </c>
      <c r="BA1631" t="s">
        <v>74</v>
      </c>
      <c r="BB1631" t="s">
        <v>74</v>
      </c>
      <c r="BC1631" t="s">
        <v>74</v>
      </c>
      <c r="BD1631" t="s">
        <v>74</v>
      </c>
      <c r="BE1631" t="s">
        <v>74</v>
      </c>
      <c r="BF1631" t="s">
        <v>74</v>
      </c>
      <c r="BG1631" t="s">
        <v>74</v>
      </c>
      <c r="BH1631" t="s">
        <v>74</v>
      </c>
      <c r="BI1631">
        <v>5</v>
      </c>
      <c r="BJ1631" t="s">
        <v>1385</v>
      </c>
      <c r="BK1631" t="s">
        <v>98</v>
      </c>
      <c r="BL1631" t="s">
        <v>1386</v>
      </c>
      <c r="BM1631" t="s">
        <v>4147</v>
      </c>
      <c r="BN1631" t="s">
        <v>74</v>
      </c>
      <c r="BO1631" t="s">
        <v>74</v>
      </c>
      <c r="BP1631" t="s">
        <v>74</v>
      </c>
      <c r="BQ1631" t="s">
        <v>74</v>
      </c>
      <c r="BR1631" t="s">
        <v>101</v>
      </c>
      <c r="BS1631" t="s">
        <v>28966</v>
      </c>
      <c r="BT1631" t="str">
        <f>HYPERLINK("https%3A%2F%2Fwww.webofscience.com%2Fwos%2Fwoscc%2Ffull-record%2FWOS:001117985100046","View Full Record in Web of Science")</f>
        <v>View Full Record in Web of Science</v>
      </c>
    </row>
    <row r="1632" spans="1:72" x14ac:dyDescent="0.2">
      <c r="A1632" t="s">
        <v>103</v>
      </c>
      <c r="B1632" t="s">
        <v>28967</v>
      </c>
      <c r="C1632" t="s">
        <v>74</v>
      </c>
      <c r="D1632" t="s">
        <v>74</v>
      </c>
      <c r="E1632" t="s">
        <v>74</v>
      </c>
      <c r="F1632" t="s">
        <v>28968</v>
      </c>
      <c r="G1632" t="s">
        <v>74</v>
      </c>
      <c r="H1632" t="s">
        <v>74</v>
      </c>
      <c r="I1632" t="s">
        <v>28969</v>
      </c>
      <c r="J1632" t="s">
        <v>28970</v>
      </c>
      <c r="K1632" t="s">
        <v>74</v>
      </c>
      <c r="L1632" t="s">
        <v>74</v>
      </c>
      <c r="M1632" t="s">
        <v>79</v>
      </c>
      <c r="N1632" t="s">
        <v>108</v>
      </c>
      <c r="O1632" t="s">
        <v>74</v>
      </c>
      <c r="P1632" t="s">
        <v>74</v>
      </c>
      <c r="Q1632" t="s">
        <v>74</v>
      </c>
      <c r="R1632" t="s">
        <v>74</v>
      </c>
      <c r="S1632" t="s">
        <v>74</v>
      </c>
      <c r="T1632" t="s">
        <v>28971</v>
      </c>
      <c r="U1632" t="s">
        <v>28972</v>
      </c>
      <c r="V1632" t="s">
        <v>28973</v>
      </c>
      <c r="W1632" t="s">
        <v>28974</v>
      </c>
      <c r="X1632" t="s">
        <v>28975</v>
      </c>
      <c r="Y1632" t="s">
        <v>28976</v>
      </c>
      <c r="Z1632" t="s">
        <v>28977</v>
      </c>
      <c r="AA1632" t="s">
        <v>74</v>
      </c>
      <c r="AB1632" t="s">
        <v>28978</v>
      </c>
      <c r="AC1632" t="s">
        <v>28979</v>
      </c>
      <c r="AD1632" t="s">
        <v>28980</v>
      </c>
      <c r="AE1632" t="s">
        <v>28981</v>
      </c>
      <c r="AF1632" t="s">
        <v>74</v>
      </c>
      <c r="AG1632">
        <v>38</v>
      </c>
      <c r="AH1632">
        <v>0</v>
      </c>
      <c r="AI1632">
        <v>0</v>
      </c>
      <c r="AJ1632">
        <v>2</v>
      </c>
      <c r="AK1632">
        <v>2</v>
      </c>
      <c r="AL1632" t="s">
        <v>14835</v>
      </c>
      <c r="AM1632" t="s">
        <v>14836</v>
      </c>
      <c r="AN1632" t="s">
        <v>14837</v>
      </c>
      <c r="AO1632" t="s">
        <v>28982</v>
      </c>
      <c r="AP1632" t="s">
        <v>28983</v>
      </c>
      <c r="AQ1632" t="s">
        <v>74</v>
      </c>
      <c r="AR1632" t="s">
        <v>28984</v>
      </c>
      <c r="AS1632" t="s">
        <v>28985</v>
      </c>
      <c r="AT1632" t="s">
        <v>126</v>
      </c>
      <c r="AU1632">
        <v>2024</v>
      </c>
      <c r="AV1632">
        <v>39</v>
      </c>
      <c r="AW1632" t="s">
        <v>74</v>
      </c>
      <c r="AX1632" t="s">
        <v>74</v>
      </c>
      <c r="AY1632" t="s">
        <v>74</v>
      </c>
      <c r="AZ1632" t="s">
        <v>74</v>
      </c>
      <c r="BA1632" t="s">
        <v>74</v>
      </c>
      <c r="BB1632" t="s">
        <v>74</v>
      </c>
      <c r="BC1632" t="s">
        <v>74</v>
      </c>
      <c r="BD1632">
        <v>100929</v>
      </c>
      <c r="BE1632" t="s">
        <v>28986</v>
      </c>
      <c r="BF1632" t="str">
        <f>HYPERLINK("http://dx.doi.org/10.1016/j.srhc.2023.100929","http://dx.doi.org/10.1016/j.srhc.2023.100929")</f>
        <v>http://dx.doi.org/10.1016/j.srhc.2023.100929</v>
      </c>
      <c r="BG1632" t="s">
        <v>74</v>
      </c>
      <c r="BH1632" t="s">
        <v>128</v>
      </c>
      <c r="BI1632">
        <v>8</v>
      </c>
      <c r="BJ1632" t="s">
        <v>10919</v>
      </c>
      <c r="BK1632" t="s">
        <v>159</v>
      </c>
      <c r="BL1632" t="s">
        <v>10919</v>
      </c>
      <c r="BM1632" t="s">
        <v>28987</v>
      </c>
      <c r="BN1632">
        <v>38041928</v>
      </c>
      <c r="BO1632" t="s">
        <v>161</v>
      </c>
      <c r="BP1632" t="s">
        <v>74</v>
      </c>
      <c r="BQ1632" t="s">
        <v>74</v>
      </c>
      <c r="BR1632" t="s">
        <v>101</v>
      </c>
      <c r="BS1632" t="s">
        <v>28988</v>
      </c>
      <c r="BT1632" t="str">
        <f>HYPERLINK("https%3A%2F%2Fwww.webofscience.com%2Fwos%2Fwoscc%2Ffull-record%2FWOS:001133616200001","View Full Record in Web of Science")</f>
        <v>View Full Record in Web of Science</v>
      </c>
    </row>
    <row r="1633" spans="1:72" x14ac:dyDescent="0.2">
      <c r="A1633" t="s">
        <v>72</v>
      </c>
      <c r="B1633" t="s">
        <v>28989</v>
      </c>
      <c r="C1633" t="s">
        <v>74</v>
      </c>
      <c r="D1633" t="s">
        <v>4124</v>
      </c>
      <c r="E1633" t="s">
        <v>74</v>
      </c>
      <c r="F1633" t="s">
        <v>28990</v>
      </c>
      <c r="G1633" t="s">
        <v>74</v>
      </c>
      <c r="H1633" t="s">
        <v>74</v>
      </c>
      <c r="I1633" t="s">
        <v>28991</v>
      </c>
      <c r="J1633" t="s">
        <v>4127</v>
      </c>
      <c r="K1633" t="s">
        <v>4128</v>
      </c>
      <c r="L1633" t="s">
        <v>74</v>
      </c>
      <c r="M1633" t="s">
        <v>79</v>
      </c>
      <c r="N1633" t="s">
        <v>80</v>
      </c>
      <c r="O1633" t="s">
        <v>4129</v>
      </c>
      <c r="P1633" t="s">
        <v>4130</v>
      </c>
      <c r="Q1633" t="s">
        <v>4131</v>
      </c>
      <c r="R1633" t="s">
        <v>4132</v>
      </c>
      <c r="S1633" t="s">
        <v>74</v>
      </c>
      <c r="T1633" t="s">
        <v>28992</v>
      </c>
      <c r="U1633" t="s">
        <v>74</v>
      </c>
      <c r="V1633" t="s">
        <v>28993</v>
      </c>
      <c r="W1633" t="s">
        <v>28994</v>
      </c>
      <c r="X1633" t="s">
        <v>28328</v>
      </c>
      <c r="Y1633" t="s">
        <v>28995</v>
      </c>
      <c r="Z1633" t="s">
        <v>28996</v>
      </c>
      <c r="AA1633" t="s">
        <v>74</v>
      </c>
      <c r="AB1633" t="s">
        <v>74</v>
      </c>
      <c r="AC1633" t="s">
        <v>28997</v>
      </c>
      <c r="AD1633" t="s">
        <v>28998</v>
      </c>
      <c r="AE1633" t="s">
        <v>28999</v>
      </c>
      <c r="AF1633" t="s">
        <v>74</v>
      </c>
      <c r="AG1633">
        <v>17</v>
      </c>
      <c r="AH1633">
        <v>0</v>
      </c>
      <c r="AI1633">
        <v>0</v>
      </c>
      <c r="AJ1633">
        <v>0</v>
      </c>
      <c r="AK1633">
        <v>0</v>
      </c>
      <c r="AL1633" t="s">
        <v>284</v>
      </c>
      <c r="AM1633" t="s">
        <v>93</v>
      </c>
      <c r="AN1633" t="s">
        <v>299</v>
      </c>
      <c r="AO1633" t="s">
        <v>4144</v>
      </c>
      <c r="AP1633" t="s">
        <v>74</v>
      </c>
      <c r="AQ1633" t="s">
        <v>4145</v>
      </c>
      <c r="AR1633" t="s">
        <v>4146</v>
      </c>
      <c r="AS1633" t="s">
        <v>74</v>
      </c>
      <c r="AT1633" t="s">
        <v>74</v>
      </c>
      <c r="AU1633">
        <v>2023</v>
      </c>
      <c r="AV1633" t="s">
        <v>74</v>
      </c>
      <c r="AW1633" t="s">
        <v>74</v>
      </c>
      <c r="AX1633" t="s">
        <v>74</v>
      </c>
      <c r="AY1633" t="s">
        <v>74</v>
      </c>
      <c r="AZ1633" t="s">
        <v>74</v>
      </c>
      <c r="BA1633" t="s">
        <v>74</v>
      </c>
      <c r="BB1633" t="s">
        <v>74</v>
      </c>
      <c r="BC1633" t="s">
        <v>74</v>
      </c>
      <c r="BD1633" t="s">
        <v>74</v>
      </c>
      <c r="BE1633" t="s">
        <v>74</v>
      </c>
      <c r="BF1633" t="s">
        <v>74</v>
      </c>
      <c r="BG1633" t="s">
        <v>74</v>
      </c>
      <c r="BH1633" t="s">
        <v>74</v>
      </c>
      <c r="BI1633">
        <v>7</v>
      </c>
      <c r="BJ1633" t="s">
        <v>1385</v>
      </c>
      <c r="BK1633" t="s">
        <v>98</v>
      </c>
      <c r="BL1633" t="s">
        <v>1386</v>
      </c>
      <c r="BM1633" t="s">
        <v>4147</v>
      </c>
      <c r="BN1633" t="s">
        <v>74</v>
      </c>
      <c r="BO1633" t="s">
        <v>74</v>
      </c>
      <c r="BP1633" t="s">
        <v>74</v>
      </c>
      <c r="BQ1633" t="s">
        <v>74</v>
      </c>
      <c r="BR1633" t="s">
        <v>101</v>
      </c>
      <c r="BS1633" t="s">
        <v>29000</v>
      </c>
      <c r="BT1633" t="str">
        <f>HYPERLINK("https%3A%2F%2Fwww.webofscience.com%2Fwos%2Fwoscc%2Ffull-record%2FWOS:001117985100044","View Full Record in Web of Science")</f>
        <v>View Full Record in Web of Science</v>
      </c>
    </row>
    <row r="1634" spans="1:72" x14ac:dyDescent="0.2">
      <c r="A1634" t="s">
        <v>72</v>
      </c>
      <c r="B1634" t="s">
        <v>29001</v>
      </c>
      <c r="C1634" t="s">
        <v>74</v>
      </c>
      <c r="D1634" t="s">
        <v>4124</v>
      </c>
      <c r="E1634" t="s">
        <v>74</v>
      </c>
      <c r="F1634" t="s">
        <v>29002</v>
      </c>
      <c r="G1634" t="s">
        <v>74</v>
      </c>
      <c r="H1634" t="s">
        <v>74</v>
      </c>
      <c r="I1634" t="s">
        <v>29003</v>
      </c>
      <c r="J1634" t="s">
        <v>4127</v>
      </c>
      <c r="K1634" t="s">
        <v>4128</v>
      </c>
      <c r="L1634" t="s">
        <v>74</v>
      </c>
      <c r="M1634" t="s">
        <v>79</v>
      </c>
      <c r="N1634" t="s">
        <v>80</v>
      </c>
      <c r="O1634" t="s">
        <v>4129</v>
      </c>
      <c r="P1634" t="s">
        <v>4130</v>
      </c>
      <c r="Q1634" t="s">
        <v>4131</v>
      </c>
      <c r="R1634" t="s">
        <v>4132</v>
      </c>
      <c r="S1634" t="s">
        <v>74</v>
      </c>
      <c r="T1634" t="s">
        <v>29004</v>
      </c>
      <c r="U1634" t="s">
        <v>74</v>
      </c>
      <c r="V1634" t="s">
        <v>29005</v>
      </c>
      <c r="W1634" t="s">
        <v>29006</v>
      </c>
      <c r="X1634" t="s">
        <v>28632</v>
      </c>
      <c r="Y1634" t="s">
        <v>29007</v>
      </c>
      <c r="Z1634" t="s">
        <v>74</v>
      </c>
      <c r="AA1634" t="s">
        <v>74</v>
      </c>
      <c r="AB1634" t="s">
        <v>74</v>
      </c>
      <c r="AC1634" t="s">
        <v>29008</v>
      </c>
      <c r="AD1634" t="s">
        <v>29009</v>
      </c>
      <c r="AE1634" t="s">
        <v>29010</v>
      </c>
      <c r="AF1634" t="s">
        <v>74</v>
      </c>
      <c r="AG1634">
        <v>18</v>
      </c>
      <c r="AH1634">
        <v>0</v>
      </c>
      <c r="AI1634">
        <v>0</v>
      </c>
      <c r="AJ1634">
        <v>0</v>
      </c>
      <c r="AK1634">
        <v>0</v>
      </c>
      <c r="AL1634" t="s">
        <v>284</v>
      </c>
      <c r="AM1634" t="s">
        <v>93</v>
      </c>
      <c r="AN1634" t="s">
        <v>299</v>
      </c>
      <c r="AO1634" t="s">
        <v>4144</v>
      </c>
      <c r="AP1634" t="s">
        <v>74</v>
      </c>
      <c r="AQ1634" t="s">
        <v>4145</v>
      </c>
      <c r="AR1634" t="s">
        <v>4146</v>
      </c>
      <c r="AS1634" t="s">
        <v>74</v>
      </c>
      <c r="AT1634" t="s">
        <v>74</v>
      </c>
      <c r="AU1634">
        <v>2023</v>
      </c>
      <c r="AV1634" t="s">
        <v>74</v>
      </c>
      <c r="AW1634" t="s">
        <v>74</v>
      </c>
      <c r="AX1634" t="s">
        <v>74</v>
      </c>
      <c r="AY1634" t="s">
        <v>74</v>
      </c>
      <c r="AZ1634" t="s">
        <v>74</v>
      </c>
      <c r="BA1634" t="s">
        <v>74</v>
      </c>
      <c r="BB1634" t="s">
        <v>74</v>
      </c>
      <c r="BC1634" t="s">
        <v>74</v>
      </c>
      <c r="BD1634" t="s">
        <v>74</v>
      </c>
      <c r="BE1634" t="s">
        <v>74</v>
      </c>
      <c r="BF1634" t="s">
        <v>74</v>
      </c>
      <c r="BG1634" t="s">
        <v>74</v>
      </c>
      <c r="BH1634" t="s">
        <v>74</v>
      </c>
      <c r="BI1634">
        <v>5</v>
      </c>
      <c r="BJ1634" t="s">
        <v>1385</v>
      </c>
      <c r="BK1634" t="s">
        <v>98</v>
      </c>
      <c r="BL1634" t="s">
        <v>1386</v>
      </c>
      <c r="BM1634" t="s">
        <v>4147</v>
      </c>
      <c r="BN1634" t="s">
        <v>74</v>
      </c>
      <c r="BO1634" t="s">
        <v>74</v>
      </c>
      <c r="BP1634" t="s">
        <v>74</v>
      </c>
      <c r="BQ1634" t="s">
        <v>74</v>
      </c>
      <c r="BR1634" t="s">
        <v>101</v>
      </c>
      <c r="BS1634" t="s">
        <v>29011</v>
      </c>
      <c r="BT1634" t="str">
        <f>HYPERLINK("https%3A%2F%2Fwww.webofscience.com%2Fwos%2Fwoscc%2Ffull-record%2FWOS:001117985100042","View Full Record in Web of Science")</f>
        <v>View Full Record in Web of Science</v>
      </c>
    </row>
    <row r="1635" spans="1:72" x14ac:dyDescent="0.2">
      <c r="A1635" t="s">
        <v>72</v>
      </c>
      <c r="B1635" t="s">
        <v>29012</v>
      </c>
      <c r="C1635" t="s">
        <v>74</v>
      </c>
      <c r="D1635" t="s">
        <v>4124</v>
      </c>
      <c r="E1635" t="s">
        <v>74</v>
      </c>
      <c r="F1635" t="s">
        <v>29013</v>
      </c>
      <c r="G1635" t="s">
        <v>74</v>
      </c>
      <c r="H1635" t="s">
        <v>74</v>
      </c>
      <c r="I1635" t="s">
        <v>29014</v>
      </c>
      <c r="J1635" t="s">
        <v>4127</v>
      </c>
      <c r="K1635" t="s">
        <v>4128</v>
      </c>
      <c r="L1635" t="s">
        <v>74</v>
      </c>
      <c r="M1635" t="s">
        <v>79</v>
      </c>
      <c r="N1635" t="s">
        <v>80</v>
      </c>
      <c r="O1635" t="s">
        <v>4129</v>
      </c>
      <c r="P1635" t="s">
        <v>4130</v>
      </c>
      <c r="Q1635" t="s">
        <v>4131</v>
      </c>
      <c r="R1635" t="s">
        <v>4132</v>
      </c>
      <c r="S1635" t="s">
        <v>74</v>
      </c>
      <c r="T1635" t="s">
        <v>29015</v>
      </c>
      <c r="U1635" t="s">
        <v>29016</v>
      </c>
      <c r="V1635" t="s">
        <v>29017</v>
      </c>
      <c r="W1635" t="s">
        <v>29018</v>
      </c>
      <c r="X1635" t="s">
        <v>29019</v>
      </c>
      <c r="Y1635" t="s">
        <v>29020</v>
      </c>
      <c r="Z1635" t="s">
        <v>74</v>
      </c>
      <c r="AA1635" t="s">
        <v>29021</v>
      </c>
      <c r="AB1635" t="s">
        <v>29022</v>
      </c>
      <c r="AC1635" t="s">
        <v>29023</v>
      </c>
      <c r="AD1635" t="s">
        <v>29024</v>
      </c>
      <c r="AE1635" t="s">
        <v>29025</v>
      </c>
      <c r="AF1635" t="s">
        <v>74</v>
      </c>
      <c r="AG1635">
        <v>16</v>
      </c>
      <c r="AH1635">
        <v>0</v>
      </c>
      <c r="AI1635">
        <v>0</v>
      </c>
      <c r="AJ1635">
        <v>0</v>
      </c>
      <c r="AK1635">
        <v>0</v>
      </c>
      <c r="AL1635" t="s">
        <v>284</v>
      </c>
      <c r="AM1635" t="s">
        <v>93</v>
      </c>
      <c r="AN1635" t="s">
        <v>299</v>
      </c>
      <c r="AO1635" t="s">
        <v>4144</v>
      </c>
      <c r="AP1635" t="s">
        <v>74</v>
      </c>
      <c r="AQ1635" t="s">
        <v>4145</v>
      </c>
      <c r="AR1635" t="s">
        <v>4146</v>
      </c>
      <c r="AS1635" t="s">
        <v>74</v>
      </c>
      <c r="AT1635" t="s">
        <v>74</v>
      </c>
      <c r="AU1635">
        <v>2023</v>
      </c>
      <c r="AV1635" t="s">
        <v>74</v>
      </c>
      <c r="AW1635" t="s">
        <v>74</v>
      </c>
      <c r="AX1635" t="s">
        <v>74</v>
      </c>
      <c r="AY1635" t="s">
        <v>74</v>
      </c>
      <c r="AZ1635" t="s">
        <v>74</v>
      </c>
      <c r="BA1635" t="s">
        <v>74</v>
      </c>
      <c r="BB1635" t="s">
        <v>74</v>
      </c>
      <c r="BC1635" t="s">
        <v>74</v>
      </c>
      <c r="BD1635" t="s">
        <v>74</v>
      </c>
      <c r="BE1635" t="s">
        <v>74</v>
      </c>
      <c r="BF1635" t="s">
        <v>74</v>
      </c>
      <c r="BG1635" t="s">
        <v>74</v>
      </c>
      <c r="BH1635" t="s">
        <v>74</v>
      </c>
      <c r="BI1635">
        <v>5</v>
      </c>
      <c r="BJ1635" t="s">
        <v>1385</v>
      </c>
      <c r="BK1635" t="s">
        <v>98</v>
      </c>
      <c r="BL1635" t="s">
        <v>1386</v>
      </c>
      <c r="BM1635" t="s">
        <v>4147</v>
      </c>
      <c r="BN1635" t="s">
        <v>74</v>
      </c>
      <c r="BO1635" t="s">
        <v>74</v>
      </c>
      <c r="BP1635" t="s">
        <v>74</v>
      </c>
      <c r="BQ1635" t="s">
        <v>74</v>
      </c>
      <c r="BR1635" t="s">
        <v>101</v>
      </c>
      <c r="BS1635" t="s">
        <v>29026</v>
      </c>
      <c r="BT1635" t="str">
        <f>HYPERLINK("https%3A%2F%2Fwww.webofscience.com%2Fwos%2Fwoscc%2Ffull-record%2FWOS:001117985100006","View Full Record in Web of Science")</f>
        <v>View Full Record in Web of Science</v>
      </c>
    </row>
    <row r="1636" spans="1:72" x14ac:dyDescent="0.2">
      <c r="A1636" t="s">
        <v>72</v>
      </c>
      <c r="B1636" t="s">
        <v>29027</v>
      </c>
      <c r="C1636" t="s">
        <v>74</v>
      </c>
      <c r="D1636" t="s">
        <v>4124</v>
      </c>
      <c r="E1636" t="s">
        <v>74</v>
      </c>
      <c r="F1636" t="s">
        <v>29028</v>
      </c>
      <c r="G1636" t="s">
        <v>74</v>
      </c>
      <c r="H1636" t="s">
        <v>74</v>
      </c>
      <c r="I1636" t="s">
        <v>29029</v>
      </c>
      <c r="J1636" t="s">
        <v>4127</v>
      </c>
      <c r="K1636" t="s">
        <v>4128</v>
      </c>
      <c r="L1636" t="s">
        <v>74</v>
      </c>
      <c r="M1636" t="s">
        <v>79</v>
      </c>
      <c r="N1636" t="s">
        <v>80</v>
      </c>
      <c r="O1636" t="s">
        <v>4129</v>
      </c>
      <c r="P1636" t="s">
        <v>4130</v>
      </c>
      <c r="Q1636" t="s">
        <v>4131</v>
      </c>
      <c r="R1636" t="s">
        <v>4132</v>
      </c>
      <c r="S1636" t="s">
        <v>74</v>
      </c>
      <c r="T1636" t="s">
        <v>29030</v>
      </c>
      <c r="U1636" t="s">
        <v>74</v>
      </c>
      <c r="V1636" t="s">
        <v>29031</v>
      </c>
      <c r="W1636" t="s">
        <v>29032</v>
      </c>
      <c r="X1636" t="s">
        <v>29033</v>
      </c>
      <c r="Y1636" t="s">
        <v>29034</v>
      </c>
      <c r="Z1636" t="s">
        <v>29035</v>
      </c>
      <c r="AA1636" t="s">
        <v>74</v>
      </c>
      <c r="AB1636" t="s">
        <v>74</v>
      </c>
      <c r="AC1636" t="s">
        <v>29036</v>
      </c>
      <c r="AD1636" t="s">
        <v>29037</v>
      </c>
      <c r="AE1636" t="s">
        <v>29038</v>
      </c>
      <c r="AF1636" t="s">
        <v>74</v>
      </c>
      <c r="AG1636">
        <v>30</v>
      </c>
      <c r="AH1636">
        <v>0</v>
      </c>
      <c r="AI1636">
        <v>0</v>
      </c>
      <c r="AJ1636">
        <v>0</v>
      </c>
      <c r="AK1636">
        <v>0</v>
      </c>
      <c r="AL1636" t="s">
        <v>284</v>
      </c>
      <c r="AM1636" t="s">
        <v>93</v>
      </c>
      <c r="AN1636" t="s">
        <v>299</v>
      </c>
      <c r="AO1636" t="s">
        <v>4144</v>
      </c>
      <c r="AP1636" t="s">
        <v>74</v>
      </c>
      <c r="AQ1636" t="s">
        <v>4145</v>
      </c>
      <c r="AR1636" t="s">
        <v>4146</v>
      </c>
      <c r="AS1636" t="s">
        <v>74</v>
      </c>
      <c r="AT1636" t="s">
        <v>74</v>
      </c>
      <c r="AU1636">
        <v>2023</v>
      </c>
      <c r="AV1636" t="s">
        <v>74</v>
      </c>
      <c r="AW1636" t="s">
        <v>74</v>
      </c>
      <c r="AX1636" t="s">
        <v>74</v>
      </c>
      <c r="AY1636" t="s">
        <v>74</v>
      </c>
      <c r="AZ1636" t="s">
        <v>74</v>
      </c>
      <c r="BA1636" t="s">
        <v>74</v>
      </c>
      <c r="BB1636" t="s">
        <v>74</v>
      </c>
      <c r="BC1636" t="s">
        <v>74</v>
      </c>
      <c r="BD1636" t="s">
        <v>74</v>
      </c>
      <c r="BE1636" t="s">
        <v>74</v>
      </c>
      <c r="BF1636" t="s">
        <v>74</v>
      </c>
      <c r="BG1636" t="s">
        <v>74</v>
      </c>
      <c r="BH1636" t="s">
        <v>74</v>
      </c>
      <c r="BI1636">
        <v>9</v>
      </c>
      <c r="BJ1636" t="s">
        <v>1385</v>
      </c>
      <c r="BK1636" t="s">
        <v>98</v>
      </c>
      <c r="BL1636" t="s">
        <v>1386</v>
      </c>
      <c r="BM1636" t="s">
        <v>4147</v>
      </c>
      <c r="BN1636" t="s">
        <v>74</v>
      </c>
      <c r="BO1636" t="s">
        <v>74</v>
      </c>
      <c r="BP1636" t="s">
        <v>74</v>
      </c>
      <c r="BQ1636" t="s">
        <v>74</v>
      </c>
      <c r="BR1636" t="s">
        <v>101</v>
      </c>
      <c r="BS1636" t="s">
        <v>29039</v>
      </c>
      <c r="BT1636" t="str">
        <f>HYPERLINK("https%3A%2F%2Fwww.webofscience.com%2Fwos%2Fwoscc%2Ffull-record%2FWOS:001117985100001","View Full Record in Web of Science")</f>
        <v>View Full Record in Web of Science</v>
      </c>
    </row>
    <row r="1637" spans="1:72" x14ac:dyDescent="0.2">
      <c r="A1637" t="s">
        <v>72</v>
      </c>
      <c r="B1637" t="s">
        <v>29040</v>
      </c>
      <c r="C1637" t="s">
        <v>74</v>
      </c>
      <c r="D1637" t="s">
        <v>4124</v>
      </c>
      <c r="E1637" t="s">
        <v>74</v>
      </c>
      <c r="F1637" t="s">
        <v>29041</v>
      </c>
      <c r="G1637" t="s">
        <v>74</v>
      </c>
      <c r="H1637" t="s">
        <v>74</v>
      </c>
      <c r="I1637" t="s">
        <v>29042</v>
      </c>
      <c r="J1637" t="s">
        <v>4127</v>
      </c>
      <c r="K1637" t="s">
        <v>4128</v>
      </c>
      <c r="L1637" t="s">
        <v>74</v>
      </c>
      <c r="M1637" t="s">
        <v>79</v>
      </c>
      <c r="N1637" t="s">
        <v>80</v>
      </c>
      <c r="O1637" t="s">
        <v>4129</v>
      </c>
      <c r="P1637" t="s">
        <v>4130</v>
      </c>
      <c r="Q1637" t="s">
        <v>4131</v>
      </c>
      <c r="R1637" t="s">
        <v>4132</v>
      </c>
      <c r="S1637" t="s">
        <v>74</v>
      </c>
      <c r="T1637" t="s">
        <v>29043</v>
      </c>
      <c r="U1637" t="s">
        <v>29044</v>
      </c>
      <c r="V1637" t="s">
        <v>29045</v>
      </c>
      <c r="W1637" t="s">
        <v>29046</v>
      </c>
      <c r="X1637" t="s">
        <v>28734</v>
      </c>
      <c r="Y1637" t="s">
        <v>29047</v>
      </c>
      <c r="Z1637" t="s">
        <v>29048</v>
      </c>
      <c r="AA1637" t="s">
        <v>28448</v>
      </c>
      <c r="AB1637" t="s">
        <v>28449</v>
      </c>
      <c r="AC1637" t="s">
        <v>28737</v>
      </c>
      <c r="AD1637" t="s">
        <v>28738</v>
      </c>
      <c r="AE1637" t="s">
        <v>28739</v>
      </c>
      <c r="AF1637" t="s">
        <v>74</v>
      </c>
      <c r="AG1637">
        <v>55</v>
      </c>
      <c r="AH1637">
        <v>0</v>
      </c>
      <c r="AI1637">
        <v>0</v>
      </c>
      <c r="AJ1637">
        <v>0</v>
      </c>
      <c r="AK1637">
        <v>0</v>
      </c>
      <c r="AL1637" t="s">
        <v>284</v>
      </c>
      <c r="AM1637" t="s">
        <v>93</v>
      </c>
      <c r="AN1637" t="s">
        <v>299</v>
      </c>
      <c r="AO1637" t="s">
        <v>4144</v>
      </c>
      <c r="AP1637" t="s">
        <v>74</v>
      </c>
      <c r="AQ1637" t="s">
        <v>4145</v>
      </c>
      <c r="AR1637" t="s">
        <v>4146</v>
      </c>
      <c r="AS1637" t="s">
        <v>74</v>
      </c>
      <c r="AT1637" t="s">
        <v>74</v>
      </c>
      <c r="AU1637">
        <v>2023</v>
      </c>
      <c r="AV1637" t="s">
        <v>74</v>
      </c>
      <c r="AW1637" t="s">
        <v>74</v>
      </c>
      <c r="AX1637" t="s">
        <v>74</v>
      </c>
      <c r="AY1637" t="s">
        <v>74</v>
      </c>
      <c r="AZ1637" t="s">
        <v>74</v>
      </c>
      <c r="BA1637" t="s">
        <v>74</v>
      </c>
      <c r="BB1637" t="s">
        <v>74</v>
      </c>
      <c r="BC1637" t="s">
        <v>74</v>
      </c>
      <c r="BD1637" t="s">
        <v>74</v>
      </c>
      <c r="BE1637" t="s">
        <v>74</v>
      </c>
      <c r="BF1637" t="s">
        <v>74</v>
      </c>
      <c r="BG1637" t="s">
        <v>74</v>
      </c>
      <c r="BH1637" t="s">
        <v>74</v>
      </c>
      <c r="BI1637">
        <v>7</v>
      </c>
      <c r="BJ1637" t="s">
        <v>1385</v>
      </c>
      <c r="BK1637" t="s">
        <v>98</v>
      </c>
      <c r="BL1637" t="s">
        <v>1386</v>
      </c>
      <c r="BM1637" t="s">
        <v>4147</v>
      </c>
      <c r="BN1637" t="s">
        <v>74</v>
      </c>
      <c r="BO1637" t="s">
        <v>74</v>
      </c>
      <c r="BP1637" t="s">
        <v>74</v>
      </c>
      <c r="BQ1637" t="s">
        <v>74</v>
      </c>
      <c r="BR1637" t="s">
        <v>101</v>
      </c>
      <c r="BS1637" t="s">
        <v>29049</v>
      </c>
      <c r="BT1637" t="str">
        <f>HYPERLINK("https%3A%2F%2Fwww.webofscience.com%2Fwos%2Fwoscc%2Ffull-record%2FWOS:001117985100052","View Full Record in Web of Science")</f>
        <v>View Full Record in Web of Science</v>
      </c>
    </row>
    <row r="1638" spans="1:72" x14ac:dyDescent="0.2">
      <c r="A1638" t="s">
        <v>72</v>
      </c>
      <c r="B1638" t="s">
        <v>29050</v>
      </c>
      <c r="C1638" t="s">
        <v>74</v>
      </c>
      <c r="D1638" t="s">
        <v>4124</v>
      </c>
      <c r="E1638" t="s">
        <v>74</v>
      </c>
      <c r="F1638" t="s">
        <v>29051</v>
      </c>
      <c r="G1638" t="s">
        <v>74</v>
      </c>
      <c r="H1638" t="s">
        <v>74</v>
      </c>
      <c r="I1638" t="s">
        <v>29052</v>
      </c>
      <c r="J1638" t="s">
        <v>4127</v>
      </c>
      <c r="K1638" t="s">
        <v>4128</v>
      </c>
      <c r="L1638" t="s">
        <v>74</v>
      </c>
      <c r="M1638" t="s">
        <v>79</v>
      </c>
      <c r="N1638" t="s">
        <v>80</v>
      </c>
      <c r="O1638" t="s">
        <v>4129</v>
      </c>
      <c r="P1638" t="s">
        <v>4130</v>
      </c>
      <c r="Q1638" t="s">
        <v>4131</v>
      </c>
      <c r="R1638" t="s">
        <v>4132</v>
      </c>
      <c r="S1638" t="s">
        <v>74</v>
      </c>
      <c r="T1638" t="s">
        <v>29053</v>
      </c>
      <c r="U1638" t="s">
        <v>74</v>
      </c>
      <c r="V1638" t="s">
        <v>29054</v>
      </c>
      <c r="W1638" t="s">
        <v>29055</v>
      </c>
      <c r="X1638" t="s">
        <v>5534</v>
      </c>
      <c r="Y1638" t="s">
        <v>29056</v>
      </c>
      <c r="Z1638" t="s">
        <v>29057</v>
      </c>
      <c r="AA1638" t="s">
        <v>74</v>
      </c>
      <c r="AB1638" t="s">
        <v>74</v>
      </c>
      <c r="AC1638" t="s">
        <v>29058</v>
      </c>
      <c r="AD1638" t="s">
        <v>29059</v>
      </c>
      <c r="AE1638" t="s">
        <v>29060</v>
      </c>
      <c r="AF1638" t="s">
        <v>74</v>
      </c>
      <c r="AG1638">
        <v>18</v>
      </c>
      <c r="AH1638">
        <v>0</v>
      </c>
      <c r="AI1638">
        <v>0</v>
      </c>
      <c r="AJ1638">
        <v>0</v>
      </c>
      <c r="AK1638">
        <v>0</v>
      </c>
      <c r="AL1638" t="s">
        <v>284</v>
      </c>
      <c r="AM1638" t="s">
        <v>93</v>
      </c>
      <c r="AN1638" t="s">
        <v>299</v>
      </c>
      <c r="AO1638" t="s">
        <v>4144</v>
      </c>
      <c r="AP1638" t="s">
        <v>74</v>
      </c>
      <c r="AQ1638" t="s">
        <v>4145</v>
      </c>
      <c r="AR1638" t="s">
        <v>4146</v>
      </c>
      <c r="AS1638" t="s">
        <v>74</v>
      </c>
      <c r="AT1638" t="s">
        <v>74</v>
      </c>
      <c r="AU1638">
        <v>2023</v>
      </c>
      <c r="AV1638" t="s">
        <v>74</v>
      </c>
      <c r="AW1638" t="s">
        <v>74</v>
      </c>
      <c r="AX1638" t="s">
        <v>74</v>
      </c>
      <c r="AY1638" t="s">
        <v>74</v>
      </c>
      <c r="AZ1638" t="s">
        <v>74</v>
      </c>
      <c r="BA1638" t="s">
        <v>74</v>
      </c>
      <c r="BB1638" t="s">
        <v>74</v>
      </c>
      <c r="BC1638" t="s">
        <v>74</v>
      </c>
      <c r="BD1638" t="s">
        <v>74</v>
      </c>
      <c r="BE1638" t="s">
        <v>74</v>
      </c>
      <c r="BF1638" t="s">
        <v>74</v>
      </c>
      <c r="BG1638" t="s">
        <v>74</v>
      </c>
      <c r="BH1638" t="s">
        <v>74</v>
      </c>
      <c r="BI1638">
        <v>5</v>
      </c>
      <c r="BJ1638" t="s">
        <v>1385</v>
      </c>
      <c r="BK1638" t="s">
        <v>98</v>
      </c>
      <c r="BL1638" t="s">
        <v>1386</v>
      </c>
      <c r="BM1638" t="s">
        <v>4147</v>
      </c>
      <c r="BN1638" t="s">
        <v>74</v>
      </c>
      <c r="BO1638" t="s">
        <v>74</v>
      </c>
      <c r="BP1638" t="s">
        <v>74</v>
      </c>
      <c r="BQ1638" t="s">
        <v>74</v>
      </c>
      <c r="BR1638" t="s">
        <v>101</v>
      </c>
      <c r="BS1638" t="s">
        <v>29061</v>
      </c>
      <c r="BT1638" t="str">
        <f>HYPERLINK("https%3A%2F%2Fwww.webofscience.com%2Fwos%2Fwoscc%2Ffull-record%2FWOS:001117985100063","View Full Record in Web of Science")</f>
        <v>View Full Record in Web of Science</v>
      </c>
    </row>
    <row r="1639" spans="1:72" x14ac:dyDescent="0.2">
      <c r="A1639" t="s">
        <v>72</v>
      </c>
      <c r="B1639" t="s">
        <v>29062</v>
      </c>
      <c r="C1639" t="s">
        <v>74</v>
      </c>
      <c r="D1639" t="s">
        <v>4124</v>
      </c>
      <c r="E1639" t="s">
        <v>74</v>
      </c>
      <c r="F1639" t="s">
        <v>29063</v>
      </c>
      <c r="G1639" t="s">
        <v>74</v>
      </c>
      <c r="H1639" t="s">
        <v>74</v>
      </c>
      <c r="I1639" t="s">
        <v>29064</v>
      </c>
      <c r="J1639" t="s">
        <v>4127</v>
      </c>
      <c r="K1639" t="s">
        <v>4128</v>
      </c>
      <c r="L1639" t="s">
        <v>74</v>
      </c>
      <c r="M1639" t="s">
        <v>79</v>
      </c>
      <c r="N1639" t="s">
        <v>80</v>
      </c>
      <c r="O1639" t="s">
        <v>4129</v>
      </c>
      <c r="P1639" t="s">
        <v>4130</v>
      </c>
      <c r="Q1639" t="s">
        <v>4131</v>
      </c>
      <c r="R1639" t="s">
        <v>4132</v>
      </c>
      <c r="S1639" t="s">
        <v>74</v>
      </c>
      <c r="T1639" t="s">
        <v>29065</v>
      </c>
      <c r="U1639" t="s">
        <v>29066</v>
      </c>
      <c r="V1639" t="s">
        <v>29067</v>
      </c>
      <c r="W1639" t="s">
        <v>29068</v>
      </c>
      <c r="X1639" t="s">
        <v>12520</v>
      </c>
      <c r="Y1639" t="s">
        <v>29069</v>
      </c>
      <c r="Z1639" t="s">
        <v>29070</v>
      </c>
      <c r="AA1639" t="s">
        <v>74</v>
      </c>
      <c r="AB1639" t="s">
        <v>74</v>
      </c>
      <c r="AC1639" t="s">
        <v>74</v>
      </c>
      <c r="AD1639" t="s">
        <v>74</v>
      </c>
      <c r="AE1639" t="s">
        <v>74</v>
      </c>
      <c r="AF1639" t="s">
        <v>74</v>
      </c>
      <c r="AG1639">
        <v>41</v>
      </c>
      <c r="AH1639">
        <v>0</v>
      </c>
      <c r="AI1639">
        <v>0</v>
      </c>
      <c r="AJ1639">
        <v>0</v>
      </c>
      <c r="AK1639">
        <v>0</v>
      </c>
      <c r="AL1639" t="s">
        <v>284</v>
      </c>
      <c r="AM1639" t="s">
        <v>93</v>
      </c>
      <c r="AN1639" t="s">
        <v>299</v>
      </c>
      <c r="AO1639" t="s">
        <v>4144</v>
      </c>
      <c r="AP1639" t="s">
        <v>74</v>
      </c>
      <c r="AQ1639" t="s">
        <v>4145</v>
      </c>
      <c r="AR1639" t="s">
        <v>4146</v>
      </c>
      <c r="AS1639" t="s">
        <v>74</v>
      </c>
      <c r="AT1639" t="s">
        <v>74</v>
      </c>
      <c r="AU1639">
        <v>2023</v>
      </c>
      <c r="AV1639" t="s">
        <v>74</v>
      </c>
      <c r="AW1639" t="s">
        <v>74</v>
      </c>
      <c r="AX1639" t="s">
        <v>74</v>
      </c>
      <c r="AY1639" t="s">
        <v>74</v>
      </c>
      <c r="AZ1639" t="s">
        <v>74</v>
      </c>
      <c r="BA1639" t="s">
        <v>74</v>
      </c>
      <c r="BB1639" t="s">
        <v>74</v>
      </c>
      <c r="BC1639" t="s">
        <v>74</v>
      </c>
      <c r="BD1639" t="s">
        <v>74</v>
      </c>
      <c r="BE1639" t="s">
        <v>74</v>
      </c>
      <c r="BF1639" t="s">
        <v>74</v>
      </c>
      <c r="BG1639" t="s">
        <v>74</v>
      </c>
      <c r="BH1639" t="s">
        <v>74</v>
      </c>
      <c r="BI1639">
        <v>5</v>
      </c>
      <c r="BJ1639" t="s">
        <v>1385</v>
      </c>
      <c r="BK1639" t="s">
        <v>98</v>
      </c>
      <c r="BL1639" t="s">
        <v>1386</v>
      </c>
      <c r="BM1639" t="s">
        <v>4147</v>
      </c>
      <c r="BN1639" t="s">
        <v>74</v>
      </c>
      <c r="BO1639" t="s">
        <v>74</v>
      </c>
      <c r="BP1639" t="s">
        <v>74</v>
      </c>
      <c r="BQ1639" t="s">
        <v>74</v>
      </c>
      <c r="BR1639" t="s">
        <v>101</v>
      </c>
      <c r="BS1639" t="s">
        <v>29071</v>
      </c>
      <c r="BT1639" t="str">
        <f>HYPERLINK("https%3A%2F%2Fwww.webofscience.com%2Fwos%2Fwoscc%2Ffull-record%2FWOS:001117985100002","View Full Record in Web of Science")</f>
        <v>View Full Record in Web of Science</v>
      </c>
    </row>
    <row r="1640" spans="1:72" x14ac:dyDescent="0.2">
      <c r="A1640" t="s">
        <v>72</v>
      </c>
      <c r="B1640" t="s">
        <v>29072</v>
      </c>
      <c r="C1640" t="s">
        <v>74</v>
      </c>
      <c r="D1640" t="s">
        <v>4124</v>
      </c>
      <c r="E1640" t="s">
        <v>74</v>
      </c>
      <c r="F1640" t="s">
        <v>29073</v>
      </c>
      <c r="G1640" t="s">
        <v>74</v>
      </c>
      <c r="H1640" t="s">
        <v>74</v>
      </c>
      <c r="I1640" t="s">
        <v>29074</v>
      </c>
      <c r="J1640" t="s">
        <v>4127</v>
      </c>
      <c r="K1640" t="s">
        <v>4128</v>
      </c>
      <c r="L1640" t="s">
        <v>74</v>
      </c>
      <c r="M1640" t="s">
        <v>79</v>
      </c>
      <c r="N1640" t="s">
        <v>80</v>
      </c>
      <c r="O1640" t="s">
        <v>4129</v>
      </c>
      <c r="P1640" t="s">
        <v>4130</v>
      </c>
      <c r="Q1640" t="s">
        <v>4131</v>
      </c>
      <c r="R1640" t="s">
        <v>4132</v>
      </c>
      <c r="S1640" t="s">
        <v>74</v>
      </c>
      <c r="T1640" t="s">
        <v>74</v>
      </c>
      <c r="U1640" t="s">
        <v>29075</v>
      </c>
      <c r="V1640" t="s">
        <v>29076</v>
      </c>
      <c r="W1640" t="s">
        <v>29077</v>
      </c>
      <c r="X1640" t="s">
        <v>29078</v>
      </c>
      <c r="Y1640" t="s">
        <v>29079</v>
      </c>
      <c r="Z1640" t="s">
        <v>29080</v>
      </c>
      <c r="AA1640" t="s">
        <v>74</v>
      </c>
      <c r="AB1640" t="s">
        <v>74</v>
      </c>
      <c r="AC1640" t="s">
        <v>74</v>
      </c>
      <c r="AD1640" t="s">
        <v>74</v>
      </c>
      <c r="AE1640" t="s">
        <v>74</v>
      </c>
      <c r="AF1640" t="s">
        <v>74</v>
      </c>
      <c r="AG1640">
        <v>23</v>
      </c>
      <c r="AH1640">
        <v>0</v>
      </c>
      <c r="AI1640">
        <v>0</v>
      </c>
      <c r="AJ1640">
        <v>0</v>
      </c>
      <c r="AK1640">
        <v>0</v>
      </c>
      <c r="AL1640" t="s">
        <v>284</v>
      </c>
      <c r="AM1640" t="s">
        <v>93</v>
      </c>
      <c r="AN1640" t="s">
        <v>299</v>
      </c>
      <c r="AO1640" t="s">
        <v>4144</v>
      </c>
      <c r="AP1640" t="s">
        <v>74</v>
      </c>
      <c r="AQ1640" t="s">
        <v>4145</v>
      </c>
      <c r="AR1640" t="s">
        <v>4146</v>
      </c>
      <c r="AS1640" t="s">
        <v>74</v>
      </c>
      <c r="AT1640" t="s">
        <v>74</v>
      </c>
      <c r="AU1640">
        <v>2023</v>
      </c>
      <c r="AV1640" t="s">
        <v>74</v>
      </c>
      <c r="AW1640" t="s">
        <v>74</v>
      </c>
      <c r="AX1640" t="s">
        <v>74</v>
      </c>
      <c r="AY1640" t="s">
        <v>74</v>
      </c>
      <c r="AZ1640" t="s">
        <v>74</v>
      </c>
      <c r="BA1640" t="s">
        <v>74</v>
      </c>
      <c r="BB1640" t="s">
        <v>74</v>
      </c>
      <c r="BC1640" t="s">
        <v>74</v>
      </c>
      <c r="BD1640" t="s">
        <v>74</v>
      </c>
      <c r="BE1640" t="s">
        <v>74</v>
      </c>
      <c r="BF1640" t="s">
        <v>74</v>
      </c>
      <c r="BG1640" t="s">
        <v>74</v>
      </c>
      <c r="BH1640" t="s">
        <v>74</v>
      </c>
      <c r="BI1640">
        <v>9</v>
      </c>
      <c r="BJ1640" t="s">
        <v>1385</v>
      </c>
      <c r="BK1640" t="s">
        <v>98</v>
      </c>
      <c r="BL1640" t="s">
        <v>1386</v>
      </c>
      <c r="BM1640" t="s">
        <v>4147</v>
      </c>
      <c r="BN1640" t="s">
        <v>74</v>
      </c>
      <c r="BO1640" t="s">
        <v>74</v>
      </c>
      <c r="BP1640" t="s">
        <v>74</v>
      </c>
      <c r="BQ1640" t="s">
        <v>74</v>
      </c>
      <c r="BR1640" t="s">
        <v>101</v>
      </c>
      <c r="BS1640" t="s">
        <v>29081</v>
      </c>
      <c r="BT1640" t="str">
        <f>HYPERLINK("https%3A%2F%2Fwww.webofscience.com%2Fwos%2Fwoscc%2Ffull-record%2FWOS:001117985100008","View Full Record in Web of Science")</f>
        <v>View Full Record in Web of Science</v>
      </c>
    </row>
    <row r="1641" spans="1:72" x14ac:dyDescent="0.2">
      <c r="A1641" t="s">
        <v>72</v>
      </c>
      <c r="B1641" t="s">
        <v>29082</v>
      </c>
      <c r="C1641" t="s">
        <v>74</v>
      </c>
      <c r="D1641" t="s">
        <v>4124</v>
      </c>
      <c r="E1641" t="s">
        <v>74</v>
      </c>
      <c r="F1641" t="s">
        <v>29083</v>
      </c>
      <c r="G1641" t="s">
        <v>74</v>
      </c>
      <c r="H1641" t="s">
        <v>74</v>
      </c>
      <c r="I1641" t="s">
        <v>29084</v>
      </c>
      <c r="J1641" t="s">
        <v>4127</v>
      </c>
      <c r="K1641" t="s">
        <v>4128</v>
      </c>
      <c r="L1641" t="s">
        <v>74</v>
      </c>
      <c r="M1641" t="s">
        <v>79</v>
      </c>
      <c r="N1641" t="s">
        <v>80</v>
      </c>
      <c r="O1641" t="s">
        <v>4129</v>
      </c>
      <c r="P1641" t="s">
        <v>4130</v>
      </c>
      <c r="Q1641" t="s">
        <v>4131</v>
      </c>
      <c r="R1641" t="s">
        <v>4132</v>
      </c>
      <c r="S1641" t="s">
        <v>74</v>
      </c>
      <c r="T1641" t="s">
        <v>29085</v>
      </c>
      <c r="U1641" t="s">
        <v>74</v>
      </c>
      <c r="V1641" t="s">
        <v>29086</v>
      </c>
      <c r="W1641" t="s">
        <v>29087</v>
      </c>
      <c r="X1641" t="s">
        <v>29088</v>
      </c>
      <c r="Y1641" t="s">
        <v>29089</v>
      </c>
      <c r="Z1641" t="s">
        <v>29090</v>
      </c>
      <c r="AA1641" t="s">
        <v>74</v>
      </c>
      <c r="AB1641" t="s">
        <v>74</v>
      </c>
      <c r="AC1641" t="s">
        <v>74</v>
      </c>
      <c r="AD1641" t="s">
        <v>74</v>
      </c>
      <c r="AE1641" t="s">
        <v>74</v>
      </c>
      <c r="AF1641" t="s">
        <v>74</v>
      </c>
      <c r="AG1641">
        <v>20</v>
      </c>
      <c r="AH1641">
        <v>0</v>
      </c>
      <c r="AI1641">
        <v>0</v>
      </c>
      <c r="AJ1641">
        <v>0</v>
      </c>
      <c r="AK1641">
        <v>0</v>
      </c>
      <c r="AL1641" t="s">
        <v>284</v>
      </c>
      <c r="AM1641" t="s">
        <v>93</v>
      </c>
      <c r="AN1641" t="s">
        <v>299</v>
      </c>
      <c r="AO1641" t="s">
        <v>4144</v>
      </c>
      <c r="AP1641" t="s">
        <v>74</v>
      </c>
      <c r="AQ1641" t="s">
        <v>4145</v>
      </c>
      <c r="AR1641" t="s">
        <v>4146</v>
      </c>
      <c r="AS1641" t="s">
        <v>74</v>
      </c>
      <c r="AT1641" t="s">
        <v>74</v>
      </c>
      <c r="AU1641">
        <v>2023</v>
      </c>
      <c r="AV1641" t="s">
        <v>74</v>
      </c>
      <c r="AW1641" t="s">
        <v>74</v>
      </c>
      <c r="AX1641" t="s">
        <v>74</v>
      </c>
      <c r="AY1641" t="s">
        <v>74</v>
      </c>
      <c r="AZ1641" t="s">
        <v>74</v>
      </c>
      <c r="BA1641" t="s">
        <v>74</v>
      </c>
      <c r="BB1641" t="s">
        <v>74</v>
      </c>
      <c r="BC1641" t="s">
        <v>74</v>
      </c>
      <c r="BD1641" t="s">
        <v>74</v>
      </c>
      <c r="BE1641" t="s">
        <v>74</v>
      </c>
      <c r="BF1641" t="s">
        <v>74</v>
      </c>
      <c r="BG1641" t="s">
        <v>74</v>
      </c>
      <c r="BH1641" t="s">
        <v>74</v>
      </c>
      <c r="BI1641">
        <v>7</v>
      </c>
      <c r="BJ1641" t="s">
        <v>1385</v>
      </c>
      <c r="BK1641" t="s">
        <v>98</v>
      </c>
      <c r="BL1641" t="s">
        <v>1386</v>
      </c>
      <c r="BM1641" t="s">
        <v>4147</v>
      </c>
      <c r="BN1641" t="s">
        <v>74</v>
      </c>
      <c r="BO1641" t="s">
        <v>74</v>
      </c>
      <c r="BP1641" t="s">
        <v>74</v>
      </c>
      <c r="BQ1641" t="s">
        <v>74</v>
      </c>
      <c r="BR1641" t="s">
        <v>101</v>
      </c>
      <c r="BS1641" t="s">
        <v>29091</v>
      </c>
      <c r="BT1641" t="str">
        <f>HYPERLINK("https%3A%2F%2Fwww.webofscience.com%2Fwos%2Fwoscc%2Ffull-record%2FWOS:001117985100062","View Full Record in Web of Science")</f>
        <v>View Full Record in Web of Science</v>
      </c>
    </row>
    <row r="1642" spans="1:72" x14ac:dyDescent="0.2">
      <c r="A1642" t="s">
        <v>103</v>
      </c>
      <c r="B1642" t="s">
        <v>29092</v>
      </c>
      <c r="C1642" t="s">
        <v>74</v>
      </c>
      <c r="D1642" t="s">
        <v>74</v>
      </c>
      <c r="E1642" t="s">
        <v>74</v>
      </c>
      <c r="F1642" t="s">
        <v>29093</v>
      </c>
      <c r="G1642" t="s">
        <v>74</v>
      </c>
      <c r="H1642" t="s">
        <v>74</v>
      </c>
      <c r="I1642" t="s">
        <v>29094</v>
      </c>
      <c r="J1642" t="s">
        <v>29095</v>
      </c>
      <c r="K1642" t="s">
        <v>74</v>
      </c>
      <c r="L1642" t="s">
        <v>74</v>
      </c>
      <c r="M1642" t="s">
        <v>79</v>
      </c>
      <c r="N1642" t="s">
        <v>108</v>
      </c>
      <c r="O1642" t="s">
        <v>74</v>
      </c>
      <c r="P1642" t="s">
        <v>74</v>
      </c>
      <c r="Q1642" t="s">
        <v>74</v>
      </c>
      <c r="R1642" t="s">
        <v>74</v>
      </c>
      <c r="S1642" t="s">
        <v>74</v>
      </c>
      <c r="T1642" t="s">
        <v>29096</v>
      </c>
      <c r="U1642" t="s">
        <v>29097</v>
      </c>
      <c r="V1642" t="s">
        <v>29098</v>
      </c>
      <c r="W1642" t="s">
        <v>29099</v>
      </c>
      <c r="X1642" t="s">
        <v>29100</v>
      </c>
      <c r="Y1642" t="s">
        <v>29101</v>
      </c>
      <c r="Z1642" t="s">
        <v>29102</v>
      </c>
      <c r="AA1642" t="s">
        <v>74</v>
      </c>
      <c r="AB1642" t="s">
        <v>74</v>
      </c>
      <c r="AC1642" t="s">
        <v>74</v>
      </c>
      <c r="AD1642" t="s">
        <v>74</v>
      </c>
      <c r="AE1642" t="s">
        <v>74</v>
      </c>
      <c r="AF1642" t="s">
        <v>74</v>
      </c>
      <c r="AG1642">
        <v>27</v>
      </c>
      <c r="AH1642">
        <v>1</v>
      </c>
      <c r="AI1642">
        <v>1</v>
      </c>
      <c r="AJ1642">
        <v>1</v>
      </c>
      <c r="AK1642">
        <v>2</v>
      </c>
      <c r="AL1642" t="s">
        <v>29103</v>
      </c>
      <c r="AM1642" t="s">
        <v>29104</v>
      </c>
      <c r="AN1642" t="s">
        <v>29105</v>
      </c>
      <c r="AO1642" t="s">
        <v>29106</v>
      </c>
      <c r="AP1642" t="s">
        <v>29107</v>
      </c>
      <c r="AQ1642" t="s">
        <v>74</v>
      </c>
      <c r="AR1642" t="s">
        <v>29108</v>
      </c>
      <c r="AS1642" t="s">
        <v>29109</v>
      </c>
      <c r="AT1642" t="s">
        <v>2016</v>
      </c>
      <c r="AU1642">
        <v>2023</v>
      </c>
      <c r="AV1642">
        <v>38</v>
      </c>
      <c r="AW1642">
        <v>1</v>
      </c>
      <c r="AX1642" t="s">
        <v>74</v>
      </c>
      <c r="AY1642" t="s">
        <v>74</v>
      </c>
      <c r="AZ1642" t="s">
        <v>74</v>
      </c>
      <c r="BA1642" t="s">
        <v>74</v>
      </c>
      <c r="BB1642">
        <v>115</v>
      </c>
      <c r="BC1642">
        <v>125</v>
      </c>
      <c r="BD1642" t="s">
        <v>74</v>
      </c>
      <c r="BE1642" t="s">
        <v>29110</v>
      </c>
      <c r="BF1642" t="str">
        <f>HYPERLINK("http://dx.doi.org/10.3171/2022.7.SPINE22536","http://dx.doi.org/10.3171/2022.7.SPINE22536")</f>
        <v>http://dx.doi.org/10.3171/2022.7.SPINE22536</v>
      </c>
      <c r="BG1642" t="s">
        <v>74</v>
      </c>
      <c r="BH1642" t="s">
        <v>74</v>
      </c>
      <c r="BI1642">
        <v>11</v>
      </c>
      <c r="BJ1642" t="s">
        <v>22391</v>
      </c>
      <c r="BK1642" t="s">
        <v>130</v>
      </c>
      <c r="BL1642" t="s">
        <v>22392</v>
      </c>
      <c r="BM1642" t="s">
        <v>29111</v>
      </c>
      <c r="BN1642">
        <v>36152329</v>
      </c>
      <c r="BO1642" t="s">
        <v>74</v>
      </c>
      <c r="BP1642" t="s">
        <v>74</v>
      </c>
      <c r="BQ1642" t="s">
        <v>74</v>
      </c>
      <c r="BR1642" t="s">
        <v>101</v>
      </c>
      <c r="BS1642" t="s">
        <v>29112</v>
      </c>
      <c r="BT1642" t="str">
        <f>HYPERLINK("https%3A%2F%2Fwww.webofscience.com%2Fwos%2Fwoscc%2Ffull-record%2FWOS:001138444600003","View Full Record in Web of Science")</f>
        <v>View Full Record in Web of Science</v>
      </c>
    </row>
    <row r="1643" spans="1:72" x14ac:dyDescent="0.2">
      <c r="A1643" t="s">
        <v>103</v>
      </c>
      <c r="B1643" t="s">
        <v>29113</v>
      </c>
      <c r="C1643" t="s">
        <v>74</v>
      </c>
      <c r="D1643" t="s">
        <v>74</v>
      </c>
      <c r="E1643" t="s">
        <v>74</v>
      </c>
      <c r="F1643" t="s">
        <v>29114</v>
      </c>
      <c r="G1643" t="s">
        <v>74</v>
      </c>
      <c r="H1643" t="s">
        <v>74</v>
      </c>
      <c r="I1643" t="s">
        <v>29115</v>
      </c>
      <c r="J1643" t="s">
        <v>6056</v>
      </c>
      <c r="K1643" t="s">
        <v>74</v>
      </c>
      <c r="L1643" t="s">
        <v>74</v>
      </c>
      <c r="M1643" t="s">
        <v>79</v>
      </c>
      <c r="N1643" t="s">
        <v>108</v>
      </c>
      <c r="O1643" t="s">
        <v>74</v>
      </c>
      <c r="P1643" t="s">
        <v>74</v>
      </c>
      <c r="Q1643" t="s">
        <v>74</v>
      </c>
      <c r="R1643" t="s">
        <v>74</v>
      </c>
      <c r="S1643" t="s">
        <v>74</v>
      </c>
      <c r="T1643" t="s">
        <v>29116</v>
      </c>
      <c r="U1643" t="s">
        <v>29117</v>
      </c>
      <c r="V1643" t="s">
        <v>29118</v>
      </c>
      <c r="W1643" t="s">
        <v>29119</v>
      </c>
      <c r="X1643" t="s">
        <v>29120</v>
      </c>
      <c r="Y1643" t="s">
        <v>29121</v>
      </c>
      <c r="Z1643" t="s">
        <v>29122</v>
      </c>
      <c r="AA1643" t="s">
        <v>74</v>
      </c>
      <c r="AB1643" t="s">
        <v>74</v>
      </c>
      <c r="AC1643" t="s">
        <v>29123</v>
      </c>
      <c r="AD1643" t="s">
        <v>29124</v>
      </c>
      <c r="AE1643" t="s">
        <v>29125</v>
      </c>
      <c r="AF1643" t="s">
        <v>74</v>
      </c>
      <c r="AG1643">
        <v>25</v>
      </c>
      <c r="AH1643">
        <v>0</v>
      </c>
      <c r="AI1643">
        <v>0</v>
      </c>
      <c r="AJ1643">
        <v>8</v>
      </c>
      <c r="AK1643">
        <v>8</v>
      </c>
      <c r="AL1643" t="s">
        <v>4176</v>
      </c>
      <c r="AM1643" t="s">
        <v>4177</v>
      </c>
      <c r="AN1643" t="s">
        <v>4178</v>
      </c>
      <c r="AO1643" t="s">
        <v>6067</v>
      </c>
      <c r="AP1643" t="s">
        <v>74</v>
      </c>
      <c r="AQ1643" t="s">
        <v>74</v>
      </c>
      <c r="AR1643" t="s">
        <v>6068</v>
      </c>
      <c r="AS1643" t="s">
        <v>6069</v>
      </c>
      <c r="AT1643" t="s">
        <v>29126</v>
      </c>
      <c r="AU1643">
        <v>2023</v>
      </c>
      <c r="AV1643">
        <v>25</v>
      </c>
      <c r="AW1643" t="s">
        <v>74</v>
      </c>
      <c r="AX1643" t="s">
        <v>74</v>
      </c>
      <c r="AY1643" t="s">
        <v>74</v>
      </c>
      <c r="AZ1643" t="s">
        <v>74</v>
      </c>
      <c r="BA1643" t="s">
        <v>74</v>
      </c>
      <c r="BB1643" t="s">
        <v>74</v>
      </c>
      <c r="BC1643" t="s">
        <v>74</v>
      </c>
      <c r="BD1643" t="s">
        <v>29127</v>
      </c>
      <c r="BE1643" t="s">
        <v>29128</v>
      </c>
      <c r="BF1643" t="str">
        <f>HYPERLINK("http://dx.doi.org/10.2196/44759","http://dx.doi.org/10.2196/44759")</f>
        <v>http://dx.doi.org/10.2196/44759</v>
      </c>
      <c r="BG1643" t="s">
        <v>74</v>
      </c>
      <c r="BH1643" t="s">
        <v>74</v>
      </c>
      <c r="BI1643">
        <v>9</v>
      </c>
      <c r="BJ1643" t="s">
        <v>4947</v>
      </c>
      <c r="BK1643" t="s">
        <v>130</v>
      </c>
      <c r="BL1643" t="s">
        <v>4947</v>
      </c>
      <c r="BM1643" t="s">
        <v>29129</v>
      </c>
      <c r="BN1643">
        <v>37695652</v>
      </c>
      <c r="BO1643" t="s">
        <v>1728</v>
      </c>
      <c r="BP1643" t="s">
        <v>74</v>
      </c>
      <c r="BQ1643" t="s">
        <v>74</v>
      </c>
      <c r="BR1643" t="s">
        <v>101</v>
      </c>
      <c r="BS1643" t="s">
        <v>29130</v>
      </c>
      <c r="BT1643" t="str">
        <f>HYPERLINK("https%3A%2F%2Fwww.webofscience.com%2Fwos%2Fwoscc%2Ffull-record%2FWOS:001086024500003","View Full Record in Web of Science")</f>
        <v>View Full Record in Web of Science</v>
      </c>
    </row>
    <row r="1644" spans="1:72" x14ac:dyDescent="0.2">
      <c r="A1644" t="s">
        <v>103</v>
      </c>
      <c r="B1644" t="s">
        <v>29131</v>
      </c>
      <c r="C1644" t="s">
        <v>74</v>
      </c>
      <c r="D1644" t="s">
        <v>74</v>
      </c>
      <c r="E1644" t="s">
        <v>74</v>
      </c>
      <c r="F1644" t="s">
        <v>29132</v>
      </c>
      <c r="G1644" t="s">
        <v>74</v>
      </c>
      <c r="H1644" t="s">
        <v>74</v>
      </c>
      <c r="I1644" t="s">
        <v>29133</v>
      </c>
      <c r="J1644" t="s">
        <v>6056</v>
      </c>
      <c r="K1644" t="s">
        <v>74</v>
      </c>
      <c r="L1644" t="s">
        <v>74</v>
      </c>
      <c r="M1644" t="s">
        <v>79</v>
      </c>
      <c r="N1644" t="s">
        <v>108</v>
      </c>
      <c r="O1644" t="s">
        <v>74</v>
      </c>
      <c r="P1644" t="s">
        <v>74</v>
      </c>
      <c r="Q1644" t="s">
        <v>74</v>
      </c>
      <c r="R1644" t="s">
        <v>74</v>
      </c>
      <c r="S1644" t="s">
        <v>74</v>
      </c>
      <c r="T1644" t="s">
        <v>29134</v>
      </c>
      <c r="U1644" t="s">
        <v>29135</v>
      </c>
      <c r="V1644" t="s">
        <v>29136</v>
      </c>
      <c r="W1644" t="s">
        <v>29137</v>
      </c>
      <c r="X1644" t="s">
        <v>29138</v>
      </c>
      <c r="Y1644" t="s">
        <v>29139</v>
      </c>
      <c r="Z1644" t="s">
        <v>29140</v>
      </c>
      <c r="AA1644" t="s">
        <v>29141</v>
      </c>
      <c r="AB1644" t="s">
        <v>29142</v>
      </c>
      <c r="AC1644" t="s">
        <v>29143</v>
      </c>
      <c r="AD1644" t="s">
        <v>29143</v>
      </c>
      <c r="AE1644" t="s">
        <v>29144</v>
      </c>
      <c r="AF1644" t="s">
        <v>74</v>
      </c>
      <c r="AG1644">
        <v>30</v>
      </c>
      <c r="AH1644">
        <v>1</v>
      </c>
      <c r="AI1644">
        <v>1</v>
      </c>
      <c r="AJ1644">
        <v>0</v>
      </c>
      <c r="AK1644">
        <v>0</v>
      </c>
      <c r="AL1644" t="s">
        <v>4176</v>
      </c>
      <c r="AM1644" t="s">
        <v>4177</v>
      </c>
      <c r="AN1644" t="s">
        <v>4178</v>
      </c>
      <c r="AO1644" t="s">
        <v>6067</v>
      </c>
      <c r="AP1644" t="s">
        <v>74</v>
      </c>
      <c r="AQ1644" t="s">
        <v>74</v>
      </c>
      <c r="AR1644" t="s">
        <v>6068</v>
      </c>
      <c r="AS1644" t="s">
        <v>6069</v>
      </c>
      <c r="AT1644" t="s">
        <v>28161</v>
      </c>
      <c r="AU1644">
        <v>2023</v>
      </c>
      <c r="AV1644">
        <v>25</v>
      </c>
      <c r="AW1644" t="s">
        <v>74</v>
      </c>
      <c r="AX1644" t="s">
        <v>74</v>
      </c>
      <c r="AY1644" t="s">
        <v>74</v>
      </c>
      <c r="AZ1644" t="s">
        <v>74</v>
      </c>
      <c r="BA1644" t="s">
        <v>74</v>
      </c>
      <c r="BB1644" t="s">
        <v>74</v>
      </c>
      <c r="BC1644" t="s">
        <v>74</v>
      </c>
      <c r="BD1644" t="s">
        <v>29145</v>
      </c>
      <c r="BE1644" t="s">
        <v>29146</v>
      </c>
      <c r="BF1644" t="str">
        <f>HYPERLINK("http://dx.doi.org/10.2196/43895","http://dx.doi.org/10.2196/43895")</f>
        <v>http://dx.doi.org/10.2196/43895</v>
      </c>
      <c r="BG1644" t="s">
        <v>74</v>
      </c>
      <c r="BH1644" t="s">
        <v>74</v>
      </c>
      <c r="BI1644">
        <v>13</v>
      </c>
      <c r="BJ1644" t="s">
        <v>4947</v>
      </c>
      <c r="BK1644" t="s">
        <v>130</v>
      </c>
      <c r="BL1644" t="s">
        <v>4947</v>
      </c>
      <c r="BM1644" t="s">
        <v>28164</v>
      </c>
      <c r="BN1644">
        <v>37824182</v>
      </c>
      <c r="BO1644" t="s">
        <v>1728</v>
      </c>
      <c r="BP1644" t="s">
        <v>74</v>
      </c>
      <c r="BQ1644" t="s">
        <v>74</v>
      </c>
      <c r="BR1644" t="s">
        <v>101</v>
      </c>
      <c r="BS1644" t="s">
        <v>29147</v>
      </c>
      <c r="BT1644" t="str">
        <f>HYPERLINK("https%3A%2F%2Fwww.webofscience.com%2Fwos%2Fwoscc%2Ffull-record%2FWOS:001092176300005","View Full Record in Web of Science")</f>
        <v>View Full Record in Web of Science</v>
      </c>
    </row>
    <row r="1645" spans="1:72" x14ac:dyDescent="0.2">
      <c r="A1645" t="s">
        <v>103</v>
      </c>
      <c r="B1645" t="s">
        <v>29148</v>
      </c>
      <c r="C1645" t="s">
        <v>74</v>
      </c>
      <c r="D1645" t="s">
        <v>74</v>
      </c>
      <c r="E1645" t="s">
        <v>74</v>
      </c>
      <c r="F1645" t="s">
        <v>29149</v>
      </c>
      <c r="G1645" t="s">
        <v>74</v>
      </c>
      <c r="H1645" t="s">
        <v>74</v>
      </c>
      <c r="I1645" t="s">
        <v>29150</v>
      </c>
      <c r="J1645" t="s">
        <v>29151</v>
      </c>
      <c r="K1645" t="s">
        <v>74</v>
      </c>
      <c r="L1645" t="s">
        <v>74</v>
      </c>
      <c r="M1645" t="s">
        <v>79</v>
      </c>
      <c r="N1645" t="s">
        <v>108</v>
      </c>
      <c r="O1645" t="s">
        <v>74</v>
      </c>
      <c r="P1645" t="s">
        <v>74</v>
      </c>
      <c r="Q1645" t="s">
        <v>74</v>
      </c>
      <c r="R1645" t="s">
        <v>74</v>
      </c>
      <c r="S1645" t="s">
        <v>74</v>
      </c>
      <c r="T1645" t="s">
        <v>29152</v>
      </c>
      <c r="U1645" t="s">
        <v>29153</v>
      </c>
      <c r="V1645" t="s">
        <v>29154</v>
      </c>
      <c r="W1645" t="s">
        <v>29155</v>
      </c>
      <c r="X1645" t="s">
        <v>24182</v>
      </c>
      <c r="Y1645" t="s">
        <v>29156</v>
      </c>
      <c r="Z1645" t="s">
        <v>29157</v>
      </c>
      <c r="AA1645" t="s">
        <v>29158</v>
      </c>
      <c r="AB1645" t="s">
        <v>29159</v>
      </c>
      <c r="AC1645" t="s">
        <v>29160</v>
      </c>
      <c r="AD1645" t="s">
        <v>29161</v>
      </c>
      <c r="AE1645" t="s">
        <v>29162</v>
      </c>
      <c r="AF1645" t="s">
        <v>74</v>
      </c>
      <c r="AG1645">
        <v>30</v>
      </c>
      <c r="AH1645">
        <v>0</v>
      </c>
      <c r="AI1645">
        <v>0</v>
      </c>
      <c r="AJ1645">
        <v>5</v>
      </c>
      <c r="AK1645">
        <v>5</v>
      </c>
      <c r="AL1645" t="s">
        <v>764</v>
      </c>
      <c r="AM1645" t="s">
        <v>765</v>
      </c>
      <c r="AN1645" t="s">
        <v>766</v>
      </c>
      <c r="AO1645" t="s">
        <v>29163</v>
      </c>
      <c r="AP1645" t="s">
        <v>29164</v>
      </c>
      <c r="AQ1645" t="s">
        <v>74</v>
      </c>
      <c r="AR1645" t="s">
        <v>29165</v>
      </c>
      <c r="AS1645" t="s">
        <v>29166</v>
      </c>
      <c r="AT1645" t="s">
        <v>2407</v>
      </c>
      <c r="AU1645">
        <v>2024</v>
      </c>
      <c r="AV1645">
        <v>312</v>
      </c>
      <c r="AW1645">
        <v>3</v>
      </c>
      <c r="AX1645" t="s">
        <v>74</v>
      </c>
      <c r="AY1645" t="s">
        <v>74</v>
      </c>
      <c r="AZ1645" t="s">
        <v>74</v>
      </c>
      <c r="BA1645" t="s">
        <v>74</v>
      </c>
      <c r="BB1645">
        <v>1168</v>
      </c>
      <c r="BC1645">
        <v>1177</v>
      </c>
      <c r="BD1645" t="s">
        <v>74</v>
      </c>
      <c r="BE1645" t="s">
        <v>29167</v>
      </c>
      <c r="BF1645" t="str">
        <f>HYPERLINK("http://dx.doi.org/10.1016/j.ejor.2023.07.040","http://dx.doi.org/10.1016/j.ejor.2023.07.040")</f>
        <v>http://dx.doi.org/10.1016/j.ejor.2023.07.040</v>
      </c>
      <c r="BG1645" t="s">
        <v>74</v>
      </c>
      <c r="BH1645" t="s">
        <v>278</v>
      </c>
      <c r="BI1645">
        <v>10</v>
      </c>
      <c r="BJ1645" t="s">
        <v>29168</v>
      </c>
      <c r="BK1645" t="s">
        <v>130</v>
      </c>
      <c r="BL1645" t="s">
        <v>29169</v>
      </c>
      <c r="BM1645" t="s">
        <v>29170</v>
      </c>
      <c r="BN1645" t="s">
        <v>74</v>
      </c>
      <c r="BO1645" t="s">
        <v>74</v>
      </c>
      <c r="BP1645" t="s">
        <v>74</v>
      </c>
      <c r="BQ1645" t="s">
        <v>74</v>
      </c>
      <c r="BR1645" t="s">
        <v>101</v>
      </c>
      <c r="BS1645" t="s">
        <v>29171</v>
      </c>
      <c r="BT1645" t="str">
        <f>HYPERLINK("https%3A%2F%2Fwww.webofscience.com%2Fwos%2Fwoscc%2Ffull-record%2FWOS:001085834200001","View Full Record in Web of Science")</f>
        <v>View Full Record in Web of Science</v>
      </c>
    </row>
    <row r="1646" spans="1:72" x14ac:dyDescent="0.2">
      <c r="A1646" t="s">
        <v>103</v>
      </c>
      <c r="B1646" t="s">
        <v>29172</v>
      </c>
      <c r="C1646" t="s">
        <v>74</v>
      </c>
      <c r="D1646" t="s">
        <v>74</v>
      </c>
      <c r="E1646" t="s">
        <v>74</v>
      </c>
      <c r="F1646" t="s">
        <v>29173</v>
      </c>
      <c r="G1646" t="s">
        <v>74</v>
      </c>
      <c r="H1646" t="s">
        <v>74</v>
      </c>
      <c r="I1646" t="s">
        <v>29174</v>
      </c>
      <c r="J1646" t="s">
        <v>6056</v>
      </c>
      <c r="K1646" t="s">
        <v>74</v>
      </c>
      <c r="L1646" t="s">
        <v>74</v>
      </c>
      <c r="M1646" t="s">
        <v>79</v>
      </c>
      <c r="N1646" t="s">
        <v>108</v>
      </c>
      <c r="O1646" t="s">
        <v>74</v>
      </c>
      <c r="P1646" t="s">
        <v>74</v>
      </c>
      <c r="Q1646" t="s">
        <v>74</v>
      </c>
      <c r="R1646" t="s">
        <v>74</v>
      </c>
      <c r="S1646" t="s">
        <v>74</v>
      </c>
      <c r="T1646" t="s">
        <v>29175</v>
      </c>
      <c r="U1646" t="s">
        <v>29176</v>
      </c>
      <c r="V1646" t="s">
        <v>29177</v>
      </c>
      <c r="W1646" t="s">
        <v>29178</v>
      </c>
      <c r="X1646" t="s">
        <v>29179</v>
      </c>
      <c r="Y1646" t="s">
        <v>29180</v>
      </c>
      <c r="Z1646" t="s">
        <v>29181</v>
      </c>
      <c r="AA1646" t="s">
        <v>29182</v>
      </c>
      <c r="AB1646" t="s">
        <v>29183</v>
      </c>
      <c r="AC1646" t="s">
        <v>29184</v>
      </c>
      <c r="AD1646" t="s">
        <v>29185</v>
      </c>
      <c r="AE1646" t="s">
        <v>29186</v>
      </c>
      <c r="AF1646" t="s">
        <v>74</v>
      </c>
      <c r="AG1646">
        <v>44</v>
      </c>
      <c r="AH1646">
        <v>0</v>
      </c>
      <c r="AI1646">
        <v>0</v>
      </c>
      <c r="AJ1646">
        <v>4</v>
      </c>
      <c r="AK1646">
        <v>4</v>
      </c>
      <c r="AL1646" t="s">
        <v>4176</v>
      </c>
      <c r="AM1646" t="s">
        <v>4177</v>
      </c>
      <c r="AN1646" t="s">
        <v>4178</v>
      </c>
      <c r="AO1646" t="s">
        <v>6067</v>
      </c>
      <c r="AP1646" t="s">
        <v>74</v>
      </c>
      <c r="AQ1646" t="s">
        <v>74</v>
      </c>
      <c r="AR1646" t="s">
        <v>6068</v>
      </c>
      <c r="AS1646" t="s">
        <v>6069</v>
      </c>
      <c r="AT1646" t="s">
        <v>27935</v>
      </c>
      <c r="AU1646">
        <v>2023</v>
      </c>
      <c r="AV1646">
        <v>25</v>
      </c>
      <c r="AW1646" t="s">
        <v>74</v>
      </c>
      <c r="AX1646" t="s">
        <v>74</v>
      </c>
      <c r="AY1646" t="s">
        <v>74</v>
      </c>
      <c r="AZ1646" t="s">
        <v>74</v>
      </c>
      <c r="BA1646" t="s">
        <v>74</v>
      </c>
      <c r="BB1646" t="s">
        <v>74</v>
      </c>
      <c r="BC1646" t="s">
        <v>74</v>
      </c>
      <c r="BD1646" t="s">
        <v>29187</v>
      </c>
      <c r="BE1646" t="s">
        <v>29188</v>
      </c>
      <c r="BF1646" t="str">
        <f>HYPERLINK("http://dx.doi.org/10.2196/49678","http://dx.doi.org/10.2196/49678")</f>
        <v>http://dx.doi.org/10.2196/49678</v>
      </c>
      <c r="BG1646" t="s">
        <v>74</v>
      </c>
      <c r="BH1646" t="s">
        <v>74</v>
      </c>
      <c r="BI1646">
        <v>15</v>
      </c>
      <c r="BJ1646" t="s">
        <v>4947</v>
      </c>
      <c r="BK1646" t="s">
        <v>130</v>
      </c>
      <c r="BL1646" t="s">
        <v>4947</v>
      </c>
      <c r="BM1646" t="s">
        <v>29189</v>
      </c>
      <c r="BN1646">
        <v>37788078</v>
      </c>
      <c r="BO1646" t="s">
        <v>4185</v>
      </c>
      <c r="BP1646" t="s">
        <v>74</v>
      </c>
      <c r="BQ1646" t="s">
        <v>74</v>
      </c>
      <c r="BR1646" t="s">
        <v>101</v>
      </c>
      <c r="BS1646" t="s">
        <v>29190</v>
      </c>
      <c r="BT1646" t="str">
        <f>HYPERLINK("https%3A%2F%2Fwww.webofscience.com%2Fwos%2Fwoscc%2Ffull-record%2FWOS:001085910000003","View Full Record in Web of Science")</f>
        <v>View Full Record in Web of Science</v>
      </c>
    </row>
    <row r="1647" spans="1:72" x14ac:dyDescent="0.2">
      <c r="A1647" t="s">
        <v>103</v>
      </c>
      <c r="B1647" t="s">
        <v>29191</v>
      </c>
      <c r="C1647" t="s">
        <v>74</v>
      </c>
      <c r="D1647" t="s">
        <v>74</v>
      </c>
      <c r="E1647" t="s">
        <v>74</v>
      </c>
      <c r="F1647" t="s">
        <v>29192</v>
      </c>
      <c r="G1647" t="s">
        <v>74</v>
      </c>
      <c r="H1647" t="s">
        <v>74</v>
      </c>
      <c r="I1647" t="s">
        <v>29193</v>
      </c>
      <c r="J1647" t="s">
        <v>29194</v>
      </c>
      <c r="K1647" t="s">
        <v>74</v>
      </c>
      <c r="L1647" t="s">
        <v>74</v>
      </c>
      <c r="M1647" t="s">
        <v>79</v>
      </c>
      <c r="N1647" t="s">
        <v>108</v>
      </c>
      <c r="O1647" t="s">
        <v>74</v>
      </c>
      <c r="P1647" t="s">
        <v>74</v>
      </c>
      <c r="Q1647" t="s">
        <v>74</v>
      </c>
      <c r="R1647" t="s">
        <v>74</v>
      </c>
      <c r="S1647" t="s">
        <v>74</v>
      </c>
      <c r="T1647" t="s">
        <v>74</v>
      </c>
      <c r="U1647" t="s">
        <v>29195</v>
      </c>
      <c r="V1647" t="s">
        <v>29196</v>
      </c>
      <c r="W1647" t="s">
        <v>29197</v>
      </c>
      <c r="X1647" t="s">
        <v>29198</v>
      </c>
      <c r="Y1647" t="s">
        <v>29199</v>
      </c>
      <c r="Z1647" t="s">
        <v>29200</v>
      </c>
      <c r="AA1647" t="s">
        <v>74</v>
      </c>
      <c r="AB1647" t="s">
        <v>29201</v>
      </c>
      <c r="AC1647" t="s">
        <v>29202</v>
      </c>
      <c r="AD1647" t="s">
        <v>29203</v>
      </c>
      <c r="AE1647" t="s">
        <v>29204</v>
      </c>
      <c r="AF1647" t="s">
        <v>74</v>
      </c>
      <c r="AG1647">
        <v>25</v>
      </c>
      <c r="AH1647">
        <v>0</v>
      </c>
      <c r="AI1647">
        <v>0</v>
      </c>
      <c r="AJ1647">
        <v>0</v>
      </c>
      <c r="AK1647">
        <v>0</v>
      </c>
      <c r="AL1647" t="s">
        <v>29205</v>
      </c>
      <c r="AM1647" t="s">
        <v>29206</v>
      </c>
      <c r="AN1647" t="s">
        <v>29207</v>
      </c>
      <c r="AO1647" t="s">
        <v>29208</v>
      </c>
      <c r="AP1647" t="s">
        <v>29209</v>
      </c>
      <c r="AQ1647" t="s">
        <v>74</v>
      </c>
      <c r="AR1647" t="s">
        <v>29210</v>
      </c>
      <c r="AS1647" t="s">
        <v>29211</v>
      </c>
      <c r="AT1647" t="s">
        <v>2016</v>
      </c>
      <c r="AU1647">
        <v>2024</v>
      </c>
      <c r="AV1647">
        <v>227</v>
      </c>
      <c r="AW1647" t="s">
        <v>74</v>
      </c>
      <c r="AX1647" t="s">
        <v>74</v>
      </c>
      <c r="AY1647" t="s">
        <v>74</v>
      </c>
      <c r="AZ1647" t="s">
        <v>74</v>
      </c>
      <c r="BA1647" t="s">
        <v>74</v>
      </c>
      <c r="BB1647">
        <v>224</v>
      </c>
      <c r="BC1647">
        <v>228</v>
      </c>
      <c r="BD1647" t="s">
        <v>74</v>
      </c>
      <c r="BE1647" t="s">
        <v>29212</v>
      </c>
      <c r="BF1647" t="str">
        <f>HYPERLINK("http://dx.doi.org/10.1016/j.amjsurg.2023.09.030","http://dx.doi.org/10.1016/j.amjsurg.2023.09.030")</f>
        <v>http://dx.doi.org/10.1016/j.amjsurg.2023.09.030</v>
      </c>
      <c r="BG1647" t="s">
        <v>74</v>
      </c>
      <c r="BH1647" t="s">
        <v>128</v>
      </c>
      <c r="BI1647">
        <v>5</v>
      </c>
      <c r="BJ1647" t="s">
        <v>13208</v>
      </c>
      <c r="BK1647" t="s">
        <v>130</v>
      </c>
      <c r="BL1647" t="s">
        <v>13208</v>
      </c>
      <c r="BM1647" t="s">
        <v>29213</v>
      </c>
      <c r="BN1647">
        <v>37925308</v>
      </c>
      <c r="BO1647" t="s">
        <v>74</v>
      </c>
      <c r="BP1647" t="s">
        <v>74</v>
      </c>
      <c r="BQ1647" t="s">
        <v>74</v>
      </c>
      <c r="BR1647" t="s">
        <v>101</v>
      </c>
      <c r="BS1647" t="s">
        <v>29214</v>
      </c>
      <c r="BT1647" t="str">
        <f>HYPERLINK("https%3A%2F%2Fwww.webofscience.com%2Fwos%2Fwoscc%2Ffull-record%2FWOS:001136841400001","View Full Record in Web of Science")</f>
        <v>View Full Record in Web of Science</v>
      </c>
    </row>
    <row r="1648" spans="1:72" x14ac:dyDescent="0.2">
      <c r="A1648" t="s">
        <v>103</v>
      </c>
      <c r="B1648" t="s">
        <v>29215</v>
      </c>
      <c r="C1648" t="s">
        <v>74</v>
      </c>
      <c r="D1648" t="s">
        <v>74</v>
      </c>
      <c r="E1648" t="s">
        <v>74</v>
      </c>
      <c r="F1648" t="s">
        <v>29216</v>
      </c>
      <c r="G1648" t="s">
        <v>74</v>
      </c>
      <c r="H1648" t="s">
        <v>74</v>
      </c>
      <c r="I1648" t="s">
        <v>29217</v>
      </c>
      <c r="J1648" t="s">
        <v>29218</v>
      </c>
      <c r="K1648" t="s">
        <v>74</v>
      </c>
      <c r="L1648" t="s">
        <v>74</v>
      </c>
      <c r="M1648" t="s">
        <v>79</v>
      </c>
      <c r="N1648" t="s">
        <v>108</v>
      </c>
      <c r="O1648" t="s">
        <v>74</v>
      </c>
      <c r="P1648" t="s">
        <v>74</v>
      </c>
      <c r="Q1648" t="s">
        <v>74</v>
      </c>
      <c r="R1648" t="s">
        <v>74</v>
      </c>
      <c r="S1648" t="s">
        <v>74</v>
      </c>
      <c r="T1648" t="s">
        <v>29219</v>
      </c>
      <c r="U1648" t="s">
        <v>74</v>
      </c>
      <c r="V1648" t="s">
        <v>29220</v>
      </c>
      <c r="W1648" t="s">
        <v>29221</v>
      </c>
      <c r="X1648" t="s">
        <v>29222</v>
      </c>
      <c r="Y1648" t="s">
        <v>29223</v>
      </c>
      <c r="Z1648" t="s">
        <v>29224</v>
      </c>
      <c r="AA1648" t="s">
        <v>29225</v>
      </c>
      <c r="AB1648" t="s">
        <v>29226</v>
      </c>
      <c r="AC1648" t="s">
        <v>29227</v>
      </c>
      <c r="AD1648" t="s">
        <v>29228</v>
      </c>
      <c r="AE1648" t="s">
        <v>29229</v>
      </c>
      <c r="AF1648" t="s">
        <v>74</v>
      </c>
      <c r="AG1648">
        <v>38</v>
      </c>
      <c r="AH1648">
        <v>0</v>
      </c>
      <c r="AI1648">
        <v>0</v>
      </c>
      <c r="AJ1648">
        <v>14</v>
      </c>
      <c r="AK1648">
        <v>14</v>
      </c>
      <c r="AL1648" t="s">
        <v>2010</v>
      </c>
      <c r="AM1648" t="s">
        <v>93</v>
      </c>
      <c r="AN1648" t="s">
        <v>2011</v>
      </c>
      <c r="AO1648" t="s">
        <v>29230</v>
      </c>
      <c r="AP1648" t="s">
        <v>74</v>
      </c>
      <c r="AQ1648" t="s">
        <v>74</v>
      </c>
      <c r="AR1648" t="s">
        <v>29218</v>
      </c>
      <c r="AS1648" t="s">
        <v>29231</v>
      </c>
      <c r="AT1648" t="s">
        <v>276</v>
      </c>
      <c r="AU1648">
        <v>2023</v>
      </c>
      <c r="AV1648">
        <v>57</v>
      </c>
      <c r="AW1648" t="s">
        <v>74</v>
      </c>
      <c r="AX1648" t="s">
        <v>74</v>
      </c>
      <c r="AY1648" t="s">
        <v>74</v>
      </c>
      <c r="AZ1648" t="s">
        <v>74</v>
      </c>
      <c r="BA1648" t="s">
        <v>74</v>
      </c>
      <c r="BB1648" t="s">
        <v>74</v>
      </c>
      <c r="BC1648" t="s">
        <v>74</v>
      </c>
      <c r="BD1648">
        <v>105349</v>
      </c>
      <c r="BE1648" t="s">
        <v>29232</v>
      </c>
      <c r="BF1648" t="str">
        <f>HYPERLINK("http://dx.doi.org/10.1016/j.istruc.2023.105349","http://dx.doi.org/10.1016/j.istruc.2023.105349")</f>
        <v>http://dx.doi.org/10.1016/j.istruc.2023.105349</v>
      </c>
      <c r="BG1648" t="s">
        <v>74</v>
      </c>
      <c r="BH1648" t="s">
        <v>1886</v>
      </c>
      <c r="BI1648">
        <v>14</v>
      </c>
      <c r="BJ1648" t="s">
        <v>12027</v>
      </c>
      <c r="BK1648" t="s">
        <v>130</v>
      </c>
      <c r="BL1648" t="s">
        <v>2823</v>
      </c>
      <c r="BM1648" t="s">
        <v>29233</v>
      </c>
      <c r="BN1648" t="s">
        <v>74</v>
      </c>
      <c r="BO1648" t="s">
        <v>74</v>
      </c>
      <c r="BP1648" t="s">
        <v>74</v>
      </c>
      <c r="BQ1648" t="s">
        <v>74</v>
      </c>
      <c r="BR1648" t="s">
        <v>101</v>
      </c>
      <c r="BS1648" t="s">
        <v>29234</v>
      </c>
      <c r="BT1648" t="str">
        <f>HYPERLINK("https%3A%2F%2Fwww.webofscience.com%2Fwos%2Fwoscc%2Ffull-record%2FWOS:001098952000001","View Full Record in Web of Science")</f>
        <v>View Full Record in Web of Science</v>
      </c>
    </row>
    <row r="1649" spans="1:72" x14ac:dyDescent="0.2">
      <c r="A1649" t="s">
        <v>103</v>
      </c>
      <c r="B1649" t="s">
        <v>29235</v>
      </c>
      <c r="C1649" t="s">
        <v>74</v>
      </c>
      <c r="D1649" t="s">
        <v>74</v>
      </c>
      <c r="E1649" t="s">
        <v>74</v>
      </c>
      <c r="F1649" t="s">
        <v>29236</v>
      </c>
      <c r="G1649" t="s">
        <v>74</v>
      </c>
      <c r="H1649" t="s">
        <v>74</v>
      </c>
      <c r="I1649" t="s">
        <v>29237</v>
      </c>
      <c r="J1649" t="s">
        <v>10711</v>
      </c>
      <c r="K1649" t="s">
        <v>74</v>
      </c>
      <c r="L1649" t="s">
        <v>74</v>
      </c>
      <c r="M1649" t="s">
        <v>79</v>
      </c>
      <c r="N1649" t="s">
        <v>108</v>
      </c>
      <c r="O1649" t="s">
        <v>74</v>
      </c>
      <c r="P1649" t="s">
        <v>74</v>
      </c>
      <c r="Q1649" t="s">
        <v>74</v>
      </c>
      <c r="R1649" t="s">
        <v>74</v>
      </c>
      <c r="S1649" t="s">
        <v>74</v>
      </c>
      <c r="T1649" t="s">
        <v>74</v>
      </c>
      <c r="U1649" t="s">
        <v>29238</v>
      </c>
      <c r="V1649" t="s">
        <v>29239</v>
      </c>
      <c r="W1649" t="s">
        <v>29240</v>
      </c>
      <c r="X1649" t="s">
        <v>29241</v>
      </c>
      <c r="Y1649" t="s">
        <v>29242</v>
      </c>
      <c r="Z1649" t="s">
        <v>29243</v>
      </c>
      <c r="AA1649" t="s">
        <v>29244</v>
      </c>
      <c r="AB1649" t="s">
        <v>29245</v>
      </c>
      <c r="AC1649" t="s">
        <v>29246</v>
      </c>
      <c r="AD1649" t="s">
        <v>29247</v>
      </c>
      <c r="AE1649" t="s">
        <v>29248</v>
      </c>
      <c r="AF1649" t="s">
        <v>74</v>
      </c>
      <c r="AG1649">
        <v>43</v>
      </c>
      <c r="AH1649">
        <v>0</v>
      </c>
      <c r="AI1649">
        <v>0</v>
      </c>
      <c r="AJ1649">
        <v>2</v>
      </c>
      <c r="AK1649">
        <v>2</v>
      </c>
      <c r="AL1649" t="s">
        <v>1880</v>
      </c>
      <c r="AM1649" t="s">
        <v>369</v>
      </c>
      <c r="AN1649" t="s">
        <v>1881</v>
      </c>
      <c r="AO1649" t="s">
        <v>10723</v>
      </c>
      <c r="AP1649" t="s">
        <v>74</v>
      </c>
      <c r="AQ1649" t="s">
        <v>74</v>
      </c>
      <c r="AR1649" t="s">
        <v>10724</v>
      </c>
      <c r="AS1649" t="s">
        <v>10725</v>
      </c>
      <c r="AT1649" t="s">
        <v>10726</v>
      </c>
      <c r="AU1649">
        <v>2023</v>
      </c>
      <c r="AV1649">
        <v>13</v>
      </c>
      <c r="AW1649">
        <v>1</v>
      </c>
      <c r="AX1649" t="s">
        <v>74</v>
      </c>
      <c r="AY1649" t="s">
        <v>74</v>
      </c>
      <c r="AZ1649" t="s">
        <v>74</v>
      </c>
      <c r="BA1649" t="s">
        <v>74</v>
      </c>
      <c r="BB1649" t="s">
        <v>74</v>
      </c>
      <c r="BC1649" t="s">
        <v>74</v>
      </c>
      <c r="BD1649">
        <v>15658</v>
      </c>
      <c r="BE1649" t="s">
        <v>29249</v>
      </c>
      <c r="BF1649" t="str">
        <f>HYPERLINK("http://dx.doi.org/10.1038/s41598-023-42700-2","http://dx.doi.org/10.1038/s41598-023-42700-2")</f>
        <v>http://dx.doi.org/10.1038/s41598-023-42700-2</v>
      </c>
      <c r="BG1649" t="s">
        <v>74</v>
      </c>
      <c r="BH1649" t="s">
        <v>74</v>
      </c>
      <c r="BI1649">
        <v>14</v>
      </c>
      <c r="BJ1649" t="s">
        <v>5686</v>
      </c>
      <c r="BK1649" t="s">
        <v>130</v>
      </c>
      <c r="BL1649" t="s">
        <v>5687</v>
      </c>
      <c r="BM1649" t="s">
        <v>10728</v>
      </c>
      <c r="BN1649">
        <v>37730831</v>
      </c>
      <c r="BO1649" t="s">
        <v>4185</v>
      </c>
      <c r="BP1649" t="s">
        <v>74</v>
      </c>
      <c r="BQ1649" t="s">
        <v>74</v>
      </c>
      <c r="BR1649" t="s">
        <v>101</v>
      </c>
      <c r="BS1649" t="s">
        <v>29250</v>
      </c>
      <c r="BT1649" t="str">
        <f>HYPERLINK("https%3A%2F%2Fwww.webofscience.com%2Fwos%2Fwoscc%2Ffull-record%2FWOS:001097104800088","View Full Record in Web of Science")</f>
        <v>View Full Record in Web of Science</v>
      </c>
    </row>
    <row r="1650" spans="1:72" x14ac:dyDescent="0.2">
      <c r="A1650" t="s">
        <v>103</v>
      </c>
      <c r="B1650" t="s">
        <v>29251</v>
      </c>
      <c r="C1650" t="s">
        <v>74</v>
      </c>
      <c r="D1650" t="s">
        <v>74</v>
      </c>
      <c r="E1650" t="s">
        <v>74</v>
      </c>
      <c r="F1650" t="s">
        <v>29252</v>
      </c>
      <c r="G1650" t="s">
        <v>74</v>
      </c>
      <c r="H1650" t="s">
        <v>74</v>
      </c>
      <c r="I1650" t="s">
        <v>29253</v>
      </c>
      <c r="J1650" t="s">
        <v>4686</v>
      </c>
      <c r="K1650" t="s">
        <v>74</v>
      </c>
      <c r="L1650" t="s">
        <v>74</v>
      </c>
      <c r="M1650" t="s">
        <v>79</v>
      </c>
      <c r="N1650" t="s">
        <v>108</v>
      </c>
      <c r="O1650" t="s">
        <v>74</v>
      </c>
      <c r="P1650" t="s">
        <v>74</v>
      </c>
      <c r="Q1650" t="s">
        <v>74</v>
      </c>
      <c r="R1650" t="s">
        <v>74</v>
      </c>
      <c r="S1650" t="s">
        <v>74</v>
      </c>
      <c r="T1650" t="s">
        <v>29254</v>
      </c>
      <c r="U1650" t="s">
        <v>29255</v>
      </c>
      <c r="V1650" t="s">
        <v>29256</v>
      </c>
      <c r="W1650" t="s">
        <v>29257</v>
      </c>
      <c r="X1650" t="s">
        <v>29258</v>
      </c>
      <c r="Y1650" t="s">
        <v>29259</v>
      </c>
      <c r="Z1650" t="s">
        <v>74</v>
      </c>
      <c r="AA1650" t="s">
        <v>74</v>
      </c>
      <c r="AB1650" t="s">
        <v>29260</v>
      </c>
      <c r="AC1650" t="s">
        <v>29261</v>
      </c>
      <c r="AD1650" t="s">
        <v>29262</v>
      </c>
      <c r="AE1650" t="s">
        <v>29263</v>
      </c>
      <c r="AF1650" t="s">
        <v>74</v>
      </c>
      <c r="AG1650">
        <v>30</v>
      </c>
      <c r="AH1650">
        <v>0</v>
      </c>
      <c r="AI1650">
        <v>0</v>
      </c>
      <c r="AJ1650">
        <v>3</v>
      </c>
      <c r="AK1650">
        <v>3</v>
      </c>
      <c r="AL1650" t="s">
        <v>2032</v>
      </c>
      <c r="AM1650" t="s">
        <v>149</v>
      </c>
      <c r="AN1650" t="s">
        <v>2033</v>
      </c>
      <c r="AO1650" t="s">
        <v>74</v>
      </c>
      <c r="AP1650" t="s">
        <v>4694</v>
      </c>
      <c r="AQ1650" t="s">
        <v>74</v>
      </c>
      <c r="AR1650" t="s">
        <v>4695</v>
      </c>
      <c r="AS1650" t="s">
        <v>4696</v>
      </c>
      <c r="AT1650" t="s">
        <v>20631</v>
      </c>
      <c r="AU1650">
        <v>2023</v>
      </c>
      <c r="AV1650">
        <v>15</v>
      </c>
      <c r="AW1650">
        <v>9</v>
      </c>
      <c r="AX1650" t="s">
        <v>74</v>
      </c>
      <c r="AY1650" t="s">
        <v>74</v>
      </c>
      <c r="AZ1650" t="s">
        <v>74</v>
      </c>
      <c r="BA1650" t="s">
        <v>74</v>
      </c>
      <c r="BB1650" t="s">
        <v>74</v>
      </c>
      <c r="BC1650" t="s">
        <v>74</v>
      </c>
      <c r="BD1650" t="s">
        <v>29264</v>
      </c>
      <c r="BE1650" t="s">
        <v>29265</v>
      </c>
      <c r="BF1650" t="str">
        <f>HYPERLINK("http://dx.doi.org/10.7759/cureus.46217","http://dx.doi.org/10.7759/cureus.46217")</f>
        <v>http://dx.doi.org/10.7759/cureus.46217</v>
      </c>
      <c r="BG1650" t="s">
        <v>74</v>
      </c>
      <c r="BH1650" t="s">
        <v>74</v>
      </c>
      <c r="BI1650">
        <v>10</v>
      </c>
      <c r="BJ1650" t="s">
        <v>3440</v>
      </c>
      <c r="BK1650" t="s">
        <v>352</v>
      </c>
      <c r="BL1650" t="s">
        <v>3441</v>
      </c>
      <c r="BM1650" t="s">
        <v>20634</v>
      </c>
      <c r="BN1650">
        <v>37905268</v>
      </c>
      <c r="BO1650" t="s">
        <v>4185</v>
      </c>
      <c r="BP1650" t="s">
        <v>74</v>
      </c>
      <c r="BQ1650" t="s">
        <v>74</v>
      </c>
      <c r="BR1650" t="s">
        <v>101</v>
      </c>
      <c r="BS1650" t="s">
        <v>29266</v>
      </c>
      <c r="BT1650" t="str">
        <f>HYPERLINK("https%3A%2F%2Fwww.webofscience.com%2Fwos%2Fwoscc%2Ffull-record%2FWOS:001090333700006","View Full Record in Web of Science")</f>
        <v>View Full Record in Web of Science</v>
      </c>
    </row>
    <row r="1651" spans="1:72" x14ac:dyDescent="0.2">
      <c r="A1651" t="s">
        <v>103</v>
      </c>
      <c r="B1651" t="s">
        <v>29267</v>
      </c>
      <c r="C1651" t="s">
        <v>74</v>
      </c>
      <c r="D1651" t="s">
        <v>74</v>
      </c>
      <c r="E1651" t="s">
        <v>74</v>
      </c>
      <c r="F1651" t="s">
        <v>29268</v>
      </c>
      <c r="G1651" t="s">
        <v>74</v>
      </c>
      <c r="H1651" t="s">
        <v>74</v>
      </c>
      <c r="I1651" t="s">
        <v>29269</v>
      </c>
      <c r="J1651" t="s">
        <v>25010</v>
      </c>
      <c r="K1651" t="s">
        <v>74</v>
      </c>
      <c r="L1651" t="s">
        <v>74</v>
      </c>
      <c r="M1651" t="s">
        <v>79</v>
      </c>
      <c r="N1651" t="s">
        <v>108</v>
      </c>
      <c r="O1651" t="s">
        <v>74</v>
      </c>
      <c r="P1651" t="s">
        <v>74</v>
      </c>
      <c r="Q1651" t="s">
        <v>74</v>
      </c>
      <c r="R1651" t="s">
        <v>74</v>
      </c>
      <c r="S1651" t="s">
        <v>74</v>
      </c>
      <c r="T1651" t="s">
        <v>29270</v>
      </c>
      <c r="U1651" t="s">
        <v>29271</v>
      </c>
      <c r="V1651" t="s">
        <v>29272</v>
      </c>
      <c r="W1651" t="s">
        <v>29273</v>
      </c>
      <c r="X1651" t="s">
        <v>29274</v>
      </c>
      <c r="Y1651" t="s">
        <v>29275</v>
      </c>
      <c r="Z1651" t="s">
        <v>29276</v>
      </c>
      <c r="AA1651" t="s">
        <v>29277</v>
      </c>
      <c r="AB1651" t="s">
        <v>29278</v>
      </c>
      <c r="AC1651" t="s">
        <v>29279</v>
      </c>
      <c r="AD1651" t="s">
        <v>29280</v>
      </c>
      <c r="AE1651" t="s">
        <v>29281</v>
      </c>
      <c r="AF1651" t="s">
        <v>74</v>
      </c>
      <c r="AG1651">
        <v>38</v>
      </c>
      <c r="AH1651">
        <v>0</v>
      </c>
      <c r="AI1651">
        <v>0</v>
      </c>
      <c r="AJ1651">
        <v>1</v>
      </c>
      <c r="AK1651">
        <v>1</v>
      </c>
      <c r="AL1651" t="s">
        <v>4176</v>
      </c>
      <c r="AM1651" t="s">
        <v>4177</v>
      </c>
      <c r="AN1651" t="s">
        <v>4178</v>
      </c>
      <c r="AO1651" t="s">
        <v>25019</v>
      </c>
      <c r="AP1651" t="s">
        <v>74</v>
      </c>
      <c r="AQ1651" t="s">
        <v>74</v>
      </c>
      <c r="AR1651" t="s">
        <v>25020</v>
      </c>
      <c r="AS1651" t="s">
        <v>25021</v>
      </c>
      <c r="AT1651" t="s">
        <v>74</v>
      </c>
      <c r="AU1651">
        <v>2023</v>
      </c>
      <c r="AV1651">
        <v>12</v>
      </c>
      <c r="AW1651" t="s">
        <v>74</v>
      </c>
      <c r="AX1651" t="s">
        <v>74</v>
      </c>
      <c r="AY1651" t="s">
        <v>74</v>
      </c>
      <c r="AZ1651" t="s">
        <v>74</v>
      </c>
      <c r="BA1651" t="s">
        <v>74</v>
      </c>
      <c r="BB1651" t="s">
        <v>74</v>
      </c>
      <c r="BC1651" t="s">
        <v>74</v>
      </c>
      <c r="BD1651" t="s">
        <v>29282</v>
      </c>
      <c r="BE1651" t="s">
        <v>29283</v>
      </c>
      <c r="BF1651" t="str">
        <f>HYPERLINK("http://dx.doi.org/10.2196/49092","http://dx.doi.org/10.2196/49092")</f>
        <v>http://dx.doi.org/10.2196/49092</v>
      </c>
      <c r="BG1651" t="s">
        <v>74</v>
      </c>
      <c r="BH1651" t="s">
        <v>74</v>
      </c>
      <c r="BI1651">
        <v>13</v>
      </c>
      <c r="BJ1651" t="s">
        <v>25024</v>
      </c>
      <c r="BK1651" t="s">
        <v>352</v>
      </c>
      <c r="BL1651" t="s">
        <v>25025</v>
      </c>
      <c r="BM1651" t="s">
        <v>29284</v>
      </c>
      <c r="BN1651">
        <v>37695656</v>
      </c>
      <c r="BO1651" t="s">
        <v>4185</v>
      </c>
      <c r="BP1651" t="s">
        <v>74</v>
      </c>
      <c r="BQ1651" t="s">
        <v>74</v>
      </c>
      <c r="BR1651" t="s">
        <v>101</v>
      </c>
      <c r="BS1651" t="s">
        <v>29285</v>
      </c>
      <c r="BT1651" t="str">
        <f>HYPERLINK("https%3A%2F%2Fwww.webofscience.com%2Fwos%2Fwoscc%2Ffull-record%2FWOS:001086039100001","View Full Record in Web of Science")</f>
        <v>View Full Record in Web of Science</v>
      </c>
    </row>
    <row r="1652" spans="1:72" x14ac:dyDescent="0.2">
      <c r="A1652" t="s">
        <v>103</v>
      </c>
      <c r="B1652" t="s">
        <v>29286</v>
      </c>
      <c r="C1652" t="s">
        <v>74</v>
      </c>
      <c r="D1652" t="s">
        <v>74</v>
      </c>
      <c r="E1652" t="s">
        <v>74</v>
      </c>
      <c r="F1652" t="s">
        <v>29287</v>
      </c>
      <c r="G1652" t="s">
        <v>74</v>
      </c>
      <c r="H1652" t="s">
        <v>74</v>
      </c>
      <c r="I1652" t="s">
        <v>29288</v>
      </c>
      <c r="J1652" t="s">
        <v>29289</v>
      </c>
      <c r="K1652" t="s">
        <v>74</v>
      </c>
      <c r="L1652" t="s">
        <v>74</v>
      </c>
      <c r="M1652" t="s">
        <v>79</v>
      </c>
      <c r="N1652" t="s">
        <v>108</v>
      </c>
      <c r="O1652" t="s">
        <v>74</v>
      </c>
      <c r="P1652" t="s">
        <v>74</v>
      </c>
      <c r="Q1652" t="s">
        <v>74</v>
      </c>
      <c r="R1652" t="s">
        <v>74</v>
      </c>
      <c r="S1652" t="s">
        <v>74</v>
      </c>
      <c r="T1652" t="s">
        <v>29290</v>
      </c>
      <c r="U1652" t="s">
        <v>9900</v>
      </c>
      <c r="V1652" t="s">
        <v>29291</v>
      </c>
      <c r="W1652" t="s">
        <v>29292</v>
      </c>
      <c r="X1652" t="s">
        <v>29293</v>
      </c>
      <c r="Y1652" t="s">
        <v>29294</v>
      </c>
      <c r="Z1652" t="s">
        <v>29295</v>
      </c>
      <c r="AA1652" t="s">
        <v>29296</v>
      </c>
      <c r="AB1652" t="s">
        <v>29297</v>
      </c>
      <c r="AC1652" t="s">
        <v>29298</v>
      </c>
      <c r="AD1652" t="s">
        <v>8105</v>
      </c>
      <c r="AE1652" t="s">
        <v>29299</v>
      </c>
      <c r="AF1652" t="s">
        <v>74</v>
      </c>
      <c r="AG1652">
        <v>26</v>
      </c>
      <c r="AH1652">
        <v>1</v>
      </c>
      <c r="AI1652">
        <v>1</v>
      </c>
      <c r="AJ1652">
        <v>3</v>
      </c>
      <c r="AK1652">
        <v>4</v>
      </c>
      <c r="AL1652" t="s">
        <v>119</v>
      </c>
      <c r="AM1652" t="s">
        <v>120</v>
      </c>
      <c r="AN1652" t="s">
        <v>121</v>
      </c>
      <c r="AO1652" t="s">
        <v>29300</v>
      </c>
      <c r="AP1652" t="s">
        <v>29301</v>
      </c>
      <c r="AQ1652" t="s">
        <v>74</v>
      </c>
      <c r="AR1652" t="s">
        <v>29302</v>
      </c>
      <c r="AS1652" t="s">
        <v>29303</v>
      </c>
      <c r="AT1652" t="s">
        <v>771</v>
      </c>
      <c r="AU1652">
        <v>2023</v>
      </c>
      <c r="AV1652">
        <v>232</v>
      </c>
      <c r="AW1652" t="s">
        <v>74</v>
      </c>
      <c r="AX1652" t="s">
        <v>74</v>
      </c>
      <c r="AY1652" t="s">
        <v>74</v>
      </c>
      <c r="AZ1652" t="s">
        <v>74</v>
      </c>
      <c r="BA1652" t="s">
        <v>74</v>
      </c>
      <c r="BB1652" t="s">
        <v>74</v>
      </c>
      <c r="BC1652" t="s">
        <v>74</v>
      </c>
      <c r="BD1652">
        <v>121090</v>
      </c>
      <c r="BE1652" t="s">
        <v>29304</v>
      </c>
      <c r="BF1652" t="str">
        <f>HYPERLINK("http://dx.doi.org/10.1016/j.applthermaleng.2023.121090","http://dx.doi.org/10.1016/j.applthermaleng.2023.121090")</f>
        <v>http://dx.doi.org/10.1016/j.applthermaleng.2023.121090</v>
      </c>
      <c r="BG1652" t="s">
        <v>74</v>
      </c>
      <c r="BH1652" t="s">
        <v>229</v>
      </c>
      <c r="BI1652">
        <v>22</v>
      </c>
      <c r="BJ1652" t="s">
        <v>29305</v>
      </c>
      <c r="BK1652" t="s">
        <v>130</v>
      </c>
      <c r="BL1652" t="s">
        <v>29306</v>
      </c>
      <c r="BM1652" t="s">
        <v>29307</v>
      </c>
      <c r="BN1652" t="s">
        <v>74</v>
      </c>
      <c r="BO1652" t="s">
        <v>1214</v>
      </c>
      <c r="BP1652" t="s">
        <v>74</v>
      </c>
      <c r="BQ1652" t="s">
        <v>74</v>
      </c>
      <c r="BR1652" t="s">
        <v>101</v>
      </c>
      <c r="BS1652" t="s">
        <v>29308</v>
      </c>
      <c r="BT1652" t="str">
        <f>HYPERLINK("https%3A%2F%2Fwww.webofscience.com%2Fwos%2Fwoscc%2Ffull-record%2FWOS:001031682300001","View Full Record in Web of Science")</f>
        <v>View Full Record in Web of Science</v>
      </c>
    </row>
    <row r="1653" spans="1:72" x14ac:dyDescent="0.2">
      <c r="A1653" t="s">
        <v>103</v>
      </c>
      <c r="B1653" t="s">
        <v>29309</v>
      </c>
      <c r="C1653" t="s">
        <v>74</v>
      </c>
      <c r="D1653" t="s">
        <v>74</v>
      </c>
      <c r="E1653" t="s">
        <v>74</v>
      </c>
      <c r="F1653" t="s">
        <v>29310</v>
      </c>
      <c r="G1653" t="s">
        <v>74</v>
      </c>
      <c r="H1653" t="s">
        <v>74</v>
      </c>
      <c r="I1653" t="s">
        <v>29311</v>
      </c>
      <c r="J1653" t="s">
        <v>29312</v>
      </c>
      <c r="K1653" t="s">
        <v>74</v>
      </c>
      <c r="L1653" t="s">
        <v>74</v>
      </c>
      <c r="M1653" t="s">
        <v>79</v>
      </c>
      <c r="N1653" t="s">
        <v>108</v>
      </c>
      <c r="O1653" t="s">
        <v>74</v>
      </c>
      <c r="P1653" t="s">
        <v>74</v>
      </c>
      <c r="Q1653" t="s">
        <v>74</v>
      </c>
      <c r="R1653" t="s">
        <v>74</v>
      </c>
      <c r="S1653" t="s">
        <v>74</v>
      </c>
      <c r="T1653" t="s">
        <v>29313</v>
      </c>
      <c r="U1653" t="s">
        <v>29314</v>
      </c>
      <c r="V1653" t="s">
        <v>29315</v>
      </c>
      <c r="W1653" t="s">
        <v>29316</v>
      </c>
      <c r="X1653" t="s">
        <v>29317</v>
      </c>
      <c r="Y1653" t="s">
        <v>29318</v>
      </c>
      <c r="Z1653" t="s">
        <v>29319</v>
      </c>
      <c r="AA1653" t="s">
        <v>74</v>
      </c>
      <c r="AB1653" t="s">
        <v>74</v>
      </c>
      <c r="AC1653" t="s">
        <v>29320</v>
      </c>
      <c r="AD1653" t="s">
        <v>29321</v>
      </c>
      <c r="AE1653" t="s">
        <v>29322</v>
      </c>
      <c r="AF1653" t="s">
        <v>74</v>
      </c>
      <c r="AG1653">
        <v>42</v>
      </c>
      <c r="AH1653">
        <v>0</v>
      </c>
      <c r="AI1653">
        <v>0</v>
      </c>
      <c r="AJ1653">
        <v>1</v>
      </c>
      <c r="AK1653">
        <v>1</v>
      </c>
      <c r="AL1653" t="s">
        <v>29323</v>
      </c>
      <c r="AM1653" t="s">
        <v>29324</v>
      </c>
      <c r="AN1653" t="s">
        <v>29325</v>
      </c>
      <c r="AO1653" t="s">
        <v>29326</v>
      </c>
      <c r="AP1653" t="s">
        <v>29327</v>
      </c>
      <c r="AQ1653" t="s">
        <v>74</v>
      </c>
      <c r="AR1653" t="s">
        <v>29328</v>
      </c>
      <c r="AS1653" t="s">
        <v>29329</v>
      </c>
      <c r="AT1653" t="s">
        <v>467</v>
      </c>
      <c r="AU1653">
        <v>2023</v>
      </c>
      <c r="AV1653">
        <v>91</v>
      </c>
      <c r="AW1653" t="s">
        <v>74</v>
      </c>
      <c r="AX1653" t="s">
        <v>74</v>
      </c>
      <c r="AY1653" t="s">
        <v>74</v>
      </c>
      <c r="AZ1653" t="s">
        <v>74</v>
      </c>
      <c r="BA1653" t="s">
        <v>74</v>
      </c>
      <c r="BB1653" t="s">
        <v>74</v>
      </c>
      <c r="BC1653" t="s">
        <v>74</v>
      </c>
      <c r="BD1653">
        <v>126022</v>
      </c>
      <c r="BE1653" t="s">
        <v>29330</v>
      </c>
      <c r="BF1653" t="str">
        <f>HYPERLINK("http://dx.doi.org/10.1016/j.ejop.2023.126022","http://dx.doi.org/10.1016/j.ejop.2023.126022")</f>
        <v>http://dx.doi.org/10.1016/j.ejop.2023.126022</v>
      </c>
      <c r="BG1653" t="s">
        <v>74</v>
      </c>
      <c r="BH1653" t="s">
        <v>74</v>
      </c>
      <c r="BI1653">
        <v>14</v>
      </c>
      <c r="BJ1653" t="s">
        <v>8343</v>
      </c>
      <c r="BK1653" t="s">
        <v>130</v>
      </c>
      <c r="BL1653" t="s">
        <v>8343</v>
      </c>
      <c r="BM1653" t="s">
        <v>29331</v>
      </c>
      <c r="BN1653">
        <v>37774456</v>
      </c>
      <c r="BO1653" t="s">
        <v>74</v>
      </c>
      <c r="BP1653" t="s">
        <v>74</v>
      </c>
      <c r="BQ1653" t="s">
        <v>74</v>
      </c>
      <c r="BR1653" t="s">
        <v>101</v>
      </c>
      <c r="BS1653" t="s">
        <v>29332</v>
      </c>
      <c r="BT1653" t="str">
        <f>HYPERLINK("https%3A%2F%2Fwww.webofscience.com%2Fwos%2Fwoscc%2Ffull-record%2FWOS:001167964500001","View Full Record in Web of Science")</f>
        <v>View Full Record in Web of Science</v>
      </c>
    </row>
    <row r="1654" spans="1:72" x14ac:dyDescent="0.2">
      <c r="A1654" t="s">
        <v>103</v>
      </c>
      <c r="B1654" t="s">
        <v>29333</v>
      </c>
      <c r="C1654" t="s">
        <v>74</v>
      </c>
      <c r="D1654" t="s">
        <v>74</v>
      </c>
      <c r="E1654" t="s">
        <v>74</v>
      </c>
      <c r="F1654" t="s">
        <v>29334</v>
      </c>
      <c r="G1654" t="s">
        <v>74</v>
      </c>
      <c r="H1654" t="s">
        <v>74</v>
      </c>
      <c r="I1654" t="s">
        <v>29335</v>
      </c>
      <c r="J1654" t="s">
        <v>29336</v>
      </c>
      <c r="K1654" t="s">
        <v>74</v>
      </c>
      <c r="L1654" t="s">
        <v>74</v>
      </c>
      <c r="M1654" t="s">
        <v>79</v>
      </c>
      <c r="N1654" t="s">
        <v>108</v>
      </c>
      <c r="O1654" t="s">
        <v>74</v>
      </c>
      <c r="P1654" t="s">
        <v>74</v>
      </c>
      <c r="Q1654" t="s">
        <v>74</v>
      </c>
      <c r="R1654" t="s">
        <v>74</v>
      </c>
      <c r="S1654" t="s">
        <v>74</v>
      </c>
      <c r="T1654" t="s">
        <v>29337</v>
      </c>
      <c r="U1654" t="s">
        <v>29338</v>
      </c>
      <c r="V1654" t="s">
        <v>29339</v>
      </c>
      <c r="W1654" t="s">
        <v>29340</v>
      </c>
      <c r="X1654" t="s">
        <v>29341</v>
      </c>
      <c r="Y1654" t="s">
        <v>29342</v>
      </c>
      <c r="Z1654" t="s">
        <v>29343</v>
      </c>
      <c r="AA1654" t="s">
        <v>29344</v>
      </c>
      <c r="AB1654" t="s">
        <v>29345</v>
      </c>
      <c r="AC1654" t="s">
        <v>29346</v>
      </c>
      <c r="AD1654" t="s">
        <v>29347</v>
      </c>
      <c r="AE1654" t="s">
        <v>29348</v>
      </c>
      <c r="AF1654" t="s">
        <v>74</v>
      </c>
      <c r="AG1654">
        <v>198</v>
      </c>
      <c r="AH1654">
        <v>4</v>
      </c>
      <c r="AI1654">
        <v>4</v>
      </c>
      <c r="AJ1654">
        <v>7</v>
      </c>
      <c r="AK1654">
        <v>21</v>
      </c>
      <c r="AL1654" t="s">
        <v>1379</v>
      </c>
      <c r="AM1654" t="s">
        <v>1380</v>
      </c>
      <c r="AN1654" t="s">
        <v>1381</v>
      </c>
      <c r="AO1654" t="s">
        <v>29349</v>
      </c>
      <c r="AP1654" t="s">
        <v>29350</v>
      </c>
      <c r="AQ1654" t="s">
        <v>74</v>
      </c>
      <c r="AR1654" t="s">
        <v>29351</v>
      </c>
      <c r="AS1654" t="s">
        <v>29352</v>
      </c>
      <c r="AT1654" t="s">
        <v>467</v>
      </c>
      <c r="AU1654">
        <v>2023</v>
      </c>
      <c r="AV1654">
        <v>111</v>
      </c>
      <c r="AW1654">
        <v>10</v>
      </c>
      <c r="AX1654" t="s">
        <v>74</v>
      </c>
      <c r="AY1654" t="s">
        <v>74</v>
      </c>
      <c r="AZ1654" t="s">
        <v>74</v>
      </c>
      <c r="BA1654" t="s">
        <v>74</v>
      </c>
      <c r="BB1654">
        <v>1355</v>
      </c>
      <c r="BC1654">
        <v>1381</v>
      </c>
      <c r="BD1654" t="s">
        <v>74</v>
      </c>
      <c r="BE1654" t="s">
        <v>29353</v>
      </c>
      <c r="BF1654" t="str">
        <f>HYPERLINK("http://dx.doi.org/10.1109/JPROC.2023.3250266","http://dx.doi.org/10.1109/JPROC.2023.3250266")</f>
        <v>http://dx.doi.org/10.1109/JPROC.2023.3250266</v>
      </c>
      <c r="BG1654" t="s">
        <v>74</v>
      </c>
      <c r="BH1654" t="s">
        <v>1431</v>
      </c>
      <c r="BI1654">
        <v>27</v>
      </c>
      <c r="BJ1654" t="s">
        <v>2822</v>
      </c>
      <c r="BK1654" t="s">
        <v>130</v>
      </c>
      <c r="BL1654" t="s">
        <v>2823</v>
      </c>
      <c r="BM1654" t="s">
        <v>29354</v>
      </c>
      <c r="BN1654" t="s">
        <v>74</v>
      </c>
      <c r="BO1654" t="s">
        <v>646</v>
      </c>
      <c r="BP1654" t="s">
        <v>74</v>
      </c>
      <c r="BQ1654" t="s">
        <v>74</v>
      </c>
      <c r="BR1654" t="s">
        <v>101</v>
      </c>
      <c r="BS1654" t="s">
        <v>29355</v>
      </c>
      <c r="BT1654" t="str">
        <f>HYPERLINK("https%3A%2F%2Fwww.webofscience.com%2Fwos%2Fwoscc%2Ffull-record%2FWOS:000953199300001","View Full Record in Web of Science")</f>
        <v>View Full Record in Web of Science</v>
      </c>
    </row>
    <row r="1655" spans="1:72" x14ac:dyDescent="0.2">
      <c r="A1655" t="s">
        <v>103</v>
      </c>
      <c r="B1655" t="s">
        <v>29356</v>
      </c>
      <c r="C1655" t="s">
        <v>74</v>
      </c>
      <c r="D1655" t="s">
        <v>74</v>
      </c>
      <c r="E1655" t="s">
        <v>74</v>
      </c>
      <c r="F1655" t="s">
        <v>29357</v>
      </c>
      <c r="G1655" t="s">
        <v>74</v>
      </c>
      <c r="H1655" t="s">
        <v>74</v>
      </c>
      <c r="I1655" t="s">
        <v>29358</v>
      </c>
      <c r="J1655" t="s">
        <v>29359</v>
      </c>
      <c r="K1655" t="s">
        <v>74</v>
      </c>
      <c r="L1655" t="s">
        <v>74</v>
      </c>
      <c r="M1655" t="s">
        <v>79</v>
      </c>
      <c r="N1655" t="s">
        <v>108</v>
      </c>
      <c r="O1655" t="s">
        <v>74</v>
      </c>
      <c r="P1655" t="s">
        <v>74</v>
      </c>
      <c r="Q1655" t="s">
        <v>74</v>
      </c>
      <c r="R1655" t="s">
        <v>74</v>
      </c>
      <c r="S1655" t="s">
        <v>74</v>
      </c>
      <c r="T1655" t="s">
        <v>29360</v>
      </c>
      <c r="U1655" t="s">
        <v>29361</v>
      </c>
      <c r="V1655" t="s">
        <v>29362</v>
      </c>
      <c r="W1655" t="s">
        <v>29363</v>
      </c>
      <c r="X1655" t="s">
        <v>29364</v>
      </c>
      <c r="Y1655" t="s">
        <v>29365</v>
      </c>
      <c r="Z1655" t="s">
        <v>29366</v>
      </c>
      <c r="AA1655" t="s">
        <v>74</v>
      </c>
      <c r="AB1655" t="s">
        <v>74</v>
      </c>
      <c r="AC1655" t="s">
        <v>29367</v>
      </c>
      <c r="AD1655" t="s">
        <v>29368</v>
      </c>
      <c r="AE1655" t="s">
        <v>29369</v>
      </c>
      <c r="AF1655" t="s">
        <v>74</v>
      </c>
      <c r="AG1655">
        <v>40</v>
      </c>
      <c r="AH1655">
        <v>1</v>
      </c>
      <c r="AI1655">
        <v>1</v>
      </c>
      <c r="AJ1655">
        <v>4</v>
      </c>
      <c r="AK1655">
        <v>5</v>
      </c>
      <c r="AL1655" t="s">
        <v>2010</v>
      </c>
      <c r="AM1655" t="s">
        <v>93</v>
      </c>
      <c r="AN1655" t="s">
        <v>2011</v>
      </c>
      <c r="AO1655" t="s">
        <v>29370</v>
      </c>
      <c r="AP1655" t="s">
        <v>29371</v>
      </c>
      <c r="AQ1655" t="s">
        <v>74</v>
      </c>
      <c r="AR1655" t="s">
        <v>29372</v>
      </c>
      <c r="AS1655" t="s">
        <v>29373</v>
      </c>
      <c r="AT1655" t="s">
        <v>276</v>
      </c>
      <c r="AU1655">
        <v>2023</v>
      </c>
      <c r="AV1655">
        <v>49</v>
      </c>
      <c r="AW1655">
        <v>11</v>
      </c>
      <c r="AX1655" t="s">
        <v>74</v>
      </c>
      <c r="AY1655" t="s">
        <v>74</v>
      </c>
      <c r="AZ1655" t="s">
        <v>74</v>
      </c>
      <c r="BA1655" t="s">
        <v>74</v>
      </c>
      <c r="BB1655">
        <v>2413</v>
      </c>
      <c r="BC1655">
        <v>2421</v>
      </c>
      <c r="BD1655" t="s">
        <v>74</v>
      </c>
      <c r="BE1655" t="s">
        <v>29374</v>
      </c>
      <c r="BF1655" t="str">
        <f>HYPERLINK("http://dx.doi.org/10.1016/j.ultrasmedbio.2023.08.008","http://dx.doi.org/10.1016/j.ultrasmedbio.2023.08.008")</f>
        <v>http://dx.doi.org/10.1016/j.ultrasmedbio.2023.08.008</v>
      </c>
      <c r="BG1655" t="s">
        <v>74</v>
      </c>
      <c r="BH1655" t="s">
        <v>278</v>
      </c>
      <c r="BI1655">
        <v>9</v>
      </c>
      <c r="BJ1655" t="s">
        <v>29375</v>
      </c>
      <c r="BK1655" t="s">
        <v>130</v>
      </c>
      <c r="BL1655" t="s">
        <v>29375</v>
      </c>
      <c r="BM1655" t="s">
        <v>29376</v>
      </c>
      <c r="BN1655">
        <v>37652837</v>
      </c>
      <c r="BO1655" t="s">
        <v>74</v>
      </c>
      <c r="BP1655" t="s">
        <v>74</v>
      </c>
      <c r="BQ1655" t="s">
        <v>74</v>
      </c>
      <c r="BR1655" t="s">
        <v>101</v>
      </c>
      <c r="BS1655" t="s">
        <v>29377</v>
      </c>
      <c r="BT1655" t="str">
        <f>HYPERLINK("https%3A%2F%2Fwww.webofscience.com%2Fwos%2Fwoscc%2Ffull-record%2FWOS:001080296600001","View Full Record in Web of Science")</f>
        <v>View Full Record in Web of Science</v>
      </c>
    </row>
    <row r="1656" spans="1:72" x14ac:dyDescent="0.2">
      <c r="A1656" t="s">
        <v>103</v>
      </c>
      <c r="B1656" t="s">
        <v>29378</v>
      </c>
      <c r="C1656" t="s">
        <v>74</v>
      </c>
      <c r="D1656" t="s">
        <v>74</v>
      </c>
      <c r="E1656" t="s">
        <v>74</v>
      </c>
      <c r="F1656" t="s">
        <v>29379</v>
      </c>
      <c r="G1656" t="s">
        <v>74</v>
      </c>
      <c r="H1656" t="s">
        <v>74</v>
      </c>
      <c r="I1656" t="s">
        <v>29380</v>
      </c>
      <c r="J1656" t="s">
        <v>29381</v>
      </c>
      <c r="K1656" t="s">
        <v>74</v>
      </c>
      <c r="L1656" t="s">
        <v>74</v>
      </c>
      <c r="M1656" t="s">
        <v>79</v>
      </c>
      <c r="N1656" t="s">
        <v>108</v>
      </c>
      <c r="O1656" t="s">
        <v>74</v>
      </c>
      <c r="P1656" t="s">
        <v>74</v>
      </c>
      <c r="Q1656" t="s">
        <v>74</v>
      </c>
      <c r="R1656" t="s">
        <v>74</v>
      </c>
      <c r="S1656" t="s">
        <v>74</v>
      </c>
      <c r="T1656" t="s">
        <v>29382</v>
      </c>
      <c r="U1656" t="s">
        <v>29383</v>
      </c>
      <c r="V1656" t="s">
        <v>29384</v>
      </c>
      <c r="W1656" t="s">
        <v>29385</v>
      </c>
      <c r="X1656" t="s">
        <v>29386</v>
      </c>
      <c r="Y1656" t="s">
        <v>29387</v>
      </c>
      <c r="Z1656" t="s">
        <v>29388</v>
      </c>
      <c r="AA1656" t="s">
        <v>29389</v>
      </c>
      <c r="AB1656" t="s">
        <v>29390</v>
      </c>
      <c r="AC1656" t="s">
        <v>29391</v>
      </c>
      <c r="AD1656" t="s">
        <v>29392</v>
      </c>
      <c r="AE1656" t="s">
        <v>29393</v>
      </c>
      <c r="AF1656" t="s">
        <v>74</v>
      </c>
      <c r="AG1656">
        <v>54</v>
      </c>
      <c r="AH1656">
        <v>0</v>
      </c>
      <c r="AI1656">
        <v>0</v>
      </c>
      <c r="AJ1656">
        <v>1</v>
      </c>
      <c r="AK1656">
        <v>1</v>
      </c>
      <c r="AL1656" t="s">
        <v>4176</v>
      </c>
      <c r="AM1656" t="s">
        <v>4177</v>
      </c>
      <c r="AN1656" t="s">
        <v>4178</v>
      </c>
      <c r="AO1656" t="s">
        <v>74</v>
      </c>
      <c r="AP1656" t="s">
        <v>29394</v>
      </c>
      <c r="AQ1656" t="s">
        <v>74</v>
      </c>
      <c r="AR1656" t="s">
        <v>29395</v>
      </c>
      <c r="AS1656" t="s">
        <v>29396</v>
      </c>
      <c r="AT1656" t="s">
        <v>74</v>
      </c>
      <c r="AU1656">
        <v>2023</v>
      </c>
      <c r="AV1656">
        <v>7</v>
      </c>
      <c r="AW1656" t="s">
        <v>74</v>
      </c>
      <c r="AX1656" t="s">
        <v>74</v>
      </c>
      <c r="AY1656" t="s">
        <v>74</v>
      </c>
      <c r="AZ1656" t="s">
        <v>74</v>
      </c>
      <c r="BA1656" t="s">
        <v>74</v>
      </c>
      <c r="BB1656" t="s">
        <v>74</v>
      </c>
      <c r="BC1656" t="s">
        <v>74</v>
      </c>
      <c r="BD1656" t="s">
        <v>29397</v>
      </c>
      <c r="BE1656" t="s">
        <v>29398</v>
      </c>
      <c r="BF1656" t="str">
        <f>HYPERLINK("http://dx.doi.org/10.2196/51422","http://dx.doi.org/10.2196/51422")</f>
        <v>http://dx.doi.org/10.2196/51422</v>
      </c>
      <c r="BG1656" t="s">
        <v>74</v>
      </c>
      <c r="BH1656" t="s">
        <v>74</v>
      </c>
      <c r="BI1656">
        <v>12</v>
      </c>
      <c r="BJ1656" t="s">
        <v>4947</v>
      </c>
      <c r="BK1656" t="s">
        <v>352</v>
      </c>
      <c r="BL1656" t="s">
        <v>4947</v>
      </c>
      <c r="BM1656" t="s">
        <v>29399</v>
      </c>
      <c r="BN1656">
        <v>37976097</v>
      </c>
      <c r="BO1656" t="s">
        <v>4185</v>
      </c>
      <c r="BP1656" t="s">
        <v>74</v>
      </c>
      <c r="BQ1656" t="s">
        <v>74</v>
      </c>
      <c r="BR1656" t="s">
        <v>101</v>
      </c>
      <c r="BS1656" t="s">
        <v>29400</v>
      </c>
      <c r="BT1656" t="str">
        <f>HYPERLINK("https%3A%2F%2Fwww.webofscience.com%2Fwos%2Fwoscc%2Ffull-record%2FWOS:001115617200002","View Full Record in Web of Science")</f>
        <v>View Full Record in Web of Science</v>
      </c>
    </row>
    <row r="1657" spans="1:72" x14ac:dyDescent="0.2">
      <c r="A1657" t="s">
        <v>103</v>
      </c>
      <c r="B1657" t="s">
        <v>29401</v>
      </c>
      <c r="C1657" t="s">
        <v>74</v>
      </c>
      <c r="D1657" t="s">
        <v>74</v>
      </c>
      <c r="E1657" t="s">
        <v>74</v>
      </c>
      <c r="F1657" t="s">
        <v>29402</v>
      </c>
      <c r="G1657" t="s">
        <v>74</v>
      </c>
      <c r="H1657" t="s">
        <v>74</v>
      </c>
      <c r="I1657" t="s">
        <v>29403</v>
      </c>
      <c r="J1657" t="s">
        <v>28205</v>
      </c>
      <c r="K1657" t="s">
        <v>74</v>
      </c>
      <c r="L1657" t="s">
        <v>74</v>
      </c>
      <c r="M1657" t="s">
        <v>79</v>
      </c>
      <c r="N1657" t="s">
        <v>108</v>
      </c>
      <c r="O1657" t="s">
        <v>74</v>
      </c>
      <c r="P1657" t="s">
        <v>74</v>
      </c>
      <c r="Q1657" t="s">
        <v>74</v>
      </c>
      <c r="R1657" t="s">
        <v>74</v>
      </c>
      <c r="S1657" t="s">
        <v>74</v>
      </c>
      <c r="T1657" t="s">
        <v>29404</v>
      </c>
      <c r="U1657" t="s">
        <v>29405</v>
      </c>
      <c r="V1657" t="s">
        <v>29406</v>
      </c>
      <c r="W1657" t="s">
        <v>29407</v>
      </c>
      <c r="X1657" t="s">
        <v>29408</v>
      </c>
      <c r="Y1657" t="s">
        <v>29409</v>
      </c>
      <c r="Z1657" t="s">
        <v>29410</v>
      </c>
      <c r="AA1657" t="s">
        <v>29411</v>
      </c>
      <c r="AB1657" t="s">
        <v>29412</v>
      </c>
      <c r="AC1657" t="s">
        <v>29413</v>
      </c>
      <c r="AD1657" t="s">
        <v>29414</v>
      </c>
      <c r="AE1657" t="s">
        <v>29415</v>
      </c>
      <c r="AF1657" t="s">
        <v>74</v>
      </c>
      <c r="AG1657">
        <v>53</v>
      </c>
      <c r="AH1657">
        <v>0</v>
      </c>
      <c r="AI1657">
        <v>0</v>
      </c>
      <c r="AJ1657">
        <v>4</v>
      </c>
      <c r="AK1657">
        <v>4</v>
      </c>
      <c r="AL1657" t="s">
        <v>4176</v>
      </c>
      <c r="AM1657" t="s">
        <v>4177</v>
      </c>
      <c r="AN1657" t="s">
        <v>4178</v>
      </c>
      <c r="AO1657" t="s">
        <v>28217</v>
      </c>
      <c r="AP1657" t="s">
        <v>74</v>
      </c>
      <c r="AQ1657" t="s">
        <v>74</v>
      </c>
      <c r="AR1657" t="s">
        <v>28218</v>
      </c>
      <c r="AS1657" t="s">
        <v>28219</v>
      </c>
      <c r="AT1657" t="s">
        <v>74</v>
      </c>
      <c r="AU1657">
        <v>2023</v>
      </c>
      <c r="AV1657">
        <v>12</v>
      </c>
      <c r="AW1657" t="s">
        <v>74</v>
      </c>
      <c r="AX1657" t="s">
        <v>74</v>
      </c>
      <c r="AY1657" t="s">
        <v>74</v>
      </c>
      <c r="AZ1657" t="s">
        <v>74</v>
      </c>
      <c r="BA1657" t="s">
        <v>74</v>
      </c>
      <c r="BB1657" t="s">
        <v>74</v>
      </c>
      <c r="BC1657" t="s">
        <v>74</v>
      </c>
      <c r="BD1657" t="s">
        <v>29416</v>
      </c>
      <c r="BE1657" t="s">
        <v>29417</v>
      </c>
      <c r="BF1657" t="str">
        <f>HYPERLINK("http://dx.doi.org/10.2196/52036","http://dx.doi.org/10.2196/52036")</f>
        <v>http://dx.doi.org/10.2196/52036</v>
      </c>
      <c r="BG1657" t="s">
        <v>74</v>
      </c>
      <c r="BH1657" t="s">
        <v>74</v>
      </c>
      <c r="BI1657">
        <v>12</v>
      </c>
      <c r="BJ1657" t="s">
        <v>28222</v>
      </c>
      <c r="BK1657" t="s">
        <v>352</v>
      </c>
      <c r="BL1657" t="s">
        <v>28222</v>
      </c>
      <c r="BM1657" t="s">
        <v>29418</v>
      </c>
      <c r="BN1657">
        <v>37988150</v>
      </c>
      <c r="BO1657" t="s">
        <v>4185</v>
      </c>
      <c r="BP1657" t="s">
        <v>74</v>
      </c>
      <c r="BQ1657" t="s">
        <v>74</v>
      </c>
      <c r="BR1657" t="s">
        <v>101</v>
      </c>
      <c r="BS1657" t="s">
        <v>29419</v>
      </c>
      <c r="BT1657" t="str">
        <f>HYPERLINK("https%3A%2F%2Fwww.webofscience.com%2Fwos%2Fwoscc%2Ffull-record%2FWOS:001115570300001","View Full Record in Web of Science")</f>
        <v>View Full Record in Web of Science</v>
      </c>
    </row>
    <row r="1658" spans="1:72" x14ac:dyDescent="0.2">
      <c r="A1658" t="s">
        <v>103</v>
      </c>
      <c r="B1658" t="s">
        <v>29420</v>
      </c>
      <c r="C1658" t="s">
        <v>74</v>
      </c>
      <c r="D1658" t="s">
        <v>74</v>
      </c>
      <c r="E1658" t="s">
        <v>74</v>
      </c>
      <c r="F1658" t="s">
        <v>29421</v>
      </c>
      <c r="G1658" t="s">
        <v>74</v>
      </c>
      <c r="H1658" t="s">
        <v>74</v>
      </c>
      <c r="I1658" t="s">
        <v>29422</v>
      </c>
      <c r="J1658" t="s">
        <v>29423</v>
      </c>
      <c r="K1658" t="s">
        <v>74</v>
      </c>
      <c r="L1658" t="s">
        <v>74</v>
      </c>
      <c r="M1658" t="s">
        <v>79</v>
      </c>
      <c r="N1658" t="s">
        <v>108</v>
      </c>
      <c r="O1658" t="s">
        <v>74</v>
      </c>
      <c r="P1658" t="s">
        <v>74</v>
      </c>
      <c r="Q1658" t="s">
        <v>74</v>
      </c>
      <c r="R1658" t="s">
        <v>74</v>
      </c>
      <c r="S1658" t="s">
        <v>74</v>
      </c>
      <c r="T1658" t="s">
        <v>29424</v>
      </c>
      <c r="U1658" t="s">
        <v>29425</v>
      </c>
      <c r="V1658" t="s">
        <v>29426</v>
      </c>
      <c r="W1658" t="s">
        <v>29427</v>
      </c>
      <c r="X1658" t="s">
        <v>29428</v>
      </c>
      <c r="Y1658" t="s">
        <v>29429</v>
      </c>
      <c r="Z1658" t="s">
        <v>29430</v>
      </c>
      <c r="AA1658" t="s">
        <v>74</v>
      </c>
      <c r="AB1658" t="s">
        <v>29431</v>
      </c>
      <c r="AC1658" t="s">
        <v>29432</v>
      </c>
      <c r="AD1658" t="s">
        <v>29433</v>
      </c>
      <c r="AE1658" t="s">
        <v>29434</v>
      </c>
      <c r="AF1658" t="s">
        <v>74</v>
      </c>
      <c r="AG1658">
        <v>79</v>
      </c>
      <c r="AH1658">
        <v>1</v>
      </c>
      <c r="AI1658">
        <v>1</v>
      </c>
      <c r="AJ1658">
        <v>13</v>
      </c>
      <c r="AK1658">
        <v>21</v>
      </c>
      <c r="AL1658" t="s">
        <v>13480</v>
      </c>
      <c r="AM1658" t="s">
        <v>13481</v>
      </c>
      <c r="AN1658" t="s">
        <v>13482</v>
      </c>
      <c r="AO1658" t="s">
        <v>29435</v>
      </c>
      <c r="AP1658" t="s">
        <v>29436</v>
      </c>
      <c r="AQ1658" t="s">
        <v>74</v>
      </c>
      <c r="AR1658" t="s">
        <v>29437</v>
      </c>
      <c r="AS1658" t="s">
        <v>29438</v>
      </c>
      <c r="AT1658" t="s">
        <v>375</v>
      </c>
      <c r="AU1658">
        <v>2023</v>
      </c>
      <c r="AV1658">
        <v>652</v>
      </c>
      <c r="AW1658" t="s">
        <v>74</v>
      </c>
      <c r="AX1658" t="s">
        <v>3738</v>
      </c>
      <c r="AY1658" t="s">
        <v>74</v>
      </c>
      <c r="AZ1658" t="s">
        <v>74</v>
      </c>
      <c r="BA1658" t="s">
        <v>74</v>
      </c>
      <c r="BB1658">
        <v>749</v>
      </c>
      <c r="BC1658">
        <v>757</v>
      </c>
      <c r="BD1658" t="s">
        <v>74</v>
      </c>
      <c r="BE1658" t="s">
        <v>29439</v>
      </c>
      <c r="BF1658" t="str">
        <f>HYPERLINK("http://dx.doi.org/10.1016/j.jcis.2023.08.049","http://dx.doi.org/10.1016/j.jcis.2023.08.049")</f>
        <v>http://dx.doi.org/10.1016/j.jcis.2023.08.049</v>
      </c>
      <c r="BG1658" t="s">
        <v>74</v>
      </c>
      <c r="BH1658" t="s">
        <v>255</v>
      </c>
      <c r="BI1658">
        <v>9</v>
      </c>
      <c r="BJ1658" t="s">
        <v>29440</v>
      </c>
      <c r="BK1658" t="s">
        <v>130</v>
      </c>
      <c r="BL1658" t="s">
        <v>11006</v>
      </c>
      <c r="BM1658" t="s">
        <v>29441</v>
      </c>
      <c r="BN1658">
        <v>37582670</v>
      </c>
      <c r="BO1658" t="s">
        <v>74</v>
      </c>
      <c r="BP1658" t="s">
        <v>74</v>
      </c>
      <c r="BQ1658" t="s">
        <v>74</v>
      </c>
      <c r="BR1658" t="s">
        <v>101</v>
      </c>
      <c r="BS1658" t="s">
        <v>29442</v>
      </c>
      <c r="BT1658" t="str">
        <f>HYPERLINK("https%3A%2F%2Fwww.webofscience.com%2Fwos%2Fwoscc%2Ffull-record%2FWOS:001062169000001","View Full Record in Web of Science")</f>
        <v>View Full Record in Web of Science</v>
      </c>
    </row>
    <row r="1659" spans="1:72" x14ac:dyDescent="0.2">
      <c r="A1659" t="s">
        <v>103</v>
      </c>
      <c r="B1659" t="s">
        <v>29443</v>
      </c>
      <c r="C1659" t="s">
        <v>74</v>
      </c>
      <c r="D1659" t="s">
        <v>74</v>
      </c>
      <c r="E1659" t="s">
        <v>74</v>
      </c>
      <c r="F1659" t="s">
        <v>29444</v>
      </c>
      <c r="G1659" t="s">
        <v>74</v>
      </c>
      <c r="H1659" t="s">
        <v>74</v>
      </c>
      <c r="I1659" t="s">
        <v>29445</v>
      </c>
      <c r="J1659" t="s">
        <v>4686</v>
      </c>
      <c r="K1659" t="s">
        <v>74</v>
      </c>
      <c r="L1659" t="s">
        <v>74</v>
      </c>
      <c r="M1659" t="s">
        <v>79</v>
      </c>
      <c r="N1659" t="s">
        <v>108</v>
      </c>
      <c r="O1659" t="s">
        <v>74</v>
      </c>
      <c r="P1659" t="s">
        <v>74</v>
      </c>
      <c r="Q1659" t="s">
        <v>74</v>
      </c>
      <c r="R1659" t="s">
        <v>74</v>
      </c>
      <c r="S1659" t="s">
        <v>74</v>
      </c>
      <c r="T1659" t="s">
        <v>29446</v>
      </c>
      <c r="U1659" t="s">
        <v>29447</v>
      </c>
      <c r="V1659" t="s">
        <v>29448</v>
      </c>
      <c r="W1659" t="s">
        <v>29449</v>
      </c>
      <c r="X1659" t="s">
        <v>29450</v>
      </c>
      <c r="Y1659" t="s">
        <v>29451</v>
      </c>
      <c r="Z1659" t="s">
        <v>74</v>
      </c>
      <c r="AA1659" t="s">
        <v>74</v>
      </c>
      <c r="AB1659" t="s">
        <v>29260</v>
      </c>
      <c r="AC1659" t="s">
        <v>29452</v>
      </c>
      <c r="AD1659" t="s">
        <v>29453</v>
      </c>
      <c r="AE1659" t="s">
        <v>29454</v>
      </c>
      <c r="AF1659" t="s">
        <v>74</v>
      </c>
      <c r="AG1659">
        <v>30</v>
      </c>
      <c r="AH1659">
        <v>0</v>
      </c>
      <c r="AI1659">
        <v>0</v>
      </c>
      <c r="AJ1659">
        <v>0</v>
      </c>
      <c r="AK1659">
        <v>0</v>
      </c>
      <c r="AL1659" t="s">
        <v>2032</v>
      </c>
      <c r="AM1659" t="s">
        <v>149</v>
      </c>
      <c r="AN1659" t="s">
        <v>2033</v>
      </c>
      <c r="AO1659" t="s">
        <v>74</v>
      </c>
      <c r="AP1659" t="s">
        <v>4694</v>
      </c>
      <c r="AQ1659" t="s">
        <v>74</v>
      </c>
      <c r="AR1659" t="s">
        <v>4695</v>
      </c>
      <c r="AS1659" t="s">
        <v>4696</v>
      </c>
      <c r="AT1659" t="s">
        <v>29455</v>
      </c>
      <c r="AU1659">
        <v>2023</v>
      </c>
      <c r="AV1659">
        <v>15</v>
      </c>
      <c r="AW1659">
        <v>8</v>
      </c>
      <c r="AX1659" t="s">
        <v>74</v>
      </c>
      <c r="AY1659" t="s">
        <v>74</v>
      </c>
      <c r="AZ1659" t="s">
        <v>74</v>
      </c>
      <c r="BA1659" t="s">
        <v>74</v>
      </c>
      <c r="BB1659" t="s">
        <v>74</v>
      </c>
      <c r="BC1659" t="s">
        <v>74</v>
      </c>
      <c r="BD1659" t="s">
        <v>29456</v>
      </c>
      <c r="BE1659" t="s">
        <v>29457</v>
      </c>
      <c r="BF1659" t="str">
        <f>HYPERLINK("http://dx.doi.org/10.7759/cureus.43202","http://dx.doi.org/10.7759/cureus.43202")</f>
        <v>http://dx.doi.org/10.7759/cureus.43202</v>
      </c>
      <c r="BG1659" t="s">
        <v>74</v>
      </c>
      <c r="BH1659" t="s">
        <v>74</v>
      </c>
      <c r="BI1659">
        <v>8</v>
      </c>
      <c r="BJ1659" t="s">
        <v>3440</v>
      </c>
      <c r="BK1659" t="s">
        <v>352</v>
      </c>
      <c r="BL1659" t="s">
        <v>3441</v>
      </c>
      <c r="BM1659" t="s">
        <v>29458</v>
      </c>
      <c r="BN1659">
        <v>37692741</v>
      </c>
      <c r="BO1659" t="s">
        <v>4185</v>
      </c>
      <c r="BP1659" t="s">
        <v>74</v>
      </c>
      <c r="BQ1659" t="s">
        <v>74</v>
      </c>
      <c r="BR1659" t="s">
        <v>101</v>
      </c>
      <c r="BS1659" t="s">
        <v>29459</v>
      </c>
      <c r="BT1659" t="str">
        <f>HYPERLINK("https%3A%2F%2Fwww.webofscience.com%2Fwos%2Fwoscc%2Ffull-record%2FWOS:001168593900024","View Full Record in Web of Science")</f>
        <v>View Full Record in Web of Science</v>
      </c>
    </row>
    <row r="1660" spans="1:72" x14ac:dyDescent="0.2">
      <c r="A1660" t="s">
        <v>103</v>
      </c>
      <c r="B1660" t="s">
        <v>29460</v>
      </c>
      <c r="C1660" t="s">
        <v>74</v>
      </c>
      <c r="D1660" t="s">
        <v>74</v>
      </c>
      <c r="E1660" t="s">
        <v>74</v>
      </c>
      <c r="F1660" t="s">
        <v>29461</v>
      </c>
      <c r="G1660" t="s">
        <v>74</v>
      </c>
      <c r="H1660" t="s">
        <v>74</v>
      </c>
      <c r="I1660" t="s">
        <v>29462</v>
      </c>
      <c r="J1660" t="s">
        <v>29381</v>
      </c>
      <c r="K1660" t="s">
        <v>74</v>
      </c>
      <c r="L1660" t="s">
        <v>74</v>
      </c>
      <c r="M1660" t="s">
        <v>79</v>
      </c>
      <c r="N1660" t="s">
        <v>108</v>
      </c>
      <c r="O1660" t="s">
        <v>74</v>
      </c>
      <c r="P1660" t="s">
        <v>74</v>
      </c>
      <c r="Q1660" t="s">
        <v>74</v>
      </c>
      <c r="R1660" t="s">
        <v>74</v>
      </c>
      <c r="S1660" t="s">
        <v>74</v>
      </c>
      <c r="T1660" t="s">
        <v>29463</v>
      </c>
      <c r="U1660" t="s">
        <v>29464</v>
      </c>
      <c r="V1660" t="s">
        <v>29465</v>
      </c>
      <c r="W1660" t="s">
        <v>29466</v>
      </c>
      <c r="X1660" t="s">
        <v>29467</v>
      </c>
      <c r="Y1660" t="s">
        <v>29468</v>
      </c>
      <c r="Z1660" t="s">
        <v>29469</v>
      </c>
      <c r="AA1660" t="s">
        <v>29470</v>
      </c>
      <c r="AB1660" t="s">
        <v>29471</v>
      </c>
      <c r="AC1660" t="s">
        <v>29472</v>
      </c>
      <c r="AD1660" t="s">
        <v>29473</v>
      </c>
      <c r="AE1660" t="s">
        <v>29474</v>
      </c>
      <c r="AF1660" t="s">
        <v>74</v>
      </c>
      <c r="AG1660">
        <v>39</v>
      </c>
      <c r="AH1660">
        <v>1</v>
      </c>
      <c r="AI1660">
        <v>1</v>
      </c>
      <c r="AJ1660">
        <v>0</v>
      </c>
      <c r="AK1660">
        <v>0</v>
      </c>
      <c r="AL1660" t="s">
        <v>4176</v>
      </c>
      <c r="AM1660" t="s">
        <v>4177</v>
      </c>
      <c r="AN1660" t="s">
        <v>4178</v>
      </c>
      <c r="AO1660" t="s">
        <v>74</v>
      </c>
      <c r="AP1660" t="s">
        <v>29394</v>
      </c>
      <c r="AQ1660" t="s">
        <v>74</v>
      </c>
      <c r="AR1660" t="s">
        <v>29395</v>
      </c>
      <c r="AS1660" t="s">
        <v>29396</v>
      </c>
      <c r="AT1660" t="s">
        <v>74</v>
      </c>
      <c r="AU1660">
        <v>2023</v>
      </c>
      <c r="AV1660">
        <v>7</v>
      </c>
      <c r="AW1660" t="s">
        <v>74</v>
      </c>
      <c r="AX1660" t="s">
        <v>74</v>
      </c>
      <c r="AY1660" t="s">
        <v>74</v>
      </c>
      <c r="AZ1660" t="s">
        <v>74</v>
      </c>
      <c r="BA1660" t="s">
        <v>74</v>
      </c>
      <c r="BB1660" t="s">
        <v>74</v>
      </c>
      <c r="BC1660" t="s">
        <v>74</v>
      </c>
      <c r="BD1660" t="s">
        <v>29475</v>
      </c>
      <c r="BE1660" t="s">
        <v>29476</v>
      </c>
      <c r="BF1660" t="str">
        <f>HYPERLINK("http://dx.doi.org/10.2196/47101","http://dx.doi.org/10.2196/47101")</f>
        <v>http://dx.doi.org/10.2196/47101</v>
      </c>
      <c r="BG1660" t="s">
        <v>74</v>
      </c>
      <c r="BH1660" t="s">
        <v>74</v>
      </c>
      <c r="BI1660">
        <v>17</v>
      </c>
      <c r="BJ1660" t="s">
        <v>4947</v>
      </c>
      <c r="BK1660" t="s">
        <v>352</v>
      </c>
      <c r="BL1660" t="s">
        <v>4947</v>
      </c>
      <c r="BM1660" t="s">
        <v>29477</v>
      </c>
      <c r="BN1660">
        <v>37971794</v>
      </c>
      <c r="BO1660" t="s">
        <v>1728</v>
      </c>
      <c r="BP1660" t="s">
        <v>74</v>
      </c>
      <c r="BQ1660" t="s">
        <v>74</v>
      </c>
      <c r="BR1660" t="s">
        <v>101</v>
      </c>
      <c r="BS1660" t="s">
        <v>29478</v>
      </c>
      <c r="BT1660" t="str">
        <f>HYPERLINK("https%3A%2F%2Fwww.webofscience.com%2Fwos%2Fwoscc%2Ffull-record%2FWOS:001115613400004","View Full Record in Web of Science")</f>
        <v>View Full Record in Web of Science</v>
      </c>
    </row>
    <row r="1661" spans="1:72" x14ac:dyDescent="0.2">
      <c r="A1661" t="s">
        <v>103</v>
      </c>
      <c r="B1661" t="s">
        <v>29479</v>
      </c>
      <c r="C1661" t="s">
        <v>74</v>
      </c>
      <c r="D1661" t="s">
        <v>74</v>
      </c>
      <c r="E1661" t="s">
        <v>74</v>
      </c>
      <c r="F1661" t="s">
        <v>29480</v>
      </c>
      <c r="G1661" t="s">
        <v>74</v>
      </c>
      <c r="H1661" t="s">
        <v>74</v>
      </c>
      <c r="I1661" t="s">
        <v>29481</v>
      </c>
      <c r="J1661" t="s">
        <v>29482</v>
      </c>
      <c r="K1661" t="s">
        <v>74</v>
      </c>
      <c r="L1661" t="s">
        <v>74</v>
      </c>
      <c r="M1661" t="s">
        <v>79</v>
      </c>
      <c r="N1661" t="s">
        <v>108</v>
      </c>
      <c r="O1661" t="s">
        <v>74</v>
      </c>
      <c r="P1661" t="s">
        <v>74</v>
      </c>
      <c r="Q1661" t="s">
        <v>74</v>
      </c>
      <c r="R1661" t="s">
        <v>74</v>
      </c>
      <c r="S1661" t="s">
        <v>74</v>
      </c>
      <c r="T1661" t="s">
        <v>74</v>
      </c>
      <c r="U1661" t="s">
        <v>29483</v>
      </c>
      <c r="V1661" t="s">
        <v>29484</v>
      </c>
      <c r="W1661" t="s">
        <v>29485</v>
      </c>
      <c r="X1661" t="s">
        <v>29486</v>
      </c>
      <c r="Y1661" t="s">
        <v>29487</v>
      </c>
      <c r="Z1661" t="s">
        <v>29488</v>
      </c>
      <c r="AA1661" t="s">
        <v>74</v>
      </c>
      <c r="AB1661" t="s">
        <v>29489</v>
      </c>
      <c r="AC1661" t="s">
        <v>29490</v>
      </c>
      <c r="AD1661" t="s">
        <v>29491</v>
      </c>
      <c r="AE1661" t="s">
        <v>29492</v>
      </c>
      <c r="AF1661" t="s">
        <v>74</v>
      </c>
      <c r="AG1661">
        <v>74</v>
      </c>
      <c r="AH1661">
        <v>0</v>
      </c>
      <c r="AI1661">
        <v>0</v>
      </c>
      <c r="AJ1661">
        <v>2</v>
      </c>
      <c r="AK1661">
        <v>2</v>
      </c>
      <c r="AL1661" t="s">
        <v>3165</v>
      </c>
      <c r="AM1661" t="s">
        <v>3166</v>
      </c>
      <c r="AN1661" t="s">
        <v>3167</v>
      </c>
      <c r="AO1661" t="s">
        <v>29493</v>
      </c>
      <c r="AP1661" t="s">
        <v>29494</v>
      </c>
      <c r="AQ1661" t="s">
        <v>74</v>
      </c>
      <c r="AR1661" t="s">
        <v>29495</v>
      </c>
      <c r="AS1661" t="s">
        <v>29496</v>
      </c>
      <c r="AT1661" t="s">
        <v>276</v>
      </c>
      <c r="AU1661">
        <v>2023</v>
      </c>
      <c r="AV1661">
        <v>32</v>
      </c>
      <c r="AW1661">
        <v>6</v>
      </c>
      <c r="AX1661" t="s">
        <v>74</v>
      </c>
      <c r="AY1661" t="s">
        <v>74</v>
      </c>
      <c r="AZ1661" t="s">
        <v>74</v>
      </c>
      <c r="BA1661" t="s">
        <v>74</v>
      </c>
      <c r="BB1661" t="s">
        <v>74</v>
      </c>
      <c r="BC1661" t="s">
        <v>74</v>
      </c>
      <c r="BD1661" t="s">
        <v>74</v>
      </c>
      <c r="BE1661" t="s">
        <v>29497</v>
      </c>
      <c r="BF1661" t="str">
        <f>HYPERLINK("http://dx.doi.org/10.1002/icd.2478","http://dx.doi.org/10.1002/icd.2478")</f>
        <v>http://dx.doi.org/10.1002/icd.2478</v>
      </c>
      <c r="BG1661" t="s">
        <v>74</v>
      </c>
      <c r="BH1661" t="s">
        <v>157</v>
      </c>
      <c r="BI1661">
        <v>17</v>
      </c>
      <c r="BJ1661" t="s">
        <v>29498</v>
      </c>
      <c r="BK1661" t="s">
        <v>159</v>
      </c>
      <c r="BL1661" t="s">
        <v>1162</v>
      </c>
      <c r="BM1661" t="s">
        <v>29499</v>
      </c>
      <c r="BN1661" t="s">
        <v>74</v>
      </c>
      <c r="BO1661" t="s">
        <v>161</v>
      </c>
      <c r="BP1661" t="s">
        <v>74</v>
      </c>
      <c r="BQ1661" t="s">
        <v>74</v>
      </c>
      <c r="BR1661" t="s">
        <v>101</v>
      </c>
      <c r="BS1661" t="s">
        <v>29500</v>
      </c>
      <c r="BT1661" t="str">
        <f>HYPERLINK("https%3A%2F%2Fwww.webofscience.com%2Fwos%2Fwoscc%2Ffull-record%2FWOS:001102040500001","View Full Record in Web of Science")</f>
        <v>View Full Record in Web of Science</v>
      </c>
    </row>
    <row r="1662" spans="1:72" x14ac:dyDescent="0.2">
      <c r="A1662" t="s">
        <v>103</v>
      </c>
      <c r="B1662" t="s">
        <v>29501</v>
      </c>
      <c r="C1662" t="s">
        <v>74</v>
      </c>
      <c r="D1662" t="s">
        <v>74</v>
      </c>
      <c r="E1662" t="s">
        <v>74</v>
      </c>
      <c r="F1662" t="s">
        <v>29502</v>
      </c>
      <c r="G1662" t="s">
        <v>74</v>
      </c>
      <c r="H1662" t="s">
        <v>74</v>
      </c>
      <c r="I1662" t="s">
        <v>29503</v>
      </c>
      <c r="J1662" t="s">
        <v>29381</v>
      </c>
      <c r="K1662" t="s">
        <v>74</v>
      </c>
      <c r="L1662" t="s">
        <v>74</v>
      </c>
      <c r="M1662" t="s">
        <v>79</v>
      </c>
      <c r="N1662" t="s">
        <v>108</v>
      </c>
      <c r="O1662" t="s">
        <v>74</v>
      </c>
      <c r="P1662" t="s">
        <v>74</v>
      </c>
      <c r="Q1662" t="s">
        <v>74</v>
      </c>
      <c r="R1662" t="s">
        <v>74</v>
      </c>
      <c r="S1662" t="s">
        <v>74</v>
      </c>
      <c r="T1662" t="s">
        <v>29504</v>
      </c>
      <c r="U1662" t="s">
        <v>29505</v>
      </c>
      <c r="V1662" t="s">
        <v>29506</v>
      </c>
      <c r="W1662" t="s">
        <v>29507</v>
      </c>
      <c r="X1662" t="s">
        <v>29508</v>
      </c>
      <c r="Y1662" t="s">
        <v>29509</v>
      </c>
      <c r="Z1662" t="s">
        <v>29510</v>
      </c>
      <c r="AA1662" t="s">
        <v>29511</v>
      </c>
      <c r="AB1662" t="s">
        <v>29512</v>
      </c>
      <c r="AC1662" t="s">
        <v>29513</v>
      </c>
      <c r="AD1662" t="s">
        <v>29514</v>
      </c>
      <c r="AE1662" t="s">
        <v>29515</v>
      </c>
      <c r="AF1662" t="s">
        <v>74</v>
      </c>
      <c r="AG1662">
        <v>47</v>
      </c>
      <c r="AH1662">
        <v>0</v>
      </c>
      <c r="AI1662">
        <v>0</v>
      </c>
      <c r="AJ1662">
        <v>1</v>
      </c>
      <c r="AK1662">
        <v>1</v>
      </c>
      <c r="AL1662" t="s">
        <v>4176</v>
      </c>
      <c r="AM1662" t="s">
        <v>4177</v>
      </c>
      <c r="AN1662" t="s">
        <v>4178</v>
      </c>
      <c r="AO1662" t="s">
        <v>74</v>
      </c>
      <c r="AP1662" t="s">
        <v>29394</v>
      </c>
      <c r="AQ1662" t="s">
        <v>74</v>
      </c>
      <c r="AR1662" t="s">
        <v>29395</v>
      </c>
      <c r="AS1662" t="s">
        <v>29396</v>
      </c>
      <c r="AT1662" t="s">
        <v>74</v>
      </c>
      <c r="AU1662">
        <v>2023</v>
      </c>
      <c r="AV1662">
        <v>7</v>
      </c>
      <c r="AW1662" t="s">
        <v>74</v>
      </c>
      <c r="AX1662" t="s">
        <v>74</v>
      </c>
      <c r="AY1662" t="s">
        <v>74</v>
      </c>
      <c r="AZ1662" t="s">
        <v>74</v>
      </c>
      <c r="BA1662" t="s">
        <v>74</v>
      </c>
      <c r="BB1662" t="s">
        <v>74</v>
      </c>
      <c r="BC1662" t="s">
        <v>74</v>
      </c>
      <c r="BD1662" t="s">
        <v>29516</v>
      </c>
      <c r="BE1662" t="s">
        <v>29517</v>
      </c>
      <c r="BF1662" t="str">
        <f>HYPERLINK("http://dx.doi.org/10.2196/51334","http://dx.doi.org/10.2196/51334")</f>
        <v>http://dx.doi.org/10.2196/51334</v>
      </c>
      <c r="BG1662" t="s">
        <v>74</v>
      </c>
      <c r="BH1662" t="s">
        <v>74</v>
      </c>
      <c r="BI1662">
        <v>14</v>
      </c>
      <c r="BJ1662" t="s">
        <v>4947</v>
      </c>
      <c r="BK1662" t="s">
        <v>352</v>
      </c>
      <c r="BL1662" t="s">
        <v>4947</v>
      </c>
      <c r="BM1662" t="s">
        <v>29399</v>
      </c>
      <c r="BN1662">
        <v>37976094</v>
      </c>
      <c r="BO1662" t="s">
        <v>4185</v>
      </c>
      <c r="BP1662" t="s">
        <v>74</v>
      </c>
      <c r="BQ1662" t="s">
        <v>74</v>
      </c>
      <c r="BR1662" t="s">
        <v>101</v>
      </c>
      <c r="BS1662" t="s">
        <v>29518</v>
      </c>
      <c r="BT1662" t="str">
        <f>HYPERLINK("https%3A%2F%2Fwww.webofscience.com%2Fwos%2Fwoscc%2Ffull-record%2FWOS:001115617200004","View Full Record in Web of Science")</f>
        <v>View Full Record in Web of Science</v>
      </c>
    </row>
    <row r="1663" spans="1:72" x14ac:dyDescent="0.2">
      <c r="A1663" t="s">
        <v>103</v>
      </c>
      <c r="B1663" t="s">
        <v>29519</v>
      </c>
      <c r="C1663" t="s">
        <v>74</v>
      </c>
      <c r="D1663" t="s">
        <v>74</v>
      </c>
      <c r="E1663" t="s">
        <v>74</v>
      </c>
      <c r="F1663" t="s">
        <v>29520</v>
      </c>
      <c r="G1663" t="s">
        <v>74</v>
      </c>
      <c r="H1663" t="s">
        <v>74</v>
      </c>
      <c r="I1663" t="s">
        <v>29521</v>
      </c>
      <c r="J1663" t="s">
        <v>29522</v>
      </c>
      <c r="K1663" t="s">
        <v>74</v>
      </c>
      <c r="L1663" t="s">
        <v>74</v>
      </c>
      <c r="M1663" t="s">
        <v>79</v>
      </c>
      <c r="N1663" t="s">
        <v>138</v>
      </c>
      <c r="O1663" t="s">
        <v>74</v>
      </c>
      <c r="P1663" t="s">
        <v>74</v>
      </c>
      <c r="Q1663" t="s">
        <v>74</v>
      </c>
      <c r="R1663" t="s">
        <v>74</v>
      </c>
      <c r="S1663" t="s">
        <v>74</v>
      </c>
      <c r="T1663" t="s">
        <v>29523</v>
      </c>
      <c r="U1663" t="s">
        <v>29524</v>
      </c>
      <c r="V1663" t="s">
        <v>29525</v>
      </c>
      <c r="W1663" t="s">
        <v>29526</v>
      </c>
      <c r="X1663" t="s">
        <v>29527</v>
      </c>
      <c r="Y1663" t="s">
        <v>29528</v>
      </c>
      <c r="Z1663" t="s">
        <v>29529</v>
      </c>
      <c r="AA1663" t="s">
        <v>74</v>
      </c>
      <c r="AB1663" t="s">
        <v>74</v>
      </c>
      <c r="AC1663" t="s">
        <v>29530</v>
      </c>
      <c r="AD1663" t="s">
        <v>29530</v>
      </c>
      <c r="AE1663" t="s">
        <v>29531</v>
      </c>
      <c r="AF1663" t="s">
        <v>74</v>
      </c>
      <c r="AG1663">
        <v>119</v>
      </c>
      <c r="AH1663">
        <v>1</v>
      </c>
      <c r="AI1663">
        <v>1</v>
      </c>
      <c r="AJ1663">
        <v>24</v>
      </c>
      <c r="AK1663">
        <v>24</v>
      </c>
      <c r="AL1663" t="s">
        <v>3165</v>
      </c>
      <c r="AM1663" t="s">
        <v>3166</v>
      </c>
      <c r="AN1663" t="s">
        <v>3167</v>
      </c>
      <c r="AO1663" t="s">
        <v>29532</v>
      </c>
      <c r="AP1663" t="s">
        <v>29533</v>
      </c>
      <c r="AQ1663" t="s">
        <v>74</v>
      </c>
      <c r="AR1663" t="s">
        <v>29534</v>
      </c>
      <c r="AS1663" t="s">
        <v>29535</v>
      </c>
      <c r="AT1663" t="s">
        <v>29536</v>
      </c>
      <c r="AU1663">
        <v>2023</v>
      </c>
      <c r="AV1663" t="s">
        <v>74</v>
      </c>
      <c r="AW1663" t="s">
        <v>74</v>
      </c>
      <c r="AX1663" t="s">
        <v>74</v>
      </c>
      <c r="AY1663" t="s">
        <v>74</v>
      </c>
      <c r="AZ1663" t="s">
        <v>74</v>
      </c>
      <c r="BA1663" t="s">
        <v>74</v>
      </c>
      <c r="BB1663" t="s">
        <v>74</v>
      </c>
      <c r="BC1663" t="s">
        <v>74</v>
      </c>
      <c r="BD1663" t="s">
        <v>74</v>
      </c>
      <c r="BE1663" t="s">
        <v>29537</v>
      </c>
      <c r="BF1663" t="str">
        <f>HYPERLINK("http://dx.doi.org/10.1111/joms.13032","http://dx.doi.org/10.1111/joms.13032")</f>
        <v>http://dx.doi.org/10.1111/joms.13032</v>
      </c>
      <c r="BG1663" t="s">
        <v>74</v>
      </c>
      <c r="BH1663" t="s">
        <v>128</v>
      </c>
      <c r="BI1663">
        <v>24</v>
      </c>
      <c r="BJ1663" t="s">
        <v>7045</v>
      </c>
      <c r="BK1663" t="s">
        <v>159</v>
      </c>
      <c r="BL1663" t="s">
        <v>470</v>
      </c>
      <c r="BM1663" t="s">
        <v>29538</v>
      </c>
      <c r="BN1663" t="s">
        <v>74</v>
      </c>
      <c r="BO1663" t="s">
        <v>74</v>
      </c>
      <c r="BP1663" t="s">
        <v>74</v>
      </c>
      <c r="BQ1663" t="s">
        <v>74</v>
      </c>
      <c r="BR1663" t="s">
        <v>101</v>
      </c>
      <c r="BS1663" t="s">
        <v>29539</v>
      </c>
      <c r="BT1663" t="str">
        <f>HYPERLINK("https%3A%2F%2Fwww.webofscience.com%2Fwos%2Fwoscc%2Ffull-record%2FWOS:001128400700001","View Full Record in Web of Science")</f>
        <v>View Full Record in Web of Science</v>
      </c>
    </row>
    <row r="1664" spans="1:72" x14ac:dyDescent="0.2">
      <c r="A1664" t="s">
        <v>103</v>
      </c>
      <c r="B1664" t="s">
        <v>29540</v>
      </c>
      <c r="C1664" t="s">
        <v>74</v>
      </c>
      <c r="D1664" t="s">
        <v>74</v>
      </c>
      <c r="E1664" t="s">
        <v>74</v>
      </c>
      <c r="F1664" t="s">
        <v>29541</v>
      </c>
      <c r="G1664" t="s">
        <v>74</v>
      </c>
      <c r="H1664" t="s">
        <v>74</v>
      </c>
      <c r="I1664" t="s">
        <v>29542</v>
      </c>
      <c r="J1664" t="s">
        <v>10733</v>
      </c>
      <c r="K1664" t="s">
        <v>74</v>
      </c>
      <c r="L1664" t="s">
        <v>74</v>
      </c>
      <c r="M1664" t="s">
        <v>79</v>
      </c>
      <c r="N1664" t="s">
        <v>108</v>
      </c>
      <c r="O1664" t="s">
        <v>74</v>
      </c>
      <c r="P1664" t="s">
        <v>74</v>
      </c>
      <c r="Q1664" t="s">
        <v>74</v>
      </c>
      <c r="R1664" t="s">
        <v>74</v>
      </c>
      <c r="S1664" t="s">
        <v>74</v>
      </c>
      <c r="T1664" t="s">
        <v>29543</v>
      </c>
      <c r="U1664" t="s">
        <v>29544</v>
      </c>
      <c r="V1664" t="s">
        <v>29545</v>
      </c>
      <c r="W1664" t="s">
        <v>29546</v>
      </c>
      <c r="X1664" t="s">
        <v>29547</v>
      </c>
      <c r="Y1664" t="s">
        <v>29548</v>
      </c>
      <c r="Z1664" t="s">
        <v>29549</v>
      </c>
      <c r="AA1664" t="s">
        <v>29550</v>
      </c>
      <c r="AB1664" t="s">
        <v>29551</v>
      </c>
      <c r="AC1664" t="s">
        <v>29552</v>
      </c>
      <c r="AD1664" t="s">
        <v>29553</v>
      </c>
      <c r="AE1664" t="s">
        <v>29554</v>
      </c>
      <c r="AF1664" t="s">
        <v>74</v>
      </c>
      <c r="AG1664">
        <v>459</v>
      </c>
      <c r="AH1664">
        <v>6</v>
      </c>
      <c r="AI1664">
        <v>6</v>
      </c>
      <c r="AJ1664">
        <v>19</v>
      </c>
      <c r="AK1664">
        <v>31</v>
      </c>
      <c r="AL1664" t="s">
        <v>764</v>
      </c>
      <c r="AM1664" t="s">
        <v>765</v>
      </c>
      <c r="AN1664" t="s">
        <v>766</v>
      </c>
      <c r="AO1664" t="s">
        <v>10743</v>
      </c>
      <c r="AP1664" t="s">
        <v>10744</v>
      </c>
      <c r="AQ1664" t="s">
        <v>74</v>
      </c>
      <c r="AR1664" t="s">
        <v>10745</v>
      </c>
      <c r="AS1664" t="s">
        <v>10746</v>
      </c>
      <c r="AT1664" t="s">
        <v>791</v>
      </c>
      <c r="AU1664">
        <v>2023</v>
      </c>
      <c r="AV1664">
        <v>88</v>
      </c>
      <c r="AW1664" t="s">
        <v>74</v>
      </c>
      <c r="AX1664" t="s">
        <v>74</v>
      </c>
      <c r="AY1664" t="s">
        <v>74</v>
      </c>
      <c r="AZ1664" t="s">
        <v>74</v>
      </c>
      <c r="BA1664" t="s">
        <v>74</v>
      </c>
      <c r="BB1664" t="s">
        <v>74</v>
      </c>
      <c r="BC1664" t="s">
        <v>74</v>
      </c>
      <c r="BD1664">
        <v>102863</v>
      </c>
      <c r="BE1664" t="s">
        <v>29555</v>
      </c>
      <c r="BF1664" t="str">
        <f>HYPERLINK("http://dx.doi.org/10.1016/j.media.2023.102863","http://dx.doi.org/10.1016/j.media.2023.102863")</f>
        <v>http://dx.doi.org/10.1016/j.media.2023.102863</v>
      </c>
      <c r="BG1664" t="s">
        <v>74</v>
      </c>
      <c r="BH1664" t="s">
        <v>1910</v>
      </c>
      <c r="BI1664">
        <v>40</v>
      </c>
      <c r="BJ1664" t="s">
        <v>10748</v>
      </c>
      <c r="BK1664" t="s">
        <v>130</v>
      </c>
      <c r="BL1664" t="s">
        <v>10749</v>
      </c>
      <c r="BM1664" t="s">
        <v>29556</v>
      </c>
      <c r="BN1664">
        <v>37343323</v>
      </c>
      <c r="BO1664" t="s">
        <v>646</v>
      </c>
      <c r="BP1664" t="s">
        <v>74</v>
      </c>
      <c r="BQ1664" t="s">
        <v>74</v>
      </c>
      <c r="BR1664" t="s">
        <v>101</v>
      </c>
      <c r="BS1664" t="s">
        <v>29557</v>
      </c>
      <c r="BT1664" t="str">
        <f>HYPERLINK("https%3A%2F%2Fwww.webofscience.com%2Fwos%2Fwoscc%2Ffull-record%2FWOS:001026047500001","View Full Record in Web of Science")</f>
        <v>View Full Record in Web of Science</v>
      </c>
    </row>
    <row r="1665" spans="1:72" x14ac:dyDescent="0.2">
      <c r="A1665" t="s">
        <v>11909</v>
      </c>
      <c r="B1665" t="s">
        <v>29558</v>
      </c>
      <c r="C1665" t="s">
        <v>74</v>
      </c>
      <c r="D1665" t="s">
        <v>29559</v>
      </c>
      <c r="E1665" t="s">
        <v>74</v>
      </c>
      <c r="F1665" t="s">
        <v>29560</v>
      </c>
      <c r="G1665" t="s">
        <v>74</v>
      </c>
      <c r="H1665" t="s">
        <v>74</v>
      </c>
      <c r="I1665" t="s">
        <v>29561</v>
      </c>
      <c r="J1665" t="s">
        <v>29562</v>
      </c>
      <c r="K1665" t="s">
        <v>29563</v>
      </c>
      <c r="L1665" t="s">
        <v>74</v>
      </c>
      <c r="M1665" t="s">
        <v>79</v>
      </c>
      <c r="N1665" t="s">
        <v>16480</v>
      </c>
      <c r="O1665" t="s">
        <v>74</v>
      </c>
      <c r="P1665" t="s">
        <v>74</v>
      </c>
      <c r="Q1665" t="s">
        <v>74</v>
      </c>
      <c r="R1665" t="s">
        <v>74</v>
      </c>
      <c r="S1665" t="s">
        <v>74</v>
      </c>
      <c r="T1665" t="s">
        <v>74</v>
      </c>
      <c r="U1665" t="s">
        <v>29564</v>
      </c>
      <c r="V1665" t="s">
        <v>74</v>
      </c>
      <c r="W1665" t="s">
        <v>29565</v>
      </c>
      <c r="X1665" t="s">
        <v>29566</v>
      </c>
      <c r="Y1665" t="s">
        <v>29567</v>
      </c>
      <c r="Z1665" t="s">
        <v>29568</v>
      </c>
      <c r="AA1665" t="s">
        <v>74</v>
      </c>
      <c r="AB1665" t="s">
        <v>74</v>
      </c>
      <c r="AC1665" t="s">
        <v>29569</v>
      </c>
      <c r="AD1665" t="s">
        <v>29570</v>
      </c>
      <c r="AE1665" t="s">
        <v>29571</v>
      </c>
      <c r="AF1665" t="s">
        <v>74</v>
      </c>
      <c r="AG1665">
        <v>56</v>
      </c>
      <c r="AH1665">
        <v>0</v>
      </c>
      <c r="AI1665">
        <v>0</v>
      </c>
      <c r="AJ1665">
        <v>0</v>
      </c>
      <c r="AK1665">
        <v>0</v>
      </c>
      <c r="AL1665" t="s">
        <v>29572</v>
      </c>
      <c r="AM1665" t="s">
        <v>13481</v>
      </c>
      <c r="AN1665" t="s">
        <v>29573</v>
      </c>
      <c r="AO1665" t="s">
        <v>29574</v>
      </c>
      <c r="AP1665" t="s">
        <v>74</v>
      </c>
      <c r="AQ1665" t="s">
        <v>29575</v>
      </c>
      <c r="AR1665" t="s">
        <v>29576</v>
      </c>
      <c r="AS1665" t="s">
        <v>29577</v>
      </c>
      <c r="AT1665" t="s">
        <v>74</v>
      </c>
      <c r="AU1665">
        <v>2023</v>
      </c>
      <c r="AV1665">
        <v>60</v>
      </c>
      <c r="AW1665" t="s">
        <v>74</v>
      </c>
      <c r="AX1665" t="s">
        <v>74</v>
      </c>
      <c r="AY1665" t="s">
        <v>74</v>
      </c>
      <c r="AZ1665" t="s">
        <v>74</v>
      </c>
      <c r="BA1665" t="s">
        <v>74</v>
      </c>
      <c r="BB1665">
        <v>1</v>
      </c>
      <c r="BC1665">
        <v>27</v>
      </c>
      <c r="BD1665" t="s">
        <v>74</v>
      </c>
      <c r="BE1665" t="s">
        <v>29578</v>
      </c>
      <c r="BF1665" t="str">
        <f>HYPERLINK("http://dx.doi.org/10.1016/bs.armc.2023.09.005","http://dx.doi.org/10.1016/bs.armc.2023.09.005")</f>
        <v>http://dx.doi.org/10.1016/bs.armc.2023.09.005</v>
      </c>
      <c r="BG1665" t="s">
        <v>74</v>
      </c>
      <c r="BH1665" t="s">
        <v>74</v>
      </c>
      <c r="BI1665">
        <v>27</v>
      </c>
      <c r="BJ1665" t="s">
        <v>29579</v>
      </c>
      <c r="BK1665" t="s">
        <v>16489</v>
      </c>
      <c r="BL1665" t="s">
        <v>1726</v>
      </c>
      <c r="BM1665" t="s">
        <v>29580</v>
      </c>
      <c r="BN1665" t="s">
        <v>74</v>
      </c>
      <c r="BO1665" t="s">
        <v>74</v>
      </c>
      <c r="BP1665" t="s">
        <v>74</v>
      </c>
      <c r="BQ1665" t="s">
        <v>74</v>
      </c>
      <c r="BR1665" t="s">
        <v>101</v>
      </c>
      <c r="BS1665" t="s">
        <v>29581</v>
      </c>
      <c r="BT1665" t="str">
        <f>HYPERLINK("https%3A%2F%2Fwww.webofscience.com%2Fwos%2Fwoscc%2Ffull-record%2FWOS:001102573400002","View Full Record in Web of Science")</f>
        <v>View Full Record in Web of Science</v>
      </c>
    </row>
    <row r="1666" spans="1:72" x14ac:dyDescent="0.2">
      <c r="A1666" t="s">
        <v>103</v>
      </c>
      <c r="B1666" t="s">
        <v>29582</v>
      </c>
      <c r="C1666" t="s">
        <v>74</v>
      </c>
      <c r="D1666" t="s">
        <v>74</v>
      </c>
      <c r="E1666" t="s">
        <v>74</v>
      </c>
      <c r="F1666" t="s">
        <v>29583</v>
      </c>
      <c r="G1666" t="s">
        <v>74</v>
      </c>
      <c r="H1666" t="s">
        <v>74</v>
      </c>
      <c r="I1666" t="s">
        <v>29584</v>
      </c>
      <c r="J1666" t="s">
        <v>29585</v>
      </c>
      <c r="K1666" t="s">
        <v>74</v>
      </c>
      <c r="L1666" t="s">
        <v>74</v>
      </c>
      <c r="M1666" t="s">
        <v>79</v>
      </c>
      <c r="N1666" t="s">
        <v>108</v>
      </c>
      <c r="O1666" t="s">
        <v>74</v>
      </c>
      <c r="P1666" t="s">
        <v>74</v>
      </c>
      <c r="Q1666" t="s">
        <v>74</v>
      </c>
      <c r="R1666" t="s">
        <v>74</v>
      </c>
      <c r="S1666" t="s">
        <v>74</v>
      </c>
      <c r="T1666" t="s">
        <v>29586</v>
      </c>
      <c r="U1666" t="s">
        <v>29587</v>
      </c>
      <c r="V1666" t="s">
        <v>29588</v>
      </c>
      <c r="W1666" t="s">
        <v>29589</v>
      </c>
      <c r="X1666" t="s">
        <v>29590</v>
      </c>
      <c r="Y1666" t="s">
        <v>29591</v>
      </c>
      <c r="Z1666" t="s">
        <v>29592</v>
      </c>
      <c r="AA1666" t="s">
        <v>29593</v>
      </c>
      <c r="AB1666" t="s">
        <v>29594</v>
      </c>
      <c r="AC1666" t="s">
        <v>29595</v>
      </c>
      <c r="AD1666" t="s">
        <v>29596</v>
      </c>
      <c r="AE1666" t="s">
        <v>29597</v>
      </c>
      <c r="AF1666" t="s">
        <v>74</v>
      </c>
      <c r="AG1666">
        <v>58</v>
      </c>
      <c r="AH1666">
        <v>0</v>
      </c>
      <c r="AI1666">
        <v>0</v>
      </c>
      <c r="AJ1666">
        <v>6</v>
      </c>
      <c r="AK1666">
        <v>8</v>
      </c>
      <c r="AL1666" t="s">
        <v>3165</v>
      </c>
      <c r="AM1666" t="s">
        <v>3166</v>
      </c>
      <c r="AN1666" t="s">
        <v>3167</v>
      </c>
      <c r="AO1666" t="s">
        <v>29598</v>
      </c>
      <c r="AP1666" t="s">
        <v>29599</v>
      </c>
      <c r="AQ1666" t="s">
        <v>74</v>
      </c>
      <c r="AR1666" t="s">
        <v>29600</v>
      </c>
      <c r="AS1666" t="s">
        <v>29601</v>
      </c>
      <c r="AT1666" t="s">
        <v>771</v>
      </c>
      <c r="AU1666">
        <v>2023</v>
      </c>
      <c r="AV1666">
        <v>601</v>
      </c>
      <c r="AW1666">
        <v>18</v>
      </c>
      <c r="AX1666" t="s">
        <v>74</v>
      </c>
      <c r="AY1666" t="s">
        <v>74</v>
      </c>
      <c r="AZ1666" t="s">
        <v>74</v>
      </c>
      <c r="BA1666" t="s">
        <v>74</v>
      </c>
      <c r="BB1666">
        <v>4151</v>
      </c>
      <c r="BC1666">
        <v>4169</v>
      </c>
      <c r="BD1666" t="s">
        <v>74</v>
      </c>
      <c r="BE1666" t="s">
        <v>29602</v>
      </c>
      <c r="BF1666" t="str">
        <f>HYPERLINK("http://dx.doi.org/10.1113/JP285036","http://dx.doi.org/10.1113/JP285036")</f>
        <v>http://dx.doi.org/10.1113/JP285036</v>
      </c>
      <c r="BG1666" t="s">
        <v>74</v>
      </c>
      <c r="BH1666" t="s">
        <v>255</v>
      </c>
      <c r="BI1666">
        <v>19</v>
      </c>
      <c r="BJ1666" t="s">
        <v>29603</v>
      </c>
      <c r="BK1666" t="s">
        <v>130</v>
      </c>
      <c r="BL1666" t="s">
        <v>29604</v>
      </c>
      <c r="BM1666" t="s">
        <v>29605</v>
      </c>
      <c r="BN1666">
        <v>37602663</v>
      </c>
      <c r="BO1666" t="s">
        <v>161</v>
      </c>
      <c r="BP1666" t="s">
        <v>74</v>
      </c>
      <c r="BQ1666" t="s">
        <v>74</v>
      </c>
      <c r="BR1666" t="s">
        <v>101</v>
      </c>
      <c r="BS1666" t="s">
        <v>29606</v>
      </c>
      <c r="BT1666" t="str">
        <f>HYPERLINK("https%3A%2F%2Fwww.webofscience.com%2Fwos%2Fwoscc%2Ffull-record%2FWOS:001052116700001","View Full Record in Web of Science")</f>
        <v>View Full Record in Web of Science</v>
      </c>
    </row>
  </sheetData>
  <pageMargins left="0.75" right="0.75" top="1" bottom="1" header="0.5" footer="0.5"/>
  <pageSetup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savedrecs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Surya Vinay Kumar</cp:lastModifiedBy>
  <dcterms:created xsi:type="dcterms:W3CDTF">2024-03-30T01:53:55Z</dcterms:created>
  <dcterms:modified xsi:type="dcterms:W3CDTF">2024-03-30T01:53:55Z</dcterms:modified>
</cp:coreProperties>
</file>